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80農林水産局\060農業技術課\489_R7経営技術グループ\110_技術情報\01_経営指標の修正\"/>
    </mc:Choice>
  </mc:AlternateContent>
  <xr:revisionPtr revIDLastSave="0" documentId="13_ncr:1_{375457E0-CD96-4545-AACE-2D206EC8EE7A}" xr6:coauthVersionLast="47" xr6:coauthVersionMax="47" xr10:uidLastSave="{00000000-0000-0000-0000-000000000000}"/>
  <bookViews>
    <workbookView xWindow="32280" yWindow="-120" windowWidth="29040" windowHeight="16440" tabRatio="853" xr2:uid="{00000000-000D-0000-FFFF-FFFF00000000}"/>
  </bookViews>
  <sheets>
    <sheet name="１　対象経営の概要，２　前提条件" sheetId="19" r:id="rId1"/>
    <sheet name="３　青ネギ（土耕）標準技術" sheetId="24" r:id="rId2"/>
    <sheet name="４　経営収支" sheetId="22" r:id="rId3"/>
    <sheet name="５　青ネギ（土耕）作業時間" sheetId="27" r:id="rId4"/>
    <sheet name="６　固定資本装備と減価償却費" sheetId="30" r:id="rId5"/>
    <sheet name="７　青ネギ（土耕）部門収支" sheetId="35" r:id="rId6"/>
    <sheet name="８　青ネギ（土耕）算出基礎" sheetId="36" r:id="rId7"/>
    <sheet name="９　青ネギ（土耕）単価算出基礎" sheetId="42" r:id="rId8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1">'３　青ネギ（土耕）標準技術'!$A$1:$J$11</definedName>
    <definedName name="_xlnm.Print_Area" localSheetId="2">'４　経営収支'!$A$1:$P$38</definedName>
    <definedName name="_xlnm.Print_Area" localSheetId="3">'５　青ネギ（土耕）作業時間'!$A$1:$AN$51</definedName>
    <definedName name="_xlnm.Print_Area" localSheetId="4">'６　固定資本装備と減価償却費'!$1:$36</definedName>
    <definedName name="_xlnm.Print_Area" localSheetId="5">'７　青ネギ（土耕）部門収支'!$A$1:$S$38</definedName>
    <definedName name="_xlnm.Print_Area" localSheetId="6">'８　青ネギ（土耕）算出基礎'!$A$1:$V$59</definedName>
    <definedName name="simizu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36" l="1"/>
  <c r="N38" i="36" s="1"/>
  <c r="U25" i="36" l="1"/>
  <c r="V25" i="36" s="1"/>
  <c r="U26" i="36"/>
  <c r="V26" i="36" s="1"/>
  <c r="U27" i="36"/>
  <c r="V27" i="36" s="1"/>
  <c r="U24" i="36"/>
  <c r="V24" i="36" s="1"/>
  <c r="K8" i="36"/>
  <c r="K7" i="36"/>
  <c r="N7" i="36" s="1"/>
  <c r="K6" i="36"/>
  <c r="N6" i="36" s="1"/>
  <c r="N8" i="36"/>
  <c r="V51" i="36" l="1"/>
  <c r="V45" i="36"/>
  <c r="S38" i="36"/>
  <c r="N54" i="36"/>
  <c r="N53" i="36"/>
  <c r="N45" i="36"/>
  <c r="G4" i="22" l="1"/>
  <c r="G20" i="22" s="1"/>
  <c r="P13" i="35"/>
  <c r="AQ45" i="27"/>
  <c r="J18" i="30"/>
  <c r="J17" i="30"/>
  <c r="J16" i="30"/>
  <c r="J15" i="30"/>
  <c r="J14" i="30"/>
  <c r="J13" i="30"/>
  <c r="J6" i="30"/>
  <c r="J7" i="30"/>
  <c r="J8" i="30"/>
  <c r="G26" i="22" l="1"/>
  <c r="G6" i="22"/>
  <c r="G27" i="22"/>
  <c r="G29" i="22"/>
  <c r="G14" i="22"/>
  <c r="D50" i="36"/>
  <c r="D42" i="36"/>
  <c r="D41" i="36"/>
  <c r="D40" i="36"/>
  <c r="D39" i="36"/>
  <c r="D30" i="36"/>
  <c r="D29" i="36"/>
  <c r="D28" i="36"/>
  <c r="D13" i="36"/>
  <c r="D12" i="36"/>
  <c r="J5" i="30" l="1"/>
  <c r="K13" i="30" l="1"/>
  <c r="D8" i="36" l="1"/>
  <c r="D5" i="36"/>
  <c r="K14" i="30" l="1"/>
  <c r="K15" i="30"/>
  <c r="K16" i="30"/>
  <c r="K17" i="30"/>
  <c r="K18" i="30"/>
  <c r="K6" i="30"/>
  <c r="K7" i="30"/>
  <c r="K8" i="30"/>
  <c r="K5" i="30"/>
  <c r="P11" i="35" l="1"/>
  <c r="F21" i="35" s="1"/>
  <c r="G23" i="22" s="1"/>
  <c r="K31" i="36" l="1"/>
  <c r="N31" i="36" s="1"/>
  <c r="K30" i="36"/>
  <c r="N30" i="36" s="1"/>
  <c r="K14" i="36"/>
  <c r="N14" i="36" s="1"/>
  <c r="K13" i="36"/>
  <c r="N13" i="36" s="1"/>
  <c r="K12" i="36"/>
  <c r="N12" i="36" s="1"/>
  <c r="K11" i="36"/>
  <c r="N11" i="36" s="1"/>
  <c r="G5" i="30" l="1"/>
  <c r="I11" i="27"/>
  <c r="H11" i="27"/>
  <c r="G11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AB10" i="27"/>
  <c r="AB9" i="27"/>
  <c r="R9" i="27"/>
  <c r="Q9" i="27"/>
  <c r="P9" i="27"/>
  <c r="E8" i="30" l="1"/>
  <c r="E7" i="30"/>
  <c r="I14" i="30" l="1"/>
  <c r="L14" i="30" l="1"/>
  <c r="N14" i="30" s="1"/>
  <c r="P14" i="30" s="1"/>
  <c r="P21" i="30" l="1"/>
  <c r="P22" i="30"/>
  <c r="P23" i="30"/>
  <c r="P24" i="30"/>
  <c r="P25" i="30"/>
  <c r="P26" i="30"/>
  <c r="P27" i="30"/>
  <c r="P28" i="30"/>
  <c r="V5" i="36"/>
  <c r="AM14" i="27" l="1"/>
  <c r="AL14" i="27"/>
  <c r="AK14" i="27"/>
  <c r="AJ14" i="27"/>
  <c r="AI14" i="27"/>
  <c r="AH14" i="27"/>
  <c r="AG14" i="27"/>
  <c r="AF14" i="27"/>
  <c r="AE14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AI13" i="27"/>
  <c r="AJ13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AI12" i="27"/>
  <c r="AJ12" i="27"/>
  <c r="AJ11" i="27"/>
  <c r="AI11" i="27"/>
  <c r="AH11" i="27"/>
  <c r="AG11" i="27"/>
  <c r="AF11" i="27"/>
  <c r="AE11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D11" i="19"/>
  <c r="D7" i="19" s="1"/>
  <c r="AA9" i="27"/>
  <c r="Z9" i="27"/>
  <c r="Y9" i="27"/>
  <c r="X9" i="27"/>
  <c r="W9" i="27"/>
  <c r="V9" i="27"/>
  <c r="U9" i="27"/>
  <c r="T9" i="27"/>
  <c r="S9" i="27"/>
  <c r="O9" i="27"/>
  <c r="N9" i="27"/>
  <c r="M9" i="27"/>
  <c r="L9" i="27"/>
  <c r="K9" i="27"/>
  <c r="J9" i="27"/>
  <c r="I9" i="27"/>
  <c r="H9" i="27"/>
  <c r="F15" i="19" l="1"/>
  <c r="AP47" i="27" l="1"/>
  <c r="AQ47" i="27" s="1"/>
  <c r="AP46" i="27"/>
  <c r="F22" i="35"/>
  <c r="G24" i="22" s="1"/>
  <c r="AQ46" i="27" l="1"/>
  <c r="AQ49" i="27" s="1"/>
  <c r="AP49" i="27"/>
  <c r="G7" i="30"/>
  <c r="I7" i="30" s="1"/>
  <c r="J2" i="24"/>
  <c r="G2" i="24"/>
  <c r="L2" i="35"/>
  <c r="I2" i="35"/>
  <c r="F50" i="36" l="1"/>
  <c r="F42" i="36"/>
  <c r="F41" i="36"/>
  <c r="F40" i="36"/>
  <c r="F39" i="36"/>
  <c r="F30" i="36"/>
  <c r="F29" i="36"/>
  <c r="F28" i="36"/>
  <c r="G28" i="36" s="1"/>
  <c r="F13" i="36"/>
  <c r="F12" i="36"/>
  <c r="F8" i="36"/>
  <c r="G8" i="30" l="1"/>
  <c r="G42" i="36"/>
  <c r="G41" i="36"/>
  <c r="G40" i="36"/>
  <c r="G39" i="36"/>
  <c r="G30" i="36"/>
  <c r="G29" i="36"/>
  <c r="O9" i="42"/>
  <c r="O8" i="42"/>
  <c r="O7" i="42"/>
  <c r="O6" i="42"/>
  <c r="I3" i="42"/>
  <c r="E3" i="42"/>
  <c r="L2" i="30" l="1"/>
  <c r="I2" i="30"/>
  <c r="P2" i="27"/>
  <c r="M2" i="27"/>
  <c r="G3" i="22"/>
  <c r="I13" i="30" l="1"/>
  <c r="I15" i="30"/>
  <c r="I17" i="30"/>
  <c r="L17" i="30" l="1"/>
  <c r="L13" i="30"/>
  <c r="K17" i="36" l="1"/>
  <c r="L17" i="36" l="1"/>
  <c r="N16" i="36"/>
  <c r="G14" i="36" l="1"/>
  <c r="O10" i="42" l="1"/>
  <c r="O11" i="42" s="1"/>
  <c r="H22" i="22" l="1"/>
  <c r="I22" i="22"/>
  <c r="H7" i="22"/>
  <c r="I7" i="22"/>
  <c r="F26" i="22"/>
  <c r="F27" i="22"/>
  <c r="F29" i="22"/>
  <c r="F14" i="22"/>
  <c r="F20" i="22"/>
  <c r="N11" i="42"/>
  <c r="Q10" i="35" s="1"/>
  <c r="M11" i="42"/>
  <c r="Q9" i="35" s="1"/>
  <c r="L11" i="42"/>
  <c r="Q8" i="35" s="1"/>
  <c r="K11" i="42"/>
  <c r="Q7" i="35" s="1"/>
  <c r="J11" i="42"/>
  <c r="Q6" i="35" s="1"/>
  <c r="I11" i="42"/>
  <c r="Q5" i="35" s="1"/>
  <c r="H11" i="42"/>
  <c r="M10" i="35" s="1"/>
  <c r="G11" i="42"/>
  <c r="M9" i="35" s="1"/>
  <c r="F11" i="42"/>
  <c r="M8" i="35" s="1"/>
  <c r="E11" i="42"/>
  <c r="M7" i="35" s="1"/>
  <c r="D11" i="42"/>
  <c r="M6" i="35" s="1"/>
  <c r="C11" i="42"/>
  <c r="M5" i="35" s="1"/>
  <c r="F6" i="22"/>
  <c r="Q11" i="35" l="1"/>
  <c r="G46" i="36"/>
  <c r="G47" i="36"/>
  <c r="G32" i="36"/>
  <c r="G33" i="36"/>
  <c r="G34" i="36"/>
  <c r="G35" i="36"/>
  <c r="L29" i="36"/>
  <c r="K29" i="36"/>
  <c r="N28" i="36"/>
  <c r="N27" i="36"/>
  <c r="N29" i="36" l="1"/>
  <c r="P36" i="35" s="1"/>
  <c r="N52" i="36"/>
  <c r="N48" i="36"/>
  <c r="N58" i="36"/>
  <c r="V56" i="36"/>
  <c r="V50" i="36"/>
  <c r="V44" i="36"/>
  <c r="V57" i="36" l="1"/>
  <c r="F26" i="35" s="1"/>
  <c r="G28" i="22" s="1"/>
  <c r="I6" i="30"/>
  <c r="I5" i="30"/>
  <c r="K37" i="36" s="1"/>
  <c r="N37" i="36" l="1"/>
  <c r="N44" i="36" s="1"/>
  <c r="N59" i="36" s="1"/>
  <c r="L6" i="30"/>
  <c r="L7" i="30"/>
  <c r="AN48" i="27" l="1"/>
  <c r="G19" i="36"/>
  <c r="G18" i="36"/>
  <c r="L33" i="36"/>
  <c r="K33" i="36"/>
  <c r="L25" i="36"/>
  <c r="K25" i="36"/>
  <c r="L21" i="36"/>
  <c r="K21" i="36"/>
  <c r="N32" i="36"/>
  <c r="N24" i="36"/>
  <c r="N23" i="36"/>
  <c r="N20" i="36"/>
  <c r="N19" i="36"/>
  <c r="L10" i="36"/>
  <c r="K10" i="36"/>
  <c r="N15" i="36"/>
  <c r="N9" i="36"/>
  <c r="G23" i="36"/>
  <c r="G22" i="36"/>
  <c r="G21" i="36"/>
  <c r="G17" i="36"/>
  <c r="G15" i="36"/>
  <c r="G13" i="36"/>
  <c r="G12" i="36"/>
  <c r="G10" i="36"/>
  <c r="G8" i="36"/>
  <c r="G6" i="36"/>
  <c r="G5" i="36"/>
  <c r="G56" i="36"/>
  <c r="G55" i="36"/>
  <c r="G54" i="36"/>
  <c r="G52" i="36"/>
  <c r="G51" i="36"/>
  <c r="G50" i="36"/>
  <c r="G48" i="36"/>
  <c r="G37" i="36"/>
  <c r="G36" i="36"/>
  <c r="P16" i="35"/>
  <c r="L15" i="30"/>
  <c r="P20" i="30"/>
  <c r="I16" i="30"/>
  <c r="L16" i="30" s="1"/>
  <c r="G35" i="30"/>
  <c r="P34" i="30"/>
  <c r="P33" i="30"/>
  <c r="P32" i="30"/>
  <c r="G30" i="30"/>
  <c r="I18" i="30"/>
  <c r="L18" i="30" s="1"/>
  <c r="G12" i="30"/>
  <c r="I8" i="30"/>
  <c r="L8" i="30" s="1"/>
  <c r="N8" i="30" s="1"/>
  <c r="AN32" i="27"/>
  <c r="AN33" i="27"/>
  <c r="AN24" i="27"/>
  <c r="AN25" i="27"/>
  <c r="AN26" i="27"/>
  <c r="AN27" i="27"/>
  <c r="AN28" i="27"/>
  <c r="AN29" i="27"/>
  <c r="AN30" i="27"/>
  <c r="AN31" i="27"/>
  <c r="AN9" i="27"/>
  <c r="AM34" i="27"/>
  <c r="AM43" i="27" s="1"/>
  <c r="AL34" i="27"/>
  <c r="AL43" i="27" s="1"/>
  <c r="AK34" i="27"/>
  <c r="AK43" i="27" s="1"/>
  <c r="AJ34" i="27"/>
  <c r="AJ43" i="27" s="1"/>
  <c r="AI34" i="27"/>
  <c r="AI43" i="27" s="1"/>
  <c r="AH34" i="27"/>
  <c r="AH43" i="27" s="1"/>
  <c r="AG34" i="27"/>
  <c r="AG43" i="27" s="1"/>
  <c r="AF34" i="27"/>
  <c r="AF43" i="27" s="1"/>
  <c r="AE34" i="27"/>
  <c r="AE43" i="27" s="1"/>
  <c r="AD34" i="27"/>
  <c r="AD43" i="27" s="1"/>
  <c r="AC34" i="27"/>
  <c r="AC43" i="27" s="1"/>
  <c r="AB34" i="27"/>
  <c r="AB43" i="27" s="1"/>
  <c r="AA34" i="27"/>
  <c r="AA43" i="27" s="1"/>
  <c r="Z34" i="27"/>
  <c r="Z43" i="27" s="1"/>
  <c r="Y34" i="27"/>
  <c r="Y43" i="27" s="1"/>
  <c r="X34" i="27"/>
  <c r="X43" i="27" s="1"/>
  <c r="W34" i="27"/>
  <c r="W43" i="27" s="1"/>
  <c r="V34" i="27"/>
  <c r="V43" i="27" s="1"/>
  <c r="U34" i="27"/>
  <c r="U43" i="27" s="1"/>
  <c r="T34" i="27"/>
  <c r="T43" i="27" s="1"/>
  <c r="S34" i="27"/>
  <c r="S43" i="27" s="1"/>
  <c r="R34" i="27"/>
  <c r="R43" i="27" s="1"/>
  <c r="Q34" i="27"/>
  <c r="Q43" i="27" s="1"/>
  <c r="P34" i="27"/>
  <c r="P43" i="27" s="1"/>
  <c r="O34" i="27"/>
  <c r="O43" i="27" s="1"/>
  <c r="N34" i="27"/>
  <c r="N43" i="27" s="1"/>
  <c r="M34" i="27"/>
  <c r="M43" i="27" s="1"/>
  <c r="L34" i="27"/>
  <c r="L43" i="27" s="1"/>
  <c r="K34" i="27"/>
  <c r="K43" i="27" s="1"/>
  <c r="J34" i="27"/>
  <c r="J43" i="27" s="1"/>
  <c r="I34" i="27"/>
  <c r="I43" i="27" s="1"/>
  <c r="H34" i="27"/>
  <c r="H43" i="27" s="1"/>
  <c r="G34" i="27"/>
  <c r="G43" i="27" s="1"/>
  <c r="F34" i="27"/>
  <c r="F43" i="27" s="1"/>
  <c r="E34" i="27"/>
  <c r="E43" i="27" s="1"/>
  <c r="D34" i="27"/>
  <c r="D43" i="27" s="1"/>
  <c r="AN23" i="27"/>
  <c r="AN22" i="27"/>
  <c r="AN21" i="27"/>
  <c r="AN20" i="27"/>
  <c r="AN19" i="27"/>
  <c r="AN18" i="27"/>
  <c r="AN17" i="27"/>
  <c r="AN16" i="27"/>
  <c r="AN15" i="27"/>
  <c r="AN14" i="27"/>
  <c r="AN13" i="27"/>
  <c r="AN12" i="27"/>
  <c r="AN11" i="27"/>
  <c r="AN10" i="27"/>
  <c r="S45" i="27" l="1"/>
  <c r="S47" i="27"/>
  <c r="S46" i="27"/>
  <c r="AG46" i="27"/>
  <c r="AG45" i="27"/>
  <c r="AG47" i="27"/>
  <c r="W46" i="27"/>
  <c r="W47" i="27"/>
  <c r="W45" i="27"/>
  <c r="L47" i="27"/>
  <c r="L46" i="27"/>
  <c r="L45" i="27"/>
  <c r="X46" i="27"/>
  <c r="X45" i="27"/>
  <c r="X47" i="27"/>
  <c r="M45" i="27"/>
  <c r="M46" i="27"/>
  <c r="M47" i="27"/>
  <c r="N46" i="27"/>
  <c r="N45" i="27"/>
  <c r="N47" i="27"/>
  <c r="O47" i="27"/>
  <c r="O45" i="27"/>
  <c r="O46" i="27"/>
  <c r="AA47" i="27"/>
  <c r="AA46" i="27"/>
  <c r="AA45" i="27"/>
  <c r="P46" i="27"/>
  <c r="P47" i="27"/>
  <c r="P45" i="27"/>
  <c r="AB45" i="27"/>
  <c r="AB46" i="27"/>
  <c r="AB47" i="27"/>
  <c r="T47" i="27"/>
  <c r="T45" i="27"/>
  <c r="T46" i="27"/>
  <c r="K45" i="27"/>
  <c r="K46" i="27"/>
  <c r="K47" i="27"/>
  <c r="Q46" i="27"/>
  <c r="Q47" i="27"/>
  <c r="Q45" i="27"/>
  <c r="AC46" i="27"/>
  <c r="AC47" i="27"/>
  <c r="AC45" i="27"/>
  <c r="AE45" i="27"/>
  <c r="AE47" i="27"/>
  <c r="AE46" i="27"/>
  <c r="AF47" i="27"/>
  <c r="AF46" i="27"/>
  <c r="AF45" i="27"/>
  <c r="U46" i="27"/>
  <c r="U45" i="27"/>
  <c r="U47" i="27"/>
  <c r="V47" i="27"/>
  <c r="V45" i="27"/>
  <c r="V46" i="27"/>
  <c r="AH45" i="27"/>
  <c r="AH47" i="27"/>
  <c r="AH46" i="27"/>
  <c r="AI46" i="27"/>
  <c r="AI47" i="27"/>
  <c r="AI45" i="27"/>
  <c r="AJ47" i="27"/>
  <c r="AJ46" i="27"/>
  <c r="AJ45" i="27"/>
  <c r="Y47" i="27"/>
  <c r="Y46" i="27"/>
  <c r="Y45" i="27"/>
  <c r="Z46" i="27"/>
  <c r="Z47" i="27"/>
  <c r="Z45" i="27"/>
  <c r="R47" i="27"/>
  <c r="R46" i="27"/>
  <c r="R45" i="27"/>
  <c r="AD46" i="27"/>
  <c r="AD45" i="27"/>
  <c r="AD47" i="27"/>
  <c r="AN43" i="27"/>
  <c r="H47" i="27"/>
  <c r="H46" i="27"/>
  <c r="H45" i="27"/>
  <c r="I47" i="27"/>
  <c r="I46" i="27"/>
  <c r="I45" i="27"/>
  <c r="E47" i="27"/>
  <c r="E46" i="27"/>
  <c r="E45" i="27"/>
  <c r="AK46" i="27"/>
  <c r="AK45" i="27"/>
  <c r="AK47" i="27"/>
  <c r="J47" i="27"/>
  <c r="J46" i="27"/>
  <c r="J45" i="27"/>
  <c r="F47" i="27"/>
  <c r="F46" i="27"/>
  <c r="F45" i="27"/>
  <c r="AL45" i="27"/>
  <c r="AL47" i="27"/>
  <c r="AL46" i="27"/>
  <c r="P10" i="35"/>
  <c r="R10" i="35" s="1"/>
  <c r="L7" i="35"/>
  <c r="N7" i="35" s="1"/>
  <c r="P9" i="35"/>
  <c r="R9" i="35" s="1"/>
  <c r="L6" i="35"/>
  <c r="N6" i="35" s="1"/>
  <c r="P8" i="35"/>
  <c r="R8" i="35" s="1"/>
  <c r="L5" i="35"/>
  <c r="N5" i="35" s="1"/>
  <c r="P7" i="35"/>
  <c r="R7" i="35" s="1"/>
  <c r="L10" i="35"/>
  <c r="N10" i="35" s="1"/>
  <c r="P6" i="35"/>
  <c r="R6" i="35" s="1"/>
  <c r="P5" i="35"/>
  <c r="R5" i="35" s="1"/>
  <c r="L9" i="35"/>
  <c r="N9" i="35" s="1"/>
  <c r="L8" i="35"/>
  <c r="N8" i="35" s="1"/>
  <c r="G47" i="27"/>
  <c r="G46" i="27"/>
  <c r="G45" i="27"/>
  <c r="AM47" i="27"/>
  <c r="AM46" i="27"/>
  <c r="AM45" i="27"/>
  <c r="D46" i="27"/>
  <c r="D45" i="27"/>
  <c r="D52" i="27" s="1"/>
  <c r="D47" i="27"/>
  <c r="F6" i="35"/>
  <c r="G8" i="22" s="1"/>
  <c r="F23" i="22"/>
  <c r="F24" i="22"/>
  <c r="N17" i="36"/>
  <c r="P32" i="35" s="1"/>
  <c r="P8" i="30"/>
  <c r="I35" i="30"/>
  <c r="L5" i="30"/>
  <c r="K35" i="27"/>
  <c r="H35" i="27"/>
  <c r="G20" i="36"/>
  <c r="V34" i="36"/>
  <c r="F11" i="35" s="1"/>
  <c r="G13" i="22" s="1"/>
  <c r="N33" i="36"/>
  <c r="P37" i="35" s="1"/>
  <c r="N21" i="36"/>
  <c r="P34" i="35" s="1"/>
  <c r="N25" i="36"/>
  <c r="P35" i="35" s="1"/>
  <c r="N10" i="36"/>
  <c r="P31" i="35" s="1"/>
  <c r="G7" i="36"/>
  <c r="P18" i="35" s="1"/>
  <c r="G11" i="36"/>
  <c r="P19" i="35" s="1"/>
  <c r="G16" i="36"/>
  <c r="P20" i="35" s="1"/>
  <c r="G24" i="36"/>
  <c r="G53" i="36"/>
  <c r="P27" i="35" s="1"/>
  <c r="V20" i="36"/>
  <c r="F10" i="35" s="1"/>
  <c r="G57" i="36"/>
  <c r="G49" i="36"/>
  <c r="P26" i="35" s="1"/>
  <c r="G38" i="36"/>
  <c r="P25" i="35" s="1"/>
  <c r="N16" i="30"/>
  <c r="P16" i="30" s="1"/>
  <c r="I30" i="30"/>
  <c r="G36" i="30"/>
  <c r="I12" i="30"/>
  <c r="P29" i="30"/>
  <c r="N7" i="30"/>
  <c r="P7" i="30" s="1"/>
  <c r="N6" i="30"/>
  <c r="P6" i="30" s="1"/>
  <c r="P19" i="30"/>
  <c r="AN34" i="27"/>
  <c r="T35" i="27"/>
  <c r="S44" i="27" s="1"/>
  <c r="AF35" i="27"/>
  <c r="AE44" i="27" s="1"/>
  <c r="W35" i="27"/>
  <c r="V44" i="27" s="1"/>
  <c r="AI35" i="27"/>
  <c r="AH44" i="27" s="1"/>
  <c r="AL35" i="27"/>
  <c r="AK44" i="27" s="1"/>
  <c r="AN35" i="27"/>
  <c r="E35" i="27"/>
  <c r="E44" i="27" s="1"/>
  <c r="Q35" i="27"/>
  <c r="P44" i="27" s="1"/>
  <c r="AC35" i="27"/>
  <c r="AB44" i="27" s="1"/>
  <c r="N35" i="27"/>
  <c r="M44" i="27" s="1"/>
  <c r="Z35" i="27"/>
  <c r="Y44" i="27" s="1"/>
  <c r="L52" i="27" l="1"/>
  <c r="L49" i="27"/>
  <c r="L50" i="27" s="1"/>
  <c r="L51" i="27" s="1"/>
  <c r="O52" i="27"/>
  <c r="O49" i="27"/>
  <c r="O50" i="27" s="1"/>
  <c r="O51" i="27" s="1"/>
  <c r="AH52" i="27"/>
  <c r="AH49" i="27"/>
  <c r="AH50" i="27" s="1"/>
  <c r="AH51" i="27" s="1"/>
  <c r="Y52" i="27"/>
  <c r="Y49" i="27"/>
  <c r="Y50" i="27" s="1"/>
  <c r="Y51" i="27" s="1"/>
  <c r="AC52" i="27"/>
  <c r="AC49" i="27"/>
  <c r="AC50" i="27" s="1"/>
  <c r="AC51" i="27" s="1"/>
  <c r="W52" i="27"/>
  <c r="W49" i="27"/>
  <c r="W50" i="27" s="1"/>
  <c r="W51" i="27" s="1"/>
  <c r="P52" i="27"/>
  <c r="P49" i="27"/>
  <c r="P50" i="27" s="1"/>
  <c r="P51" i="27" s="1"/>
  <c r="AD52" i="27"/>
  <c r="AD49" i="27"/>
  <c r="AD50" i="27" s="1"/>
  <c r="AD51" i="27" s="1"/>
  <c r="AG52" i="27"/>
  <c r="AG49" i="27"/>
  <c r="AG50" i="27" s="1"/>
  <c r="AG51" i="27" s="1"/>
  <c r="M52" i="27"/>
  <c r="M49" i="27"/>
  <c r="M50" i="27" s="1"/>
  <c r="M51" i="27" s="1"/>
  <c r="R52" i="27"/>
  <c r="R49" i="27"/>
  <c r="R50" i="27" s="1"/>
  <c r="R51" i="27" s="1"/>
  <c r="AI52" i="27"/>
  <c r="AI49" i="27"/>
  <c r="AI50" i="27" s="1"/>
  <c r="AI51" i="27" s="1"/>
  <c r="AF52" i="27"/>
  <c r="AF49" i="27"/>
  <c r="AF50" i="27" s="1"/>
  <c r="AF51" i="27" s="1"/>
  <c r="AA52" i="27"/>
  <c r="AA49" i="27"/>
  <c r="AA50" i="27" s="1"/>
  <c r="AA51" i="27" s="1"/>
  <c r="Z52" i="27"/>
  <c r="Z49" i="27"/>
  <c r="Z50" i="27" s="1"/>
  <c r="Z51" i="27" s="1"/>
  <c r="T52" i="27"/>
  <c r="T49" i="27"/>
  <c r="T50" i="27" s="1"/>
  <c r="T51" i="27" s="1"/>
  <c r="AE52" i="27"/>
  <c r="AE49" i="27"/>
  <c r="AE50" i="27" s="1"/>
  <c r="AE51" i="27" s="1"/>
  <c r="V52" i="27"/>
  <c r="V49" i="27"/>
  <c r="V50" i="27" s="1"/>
  <c r="V51" i="27" s="1"/>
  <c r="AB52" i="27"/>
  <c r="AB49" i="27"/>
  <c r="AB50" i="27" s="1"/>
  <c r="AB51" i="27" s="1"/>
  <c r="Q52" i="27"/>
  <c r="Q49" i="27"/>
  <c r="Q50" i="27" s="1"/>
  <c r="Q51" i="27" s="1"/>
  <c r="U52" i="27"/>
  <c r="U49" i="27"/>
  <c r="U50" i="27" s="1"/>
  <c r="U51" i="27" s="1"/>
  <c r="X52" i="27"/>
  <c r="X49" i="27"/>
  <c r="X50" i="27" s="1"/>
  <c r="X51" i="27" s="1"/>
  <c r="N52" i="27"/>
  <c r="N49" i="27"/>
  <c r="N50" i="27" s="1"/>
  <c r="N51" i="27" s="1"/>
  <c r="AJ52" i="27"/>
  <c r="AJ49" i="27"/>
  <c r="AJ50" i="27" s="1"/>
  <c r="AJ51" i="27" s="1"/>
  <c r="K52" i="27"/>
  <c r="K49" i="27"/>
  <c r="K50" i="27" s="1"/>
  <c r="K51" i="27" s="1"/>
  <c r="S52" i="27"/>
  <c r="S49" i="27"/>
  <c r="S50" i="27" s="1"/>
  <c r="S51" i="27" s="1"/>
  <c r="G52" i="27"/>
  <c r="G49" i="27"/>
  <c r="G50" i="27" s="1"/>
  <c r="G51" i="27" s="1"/>
  <c r="AN46" i="27"/>
  <c r="AM52" i="27"/>
  <c r="AM49" i="27"/>
  <c r="AM50" i="27" s="1"/>
  <c r="AM51" i="27" s="1"/>
  <c r="J52" i="27"/>
  <c r="J49" i="27"/>
  <c r="J50" i="27" s="1"/>
  <c r="J51" i="27" s="1"/>
  <c r="I52" i="27"/>
  <c r="I49" i="27"/>
  <c r="I50" i="27" s="1"/>
  <c r="I51" i="27" s="1"/>
  <c r="AL52" i="27"/>
  <c r="AL49" i="27"/>
  <c r="AL50" i="27" s="1"/>
  <c r="AL51" i="27" s="1"/>
  <c r="AK52" i="27"/>
  <c r="AK49" i="27"/>
  <c r="AK50" i="27" s="1"/>
  <c r="AK51" i="27" s="1"/>
  <c r="H52" i="27"/>
  <c r="H49" i="27"/>
  <c r="H50" i="27" s="1"/>
  <c r="H51" i="27" s="1"/>
  <c r="AN47" i="27"/>
  <c r="F52" i="27"/>
  <c r="F49" i="27"/>
  <c r="F50" i="27" s="1"/>
  <c r="F51" i="27" s="1"/>
  <c r="E52" i="27"/>
  <c r="E49" i="27"/>
  <c r="E50" i="27" s="1"/>
  <c r="E51" i="27" s="1"/>
  <c r="G12" i="22"/>
  <c r="F12" i="22" s="1"/>
  <c r="F8" i="22"/>
  <c r="D49" i="27"/>
  <c r="AN45" i="27"/>
  <c r="F13" i="22"/>
  <c r="L30" i="30"/>
  <c r="F14" i="35" s="1"/>
  <c r="G16" i="22" s="1"/>
  <c r="R11" i="35"/>
  <c r="F23" i="35" s="1"/>
  <c r="N5" i="30"/>
  <c r="P5" i="30" s="1"/>
  <c r="P12" i="30" s="1"/>
  <c r="F15" i="35" s="1"/>
  <c r="G17" i="22" s="1"/>
  <c r="N17" i="30"/>
  <c r="P17" i="30" s="1"/>
  <c r="F28" i="22"/>
  <c r="L12" i="30"/>
  <c r="F13" i="35" s="1"/>
  <c r="G15" i="22" s="1"/>
  <c r="J44" i="27"/>
  <c r="G44" i="27"/>
  <c r="P33" i="35"/>
  <c r="P38" i="35" s="1"/>
  <c r="F9" i="35" s="1"/>
  <c r="P23" i="35"/>
  <c r="F7" i="35" s="1"/>
  <c r="G9" i="22" s="1"/>
  <c r="P29" i="35"/>
  <c r="F8" i="35" s="1"/>
  <c r="G10" i="22" s="1"/>
  <c r="I36" i="30"/>
  <c r="N18" i="30"/>
  <c r="P18" i="30" s="1"/>
  <c r="N13" i="30"/>
  <c r="P13" i="30" s="1"/>
  <c r="L35" i="30"/>
  <c r="P31" i="30"/>
  <c r="P35" i="30" s="1"/>
  <c r="F17" i="35" s="1"/>
  <c r="N15" i="30"/>
  <c r="P15" i="30" s="1"/>
  <c r="AN44" i="27" l="1"/>
  <c r="AN49" i="27"/>
  <c r="G25" i="22"/>
  <c r="G19" i="22"/>
  <c r="F19" i="22" s="1"/>
  <c r="G11" i="22"/>
  <c r="F11" i="22" s="1"/>
  <c r="D50" i="27"/>
  <c r="F10" i="22"/>
  <c r="F9" i="22"/>
  <c r="F16" i="22"/>
  <c r="F17" i="22"/>
  <c r="P30" i="30"/>
  <c r="F16" i="35" s="1"/>
  <c r="G18" i="22" s="1"/>
  <c r="F4" i="35"/>
  <c r="F15" i="22"/>
  <c r="L36" i="30"/>
  <c r="K37" i="22"/>
  <c r="F25" i="22" l="1"/>
  <c r="G5" i="22"/>
  <c r="G7" i="22" s="1"/>
  <c r="F7" i="22" s="1"/>
  <c r="D51" i="27"/>
  <c r="AN51" i="27" s="1"/>
  <c r="G33" i="22" s="1"/>
  <c r="AN50" i="27"/>
  <c r="F19" i="35"/>
  <c r="G21" i="22" s="1"/>
  <c r="G22" i="22" s="1"/>
  <c r="F18" i="22"/>
  <c r="F28" i="35"/>
  <c r="G30" i="22" s="1"/>
  <c r="P36" i="30"/>
  <c r="F5" i="22" l="1"/>
  <c r="N37" i="22"/>
  <c r="F33" i="22"/>
  <c r="F30" i="22"/>
  <c r="F29" i="35"/>
  <c r="G31" i="22" s="1"/>
  <c r="G32" i="22" s="1"/>
  <c r="F21" i="22"/>
  <c r="F22" i="22" s="1"/>
  <c r="G37" i="22" l="1"/>
  <c r="F37" i="22" s="1"/>
  <c r="F31" i="22"/>
  <c r="F32" i="22" s="1"/>
  <c r="F30" i="35"/>
  <c r="F20" i="35"/>
  <c r="F34" i="22" l="1"/>
  <c r="F35" i="22" s="1"/>
  <c r="F36" i="22" s="1"/>
  <c r="G34" i="22"/>
  <c r="G35" i="22" s="1"/>
  <c r="F38" i="22" l="1"/>
  <c r="G36" i="22"/>
  <c r="G38" i="22"/>
</calcChain>
</file>

<file path=xl/sharedStrings.xml><?xml version="1.0" encoding="utf-8"?>
<sst xmlns="http://schemas.openxmlformats.org/spreadsheetml/2006/main" count="605" uniqueCount="402">
  <si>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</si>
  <si>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</si>
  <si>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</si>
  <si>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</si>
  <si>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</si>
  <si>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</si>
  <si>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</si>
  <si>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</si>
  <si>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</si>
  <si>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</si>
  <si>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</si>
  <si>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</si>
  <si>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</si>
  <si>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</si>
  <si>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</si>
  <si>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</si>
  <si>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</si>
  <si>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</si>
  <si>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</si>
  <si>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</si>
  <si>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</si>
  <si>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</si>
  <si>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</si>
  <si>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</si>
  <si>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</si>
  <si>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</si>
  <si>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</si>
  <si>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</si>
  <si>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</si>
  <si>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</si>
  <si>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</si>
  <si>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</si>
  <si>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</si>
  <si>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</si>
  <si>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</si>
  <si>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</si>
  <si>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</si>
  <si>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</si>
  <si>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</si>
  <si>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</si>
  <si>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</si>
  <si>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</si>
  <si>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</si>
  <si>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</si>
  <si>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</si>
  <si>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</si>
  <si>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</si>
  <si>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</si>
  <si>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</si>
  <si>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</si>
  <si>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</si>
  <si>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</si>
  <si>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</si>
  <si>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</si>
  <si>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</si>
  <si>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</si>
  <si>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</si>
  <si>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</si>
  <si>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</si>
  <si>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</si>
  <si>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</si>
  <si>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</si>
  <si>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</si>
  <si>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</si>
  <si>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</si>
  <si>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</si>
  <si>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</si>
  <si>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</si>
  <si>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</si>
  <si>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</si>
  <si>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</si>
  <si>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</si>
  <si>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</si>
  <si>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</si>
  <si>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</si>
  <si>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</si>
  <si>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</si>
  <si>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台</t>
    <rPh sb="0" eb="1">
      <t>ダイ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</si>
  <si>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</si>
  <si>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</si>
  <si>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</si>
  <si>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</si>
  <si>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</si>
  <si>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</si>
  <si>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</si>
  <si>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</si>
  <si>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</si>
  <si>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</si>
  <si>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</si>
  <si>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</si>
  <si>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</si>
  <si>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</si>
  <si>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</si>
  <si>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</si>
  <si>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</si>
  <si>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</si>
  <si>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</si>
  <si>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</si>
  <si>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</si>
  <si>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</si>
  <si>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</si>
  <si>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</si>
  <si>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</si>
  <si>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</si>
  <si>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</si>
  <si>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</si>
  <si>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</si>
  <si>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</si>
  <si>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</si>
  <si>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</si>
  <si>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</si>
  <si>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</si>
  <si>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</si>
  <si>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</si>
  <si>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</si>
  <si>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</si>
  <si>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</si>
  <si>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</si>
  <si>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</si>
  <si>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</si>
  <si>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</si>
  <si>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</si>
  <si>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</si>
  <si>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</si>
  <si>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</si>
  <si>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</si>
  <si>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</si>
  <si>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</si>
  <si>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</si>
  <si>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</si>
  <si>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</si>
  <si>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</si>
  <si>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</si>
  <si>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</si>
  <si>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</si>
  <si>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</si>
  <si>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</si>
  <si>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</si>
  <si>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</si>
  <si>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</si>
  <si>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</si>
  <si>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</si>
  <si>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</si>
  <si>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</si>
  <si>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</si>
  <si>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</si>
  <si>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</si>
  <si>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</si>
  <si>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</si>
  <si>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</si>
  <si>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</si>
  <si>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</si>
  <si>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</si>
  <si>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</si>
  <si>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</si>
  <si>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</si>
  <si>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</si>
  <si>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</si>
  <si>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</si>
  <si>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</si>
  <si>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</si>
  <si>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</si>
  <si>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</si>
  <si>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</si>
  <si>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</si>
  <si>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</si>
  <si>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</si>
  <si>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</si>
  <si>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</si>
  <si>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</si>
  <si>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</si>
  <si>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</si>
  <si>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</si>
  <si>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</si>
  <si>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</si>
  <si>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</si>
  <si>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</si>
  <si>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</si>
  <si>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</si>
  <si>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</si>
  <si>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</si>
  <si>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</si>
  <si>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</si>
  <si>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</si>
  <si>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</si>
  <si>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</si>
  <si>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</si>
  <si>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</si>
  <si>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</si>
  <si>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</si>
  <si>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</si>
  <si>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</si>
  <si>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</si>
  <si>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</si>
  <si>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</si>
  <si>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</si>
  <si>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</si>
  <si>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</si>
  <si>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</si>
  <si>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Ｂ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</si>
  <si>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</si>
  <si>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</si>
  <si>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</si>
  <si>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</si>
  <si>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</si>
  <si>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C</t>
    <phoneticPr fontId="4"/>
  </si>
  <si>
    <t>月別平均価格の推移</t>
  </si>
  <si>
    <t>平均</t>
  </si>
  <si>
    <t>平　　均</t>
  </si>
  <si>
    <t>作業場</t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</si>
  <si>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</si>
  <si>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</si>
  <si>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</si>
  <si>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</si>
  <si>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</si>
  <si>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</si>
  <si>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</si>
  <si>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</si>
  <si>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</si>
  <si>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</si>
  <si>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</si>
  <si>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</si>
  <si>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</si>
  <si>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</si>
  <si>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研修費</t>
    <rPh sb="0" eb="3">
      <t>ケンシュウヒ</t>
    </rPh>
    <phoneticPr fontId="4"/>
  </si>
  <si>
    <t>管理雑費</t>
    <rPh sb="0" eb="2">
      <t>カンリ</t>
    </rPh>
    <rPh sb="2" eb="4">
      <t>ザッピ</t>
    </rPh>
    <phoneticPr fontId="4"/>
  </si>
  <si>
    <t>農業経営費</t>
    <rPh sb="0" eb="2">
      <t>ノウギョウ</t>
    </rPh>
    <rPh sb="2" eb="4">
      <t>ケイエイ</t>
    </rPh>
    <rPh sb="4" eb="5">
      <t>ヒ</t>
    </rPh>
    <phoneticPr fontId="4"/>
  </si>
  <si>
    <t>販売費・一般管理費　計　③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</si>
  <si>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雇用労賃　④</t>
    <rPh sb="0" eb="2">
      <t>コヨウ</t>
    </rPh>
    <rPh sb="2" eb="4">
      <t>ロウチン</t>
    </rPh>
    <phoneticPr fontId="4"/>
  </si>
  <si>
    <t>経営費　計　⑤=②+③+④　</t>
    <rPh sb="0" eb="2">
      <t>ケイエイ</t>
    </rPh>
    <rPh sb="2" eb="3">
      <t>ヒ</t>
    </rPh>
    <rPh sb="4" eb="5">
      <t>ケイ</t>
    </rPh>
    <phoneticPr fontId="4"/>
  </si>
  <si>
    <t>雇用労賃=</t>
    <rPh sb="0" eb="2">
      <t>コヨウ</t>
    </rPh>
    <rPh sb="2" eb="4">
      <t>ロウチン</t>
    </rPh>
    <phoneticPr fontId="4"/>
  </si>
  <si>
    <t>円/時間</t>
    <rPh sb="0" eb="1">
      <t>エン</t>
    </rPh>
    <rPh sb="2" eb="4">
      <t>ジカン</t>
    </rPh>
    <phoneticPr fontId="4"/>
  </si>
  <si>
    <t>所　　得　⑥=①-⑤</t>
    <rPh sb="0" eb="1">
      <t>トコロ</t>
    </rPh>
    <rPh sb="3" eb="4">
      <t>エ</t>
    </rPh>
    <phoneticPr fontId="4"/>
  </si>
  <si>
    <t>所　得　率　⑦=⑥÷①</t>
    <rPh sb="0" eb="1">
      <t>トコロ</t>
    </rPh>
    <rPh sb="2" eb="3">
      <t>エ</t>
    </rPh>
    <rPh sb="4" eb="5">
      <t>リツ</t>
    </rPh>
    <phoneticPr fontId="4"/>
  </si>
  <si>
    <t>家族労働時間</t>
    <rPh sb="0" eb="2">
      <t>カゾク</t>
    </rPh>
    <rPh sb="2" eb="4">
      <t>ロウドウ</t>
    </rPh>
    <rPh sb="4" eb="6">
      <t>ジカン</t>
    </rPh>
    <phoneticPr fontId="4"/>
  </si>
  <si>
    <t>時間</t>
    <rPh sb="0" eb="2">
      <t>ジカン</t>
    </rPh>
    <phoneticPr fontId="4"/>
  </si>
  <si>
    <t>雇用労働時間</t>
    <rPh sb="0" eb="2">
      <t>コヨウ</t>
    </rPh>
    <rPh sb="2" eb="4">
      <t>ロウドウ</t>
    </rPh>
    <rPh sb="4" eb="6">
      <t>ジカン</t>
    </rPh>
    <phoneticPr fontId="4"/>
  </si>
  <si>
    <t>所要労働時間　⑧</t>
    <rPh sb="0" eb="2">
      <t>ショヨウ</t>
    </rPh>
    <rPh sb="2" eb="4">
      <t>ロウドウ</t>
    </rPh>
    <rPh sb="4" eb="6">
      <t>ジカン</t>
    </rPh>
    <phoneticPr fontId="4"/>
  </si>
  <si>
    <t>家族労働時間当たり所得　⑨=⑥÷家族労働時間</t>
    <rPh sb="0" eb="2">
      <t>カゾク</t>
    </rPh>
    <rPh sb="2" eb="4">
      <t>ロウドウ</t>
    </rPh>
    <rPh sb="4" eb="6">
      <t>ジカン</t>
    </rPh>
    <rPh sb="6" eb="7">
      <t>ア</t>
    </rPh>
    <rPh sb="9" eb="10">
      <t>ドコロ</t>
    </rPh>
    <rPh sb="10" eb="11">
      <t>エ</t>
    </rPh>
    <rPh sb="16" eb="18">
      <t>カゾク</t>
    </rPh>
    <rPh sb="18" eb="20">
      <t>ロウドウ</t>
    </rPh>
    <rPh sb="20" eb="22">
      <t>ジカン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</si>
  <si>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</si>
  <si>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</si>
  <si>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売上原価（労賃を除く）</t>
    <rPh sb="0" eb="2">
      <t>ウリアゲ</t>
    </rPh>
    <rPh sb="2" eb="4">
      <t>ゲンカ</t>
    </rPh>
    <rPh sb="5" eb="7">
      <t>ロウチン</t>
    </rPh>
    <rPh sb="8" eb="9">
      <t>ノゾ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</si>
  <si>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</si>
  <si>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　　　　　　　　　　　　　　　　　　　　　月
　　　年</t>
    <rPh sb="21" eb="22">
      <t>ツキ</t>
    </rPh>
    <rPh sb="26" eb="27">
      <t>ネン</t>
    </rPh>
    <phoneticPr fontId="4"/>
  </si>
  <si>
    <t>（広島県産）</t>
    <rPh sb="1" eb="5">
      <t>ヒロシマケンサン</t>
    </rPh>
    <phoneticPr fontId="4"/>
  </si>
  <si>
    <t>平成２１年</t>
    <phoneticPr fontId="4"/>
  </si>
  <si>
    <t>平成２２年</t>
    <phoneticPr fontId="4"/>
  </si>
  <si>
    <t>平成２３年</t>
    <phoneticPr fontId="4"/>
  </si>
  <si>
    <t>平成２４年</t>
    <phoneticPr fontId="4"/>
  </si>
  <si>
    <t>平成２５年</t>
    <phoneticPr fontId="4"/>
  </si>
  <si>
    <t>鎌</t>
    <rPh sb="0" eb="1">
      <t>カマ</t>
    </rPh>
    <phoneticPr fontId="4"/>
  </si>
  <si>
    <t>鍬</t>
    <rPh sb="0" eb="1">
      <t>クワ</t>
    </rPh>
    <phoneticPr fontId="4"/>
  </si>
  <si>
    <t>1種類</t>
    <phoneticPr fontId="4"/>
  </si>
  <si>
    <t>耕起・整地（トラクター）</t>
    <rPh sb="0" eb="1">
      <t>タガヤ</t>
    </rPh>
    <rPh sb="1" eb="2">
      <t>オ</t>
    </rPh>
    <rPh sb="3" eb="5">
      <t>セイチ</t>
    </rPh>
    <phoneticPr fontId="4"/>
  </si>
  <si>
    <t>病害虫防除（動力噴霧器）</t>
    <rPh sb="0" eb="3">
      <t>ビョウガイチュウ</t>
    </rPh>
    <rPh sb="3" eb="5">
      <t>ボウジョ</t>
    </rPh>
    <rPh sb="6" eb="8">
      <t>ドウリョク</t>
    </rPh>
    <rPh sb="8" eb="11">
      <t>フンムキ</t>
    </rPh>
    <phoneticPr fontId="4"/>
  </si>
  <si>
    <t>出荷（軽トラック）</t>
    <rPh sb="0" eb="2">
      <t>シュッカ</t>
    </rPh>
    <rPh sb="3" eb="4">
      <t>ケイ</t>
    </rPh>
    <phoneticPr fontId="4"/>
  </si>
  <si>
    <t>収穫・運搬（軽トラック）</t>
    <rPh sb="0" eb="2">
      <t>シュウカク</t>
    </rPh>
    <rPh sb="3" eb="5">
      <t>ウンパン</t>
    </rPh>
    <rPh sb="6" eb="7">
      <t>ケイ</t>
    </rPh>
    <phoneticPr fontId="4"/>
  </si>
  <si>
    <t>2種類</t>
    <phoneticPr fontId="4"/>
  </si>
  <si>
    <t>4作業</t>
    <rPh sb="1" eb="3">
      <t>サギョウ</t>
    </rPh>
    <phoneticPr fontId="4"/>
  </si>
  <si>
    <t>田</t>
    <rPh sb="0" eb="1">
      <t>タ</t>
    </rPh>
    <phoneticPr fontId="4"/>
  </si>
  <si>
    <t>軽トラック</t>
    <rPh sb="0" eb="1">
      <t>ケイ</t>
    </rPh>
    <phoneticPr fontId="4"/>
  </si>
  <si>
    <t>トラクター</t>
    <phoneticPr fontId="4"/>
  </si>
  <si>
    <t>3種類</t>
    <phoneticPr fontId="4"/>
  </si>
  <si>
    <t>作目：</t>
    <phoneticPr fontId="4"/>
  </si>
  <si>
    <t>動力噴霧機</t>
    <rPh sb="0" eb="2">
      <t>ドウリョク</t>
    </rPh>
    <rPh sb="2" eb="4">
      <t>フンム</t>
    </rPh>
    <rPh sb="4" eb="5">
      <t>キ</t>
    </rPh>
    <phoneticPr fontId="4"/>
  </si>
  <si>
    <t>ビニールハウス</t>
  </si>
  <si>
    <t>鉄骨パイプ</t>
  </si>
  <si>
    <t>㎡</t>
    <phoneticPr fontId="4"/>
  </si>
  <si>
    <t>㎡</t>
    <phoneticPr fontId="4"/>
  </si>
  <si>
    <t>トラクター</t>
  </si>
  <si>
    <t>20ps，ロータリー付</t>
  </si>
  <si>
    <t>動力噴霧機</t>
  </si>
  <si>
    <t>可搬式4.5ps</t>
  </si>
  <si>
    <t>皮むき機</t>
  </si>
  <si>
    <t>2.2kw</t>
  </si>
  <si>
    <t>鉄筋，スレート</t>
    <rPh sb="0" eb="2">
      <t>テッキン</t>
    </rPh>
    <phoneticPr fontId="4"/>
  </si>
  <si>
    <t>プレハブ冷蔵庫</t>
    <rPh sb="4" eb="7">
      <t>レイゾウコ</t>
    </rPh>
    <phoneticPr fontId="4"/>
  </si>
  <si>
    <t>坪</t>
    <rPh sb="0" eb="1">
      <t>ツボ</t>
    </rPh>
    <phoneticPr fontId="4"/>
  </si>
  <si>
    <t>軽トラック</t>
    <rPh sb="0" eb="1">
      <t>ケイ</t>
    </rPh>
    <phoneticPr fontId="17"/>
  </si>
  <si>
    <t>台</t>
    <rPh sb="0" eb="1">
      <t>ダイ</t>
    </rPh>
    <phoneticPr fontId="17"/>
  </si>
  <si>
    <t>砂壌土</t>
  </si>
  <si>
    <t>小型機械体系，パイプハウス</t>
  </si>
  <si>
    <t>個選，共販</t>
    <rPh sb="0" eb="1">
      <t>コ</t>
    </rPh>
    <phoneticPr fontId="3"/>
  </si>
  <si>
    <t>５　作業別・旬別作業時間</t>
    <phoneticPr fontId="4"/>
  </si>
  <si>
    <t xml:space="preserve"> </t>
  </si>
  <si>
    <t>ａ</t>
    <phoneticPr fontId="4"/>
  </si>
  <si>
    <t>250ml</t>
  </si>
  <si>
    <t>500ml</t>
  </si>
  <si>
    <t>100g</t>
  </si>
  <si>
    <t>3kg</t>
  </si>
  <si>
    <t>1L</t>
  </si>
  <si>
    <t>堆肥散布（トラクター）</t>
    <rPh sb="0" eb="2">
      <t>タイヒ</t>
    </rPh>
    <rPh sb="2" eb="4">
      <t>サンプ</t>
    </rPh>
    <phoneticPr fontId="4"/>
  </si>
  <si>
    <t>10a機械</t>
    <phoneticPr fontId="4"/>
  </si>
  <si>
    <t>潅水（かん水ポンプ）</t>
    <rPh sb="0" eb="2">
      <t>カンスイ</t>
    </rPh>
    <rPh sb="5" eb="6">
      <t>スイ</t>
    </rPh>
    <phoneticPr fontId="4"/>
  </si>
  <si>
    <t>皮むき（皮むき機）</t>
    <rPh sb="0" eb="1">
      <t>カワ</t>
    </rPh>
    <rPh sb="4" eb="5">
      <t>カワ</t>
    </rPh>
    <rPh sb="7" eb="8">
      <t>キ</t>
    </rPh>
    <phoneticPr fontId="4"/>
  </si>
  <si>
    <t>冷蔵（冷蔵庫）</t>
    <rPh sb="0" eb="2">
      <t>レイゾウ</t>
    </rPh>
    <rPh sb="3" eb="6">
      <t>レイゾウコ</t>
    </rPh>
    <phoneticPr fontId="4"/>
  </si>
  <si>
    <t>ｋｇ</t>
    <phoneticPr fontId="4"/>
  </si>
  <si>
    <t>やさい化成２号</t>
    <rPh sb="3" eb="5">
      <t>カセイ</t>
    </rPh>
    <rPh sb="6" eb="7">
      <t>ゴウ</t>
    </rPh>
    <phoneticPr fontId="4"/>
  </si>
  <si>
    <t>潅水施設</t>
    <phoneticPr fontId="4"/>
  </si>
  <si>
    <t>500ml</t>
    <phoneticPr fontId="4"/>
  </si>
  <si>
    <t>16.5kg</t>
    <phoneticPr fontId="4"/>
  </si>
  <si>
    <t>塩化ビニール</t>
    <rPh sb="0" eb="2">
      <t>エンカ</t>
    </rPh>
    <phoneticPr fontId="4"/>
  </si>
  <si>
    <t>作業場</t>
    <rPh sb="0" eb="2">
      <t>サギョウ</t>
    </rPh>
    <rPh sb="2" eb="3">
      <t>バ</t>
    </rPh>
    <phoneticPr fontId="4"/>
  </si>
  <si>
    <t>ビニールハウス</t>
    <phoneticPr fontId="4"/>
  </si>
  <si>
    <t>4種類</t>
    <phoneticPr fontId="4"/>
  </si>
  <si>
    <t>3作業</t>
    <rPh sb="1" eb="3">
      <t>サギョウ</t>
    </rPh>
    <phoneticPr fontId="4"/>
  </si>
  <si>
    <t>　耕起・整地</t>
    <phoneticPr fontId="4"/>
  </si>
  <si>
    <t>耕起・整地</t>
    <rPh sb="0" eb="2">
      <t>コウキ</t>
    </rPh>
    <rPh sb="3" eb="5">
      <t>セイチ</t>
    </rPh>
    <phoneticPr fontId="4"/>
  </si>
  <si>
    <t>　ハウス管理</t>
    <phoneticPr fontId="4"/>
  </si>
  <si>
    <t>ハウス管理</t>
    <rPh sb="3" eb="5">
      <t>カンリ</t>
    </rPh>
    <phoneticPr fontId="4"/>
  </si>
  <si>
    <t>　潅水,追肥,土寄せ</t>
    <phoneticPr fontId="4"/>
  </si>
  <si>
    <t>　病害虫防除</t>
    <phoneticPr fontId="4"/>
  </si>
  <si>
    <t>病害虫防除</t>
    <rPh sb="0" eb="3">
      <t>ビョウガイチュウ</t>
    </rPh>
    <rPh sb="3" eb="5">
      <t>ボウジョ</t>
    </rPh>
    <phoneticPr fontId="4"/>
  </si>
  <si>
    <t>　収穫・調整</t>
    <phoneticPr fontId="4"/>
  </si>
  <si>
    <t>収穫・調整</t>
    <rPh sb="0" eb="2">
      <t>シュウカク</t>
    </rPh>
    <rPh sb="3" eb="5">
      <t>チョウセイ</t>
    </rPh>
    <phoneticPr fontId="4"/>
  </si>
  <si>
    <t>年間労働時間</t>
    <rPh sb="0" eb="2">
      <t>ネンカン</t>
    </rPh>
    <rPh sb="2" eb="4">
      <t>ロウドウ</t>
    </rPh>
    <rPh sb="4" eb="6">
      <t>ジカン</t>
    </rPh>
    <phoneticPr fontId="4"/>
  </si>
  <si>
    <t>作業場
プレハブ冷蔵庫
皮むき機
軽トラック</t>
    <rPh sb="0" eb="2">
      <t>サギョウ</t>
    </rPh>
    <rPh sb="2" eb="3">
      <t>バ</t>
    </rPh>
    <rPh sb="8" eb="11">
      <t>レイゾウコ</t>
    </rPh>
    <rPh sb="12" eb="13">
      <t>カワ</t>
    </rPh>
    <rPh sb="15" eb="16">
      <t>キ</t>
    </rPh>
    <rPh sb="17" eb="18">
      <t>ケイ</t>
    </rPh>
    <phoneticPr fontId="4"/>
  </si>
  <si>
    <t>播　　種</t>
    <rPh sb="0" eb="1">
      <t>ハリ</t>
    </rPh>
    <rPh sb="3" eb="4">
      <t>タネ</t>
    </rPh>
    <phoneticPr fontId="4"/>
  </si>
  <si>
    <t>管理機</t>
    <rPh sb="0" eb="2">
      <t>カンリ</t>
    </rPh>
    <rPh sb="2" eb="3">
      <t>キ</t>
    </rPh>
    <phoneticPr fontId="4"/>
  </si>
  <si>
    <t>鴨頭ねぎ，パワースリム</t>
    <rPh sb="0" eb="1">
      <t>カモ</t>
    </rPh>
    <rPh sb="1" eb="2">
      <t>アタマ</t>
    </rPh>
    <phoneticPr fontId="3"/>
  </si>
  <si>
    <t>鴨頭ねぎ，パワースリム</t>
    <rPh sb="0" eb="1">
      <t>カモ</t>
    </rPh>
    <rPh sb="1" eb="2">
      <t>トウ</t>
    </rPh>
    <phoneticPr fontId="4"/>
  </si>
  <si>
    <t>播種機</t>
    <rPh sb="0" eb="2">
      <t>ハシュ</t>
    </rPh>
    <rPh sb="2" eb="3">
      <t>キ</t>
    </rPh>
    <phoneticPr fontId="4"/>
  </si>
  <si>
    <t>背負動噴</t>
    <rPh sb="0" eb="2">
      <t>セオ</t>
    </rPh>
    <rPh sb="2" eb="4">
      <t>ドウフン</t>
    </rPh>
    <phoneticPr fontId="4"/>
  </si>
  <si>
    <t>播種</t>
    <rPh sb="0" eb="2">
      <t>ハシュ</t>
    </rPh>
    <phoneticPr fontId="4"/>
  </si>
  <si>
    <t>播種機</t>
    <rPh sb="0" eb="2">
      <t>ハシュ</t>
    </rPh>
    <rPh sb="2" eb="3">
      <t>キ</t>
    </rPh>
    <phoneticPr fontId="4"/>
  </si>
  <si>
    <t>青ネギ（土耕）</t>
    <rPh sb="0" eb="1">
      <t>アオ</t>
    </rPh>
    <rPh sb="4" eb="6">
      <t>ドコウ</t>
    </rPh>
    <phoneticPr fontId="3"/>
  </si>
  <si>
    <t>青ネギ（土耕）</t>
    <rPh sb="0" eb="1">
      <t>アオ</t>
    </rPh>
    <phoneticPr fontId="3"/>
  </si>
  <si>
    <t>青ネギ（土耕）専作</t>
    <rPh sb="0" eb="1">
      <t>アオ</t>
    </rPh>
    <rPh sb="4" eb="6">
      <t>ドコウ</t>
    </rPh>
    <rPh sb="7" eb="8">
      <t>セン</t>
    </rPh>
    <rPh sb="8" eb="9">
      <t>サク</t>
    </rPh>
    <phoneticPr fontId="3"/>
  </si>
  <si>
    <t>３　標準技術（青ネギ（土耕））</t>
    <rPh sb="2" eb="4">
      <t>ヒョウジュン</t>
    </rPh>
    <rPh sb="4" eb="6">
      <t>ギジュツ</t>
    </rPh>
    <rPh sb="7" eb="8">
      <t>アオ</t>
    </rPh>
    <rPh sb="11" eb="13">
      <t>ドコウ</t>
    </rPh>
    <phoneticPr fontId="4"/>
  </si>
  <si>
    <t>９　単価の算出基礎（青ネギ，1kg当たり）</t>
    <rPh sb="2" eb="4">
      <t>タンカ</t>
    </rPh>
    <rPh sb="10" eb="11">
      <t>アオ</t>
    </rPh>
    <phoneticPr fontId="4"/>
  </si>
  <si>
    <t>自走マルチスプレッダ</t>
    <rPh sb="0" eb="2">
      <t>ジソウ</t>
    </rPh>
    <phoneticPr fontId="4"/>
  </si>
  <si>
    <t>自走マルチスプレッダ
トラクター</t>
    <phoneticPr fontId="4"/>
  </si>
  <si>
    <t>○</t>
    <phoneticPr fontId="3"/>
  </si>
  <si>
    <t>○</t>
    <phoneticPr fontId="3"/>
  </si>
  <si>
    <t>2～9月</t>
    <rPh sb="3" eb="4">
      <t>ガツ</t>
    </rPh>
    <phoneticPr fontId="4"/>
  </si>
  <si>
    <t>2～12月</t>
    <rPh sb="4" eb="5">
      <t>ガツ</t>
    </rPh>
    <phoneticPr fontId="4"/>
  </si>
  <si>
    <t>3～12月</t>
    <rPh sb="4" eb="5">
      <t>ガツ</t>
    </rPh>
    <phoneticPr fontId="4"/>
  </si>
  <si>
    <t>5～12月</t>
    <rPh sb="4" eb="5">
      <t>ガツ</t>
    </rPh>
    <phoneticPr fontId="4"/>
  </si>
  <si>
    <t>水田</t>
    <rPh sb="0" eb="2">
      <t>スイデン</t>
    </rPh>
    <phoneticPr fontId="4"/>
  </si>
  <si>
    <t>○</t>
    <phoneticPr fontId="4"/>
  </si>
  <si>
    <t>○</t>
    <phoneticPr fontId="4"/>
  </si>
  <si>
    <t>播種量
1.8～2㍑/10a</t>
    <rPh sb="0" eb="2">
      <t>ハシュ</t>
    </rPh>
    <rPh sb="2" eb="3">
      <t>リョウ</t>
    </rPh>
    <phoneticPr fontId="4"/>
  </si>
  <si>
    <t>（１）10a当たり（栽培面積）</t>
    <rPh sb="6" eb="7">
      <t>ア</t>
    </rPh>
    <rPh sb="10" eb="12">
      <t>サイバイ</t>
    </rPh>
    <rPh sb="12" eb="14">
      <t>メンセキ</t>
    </rPh>
    <phoneticPr fontId="4"/>
  </si>
  <si>
    <t>10-4-9</t>
    <phoneticPr fontId="4"/>
  </si>
  <si>
    <t>やさい化成１号</t>
    <rPh sb="3" eb="5">
      <t>カセイ</t>
    </rPh>
    <rPh sb="6" eb="7">
      <t>ゴウ</t>
    </rPh>
    <phoneticPr fontId="4"/>
  </si>
  <si>
    <t>12-10-11</t>
    <phoneticPr fontId="4"/>
  </si>
  <si>
    <t>潅水</t>
    <rPh sb="0" eb="2">
      <t>カンスイ</t>
    </rPh>
    <phoneticPr fontId="4"/>
  </si>
  <si>
    <t>追肥,土寄せ</t>
    <rPh sb="0" eb="2">
      <t>ツイヒ</t>
    </rPh>
    <rPh sb="3" eb="5">
      <t>ツチヨ</t>
    </rPh>
    <phoneticPr fontId="4"/>
  </si>
  <si>
    <t>潅水施設</t>
    <rPh sb="0" eb="2">
      <t>カンスイ</t>
    </rPh>
    <rPh sb="2" eb="4">
      <t>シセツ</t>
    </rPh>
    <phoneticPr fontId="4"/>
  </si>
  <si>
    <t>（1㍑缶）</t>
    <rPh sb="3" eb="4">
      <t>カン</t>
    </rPh>
    <phoneticPr fontId="4"/>
  </si>
  <si>
    <r>
      <t>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人</t>
    </r>
    <rPh sb="3" eb="4">
      <t>ニン</t>
    </rPh>
    <phoneticPr fontId="3"/>
  </si>
  <si>
    <t>春～冬どり</t>
    <rPh sb="0" eb="1">
      <t>ハル</t>
    </rPh>
    <rPh sb="2" eb="3">
      <t>フユ</t>
    </rPh>
    <phoneticPr fontId="3"/>
  </si>
  <si>
    <t>個別経営体</t>
    <rPh sb="0" eb="2">
      <t>コベツ</t>
    </rPh>
    <rPh sb="2" eb="5">
      <t>ケイエイタイ</t>
    </rPh>
    <phoneticPr fontId="3"/>
  </si>
  <si>
    <t>ハウス</t>
    <phoneticPr fontId="4"/>
  </si>
  <si>
    <t>８　経費の算出基礎（青ネギ（土耕），10a当たり）</t>
    <rPh sb="2" eb="4">
      <t>ケイヒ</t>
    </rPh>
    <rPh sb="5" eb="7">
      <t>サンシュツ</t>
    </rPh>
    <rPh sb="7" eb="9">
      <t>キソ</t>
    </rPh>
    <rPh sb="10" eb="11">
      <t>アオ</t>
    </rPh>
    <rPh sb="14" eb="16">
      <t>ドコウ</t>
    </rPh>
    <rPh sb="21" eb="22">
      <t>ア</t>
    </rPh>
    <phoneticPr fontId="4"/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</si>
  <si>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</si>
  <si>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７　経営収支（青ネギ（土耕）部門，10a当たり）</t>
    <rPh sb="7" eb="8">
      <t>アオ</t>
    </rPh>
    <rPh sb="11" eb="13">
      <t>ドコウ</t>
    </rPh>
    <rPh sb="14" eb="16">
      <t>ブモン</t>
    </rPh>
    <rPh sb="20" eb="21">
      <t>ア</t>
    </rPh>
    <phoneticPr fontId="4"/>
  </si>
  <si>
    <t>畦立（トラクター）</t>
    <rPh sb="0" eb="1">
      <t>ウネ</t>
    </rPh>
    <rPh sb="1" eb="2">
      <t>タ</t>
    </rPh>
    <phoneticPr fontId="4"/>
  </si>
  <si>
    <t>※（販売量×28.7円）</t>
    <rPh sb="2" eb="4">
      <t>ハンバイ</t>
    </rPh>
    <rPh sb="4" eb="5">
      <t>リョウ</t>
    </rPh>
    <rPh sb="10" eb="11">
      <t>エン</t>
    </rPh>
    <phoneticPr fontId="4"/>
  </si>
  <si>
    <t>※（販売量×20円）</t>
    <rPh sb="2" eb="4">
      <t>ハンバイ</t>
    </rPh>
    <rPh sb="4" eb="5">
      <t>リョウ</t>
    </rPh>
    <rPh sb="8" eb="9">
      <t>エン</t>
    </rPh>
    <phoneticPr fontId="4"/>
  </si>
  <si>
    <t>※（販売額×11.5％）</t>
    <rPh sb="2" eb="4">
      <t>ハンバイ</t>
    </rPh>
    <rPh sb="4" eb="5">
      <t>ガク</t>
    </rPh>
    <phoneticPr fontId="4"/>
  </si>
  <si>
    <t>ℓ・kw／時</t>
    <rPh sb="5" eb="6">
      <t>ジ</t>
    </rPh>
    <phoneticPr fontId="4"/>
  </si>
  <si>
    <t>丁</t>
    <rPh sb="0" eb="1">
      <t>チョウ</t>
    </rPh>
    <phoneticPr fontId="4"/>
  </si>
  <si>
    <t>1作業</t>
    <rPh sb="1" eb="3">
      <t>サギョウ</t>
    </rPh>
    <phoneticPr fontId="4"/>
  </si>
  <si>
    <t>堆肥　４ｔ
土壌改良材　80㎏
やさい化成1号　50㎏</t>
    <rPh sb="0" eb="2">
      <t>タイヒ</t>
    </rPh>
    <rPh sb="6" eb="8">
      <t>ドジョウ</t>
    </rPh>
    <rPh sb="8" eb="10">
      <t>カイリョウ</t>
    </rPh>
    <rPh sb="10" eb="11">
      <t>ザイ</t>
    </rPh>
    <rPh sb="19" eb="21">
      <t>カセイ</t>
    </rPh>
    <rPh sb="22" eb="23">
      <t>ゴウ</t>
    </rPh>
    <phoneticPr fontId="4"/>
  </si>
  <si>
    <t>種子</t>
    <rPh sb="0" eb="2">
      <t>シュシ</t>
    </rPh>
    <phoneticPr fontId="4"/>
  </si>
  <si>
    <t>右表（粗収益の算出）土耕ねぎ単価使用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10" eb="11">
      <t>ド</t>
    </rPh>
    <rPh sb="11" eb="12">
      <t>コウ</t>
    </rPh>
    <rPh sb="14" eb="16">
      <t>タンカ</t>
    </rPh>
    <rPh sb="16" eb="18">
      <t>シヨウ</t>
    </rPh>
    <phoneticPr fontId="4"/>
  </si>
  <si>
    <t>中部
北部</t>
    <rPh sb="0" eb="2">
      <t>チュウブ</t>
    </rPh>
    <rPh sb="3" eb="5">
      <t>ホクブ</t>
    </rPh>
    <phoneticPr fontId="3"/>
  </si>
  <si>
    <t>○：播種　△：仮植　×：定植　■：収穫</t>
    <rPh sb="17" eb="19">
      <t>シュウカク</t>
    </rPh>
    <phoneticPr fontId="4"/>
  </si>
  <si>
    <t>ハウス，年2.5作</t>
    <rPh sb="4" eb="5">
      <t>ネン</t>
    </rPh>
    <rPh sb="8" eb="9">
      <t>サク</t>
    </rPh>
    <phoneticPr fontId="3"/>
  </si>
  <si>
    <t>自家労力（2.5人）</t>
    <rPh sb="0" eb="2">
      <t>ジカ</t>
    </rPh>
    <rPh sb="8" eb="9">
      <t>ニン</t>
    </rPh>
    <phoneticPr fontId="3"/>
  </si>
  <si>
    <r>
      <t>自家労力を中心とした経営で，極寒期を除いて年2</t>
    </r>
    <r>
      <rPr>
        <sz val="11"/>
        <rFont val="ＭＳ Ｐゴシック"/>
        <family val="3"/>
        <charset val="128"/>
      </rPr>
      <t>.5</t>
    </r>
    <r>
      <rPr>
        <sz val="11"/>
        <rFont val="ＭＳ Ｐゴシック"/>
        <family val="3"/>
        <charset val="128"/>
      </rPr>
      <t>作栽培する。</t>
    </r>
    <rPh sb="0" eb="2">
      <t>ジカ</t>
    </rPh>
    <rPh sb="2" eb="4">
      <t>ロウリョク</t>
    </rPh>
    <rPh sb="5" eb="7">
      <t>チュウシン</t>
    </rPh>
    <rPh sb="10" eb="12">
      <t>ケイエイ</t>
    </rPh>
    <rPh sb="14" eb="16">
      <t>ゴッカン</t>
    </rPh>
    <rPh sb="16" eb="17">
      <t>キ</t>
    </rPh>
    <rPh sb="18" eb="19">
      <t>ノゾ</t>
    </rPh>
    <rPh sb="21" eb="22">
      <t>ネン</t>
    </rPh>
    <rPh sb="25" eb="26">
      <t>サク</t>
    </rPh>
    <rPh sb="26" eb="28">
      <t>サイバイ</t>
    </rPh>
    <phoneticPr fontId="3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</si>
  <si>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</si>
  <si>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</si>
  <si>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</si>
  <si>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 xml:space="preserve">
堆肥，土壌改良材，肥料等を施用。ロータリーで深く耕し整地する。</t>
    <rPh sb="1" eb="3">
      <t>タイヒ</t>
    </rPh>
    <rPh sb="4" eb="6">
      <t>ドジョウ</t>
    </rPh>
    <rPh sb="6" eb="8">
      <t>カイリョウ</t>
    </rPh>
    <rPh sb="8" eb="9">
      <t>ザイ</t>
    </rPh>
    <rPh sb="10" eb="12">
      <t>ヒリョウ</t>
    </rPh>
    <rPh sb="12" eb="13">
      <t>トウ</t>
    </rPh>
    <rPh sb="14" eb="16">
      <t>セヨウ</t>
    </rPh>
    <rPh sb="23" eb="24">
      <t>フカ</t>
    </rPh>
    <rPh sb="25" eb="26">
      <t>タガヤ</t>
    </rPh>
    <rPh sb="27" eb="29">
      <t>セイチ</t>
    </rPh>
    <phoneticPr fontId="4"/>
  </si>
  <si>
    <t xml:space="preserve">
株間1cm，条間40～45cmになるように播種する。</t>
    <rPh sb="1" eb="2">
      <t>カブ</t>
    </rPh>
    <rPh sb="2" eb="3">
      <t>マ</t>
    </rPh>
    <rPh sb="7" eb="9">
      <t>ジョウカン</t>
    </rPh>
    <rPh sb="22" eb="24">
      <t>ハシュ</t>
    </rPh>
    <phoneticPr fontId="4"/>
  </si>
  <si>
    <t xml:space="preserve">
夏場は，30℃以下，冬場は5℃以上を目標に管理する。</t>
    <rPh sb="1" eb="3">
      <t>ナツバ</t>
    </rPh>
    <rPh sb="8" eb="10">
      <t>イカ</t>
    </rPh>
    <rPh sb="11" eb="13">
      <t>フユバ</t>
    </rPh>
    <rPh sb="15" eb="18">
      <t>ドイジョウ</t>
    </rPh>
    <rPh sb="19" eb="21">
      <t>モクヒョウ</t>
    </rPh>
    <rPh sb="22" eb="24">
      <t>カンリ</t>
    </rPh>
    <phoneticPr fontId="4"/>
  </si>
  <si>
    <t xml:space="preserve">
高温期は毎日，春秋で3～4日おき，冬期　で7～10日間隔とする。</t>
    <rPh sb="1" eb="4">
      <t>コウオンキ</t>
    </rPh>
    <rPh sb="5" eb="7">
      <t>マイニチ</t>
    </rPh>
    <rPh sb="8" eb="10">
      <t>シュンジュウ</t>
    </rPh>
    <rPh sb="14" eb="15">
      <t>ニチ</t>
    </rPh>
    <rPh sb="18" eb="20">
      <t>トウキ</t>
    </rPh>
    <rPh sb="26" eb="27">
      <t>カ</t>
    </rPh>
    <rPh sb="27" eb="29">
      <t>カンカク</t>
    </rPh>
    <phoneticPr fontId="4"/>
  </si>
  <si>
    <t xml:space="preserve">
追肥・土寄せは生育を見ながら2～3回行う。</t>
    <rPh sb="1" eb="3">
      <t>ツイヒ</t>
    </rPh>
    <rPh sb="4" eb="6">
      <t>ツチヨ</t>
    </rPh>
    <rPh sb="8" eb="10">
      <t>セイイク</t>
    </rPh>
    <rPh sb="11" eb="12">
      <t>ミ</t>
    </rPh>
    <rPh sb="18" eb="19">
      <t>カイ</t>
    </rPh>
    <rPh sb="19" eb="20">
      <t>オコナ</t>
    </rPh>
    <phoneticPr fontId="4"/>
  </si>
  <si>
    <t xml:space="preserve">
定期的に防除する。</t>
    <rPh sb="1" eb="4">
      <t>テイキテキ</t>
    </rPh>
    <rPh sb="5" eb="7">
      <t>ボウジョ</t>
    </rPh>
    <phoneticPr fontId="4"/>
  </si>
  <si>
    <t xml:space="preserve">
出荷適期（草丈45cm）に達したものを順次収穫する。</t>
    <rPh sb="1" eb="3">
      <t>シュッカ</t>
    </rPh>
    <rPh sb="3" eb="5">
      <t>テッキ</t>
    </rPh>
    <rPh sb="14" eb="15">
      <t>タッ</t>
    </rPh>
    <phoneticPr fontId="4"/>
  </si>
  <si>
    <t xml:space="preserve">
ねぎの根は浅根性で酸素要求量が多く，根域を深く広く広げられるような土壌物理性が求められる。土壌pHは6～7がよい。</t>
    <rPh sb="4" eb="5">
      <t>ネ</t>
    </rPh>
    <rPh sb="6" eb="7">
      <t>アサ</t>
    </rPh>
    <rPh sb="7" eb="8">
      <t>コン</t>
    </rPh>
    <rPh sb="8" eb="9">
      <t>セイ</t>
    </rPh>
    <rPh sb="10" eb="12">
      <t>サンソ</t>
    </rPh>
    <rPh sb="12" eb="15">
      <t>ヨウキュウリョウ</t>
    </rPh>
    <rPh sb="16" eb="17">
      <t>オオ</t>
    </rPh>
    <rPh sb="19" eb="20">
      <t>コン</t>
    </rPh>
    <rPh sb="20" eb="21">
      <t>イキ</t>
    </rPh>
    <rPh sb="22" eb="23">
      <t>フカ</t>
    </rPh>
    <rPh sb="24" eb="25">
      <t>ヒロ</t>
    </rPh>
    <rPh sb="26" eb="27">
      <t>ヒロ</t>
    </rPh>
    <rPh sb="34" eb="36">
      <t>ドジョウ</t>
    </rPh>
    <rPh sb="36" eb="39">
      <t>ブツリセイ</t>
    </rPh>
    <rPh sb="40" eb="41">
      <t>モト</t>
    </rPh>
    <rPh sb="46" eb="48">
      <t>ドジョウ</t>
    </rPh>
    <phoneticPr fontId="4"/>
  </si>
  <si>
    <t xml:space="preserve">
発芽適温は15～25℃で，10℃以下では発芽遅延，30℃以上の高温では発芽率の低下や立ち枯れ病等の病害が多発する。</t>
    <rPh sb="1" eb="3">
      <t>ハツガ</t>
    </rPh>
    <rPh sb="3" eb="5">
      <t>テキオン</t>
    </rPh>
    <rPh sb="17" eb="19">
      <t>イカ</t>
    </rPh>
    <rPh sb="21" eb="23">
      <t>ハツガ</t>
    </rPh>
    <rPh sb="23" eb="25">
      <t>チエン</t>
    </rPh>
    <rPh sb="29" eb="31">
      <t>イジョウ</t>
    </rPh>
    <rPh sb="32" eb="34">
      <t>コウオン</t>
    </rPh>
    <rPh sb="36" eb="38">
      <t>ハツガ</t>
    </rPh>
    <rPh sb="38" eb="39">
      <t>リツ</t>
    </rPh>
    <rPh sb="40" eb="42">
      <t>テイカ</t>
    </rPh>
    <rPh sb="43" eb="44">
      <t>タ</t>
    </rPh>
    <rPh sb="45" eb="46">
      <t>ガ</t>
    </rPh>
    <rPh sb="47" eb="48">
      <t>ビョウ</t>
    </rPh>
    <rPh sb="48" eb="49">
      <t>トウ</t>
    </rPh>
    <rPh sb="50" eb="52">
      <t>ビョウガイ</t>
    </rPh>
    <rPh sb="53" eb="55">
      <t>タハツ</t>
    </rPh>
    <phoneticPr fontId="4"/>
  </si>
  <si>
    <t xml:space="preserve">
生育適温は15～20℃の比較的冷涼な気候を好む。冬期は最低5℃以上に保温する。</t>
    <rPh sb="1" eb="3">
      <t>セイイク</t>
    </rPh>
    <rPh sb="3" eb="5">
      <t>テキオン</t>
    </rPh>
    <rPh sb="13" eb="16">
      <t>ヒカクテキ</t>
    </rPh>
    <rPh sb="16" eb="18">
      <t>レイリョウ</t>
    </rPh>
    <rPh sb="19" eb="21">
      <t>キコウ</t>
    </rPh>
    <rPh sb="22" eb="23">
      <t>コノ</t>
    </rPh>
    <rPh sb="25" eb="27">
      <t>トウキ</t>
    </rPh>
    <rPh sb="28" eb="30">
      <t>サイテイ</t>
    </rPh>
    <rPh sb="32" eb="34">
      <t>イジョウ</t>
    </rPh>
    <rPh sb="35" eb="37">
      <t>ホオン</t>
    </rPh>
    <phoneticPr fontId="4"/>
  </si>
  <si>
    <t xml:space="preserve">
1回の潅水量を多めにして間隔をあける。</t>
    <rPh sb="2" eb="3">
      <t>カイ</t>
    </rPh>
    <rPh sb="4" eb="6">
      <t>カンスイ</t>
    </rPh>
    <rPh sb="6" eb="7">
      <t>リョウ</t>
    </rPh>
    <rPh sb="8" eb="9">
      <t>オオ</t>
    </rPh>
    <rPh sb="13" eb="15">
      <t>カンカク</t>
    </rPh>
    <phoneticPr fontId="4"/>
  </si>
  <si>
    <t xml:space="preserve">
土寄せは5～6cm位の厚さを目安とし，厚すぎると白い部分が長くなったり，断根し葉先が枯れることがある。</t>
    <rPh sb="1" eb="3">
      <t>ツチヨ</t>
    </rPh>
    <rPh sb="10" eb="11">
      <t>グライ</t>
    </rPh>
    <rPh sb="12" eb="13">
      <t>アツ</t>
    </rPh>
    <rPh sb="15" eb="17">
      <t>メヤス</t>
    </rPh>
    <rPh sb="20" eb="21">
      <t>アツ</t>
    </rPh>
    <rPh sb="25" eb="26">
      <t>シロ</t>
    </rPh>
    <rPh sb="27" eb="29">
      <t>ブブン</t>
    </rPh>
    <rPh sb="30" eb="31">
      <t>ナガ</t>
    </rPh>
    <rPh sb="37" eb="38">
      <t>ダン</t>
    </rPh>
    <rPh sb="38" eb="39">
      <t>コン</t>
    </rPh>
    <rPh sb="40" eb="41">
      <t>ハ</t>
    </rPh>
    <rPh sb="41" eb="42">
      <t>サキ</t>
    </rPh>
    <rPh sb="43" eb="44">
      <t>ガ</t>
    </rPh>
    <phoneticPr fontId="4"/>
  </si>
  <si>
    <t xml:space="preserve">
早期発見，早期防除，適量散布，薬剤の交互使用に努め，冬期でも換気によりハウス内湿度を下げるように努める。
薬剤散布時は必ず展着剤を添加し，十分な液量（200㍑/10a）を散布する。</t>
    <rPh sb="1" eb="3">
      <t>ソウキ</t>
    </rPh>
    <rPh sb="3" eb="5">
      <t>ハッケン</t>
    </rPh>
    <rPh sb="6" eb="8">
      <t>ソウキ</t>
    </rPh>
    <rPh sb="8" eb="10">
      <t>ボウジョ</t>
    </rPh>
    <rPh sb="11" eb="13">
      <t>テキリョウ</t>
    </rPh>
    <rPh sb="13" eb="15">
      <t>サンプ</t>
    </rPh>
    <rPh sb="16" eb="18">
      <t>ヤクザイ</t>
    </rPh>
    <rPh sb="19" eb="21">
      <t>コウゴ</t>
    </rPh>
    <rPh sb="21" eb="23">
      <t>シヨウ</t>
    </rPh>
    <rPh sb="24" eb="25">
      <t>ツト</t>
    </rPh>
    <rPh sb="27" eb="29">
      <t>トウキ</t>
    </rPh>
    <rPh sb="31" eb="33">
      <t>カンキ</t>
    </rPh>
    <rPh sb="39" eb="40">
      <t>ナイ</t>
    </rPh>
    <rPh sb="40" eb="42">
      <t>シツド</t>
    </rPh>
    <rPh sb="43" eb="44">
      <t>サ</t>
    </rPh>
    <rPh sb="49" eb="50">
      <t>ツト</t>
    </rPh>
    <rPh sb="54" eb="56">
      <t>ヤクザイ</t>
    </rPh>
    <rPh sb="56" eb="58">
      <t>サンプ</t>
    </rPh>
    <rPh sb="58" eb="59">
      <t>ジ</t>
    </rPh>
    <rPh sb="60" eb="61">
      <t>カナラ</t>
    </rPh>
    <rPh sb="62" eb="65">
      <t>テンチャクザイ</t>
    </rPh>
    <rPh sb="66" eb="68">
      <t>テンカ</t>
    </rPh>
    <rPh sb="70" eb="72">
      <t>ジュウブン</t>
    </rPh>
    <rPh sb="73" eb="74">
      <t>エキ</t>
    </rPh>
    <rPh sb="74" eb="75">
      <t>リョウ</t>
    </rPh>
    <rPh sb="86" eb="88">
      <t>サンプ</t>
    </rPh>
    <phoneticPr fontId="4"/>
  </si>
  <si>
    <t xml:space="preserve">
品質保持のために収穫は涼しいうちに行う。</t>
    <rPh sb="1" eb="3">
      <t>ヒンシツ</t>
    </rPh>
    <rPh sb="3" eb="5">
      <t>ホジ</t>
    </rPh>
    <rPh sb="9" eb="11">
      <t>シュウカク</t>
    </rPh>
    <rPh sb="12" eb="13">
      <t>スズ</t>
    </rPh>
    <rPh sb="18" eb="19">
      <t>オコナ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</si>
  <si>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</si>
  <si>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</si>
  <si>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</si>
  <si>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やさい化成2号
35㎏/回</t>
    <rPh sb="3" eb="5">
      <t>カセイ</t>
    </rPh>
    <rPh sb="6" eb="7">
      <t>ゴウ</t>
    </rPh>
    <rPh sb="12" eb="13">
      <t>カイ</t>
    </rPh>
    <phoneticPr fontId="4"/>
  </si>
  <si>
    <t>A</t>
    <phoneticPr fontId="4"/>
  </si>
  <si>
    <t>B</t>
    <phoneticPr fontId="4"/>
  </si>
  <si>
    <t>A</t>
    <phoneticPr fontId="4"/>
  </si>
  <si>
    <t>B</t>
    <phoneticPr fontId="4"/>
  </si>
  <si>
    <t>C</t>
    <phoneticPr fontId="4"/>
  </si>
  <si>
    <t>A</t>
    <phoneticPr fontId="4"/>
  </si>
  <si>
    <t>D</t>
    <phoneticPr fontId="4"/>
  </si>
  <si>
    <t>A</t>
    <phoneticPr fontId="4"/>
  </si>
  <si>
    <t>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</si>
</sst>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  <numFmt numFmtId="186" formatCode="#,##0_ ;[Red]\-#,##0\ "/>
    <numFmt numFmtId="187" formatCode="#,##0.00;&quot;▲ &quot;#,##0.00"/>
    <numFmt numFmtId="188" formatCode="General&quot;ａ&quot;"/>
    <numFmt numFmtId="189" formatCode="&quot;10a/&quot;00&quot;a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rgb="FF92D05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258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double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32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7" fontId="7" fillId="0" borderId="0" xfId="0" applyNumberFormat="1" applyFont="1">
      <alignment vertical="center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38" fontId="0" fillId="0" borderId="0" xfId="1" applyFont="1" applyAlignment="1">
      <alignment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0" fontId="0" fillId="0" borderId="66" xfId="0" applyBorder="1">
      <alignment vertical="center"/>
    </xf>
    <xf numFmtId="181" fontId="0" fillId="0" borderId="38" xfId="0" applyNumberFormat="1" applyBorder="1" applyAlignment="1">
      <alignment horizontal="right" vertical="center"/>
    </xf>
    <xf numFmtId="0" fontId="0" fillId="0" borderId="34" xfId="0" applyBorder="1">
      <alignment vertical="center"/>
    </xf>
    <xf numFmtId="0" fontId="0" fillId="0" borderId="41" xfId="0" applyBorder="1">
      <alignment vertical="center"/>
    </xf>
    <xf numFmtId="181" fontId="0" fillId="0" borderId="41" xfId="0" applyNumberFormat="1" applyBorder="1" applyAlignment="1">
      <alignment horizontal="right" vertical="center"/>
    </xf>
    <xf numFmtId="181" fontId="0" fillId="3" borderId="41" xfId="0" applyNumberFormat="1" applyFill="1" applyBorder="1" applyAlignment="1">
      <alignment horizontal="right" vertical="center"/>
    </xf>
    <xf numFmtId="181" fontId="0" fillId="3" borderId="43" xfId="0" applyNumberFormat="1" applyFill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0" fillId="0" borderId="34" xfId="0" applyNumberFormat="1" applyBorder="1" applyAlignment="1">
      <alignment horizontal="right" vertical="center"/>
    </xf>
    <xf numFmtId="0" fontId="9" fillId="0" borderId="41" xfId="0" applyFont="1" applyBorder="1">
      <alignment vertical="center"/>
    </xf>
    <xf numFmtId="176" fontId="0" fillId="0" borderId="1" xfId="0" applyNumberFormat="1" applyBorder="1" applyAlignment="1">
      <alignment vertical="center" shrinkToFit="1"/>
    </xf>
    <xf numFmtId="17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9" fontId="0" fillId="0" borderId="73" xfId="0" applyNumberFormat="1" applyBorder="1" applyAlignment="1">
      <alignment horizontal="center" vertical="center" shrinkToFit="1"/>
    </xf>
    <xf numFmtId="176" fontId="0" fillId="0" borderId="89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vertical="center" shrinkToFit="1"/>
    </xf>
    <xf numFmtId="176" fontId="0" fillId="2" borderId="1" xfId="0" applyNumberFormat="1" applyFill="1" applyBorder="1" applyAlignment="1">
      <alignment horizontal="left" vertical="center" shrinkToFit="1"/>
    </xf>
    <xf numFmtId="179" fontId="0" fillId="2" borderId="1" xfId="0" applyNumberForma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ill="1" applyBorder="1" applyAlignment="1">
      <alignment vertical="center" shrinkToFit="1"/>
    </xf>
    <xf numFmtId="176" fontId="0" fillId="0" borderId="84" xfId="0" applyNumberFormat="1" applyBorder="1" applyAlignment="1">
      <alignment horizontal="center" vertical="center" shrinkToFit="1"/>
    </xf>
    <xf numFmtId="176" fontId="0" fillId="0" borderId="85" xfId="0" applyNumberFormat="1" applyBorder="1" applyAlignment="1">
      <alignment vertical="center" shrinkToFit="1"/>
    </xf>
    <xf numFmtId="176" fontId="0" fillId="0" borderId="19" xfId="0" applyNumberFormat="1" applyBorder="1" applyAlignment="1">
      <alignment vertical="center" shrinkToFit="1"/>
    </xf>
    <xf numFmtId="176" fontId="0" fillId="0" borderId="19" xfId="0" applyNumberFormat="1" applyBorder="1" applyAlignment="1">
      <alignment horizontal="left" vertical="center" shrinkToFit="1"/>
    </xf>
    <xf numFmtId="179" fontId="0" fillId="0" borderId="19" xfId="0" applyNumberForma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176" fontId="0" fillId="0" borderId="70" xfId="0" applyNumberFormat="1" applyBorder="1" applyAlignment="1">
      <alignment horizontal="center" vertical="center"/>
    </xf>
    <xf numFmtId="176" fontId="0" fillId="0" borderId="6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60" xfId="0" applyNumberFormat="1" applyBorder="1">
      <alignment vertical="center"/>
    </xf>
    <xf numFmtId="179" fontId="0" fillId="0" borderId="1" xfId="0" applyNumberFormat="1" applyBorder="1" applyAlignment="1">
      <alignment vertical="center" shrinkToFit="1"/>
    </xf>
    <xf numFmtId="179" fontId="0" fillId="0" borderId="69" xfId="0" applyNumberFormat="1" applyBorder="1" applyAlignment="1">
      <alignment vertical="center" shrinkToFit="1"/>
    </xf>
    <xf numFmtId="179" fontId="0" fillId="0" borderId="2" xfId="0" applyNumberFormat="1" applyBorder="1" applyAlignment="1">
      <alignment vertical="center" shrinkToFit="1"/>
    </xf>
    <xf numFmtId="179" fontId="0" fillId="0" borderId="70" xfId="0" applyNumberFormat="1" applyBorder="1" applyAlignment="1">
      <alignment vertical="center" shrinkToFit="1"/>
    </xf>
    <xf numFmtId="179" fontId="0" fillId="0" borderId="8" xfId="0" applyNumberFormat="1" applyBorder="1" applyAlignment="1">
      <alignment vertical="center" shrinkToFit="1"/>
    </xf>
    <xf numFmtId="179" fontId="0" fillId="0" borderId="18" xfId="0" applyNumberFormat="1" applyBorder="1" applyAlignment="1">
      <alignment vertical="center" shrinkToFit="1"/>
    </xf>
    <xf numFmtId="179" fontId="0" fillId="0" borderId="72" xfId="0" applyNumberFormat="1" applyBorder="1" applyAlignment="1">
      <alignment vertical="center" shrinkToFit="1"/>
    </xf>
    <xf numFmtId="0" fontId="1" fillId="0" borderId="0" xfId="2" applyAlignment="1">
      <alignment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/>
    </xf>
    <xf numFmtId="0" fontId="11" fillId="0" borderId="0" xfId="2" applyFont="1" applyAlignment="1">
      <alignment horizontal="justify"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8" fillId="0" borderId="23" xfId="2" applyFont="1" applyBorder="1" applyAlignment="1">
      <alignment horizontal="right" vertical="center" wrapText="1"/>
    </xf>
    <xf numFmtId="0" fontId="1" fillId="0" borderId="114" xfId="2" applyBorder="1" applyAlignment="1">
      <alignment horizontal="center" vertical="center" wrapText="1"/>
    </xf>
    <xf numFmtId="0" fontId="1" fillId="0" borderId="28" xfId="2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Alignment="1">
      <alignment vertical="center" wrapText="1"/>
    </xf>
    <xf numFmtId="177" fontId="0" fillId="0" borderId="0" xfId="0" applyNumberFormat="1" applyAlignment="1">
      <alignment horizontal="right" vertical="center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 applyAlignment="1">
      <alignment horizontal="center" vertical="center"/>
    </xf>
    <xf numFmtId="177" fontId="0" fillId="0" borderId="1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77" fontId="0" fillId="2" borderId="10" xfId="0" applyNumberFormat="1" applyFill="1" applyBorder="1" applyAlignment="1">
      <alignment horizontal="center" vertical="center" shrinkToFit="1"/>
    </xf>
    <xf numFmtId="177" fontId="0" fillId="2" borderId="109" xfId="0" applyNumberFormat="1" applyFill="1" applyBorder="1" applyAlignment="1">
      <alignment vertical="center" shrinkToFit="1"/>
    </xf>
    <xf numFmtId="178" fontId="0" fillId="2" borderId="109" xfId="0" applyNumberFormat="1" applyFill="1" applyBorder="1" applyAlignment="1">
      <alignment vertical="center" shrinkToFit="1"/>
    </xf>
    <xf numFmtId="177" fontId="0" fillId="2" borderId="17" xfId="0" applyNumberFormat="1" applyFill="1" applyBorder="1">
      <alignment vertical="center"/>
    </xf>
    <xf numFmtId="177" fontId="0" fillId="2" borderId="11" xfId="0" applyNumberFormat="1" applyFill="1" applyBorder="1">
      <alignment vertical="center"/>
    </xf>
    <xf numFmtId="177" fontId="0" fillId="0" borderId="14" xfId="0" applyNumberFormat="1" applyBorder="1">
      <alignment vertical="center"/>
    </xf>
    <xf numFmtId="177" fontId="0" fillId="0" borderId="0" xfId="3" applyNumberFormat="1" applyFon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177" fontId="0" fillId="0" borderId="0" xfId="3" applyNumberFormat="1" applyFont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2" borderId="1" xfId="0" applyNumberForma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Border="1">
      <alignment vertical="center"/>
    </xf>
    <xf numFmtId="177" fontId="0" fillId="0" borderId="89" xfId="0" applyNumberFormat="1" applyBorder="1" applyAlignment="1">
      <alignment vertical="center" shrinkToFit="1"/>
    </xf>
    <xf numFmtId="177" fontId="0" fillId="0" borderId="13" xfId="0" applyNumberFormat="1" applyBorder="1" applyAlignment="1">
      <alignment vertical="center" shrinkToFit="1"/>
    </xf>
    <xf numFmtId="176" fontId="0" fillId="0" borderId="111" xfId="0" applyNumberFormat="1" applyBorder="1" applyAlignment="1">
      <alignment horizontal="center" vertical="center" shrinkToFit="1"/>
    </xf>
    <xf numFmtId="176" fontId="0" fillId="0" borderId="76" xfId="0" applyNumberForma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176" fontId="0" fillId="2" borderId="109" xfId="0" applyNumberFormat="1" applyFill="1" applyBorder="1" applyAlignment="1">
      <alignment vertical="center" shrinkToFit="1"/>
    </xf>
    <xf numFmtId="176" fontId="0" fillId="2" borderId="120" xfId="0" applyNumberFormat="1" applyFill="1" applyBorder="1" applyAlignment="1">
      <alignment vertical="center" shrinkToFit="1"/>
    </xf>
    <xf numFmtId="176" fontId="0" fillId="2" borderId="11" xfId="0" applyNumberFormat="1" applyFill="1" applyBorder="1" applyAlignment="1">
      <alignment horizontal="center" vertical="center" shrinkToFit="1"/>
    </xf>
    <xf numFmtId="176" fontId="0" fillId="2" borderId="11" xfId="0" applyNumberFormat="1" applyFill="1" applyBorder="1" applyAlignment="1">
      <alignment vertical="center" shrinkToFit="1"/>
    </xf>
    <xf numFmtId="176" fontId="0" fillId="2" borderId="121" xfId="0" applyNumberFormat="1" applyFill="1" applyBorder="1" applyAlignment="1">
      <alignment vertical="center" shrinkToFit="1"/>
    </xf>
    <xf numFmtId="176" fontId="0" fillId="2" borderId="19" xfId="0" applyNumberFormat="1" applyFill="1" applyBorder="1" applyAlignment="1">
      <alignment horizontal="center" vertical="center" shrinkToFit="1"/>
    </xf>
    <xf numFmtId="176" fontId="0" fillId="2" borderId="19" xfId="0" applyNumberFormat="1" applyFill="1" applyBorder="1" applyAlignment="1">
      <alignment vertical="center" shrinkToFit="1"/>
    </xf>
    <xf numFmtId="176" fontId="0" fillId="2" borderId="72" xfId="0" applyNumberFormat="1" applyFill="1" applyBorder="1" applyAlignment="1">
      <alignment vertical="center" shrinkToFit="1"/>
    </xf>
    <xf numFmtId="176" fontId="0" fillId="0" borderId="24" xfId="0" applyNumberFormat="1" applyBorder="1" applyAlignment="1">
      <alignment vertical="center" shrinkToFit="1"/>
    </xf>
    <xf numFmtId="176" fontId="0" fillId="0" borderId="58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6" borderId="19" xfId="0" applyNumberFormat="1" applyFill="1" applyBorder="1" applyAlignment="1">
      <alignment vertical="center" shrinkToFit="1"/>
    </xf>
    <xf numFmtId="179" fontId="0" fillId="0" borderId="127" xfId="0" applyNumberFormat="1" applyBorder="1" applyAlignment="1">
      <alignment horizontal="center" vertical="center" shrinkToFit="1"/>
    </xf>
    <xf numFmtId="183" fontId="0" fillId="6" borderId="109" xfId="0" applyNumberFormat="1" applyFill="1" applyBorder="1" applyAlignment="1">
      <alignment vertical="center" shrinkToFit="1"/>
    </xf>
    <xf numFmtId="183" fontId="0" fillId="6" borderId="55" xfId="0" applyNumberFormat="1" applyFill="1" applyBorder="1" applyAlignment="1">
      <alignment vertical="center" shrinkToFit="1"/>
    </xf>
    <xf numFmtId="183" fontId="0" fillId="6" borderId="22" xfId="0" applyNumberFormat="1" applyFill="1" applyBorder="1" applyAlignment="1">
      <alignment vertical="center" shrinkToFit="1"/>
    </xf>
    <xf numFmtId="177" fontId="0" fillId="0" borderId="76" xfId="0" applyNumberFormat="1" applyBorder="1" applyAlignment="1">
      <alignment vertical="center" shrinkToFit="1"/>
    </xf>
    <xf numFmtId="177" fontId="0" fillId="2" borderId="129" xfId="0" applyNumberFormat="1" applyFill="1" applyBorder="1" applyAlignment="1">
      <alignment vertical="center" shrinkToFit="1"/>
    </xf>
    <xf numFmtId="177" fontId="0" fillId="2" borderId="112" xfId="0" applyNumberFormat="1" applyFill="1" applyBorder="1" applyAlignment="1">
      <alignment vertical="center" shrinkToFit="1"/>
    </xf>
    <xf numFmtId="177" fontId="0" fillId="2" borderId="113" xfId="0" applyNumberFormat="1" applyFill="1" applyBorder="1" applyAlignment="1">
      <alignment vertical="center" shrinkToFit="1"/>
    </xf>
    <xf numFmtId="177" fontId="0" fillId="2" borderId="122" xfId="0" applyNumberFormat="1" applyFill="1" applyBorder="1" applyAlignment="1">
      <alignment vertical="center" shrinkToFit="1"/>
    </xf>
    <xf numFmtId="177" fontId="0" fillId="0" borderId="89" xfId="0" applyNumberFormat="1" applyBorder="1" applyAlignment="1">
      <alignment horizontal="center" vertical="center" shrinkToFit="1"/>
    </xf>
    <xf numFmtId="177" fontId="0" fillId="0" borderId="1" xfId="0" applyNumberFormat="1" applyBorder="1">
      <alignment vertical="center"/>
    </xf>
    <xf numFmtId="177" fontId="0" fillId="0" borderId="136" xfId="0" applyNumberFormat="1" applyBorder="1">
      <alignment vertical="center"/>
    </xf>
    <xf numFmtId="177" fontId="0" fillId="6" borderId="137" xfId="0" applyNumberFormat="1" applyFill="1" applyBorder="1" applyAlignment="1">
      <alignment vertical="center" shrinkToFit="1"/>
    </xf>
    <xf numFmtId="177" fontId="0" fillId="0" borderId="137" xfId="3" applyNumberFormat="1" applyFont="1" applyBorder="1">
      <alignment vertical="center"/>
    </xf>
    <xf numFmtId="177" fontId="0" fillId="0" borderId="108" xfId="3" applyNumberFormat="1" applyFont="1" applyBorder="1" applyAlignment="1">
      <alignment horizontal="right" vertical="center"/>
    </xf>
    <xf numFmtId="177" fontId="0" fillId="0" borderId="108" xfId="3" applyNumberFormat="1" applyFont="1" applyBorder="1" applyAlignment="1">
      <alignment horizontal="left" vertical="center" shrinkToFit="1"/>
    </xf>
    <xf numFmtId="177" fontId="0" fillId="0" borderId="138" xfId="0" applyNumberFormat="1" applyBorder="1">
      <alignment vertical="center"/>
    </xf>
    <xf numFmtId="177" fontId="0" fillId="0" borderId="138" xfId="3" applyNumberFormat="1" applyFont="1" applyBorder="1" applyAlignment="1">
      <alignment vertical="center" shrinkToFit="1"/>
    </xf>
    <xf numFmtId="177" fontId="0" fillId="0" borderId="136" xfId="0" applyNumberFormat="1" applyBorder="1" applyAlignment="1">
      <alignment horizontal="center" vertical="center"/>
    </xf>
    <xf numFmtId="178" fontId="0" fillId="0" borderId="136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23" xfId="0" applyNumberFormat="1" applyBorder="1">
      <alignment vertical="center"/>
    </xf>
    <xf numFmtId="177" fontId="0" fillId="0" borderId="79" xfId="0" applyNumberFormat="1" applyBorder="1" applyAlignment="1">
      <alignment horizontal="center" vertical="center"/>
    </xf>
    <xf numFmtId="177" fontId="0" fillId="0" borderId="13" xfId="0" applyNumberFormat="1" applyBorder="1">
      <alignment vertical="center"/>
    </xf>
    <xf numFmtId="177" fontId="0" fillId="0" borderId="52" xfId="0" applyNumberFormat="1" applyBorder="1">
      <alignment vertical="center"/>
    </xf>
    <xf numFmtId="177" fontId="0" fillId="0" borderId="21" xfId="0" applyNumberFormat="1" applyBorder="1" applyAlignment="1">
      <alignment vertical="center" shrinkToFit="1"/>
    </xf>
    <xf numFmtId="177" fontId="0" fillId="0" borderId="52" xfId="0" applyNumberFormat="1" applyBorder="1" applyAlignment="1">
      <alignment vertical="center" shrinkToFit="1"/>
    </xf>
    <xf numFmtId="177" fontId="0" fillId="0" borderId="8" xfId="0" applyNumberFormat="1" applyBorder="1">
      <alignment vertical="center"/>
    </xf>
    <xf numFmtId="177" fontId="0" fillId="0" borderId="8" xfId="0" applyNumberFormat="1" applyBorder="1" applyAlignment="1">
      <alignment vertical="center" shrinkToFit="1"/>
    </xf>
    <xf numFmtId="177" fontId="0" fillId="0" borderId="136" xfId="3" applyNumberFormat="1" applyFont="1" applyBorder="1">
      <alignment vertical="center"/>
    </xf>
    <xf numFmtId="0" fontId="0" fillId="0" borderId="14" xfId="3" applyFont="1" applyBorder="1" applyAlignment="1">
      <alignment vertical="center" shrinkToFit="1"/>
    </xf>
    <xf numFmtId="178" fontId="0" fillId="0" borderId="14" xfId="0" applyNumberFormat="1" applyBorder="1" applyAlignment="1">
      <alignment horizontal="left" vertical="center"/>
    </xf>
    <xf numFmtId="177" fontId="0" fillId="0" borderId="14" xfId="3" applyNumberFormat="1" applyFont="1" applyBorder="1" applyAlignment="1">
      <alignment vertical="center" shrinkToFit="1"/>
    </xf>
    <xf numFmtId="178" fontId="0" fillId="0" borderId="138" xfId="0" applyNumberFormat="1" applyBorder="1" applyAlignment="1">
      <alignment horizontal="left" vertical="center"/>
    </xf>
    <xf numFmtId="182" fontId="0" fillId="0" borderId="14" xfId="0" applyNumberFormat="1" applyBorder="1">
      <alignment vertical="center"/>
    </xf>
    <xf numFmtId="177" fontId="0" fillId="0" borderId="140" xfId="3" applyNumberFormat="1" applyFont="1" applyBorder="1" applyAlignment="1">
      <alignment horizontal="center" vertical="center" shrinkToFit="1"/>
    </xf>
    <xf numFmtId="176" fontId="0" fillId="2" borderId="53" xfId="0" applyNumberFormat="1" applyFill="1" applyBorder="1" applyAlignment="1">
      <alignment horizontal="center" vertical="center" shrinkToFit="1"/>
    </xf>
    <xf numFmtId="177" fontId="0" fillId="2" borderId="53" xfId="0" applyNumberFormat="1" applyFill="1" applyBorder="1" applyAlignment="1">
      <alignment vertical="center" shrinkToFit="1"/>
    </xf>
    <xf numFmtId="177" fontId="0" fillId="0" borderId="145" xfId="3" applyNumberFormat="1" applyFont="1" applyBorder="1" applyAlignment="1">
      <alignment vertical="center" shrinkToFit="1"/>
    </xf>
    <xf numFmtId="177" fontId="0" fillId="0" borderId="24" xfId="3" applyNumberFormat="1" applyFont="1" applyBorder="1" applyAlignment="1">
      <alignment vertical="center" shrinkToFit="1"/>
    </xf>
    <xf numFmtId="176" fontId="0" fillId="2" borderId="143" xfId="0" applyNumberFormat="1" applyFill="1" applyBorder="1" applyAlignment="1">
      <alignment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0" fillId="0" borderId="63" xfId="0" applyNumberFormat="1" applyBorder="1">
      <alignment vertical="center"/>
    </xf>
    <xf numFmtId="177" fontId="0" fillId="2" borderId="53" xfId="3" applyNumberFormat="1" applyFont="1" applyFill="1" applyBorder="1" applyAlignment="1">
      <alignment horizontal="center" vertical="center" shrinkToFit="1"/>
    </xf>
    <xf numFmtId="177" fontId="0" fillId="2" borderId="53" xfId="3" applyNumberFormat="1" applyFont="1" applyFill="1" applyBorder="1" applyAlignment="1">
      <alignment vertical="center" shrinkToFit="1"/>
    </xf>
    <xf numFmtId="176" fontId="0" fillId="6" borderId="143" xfId="0" applyNumberFormat="1" applyFill="1" applyBorder="1">
      <alignment vertical="center"/>
    </xf>
    <xf numFmtId="176" fontId="0" fillId="0" borderId="24" xfId="3" applyNumberFormat="1" applyFont="1" applyBorder="1" applyAlignment="1">
      <alignment vertical="center" shrinkToFit="1"/>
    </xf>
    <xf numFmtId="176" fontId="0" fillId="0" borderId="110" xfId="0" applyNumberFormat="1" applyBorder="1" applyAlignment="1">
      <alignment vertical="center" shrinkToFit="1"/>
    </xf>
    <xf numFmtId="177" fontId="0" fillId="0" borderId="110" xfId="0" applyNumberFormat="1" applyBorder="1" applyAlignment="1">
      <alignment horizontal="center" vertical="center" shrinkToFit="1"/>
    </xf>
    <xf numFmtId="177" fontId="0" fillId="0" borderId="58" xfId="0" applyNumberFormat="1" applyBorder="1" applyAlignment="1">
      <alignment horizontal="center" vertical="center" shrinkToFit="1"/>
    </xf>
    <xf numFmtId="177" fontId="0" fillId="0" borderId="111" xfId="0" applyNumberFormat="1" applyBorder="1" applyAlignment="1">
      <alignment horizontal="center" vertical="center" shrinkToFit="1"/>
    </xf>
    <xf numFmtId="177" fontId="0" fillId="0" borderId="88" xfId="0" applyNumberFormat="1" applyBorder="1" applyAlignment="1">
      <alignment vertical="center" shrinkToFit="1"/>
    </xf>
    <xf numFmtId="176" fontId="0" fillId="6" borderId="109" xfId="0" applyNumberFormat="1" applyFill="1" applyBorder="1" applyAlignment="1">
      <alignment horizontal="center" vertical="center" shrinkToFit="1"/>
    </xf>
    <xf numFmtId="177" fontId="0" fillId="2" borderId="129" xfId="0" applyNumberFormat="1" applyFill="1" applyBorder="1" applyAlignment="1">
      <alignment horizontal="center" vertical="center" shrinkToFit="1"/>
    </xf>
    <xf numFmtId="177" fontId="0" fillId="0" borderId="62" xfId="0" applyNumberFormat="1" applyBorder="1" applyAlignment="1">
      <alignment horizontal="center" vertical="center" shrinkToFit="1"/>
    </xf>
    <xf numFmtId="176" fontId="0" fillId="0" borderId="146" xfId="0" applyNumberFormat="1" applyBorder="1">
      <alignment vertical="center"/>
    </xf>
    <xf numFmtId="176" fontId="0" fillId="0" borderId="128" xfId="0" applyNumberFormat="1" applyBorder="1">
      <alignment vertical="center"/>
    </xf>
    <xf numFmtId="179" fontId="0" fillId="0" borderId="24" xfId="0" applyNumberFormat="1" applyBorder="1">
      <alignment vertical="center"/>
    </xf>
    <xf numFmtId="9" fontId="0" fillId="0" borderId="24" xfId="3" applyNumberFormat="1" applyFont="1" applyBorder="1" applyAlignment="1">
      <alignment vertical="center" shrinkToFit="1"/>
    </xf>
    <xf numFmtId="3" fontId="0" fillId="0" borderId="24" xfId="5" applyNumberFormat="1" applyFont="1" applyBorder="1" applyAlignment="1">
      <alignment vertical="center" shrinkToFit="1"/>
    </xf>
    <xf numFmtId="176" fontId="0" fillId="0" borderId="63" xfId="0" applyNumberFormat="1" applyBorder="1" applyAlignment="1">
      <alignment vertical="center" shrinkToFit="1"/>
    </xf>
    <xf numFmtId="177" fontId="0" fillId="2" borderId="153" xfId="0" applyNumberFormat="1" applyFill="1" applyBorder="1" applyAlignment="1">
      <alignment vertical="center" shrinkToFit="1"/>
    </xf>
    <xf numFmtId="176" fontId="0" fillId="2" borderId="154" xfId="0" applyNumberFormat="1" applyFill="1" applyBorder="1" applyAlignment="1">
      <alignment vertical="center" shrinkToFit="1"/>
    </xf>
    <xf numFmtId="177" fontId="0" fillId="2" borderId="150" xfId="3" applyNumberFormat="1" applyFont="1" applyFill="1" applyBorder="1" applyAlignment="1">
      <alignment horizontal="center" vertical="center" shrinkToFit="1"/>
    </xf>
    <xf numFmtId="177" fontId="0" fillId="2" borderId="150" xfId="3" applyNumberFormat="1" applyFont="1" applyFill="1" applyBorder="1" applyAlignment="1">
      <alignment vertical="center" shrinkToFit="1"/>
    </xf>
    <xf numFmtId="176" fontId="0" fillId="6" borderId="155" xfId="0" applyNumberFormat="1" applyFill="1" applyBorder="1">
      <alignment vertical="center"/>
    </xf>
    <xf numFmtId="177" fontId="0" fillId="0" borderId="151" xfId="0" applyNumberFormat="1" applyBorder="1">
      <alignment vertical="center"/>
    </xf>
    <xf numFmtId="181" fontId="0" fillId="0" borderId="125" xfId="0" applyNumberForma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8" fillId="0" borderId="159" xfId="0" applyFont="1" applyBorder="1" applyAlignment="1">
      <alignment horizontal="center" vertical="center" shrinkToFit="1"/>
    </xf>
    <xf numFmtId="0" fontId="8" fillId="0" borderId="162" xfId="0" applyFont="1" applyBorder="1" applyAlignment="1">
      <alignment horizontal="center" vertical="center" shrinkToFit="1"/>
    </xf>
    <xf numFmtId="179" fontId="0" fillId="0" borderId="0" xfId="0" applyNumberFormat="1" applyAlignment="1">
      <alignment vertical="center" shrinkToFit="1"/>
    </xf>
    <xf numFmtId="176" fontId="0" fillId="0" borderId="89" xfId="0" applyNumberFormat="1" applyBorder="1">
      <alignment vertical="center"/>
    </xf>
    <xf numFmtId="179" fontId="0" fillId="0" borderId="10" xfId="0" applyNumberFormat="1" applyBorder="1" applyAlignment="1">
      <alignment vertical="center" shrinkToFit="1"/>
    </xf>
    <xf numFmtId="179" fontId="0" fillId="0" borderId="167" xfId="0" applyNumberFormat="1" applyBorder="1" applyAlignment="1">
      <alignment vertical="center" shrinkToFit="1"/>
    </xf>
    <xf numFmtId="176" fontId="0" fillId="0" borderId="79" xfId="0" applyNumberFormat="1" applyBorder="1">
      <alignment vertical="center"/>
    </xf>
    <xf numFmtId="179" fontId="0" fillId="0" borderId="12" xfId="0" applyNumberFormat="1" applyBorder="1" applyAlignment="1">
      <alignment vertical="center" shrinkToFit="1"/>
    </xf>
    <xf numFmtId="179" fontId="0" fillId="0" borderId="169" xfId="0" applyNumberFormat="1" applyBorder="1" applyAlignment="1">
      <alignment vertical="center" shrinkToFit="1"/>
    </xf>
    <xf numFmtId="179" fontId="0" fillId="0" borderId="170" xfId="0" applyNumberFormat="1" applyBorder="1" applyAlignment="1">
      <alignment vertical="center" shrinkToFit="1"/>
    </xf>
    <xf numFmtId="179" fontId="0" fillId="0" borderId="136" xfId="0" applyNumberFormat="1" applyBorder="1" applyAlignment="1">
      <alignment vertical="center" shrinkToFit="1"/>
    </xf>
    <xf numFmtId="179" fontId="0" fillId="0" borderId="11" xfId="0" applyNumberFormat="1" applyBorder="1" applyAlignment="1">
      <alignment vertical="center" shrinkToFit="1"/>
    </xf>
    <xf numFmtId="179" fontId="0" fillId="0" borderId="172" xfId="0" applyNumberFormat="1" applyBorder="1" applyAlignment="1">
      <alignment vertical="center" shrinkToFit="1"/>
    </xf>
    <xf numFmtId="179" fontId="0" fillId="0" borderId="121" xfId="0" applyNumberFormat="1" applyBorder="1" applyAlignment="1">
      <alignment vertical="center" shrinkToFit="1"/>
    </xf>
    <xf numFmtId="179" fontId="0" fillId="0" borderId="122" xfId="0" applyNumberFormat="1" applyBorder="1" applyAlignment="1">
      <alignment vertical="center" shrinkToFit="1"/>
    </xf>
    <xf numFmtId="179" fontId="0" fillId="0" borderId="174" xfId="0" applyNumberFormat="1" applyBorder="1" applyAlignment="1">
      <alignment vertical="center" shrinkToFit="1"/>
    </xf>
    <xf numFmtId="179" fontId="0" fillId="0" borderId="154" xfId="0" applyNumberFormat="1" applyBorder="1" applyAlignment="1">
      <alignment vertical="center" shrinkToFit="1"/>
    </xf>
    <xf numFmtId="176" fontId="0" fillId="0" borderId="55" xfId="0" applyNumberFormat="1" applyBorder="1" applyAlignment="1">
      <alignment horizontal="center" vertical="center"/>
    </xf>
    <xf numFmtId="184" fontId="0" fillId="0" borderId="12" xfId="0" applyNumberFormat="1" applyBorder="1" applyAlignment="1">
      <alignment vertical="center" shrinkToFit="1"/>
    </xf>
    <xf numFmtId="184" fontId="0" fillId="0" borderId="169" xfId="0" applyNumberFormat="1" applyBorder="1" applyAlignment="1">
      <alignment vertical="center" shrinkToFit="1"/>
    </xf>
    <xf numFmtId="184" fontId="13" fillId="0" borderId="169" xfId="0" applyNumberFormat="1" applyFont="1" applyBorder="1" applyAlignment="1">
      <alignment vertical="center" shrinkToFit="1"/>
    </xf>
    <xf numFmtId="0" fontId="1" fillId="0" borderId="0" xfId="2" applyAlignment="1">
      <alignment horizontal="right" vertical="center"/>
    </xf>
    <xf numFmtId="176" fontId="0" fillId="0" borderId="18" xfId="0" applyNumberFormat="1" applyBorder="1">
      <alignment vertical="center"/>
    </xf>
    <xf numFmtId="176" fontId="0" fillId="0" borderId="73" xfId="0" applyNumberForma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9" xfId="0" applyNumberFormat="1" applyBorder="1" applyAlignment="1">
      <alignment vertical="center" shrinkToFit="1"/>
    </xf>
    <xf numFmtId="9" fontId="0" fillId="0" borderId="89" xfId="0" applyNumberFormat="1" applyBorder="1" applyAlignment="1">
      <alignment vertical="center" shrinkToFit="1"/>
    </xf>
    <xf numFmtId="182" fontId="0" fillId="0" borderId="89" xfId="4" applyNumberFormat="1" applyFont="1" applyBorder="1" applyAlignment="1">
      <alignment vertical="center" shrinkToFit="1"/>
    </xf>
    <xf numFmtId="176" fontId="0" fillId="0" borderId="89" xfId="0" applyNumberFormat="1" applyBorder="1" applyAlignment="1">
      <alignment horizontal="right" vertical="center" shrinkToFit="1"/>
    </xf>
    <xf numFmtId="176" fontId="0" fillId="2" borderId="89" xfId="0" applyNumberFormat="1" applyFill="1" applyBorder="1" applyAlignment="1">
      <alignment vertical="center" shrinkToFit="1"/>
    </xf>
    <xf numFmtId="176" fontId="0" fillId="2" borderId="89" xfId="0" applyNumberFormat="1" applyFill="1" applyBorder="1" applyAlignment="1">
      <alignment horizontal="left" vertical="center" shrinkToFit="1"/>
    </xf>
    <xf numFmtId="179" fontId="0" fillId="2" borderId="89" xfId="0" applyNumberFormat="1" applyFill="1" applyBorder="1" applyAlignment="1">
      <alignment vertical="center" shrinkToFit="1"/>
    </xf>
    <xf numFmtId="9" fontId="0" fillId="0" borderId="89" xfId="4" applyFont="1" applyBorder="1" applyAlignment="1">
      <alignment vertical="center" shrinkToFit="1"/>
    </xf>
    <xf numFmtId="177" fontId="0" fillId="0" borderId="38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/>
    </xf>
    <xf numFmtId="0" fontId="0" fillId="0" borderId="24" xfId="0" applyBorder="1">
      <alignment vertical="center"/>
    </xf>
    <xf numFmtId="177" fontId="0" fillId="0" borderId="158" xfId="0" applyNumberFormat="1" applyBorder="1">
      <alignment vertical="center"/>
    </xf>
    <xf numFmtId="177" fontId="0" fillId="0" borderId="151" xfId="0" applyNumberFormat="1" applyBorder="1" applyAlignment="1">
      <alignment vertical="center" shrinkToFit="1"/>
    </xf>
    <xf numFmtId="176" fontId="0" fillId="0" borderId="136" xfId="0" applyNumberFormat="1" applyBorder="1" applyAlignment="1">
      <alignment vertical="center" shrinkToFit="1"/>
    </xf>
    <xf numFmtId="185" fontId="0" fillId="0" borderId="78" xfId="0" applyNumberForma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181" fontId="0" fillId="0" borderId="175" xfId="0" applyNumberFormat="1" applyBorder="1" applyAlignment="1">
      <alignment horizontal="right" vertical="center"/>
    </xf>
    <xf numFmtId="181" fontId="0" fillId="4" borderId="43" xfId="0" applyNumberFormat="1" applyFill="1" applyBorder="1" applyAlignment="1">
      <alignment horizontal="right" vertical="center"/>
    </xf>
    <xf numFmtId="181" fontId="0" fillId="7" borderId="41" xfId="0" applyNumberFormat="1" applyFill="1" applyBorder="1" applyAlignment="1">
      <alignment horizontal="right" vertical="center"/>
    </xf>
    <xf numFmtId="181" fontId="0" fillId="7" borderId="44" xfId="1" applyNumberFormat="1" applyFont="1" applyFill="1" applyBorder="1" applyAlignment="1">
      <alignment horizontal="right" vertical="center"/>
    </xf>
    <xf numFmtId="181" fontId="0" fillId="0" borderId="40" xfId="0" applyNumberFormat="1" applyBorder="1">
      <alignment vertical="center"/>
    </xf>
    <xf numFmtId="181" fontId="0" fillId="0" borderId="182" xfId="0" applyNumberFormat="1" applyBorder="1">
      <alignment vertical="center"/>
    </xf>
    <xf numFmtId="181" fontId="0" fillId="5" borderId="40" xfId="0" applyNumberFormat="1" applyFill="1" applyBorder="1">
      <alignment vertical="center"/>
    </xf>
    <xf numFmtId="181" fontId="0" fillId="3" borderId="24" xfId="1" applyNumberFormat="1" applyFont="1" applyFill="1" applyBorder="1" applyAlignment="1">
      <alignment horizontal="right" vertical="center"/>
    </xf>
    <xf numFmtId="181" fontId="0" fillId="0" borderId="40" xfId="0" applyNumberFormat="1" applyBorder="1" applyAlignment="1">
      <alignment horizontal="right" vertical="center"/>
    </xf>
    <xf numFmtId="182" fontId="0" fillId="3" borderId="24" xfId="1" applyNumberFormat="1" applyFont="1" applyFill="1" applyBorder="1" applyAlignment="1">
      <alignment horizontal="right" vertical="center"/>
    </xf>
    <xf numFmtId="181" fontId="0" fillId="3" borderId="49" xfId="1" applyNumberFormat="1" applyFont="1" applyFill="1" applyBorder="1" applyAlignment="1">
      <alignment horizontal="right" vertical="center"/>
    </xf>
    <xf numFmtId="0" fontId="0" fillId="0" borderId="176" xfId="0" applyBorder="1" applyAlignment="1">
      <alignment horizontal="center" vertical="center"/>
    </xf>
    <xf numFmtId="185" fontId="0" fillId="0" borderId="133" xfId="0" applyNumberFormat="1" applyBorder="1" applyAlignment="1">
      <alignment horizontal="center" vertical="center"/>
    </xf>
    <xf numFmtId="181" fontId="0" fillId="0" borderId="176" xfId="0" applyNumberFormat="1" applyBorder="1" applyAlignment="1">
      <alignment horizontal="right" vertical="center"/>
    </xf>
    <xf numFmtId="181" fontId="0" fillId="4" borderId="188" xfId="0" applyNumberFormat="1" applyFill="1" applyBorder="1" applyAlignment="1">
      <alignment horizontal="right" vertical="center"/>
    </xf>
    <xf numFmtId="181" fontId="0" fillId="7" borderId="56" xfId="1" applyNumberFormat="1" applyFont="1" applyFill="1" applyBorder="1" applyAlignment="1">
      <alignment horizontal="right" vertical="center"/>
    </xf>
    <xf numFmtId="181" fontId="0" fillId="3" borderId="34" xfId="1" applyNumberFormat="1" applyFont="1" applyFill="1" applyBorder="1" applyAlignment="1">
      <alignment horizontal="right" vertical="center"/>
    </xf>
    <xf numFmtId="182" fontId="0" fillId="3" borderId="34" xfId="1" applyNumberFormat="1" applyFont="1" applyFill="1" applyBorder="1" applyAlignment="1">
      <alignment horizontal="right" vertical="center"/>
    </xf>
    <xf numFmtId="181" fontId="0" fillId="3" borderId="47" xfId="1" applyNumberFormat="1" applyFont="1" applyFill="1" applyBorder="1" applyAlignment="1">
      <alignment horizontal="right" vertical="center"/>
    </xf>
    <xf numFmtId="181" fontId="0" fillId="4" borderId="150" xfId="0" applyNumberFormat="1" applyFill="1" applyBorder="1" applyAlignment="1">
      <alignment horizontal="right" vertical="center"/>
    </xf>
    <xf numFmtId="177" fontId="0" fillId="0" borderId="136" xfId="3" applyNumberFormat="1" applyFont="1" applyBorder="1" applyAlignment="1">
      <alignment vertical="center" shrinkToFit="1"/>
    </xf>
    <xf numFmtId="176" fontId="4" fillId="0" borderId="190" xfId="0" applyNumberFormat="1" applyFont="1" applyBorder="1" applyAlignment="1">
      <alignment horizontal="left" vertical="center" wrapText="1"/>
    </xf>
    <xf numFmtId="176" fontId="0" fillId="0" borderId="72" xfId="0" applyNumberFormat="1" applyBorder="1" applyAlignment="1">
      <alignment vertical="center" shrinkToFit="1"/>
    </xf>
    <xf numFmtId="176" fontId="0" fillId="0" borderId="71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191" xfId="0" applyNumberFormat="1" applyBorder="1" applyAlignment="1">
      <alignment horizontal="center" vertical="center" shrinkToFit="1"/>
    </xf>
    <xf numFmtId="176" fontId="0" fillId="0" borderId="192" xfId="0" applyNumberForma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ill="1" applyBorder="1" applyAlignment="1">
      <alignment vertical="center" shrinkToFit="1"/>
    </xf>
    <xf numFmtId="0" fontId="0" fillId="0" borderId="27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vertical="center" shrinkToFit="1"/>
    </xf>
    <xf numFmtId="176" fontId="9" fillId="2" borderId="11" xfId="0" applyNumberFormat="1" applyFont="1" applyFill="1" applyBorder="1" applyAlignment="1">
      <alignment vertical="center" shrinkToFit="1"/>
    </xf>
    <xf numFmtId="176" fontId="0" fillId="0" borderId="193" xfId="0" applyNumberFormat="1" applyBorder="1" applyAlignment="1">
      <alignment vertical="center" shrinkToFit="1"/>
    </xf>
    <xf numFmtId="176" fontId="0" fillId="0" borderId="194" xfId="0" applyNumberFormat="1" applyBorder="1" applyAlignment="1">
      <alignment horizontal="center" vertical="center" shrinkToFit="1"/>
    </xf>
    <xf numFmtId="176" fontId="0" fillId="0" borderId="195" xfId="0" applyNumberFormat="1" applyBorder="1" applyAlignment="1">
      <alignment vertical="center" shrinkToFit="1"/>
    </xf>
    <xf numFmtId="176" fontId="0" fillId="0" borderId="197" xfId="0" applyNumberFormat="1" applyBorder="1" applyAlignment="1">
      <alignment vertical="center" shrinkToFit="1"/>
    </xf>
    <xf numFmtId="186" fontId="0" fillId="0" borderId="198" xfId="0" applyNumberFormat="1" applyBorder="1" applyAlignment="1">
      <alignment vertical="center" shrinkToFit="1"/>
    </xf>
    <xf numFmtId="186" fontId="0" fillId="0" borderId="199" xfId="0" applyNumberFormat="1" applyBorder="1" applyAlignment="1">
      <alignment vertical="center" shrinkToFit="1"/>
    </xf>
    <xf numFmtId="186" fontId="0" fillId="0" borderId="196" xfId="0" applyNumberFormat="1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183" fontId="0" fillId="0" borderId="10" xfId="0" applyNumberFormat="1" applyBorder="1" applyAlignment="1">
      <alignment vertical="center" shrinkToFit="1"/>
    </xf>
    <xf numFmtId="183" fontId="0" fillId="0" borderId="136" xfId="0" applyNumberFormat="1" applyBorder="1" applyAlignment="1">
      <alignment vertical="center" shrinkToFit="1"/>
    </xf>
    <xf numFmtId="187" fontId="0" fillId="0" borderId="89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38" xfId="0" applyNumberFormat="1" applyBorder="1" applyAlignment="1">
      <alignment vertical="center" shrinkToFit="1"/>
    </xf>
    <xf numFmtId="176" fontId="0" fillId="0" borderId="139" xfId="0" applyNumberFormat="1" applyBorder="1" applyAlignment="1">
      <alignment vertical="center" shrinkToFit="1"/>
    </xf>
    <xf numFmtId="0" fontId="1" fillId="0" borderId="25" xfId="2" applyBorder="1" applyAlignment="1">
      <alignment horizontal="center" vertical="center" wrapText="1"/>
    </xf>
    <xf numFmtId="0" fontId="1" fillId="0" borderId="26" xfId="2" applyBorder="1" applyAlignment="1">
      <alignment horizontal="center" vertical="center" wrapText="1"/>
    </xf>
    <xf numFmtId="0" fontId="1" fillId="0" borderId="29" xfId="2" applyBorder="1" applyAlignment="1">
      <alignment horizontal="center" vertical="center" wrapText="1"/>
    </xf>
    <xf numFmtId="176" fontId="0" fillId="0" borderId="136" xfId="0" applyNumberFormat="1" applyBorder="1">
      <alignment vertical="center"/>
    </xf>
    <xf numFmtId="176" fontId="0" fillId="0" borderId="136" xfId="0" applyNumberFormat="1" applyBorder="1" applyAlignment="1">
      <alignment horizontal="left" vertical="center"/>
    </xf>
    <xf numFmtId="176" fontId="0" fillId="0" borderId="136" xfId="0" applyNumberFormat="1" applyBorder="1" applyAlignment="1">
      <alignment horizontal="center" vertical="center"/>
    </xf>
    <xf numFmtId="0" fontId="8" fillId="0" borderId="16" xfId="2" applyFont="1" applyBorder="1" applyAlignment="1">
      <alignment horizontal="right" vertical="center" wrapText="1"/>
    </xf>
    <xf numFmtId="0" fontId="8" fillId="0" borderId="16" xfId="2" applyFont="1" applyBorder="1" applyAlignment="1">
      <alignment horizontal="left" vertical="center" wrapText="1"/>
    </xf>
    <xf numFmtId="0" fontId="1" fillId="0" borderId="189" xfId="2" applyBorder="1" applyAlignment="1">
      <alignment vertical="center" wrapText="1"/>
    </xf>
    <xf numFmtId="0" fontId="1" fillId="0" borderId="27" xfId="2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1" fillId="0" borderId="83" xfId="2" applyBorder="1" applyAlignment="1">
      <alignment horizontal="center" vertical="center" wrapText="1"/>
    </xf>
    <xf numFmtId="0" fontId="1" fillId="0" borderId="10" xfId="2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1" fillId="8" borderId="0" xfId="2" applyFill="1" applyAlignment="1">
      <alignment horizontal="center" vertical="center" wrapText="1"/>
    </xf>
    <xf numFmtId="0" fontId="1" fillId="8" borderId="30" xfId="2" applyFill="1" applyBorder="1" applyAlignment="1">
      <alignment horizontal="center" vertical="center" wrapText="1"/>
    </xf>
    <xf numFmtId="0" fontId="1" fillId="8" borderId="83" xfId="2" applyFill="1" applyBorder="1" applyAlignment="1">
      <alignment horizontal="center" vertical="center" wrapText="1"/>
    </xf>
    <xf numFmtId="176" fontId="0" fillId="0" borderId="202" xfId="0" applyNumberFormat="1" applyBorder="1" applyAlignment="1">
      <alignment vertical="center" shrinkToFit="1"/>
    </xf>
    <xf numFmtId="179" fontId="0" fillId="0" borderId="175" xfId="0" applyNumberFormat="1" applyBorder="1" applyAlignment="1">
      <alignment horizontal="center" vertical="center" shrinkToFit="1"/>
    </xf>
    <xf numFmtId="176" fontId="0" fillId="0" borderId="206" xfId="0" applyNumberFormat="1" applyBorder="1" applyAlignment="1">
      <alignment vertical="center" shrinkToFit="1"/>
    </xf>
    <xf numFmtId="176" fontId="0" fillId="6" borderId="209" xfId="0" applyNumberFormat="1" applyFill="1" applyBorder="1" applyAlignment="1">
      <alignment vertical="center" shrinkToFit="1"/>
    </xf>
    <xf numFmtId="176" fontId="0" fillId="0" borderId="211" xfId="0" applyNumberFormat="1" applyBorder="1" applyAlignment="1">
      <alignment vertical="center" shrinkToFit="1"/>
    </xf>
    <xf numFmtId="176" fontId="0" fillId="6" borderId="213" xfId="0" applyNumberFormat="1" applyFill="1" applyBorder="1" applyAlignment="1">
      <alignment horizontal="center" vertical="center" shrinkToFit="1"/>
    </xf>
    <xf numFmtId="183" fontId="0" fillId="6" borderId="213" xfId="0" applyNumberFormat="1" applyFill="1" applyBorder="1" applyAlignment="1">
      <alignment vertical="center" shrinkToFit="1"/>
    </xf>
    <xf numFmtId="183" fontId="0" fillId="6" borderId="214" xfId="0" applyNumberFormat="1" applyFill="1" applyBorder="1" applyAlignment="1">
      <alignment vertical="center" shrinkToFit="1"/>
    </xf>
    <xf numFmtId="183" fontId="0" fillId="6" borderId="215" xfId="0" applyNumberFormat="1" applyFill="1" applyBorder="1" applyAlignment="1">
      <alignment vertical="center" shrinkToFit="1"/>
    </xf>
    <xf numFmtId="176" fontId="0" fillId="6" borderId="216" xfId="0" applyNumberFormat="1" applyFill="1" applyBorder="1" applyAlignment="1">
      <alignment vertical="center" shrinkToFit="1"/>
    </xf>
    <xf numFmtId="177" fontId="0" fillId="0" borderId="21" xfId="0" applyNumberFormat="1" applyBorder="1" applyAlignment="1">
      <alignment horizontal="center" vertical="center" shrinkToFit="1"/>
    </xf>
    <xf numFmtId="176" fontId="0" fillId="0" borderId="218" xfId="0" applyNumberFormat="1" applyBorder="1">
      <alignment vertical="center"/>
    </xf>
    <xf numFmtId="176" fontId="0" fillId="2" borderId="217" xfId="0" applyNumberFormat="1" applyFill="1" applyBorder="1" applyAlignment="1">
      <alignment vertical="center" shrinkToFit="1"/>
    </xf>
    <xf numFmtId="0" fontId="0" fillId="0" borderId="158" xfId="3" applyFont="1" applyBorder="1" applyAlignment="1">
      <alignment vertical="center" shrinkToFit="1"/>
    </xf>
    <xf numFmtId="178" fontId="0" fillId="0" borderId="158" xfId="0" applyNumberFormat="1" applyBorder="1" applyAlignment="1">
      <alignment horizontal="left" vertical="center"/>
    </xf>
    <xf numFmtId="177" fontId="0" fillId="0" borderId="215" xfId="0" applyNumberFormat="1" applyBorder="1">
      <alignment vertical="center"/>
    </xf>
    <xf numFmtId="177" fontId="0" fillId="0" borderId="223" xfId="0" applyNumberFormat="1" applyBorder="1" applyAlignment="1">
      <alignment horizontal="center" vertical="center" shrinkToFit="1"/>
    </xf>
    <xf numFmtId="177" fontId="0" fillId="0" borderId="136" xfId="0" applyNumberFormat="1" applyBorder="1" applyAlignment="1">
      <alignment horizontal="center" vertical="center" shrinkToFit="1"/>
    </xf>
    <xf numFmtId="177" fontId="0" fillId="0" borderId="223" xfId="0" applyNumberFormat="1" applyBorder="1" applyAlignment="1">
      <alignment vertical="center" shrinkToFit="1"/>
    </xf>
    <xf numFmtId="177" fontId="0" fillId="0" borderId="136" xfId="0" applyNumberFormat="1" applyBorder="1" applyAlignment="1">
      <alignment vertical="center" shrinkToFit="1"/>
    </xf>
    <xf numFmtId="177" fontId="0" fillId="0" borderId="184" xfId="0" applyNumberFormat="1" applyBorder="1" applyAlignment="1">
      <alignment vertical="center" shrinkToFit="1"/>
    </xf>
    <xf numFmtId="9" fontId="0" fillId="0" borderId="158" xfId="0" applyNumberFormat="1" applyBorder="1">
      <alignment vertical="center"/>
    </xf>
    <xf numFmtId="177" fontId="0" fillId="0" borderId="225" xfId="0" applyNumberFormat="1" applyBorder="1" applyAlignment="1">
      <alignment horizontal="left" vertical="center"/>
    </xf>
    <xf numFmtId="177" fontId="0" fillId="0" borderId="225" xfId="0" applyNumberFormat="1" applyBorder="1">
      <alignment vertical="center"/>
    </xf>
    <xf numFmtId="177" fontId="0" fillId="2" borderId="137" xfId="0" applyNumberFormat="1" applyFill="1" applyBorder="1">
      <alignment vertical="center"/>
    </xf>
    <xf numFmtId="177" fontId="0" fillId="2" borderId="108" xfId="0" applyNumberFormat="1" applyFill="1" applyBorder="1">
      <alignment vertical="center"/>
    </xf>
    <xf numFmtId="38" fontId="0" fillId="6" borderId="209" xfId="1" applyFont="1" applyFill="1" applyBorder="1" applyAlignment="1">
      <alignment vertical="center" shrinkToFit="1"/>
    </xf>
    <xf numFmtId="184" fontId="0" fillId="0" borderId="170" xfId="0" applyNumberFormat="1" applyBorder="1" applyAlignment="1">
      <alignment vertical="center" shrinkToFit="1"/>
    </xf>
    <xf numFmtId="187" fontId="0" fillId="0" borderId="0" xfId="0" applyNumberFormat="1">
      <alignment vertical="center"/>
    </xf>
    <xf numFmtId="1" fontId="1" fillId="0" borderId="89" xfId="2" applyNumberFormat="1" applyBorder="1" applyAlignment="1">
      <alignment horizontal="center" vertical="center" wrapText="1"/>
    </xf>
    <xf numFmtId="0" fontId="1" fillId="0" borderId="30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 wrapText="1"/>
    </xf>
    <xf numFmtId="0" fontId="0" fillId="0" borderId="30" xfId="2" applyFont="1" applyBorder="1" applyAlignment="1">
      <alignment horizontal="center" vertical="center" wrapText="1"/>
    </xf>
    <xf numFmtId="0" fontId="0" fillId="0" borderId="10" xfId="2" applyFont="1" applyBorder="1" applyAlignment="1">
      <alignment horizontal="center" vertical="center" wrapText="1"/>
    </xf>
    <xf numFmtId="0" fontId="1" fillId="0" borderId="32" xfId="2" applyBorder="1" applyAlignment="1">
      <alignment horizontal="center" vertical="center" wrapText="1"/>
    </xf>
    <xf numFmtId="0" fontId="1" fillId="0" borderId="136" xfId="2" applyBorder="1" applyAlignment="1">
      <alignment horizontal="center" vertical="center" wrapText="1"/>
    </xf>
    <xf numFmtId="0" fontId="1" fillId="0" borderId="138" xfId="2" applyBorder="1" applyAlignment="1">
      <alignment horizontal="center" vertical="center" wrapText="1"/>
    </xf>
    <xf numFmtId="0" fontId="1" fillId="0" borderId="116" xfId="2" applyBorder="1" applyAlignment="1">
      <alignment horizontal="center" vertical="center" wrapText="1"/>
    </xf>
    <xf numFmtId="0" fontId="1" fillId="0" borderId="200" xfId="2" applyBorder="1" applyAlignment="1">
      <alignment horizontal="center" vertical="center" wrapText="1"/>
    </xf>
    <xf numFmtId="0" fontId="1" fillId="0" borderId="201" xfId="2" applyBorder="1" applyAlignment="1">
      <alignment horizontal="center" vertical="center" wrapText="1"/>
    </xf>
    <xf numFmtId="0" fontId="1" fillId="0" borderId="139" xfId="2" applyBorder="1" applyAlignment="1">
      <alignment horizontal="center" vertical="center" wrapText="1"/>
    </xf>
    <xf numFmtId="0" fontId="0" fillId="0" borderId="0" xfId="2" applyFont="1" applyAlignment="1">
      <alignment horizontal="center" vertical="center" wrapText="1"/>
    </xf>
    <xf numFmtId="0" fontId="0" fillId="0" borderId="83" xfId="2" applyFont="1" applyBorder="1" applyAlignment="1">
      <alignment horizontal="center" vertical="center" wrapText="1"/>
    </xf>
    <xf numFmtId="176" fontId="18" fillId="0" borderId="10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76" fontId="0" fillId="8" borderId="0" xfId="0" applyNumberFormat="1" applyFill="1">
      <alignment vertical="center"/>
    </xf>
    <xf numFmtId="176" fontId="0" fillId="8" borderId="8" xfId="0" applyNumberFormat="1" applyFill="1" applyBorder="1">
      <alignment vertical="center"/>
    </xf>
    <xf numFmtId="0" fontId="0" fillId="0" borderId="31" xfId="2" applyFon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/>
    </xf>
    <xf numFmtId="177" fontId="1" fillId="0" borderId="0" xfId="3" applyNumberFormat="1">
      <alignment vertical="center"/>
    </xf>
    <xf numFmtId="188" fontId="8" fillId="0" borderId="16" xfId="2" applyNumberFormat="1" applyFont="1" applyBorder="1" applyAlignment="1">
      <alignment horizontal="center" vertical="center" wrapText="1"/>
    </xf>
    <xf numFmtId="189" fontId="0" fillId="0" borderId="89" xfId="0" applyNumberFormat="1" applyBorder="1" applyAlignment="1">
      <alignment horizontal="center" vertical="center" shrinkToFit="1"/>
    </xf>
    <xf numFmtId="179" fontId="0" fillId="0" borderId="233" xfId="0" applyNumberFormat="1" applyBorder="1" applyAlignment="1">
      <alignment vertical="center" shrinkToFit="1"/>
    </xf>
    <xf numFmtId="177" fontId="0" fillId="0" borderId="136" xfId="0" applyNumberFormat="1" applyBorder="1" applyAlignment="1">
      <alignment horizontal="right" vertical="center"/>
    </xf>
    <xf numFmtId="178" fontId="0" fillId="0" borderId="136" xfId="0" applyNumberFormat="1" applyBorder="1" applyAlignment="1">
      <alignment horizontal="right" vertical="center"/>
    </xf>
    <xf numFmtId="176" fontId="19" fillId="0" borderId="0" xfId="0" applyNumberFormat="1" applyFont="1">
      <alignment vertical="center"/>
    </xf>
    <xf numFmtId="0" fontId="1" fillId="0" borderId="89" xfId="2" applyBorder="1" applyAlignment="1">
      <alignment vertical="center" wrapText="1"/>
    </xf>
    <xf numFmtId="0" fontId="1" fillId="0" borderId="89" xfId="2" applyBorder="1" applyAlignment="1">
      <alignment horizontal="right" vertical="center" wrapText="1"/>
    </xf>
    <xf numFmtId="0" fontId="1" fillId="0" borderId="89" xfId="2" applyBorder="1" applyAlignment="1">
      <alignment horizontal="left" vertical="center" wrapText="1"/>
    </xf>
    <xf numFmtId="177" fontId="0" fillId="0" borderId="52" xfId="0" applyNumberFormat="1" applyBorder="1" applyAlignment="1">
      <alignment horizontal="center" vertical="center"/>
    </xf>
    <xf numFmtId="176" fontId="1" fillId="0" borderId="24" xfId="0" applyNumberFormat="1" applyFont="1" applyBorder="1">
      <alignment vertical="center"/>
    </xf>
    <xf numFmtId="176" fontId="1" fillId="0" borderId="146" xfId="0" applyNumberFormat="1" applyFont="1" applyBorder="1">
      <alignment vertical="center"/>
    </xf>
    <xf numFmtId="176" fontId="1" fillId="0" borderId="219" xfId="0" applyNumberFormat="1" applyFont="1" applyBorder="1">
      <alignment vertical="center"/>
    </xf>
    <xf numFmtId="177" fontId="1" fillId="0" borderId="24" xfId="3" applyNumberFormat="1" applyBorder="1" applyAlignment="1">
      <alignment vertical="center" shrinkToFit="1"/>
    </xf>
    <xf numFmtId="9" fontId="1" fillId="0" borderId="24" xfId="3" applyNumberFormat="1" applyBorder="1" applyAlignment="1">
      <alignment vertical="center" shrinkToFit="1"/>
    </xf>
    <xf numFmtId="176" fontId="1" fillId="0" borderId="63" xfId="0" applyNumberFormat="1" applyFont="1" applyBorder="1">
      <alignment vertical="center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Border="1" applyAlignment="1">
      <alignment horizontal="center" vertical="center" wrapText="1"/>
    </xf>
    <xf numFmtId="0" fontId="8" fillId="0" borderId="235" xfId="2" applyFont="1" applyBorder="1" applyAlignment="1">
      <alignment horizontal="center" vertical="center" wrapText="1"/>
    </xf>
    <xf numFmtId="0" fontId="16" fillId="0" borderId="235" xfId="2" applyFont="1" applyBorder="1" applyAlignment="1">
      <alignment horizontal="center" vertical="center" wrapText="1"/>
    </xf>
    <xf numFmtId="0" fontId="8" fillId="0" borderId="236" xfId="2" applyFont="1" applyBorder="1" applyAlignment="1">
      <alignment horizontal="center" vertical="center" wrapText="1"/>
    </xf>
    <xf numFmtId="0" fontId="1" fillId="0" borderId="228" xfId="2" applyBorder="1" applyAlignment="1">
      <alignment horizontal="center" vertical="center" wrapText="1"/>
    </xf>
    <xf numFmtId="1" fontId="1" fillId="0" borderId="228" xfId="2" applyNumberFormat="1" applyBorder="1" applyAlignment="1">
      <alignment horizontal="center" vertical="center" wrapText="1"/>
    </xf>
    <xf numFmtId="176" fontId="0" fillId="0" borderId="145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41" xfId="0" applyNumberFormat="1" applyBorder="1">
      <alignment vertical="center"/>
    </xf>
    <xf numFmtId="177" fontId="0" fillId="0" borderId="175" xfId="3" applyNumberFormat="1" applyFont="1" applyBorder="1" applyAlignment="1">
      <alignment horizontal="center" vertical="center" shrinkToFit="1"/>
    </xf>
    <xf numFmtId="177" fontId="0" fillId="0" borderId="175" xfId="0" applyNumberFormat="1" applyBorder="1" applyAlignment="1">
      <alignment horizontal="center" vertical="center" shrinkToFit="1"/>
    </xf>
    <xf numFmtId="177" fontId="0" fillId="0" borderId="204" xfId="0" applyNumberFormat="1" applyBorder="1" applyAlignment="1">
      <alignment horizontal="center" vertical="center" shrinkToFit="1"/>
    </xf>
    <xf numFmtId="176" fontId="0" fillId="2" borderId="150" xfId="0" applyNumberFormat="1" applyFill="1" applyBorder="1" applyAlignment="1">
      <alignment horizontal="center" vertical="center" shrinkToFit="1"/>
    </xf>
    <xf numFmtId="177" fontId="0" fillId="2" borderId="150" xfId="0" applyNumberFormat="1" applyFill="1" applyBorder="1" applyAlignment="1">
      <alignment vertical="center" shrinkToFit="1"/>
    </xf>
    <xf numFmtId="176" fontId="0" fillId="2" borderId="155" xfId="0" applyNumberFormat="1" applyFill="1" applyBorder="1" applyAlignment="1">
      <alignment vertical="center" shrinkToFit="1"/>
    </xf>
    <xf numFmtId="177" fontId="0" fillId="2" borderId="213" xfId="0" applyNumberFormat="1" applyFill="1" applyBorder="1" applyAlignment="1">
      <alignment vertical="center" shrinkToFit="1"/>
    </xf>
    <xf numFmtId="176" fontId="0" fillId="2" borderId="216" xfId="0" applyNumberFormat="1" applyFill="1" applyBorder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49" fontId="20" fillId="0" borderId="0" xfId="0" applyNumberFormat="1" applyFont="1" applyAlignment="1">
      <alignment horizontal="center" vertical="center"/>
    </xf>
    <xf numFmtId="176" fontId="20" fillId="0" borderId="0" xfId="0" applyNumberFormat="1" applyFont="1">
      <alignment vertical="center"/>
    </xf>
    <xf numFmtId="179" fontId="20" fillId="0" borderId="0" xfId="0" applyNumberFormat="1" applyFont="1">
      <alignment vertical="center"/>
    </xf>
    <xf numFmtId="0" fontId="0" fillId="0" borderId="89" xfId="2" applyFont="1" applyBorder="1" applyAlignment="1">
      <alignment horizontal="left" vertical="top" wrapText="1"/>
    </xf>
    <xf numFmtId="0" fontId="0" fillId="0" borderId="228" xfId="2" applyFont="1" applyBorder="1" applyAlignment="1">
      <alignment horizontal="left" vertical="top" wrapText="1"/>
    </xf>
    <xf numFmtId="0" fontId="0" fillId="0" borderId="214" xfId="2" applyFont="1" applyBorder="1" applyAlignment="1">
      <alignment horizontal="left" vertical="top" wrapText="1"/>
    </xf>
    <xf numFmtId="0" fontId="0" fillId="0" borderId="216" xfId="2" applyFont="1" applyBorder="1" applyAlignment="1">
      <alignment horizontal="left" vertical="top" wrapText="1"/>
    </xf>
    <xf numFmtId="182" fontId="0" fillId="0" borderId="138" xfId="0" applyNumberFormat="1" applyBorder="1" applyAlignment="1">
      <alignment horizontal="left" vertical="center"/>
    </xf>
    <xf numFmtId="0" fontId="0" fillId="0" borderId="89" xfId="2" applyFont="1" applyBorder="1" applyAlignment="1">
      <alignment horizontal="left" vertical="center" wrapText="1"/>
    </xf>
    <xf numFmtId="179" fontId="0" fillId="0" borderId="241" xfId="0" applyNumberFormat="1" applyBorder="1" applyAlignment="1">
      <alignment vertical="center" shrinkToFit="1"/>
    </xf>
    <xf numFmtId="179" fontId="0" fillId="0" borderId="21" xfId="0" applyNumberFormat="1" applyBorder="1" applyAlignment="1">
      <alignment vertical="center" shrinkToFit="1"/>
    </xf>
    <xf numFmtId="179" fontId="0" fillId="0" borderId="242" xfId="0" applyNumberFormat="1" applyBorder="1" applyAlignment="1">
      <alignment vertical="center" shrinkToFit="1"/>
    </xf>
    <xf numFmtId="179" fontId="0" fillId="0" borderId="138" xfId="0" applyNumberFormat="1" applyBorder="1" applyAlignment="1">
      <alignment vertical="center" shrinkToFit="1"/>
    </xf>
    <xf numFmtId="179" fontId="0" fillId="0" borderId="243" xfId="0" applyNumberFormat="1" applyBorder="1" applyAlignment="1">
      <alignment vertical="center" shrinkToFit="1"/>
    </xf>
    <xf numFmtId="179" fontId="0" fillId="0" borderId="244" xfId="0" applyNumberFormat="1" applyBorder="1" applyAlignment="1">
      <alignment vertical="center" shrinkToFit="1"/>
    </xf>
    <xf numFmtId="179" fontId="0" fillId="0" borderId="245" xfId="0" applyNumberFormat="1" applyBorder="1" applyAlignment="1">
      <alignment vertical="center" shrinkToFit="1"/>
    </xf>
    <xf numFmtId="179" fontId="0" fillId="0" borderId="246" xfId="0" applyNumberFormat="1" applyBorder="1" applyAlignment="1">
      <alignment vertical="center" shrinkToFit="1"/>
    </xf>
    <xf numFmtId="179" fontId="0" fillId="0" borderId="247" xfId="0" applyNumberFormat="1" applyBorder="1" applyAlignment="1">
      <alignment vertical="center" shrinkToFit="1"/>
    </xf>
    <xf numFmtId="179" fontId="0" fillId="0" borderId="248" xfId="0" applyNumberFormat="1" applyBorder="1" applyAlignment="1">
      <alignment vertical="center" shrinkToFit="1"/>
    </xf>
    <xf numFmtId="179" fontId="0" fillId="0" borderId="249" xfId="0" applyNumberFormat="1" applyBorder="1" applyAlignment="1">
      <alignment vertical="center" shrinkToFit="1"/>
    </xf>
    <xf numFmtId="176" fontId="0" fillId="0" borderId="138" xfId="0" applyNumberFormat="1" applyBorder="1" applyAlignment="1">
      <alignment horizontal="center" vertical="center"/>
    </xf>
    <xf numFmtId="176" fontId="0" fillId="0" borderId="250" xfId="0" applyNumberFormat="1" applyBorder="1" applyAlignment="1">
      <alignment horizontal="center" vertical="center"/>
    </xf>
    <xf numFmtId="179" fontId="0" fillId="0" borderId="251" xfId="0" applyNumberFormat="1" applyBorder="1" applyAlignment="1">
      <alignment vertical="center" shrinkToFit="1"/>
    </xf>
    <xf numFmtId="176" fontId="0" fillId="0" borderId="246" xfId="0" applyNumberFormat="1" applyBorder="1" applyAlignment="1">
      <alignment horizontal="center" vertical="center"/>
    </xf>
    <xf numFmtId="176" fontId="0" fillId="0" borderId="243" xfId="0" applyNumberFormat="1" applyBorder="1" applyAlignment="1">
      <alignment horizontal="center" vertical="center"/>
    </xf>
    <xf numFmtId="179" fontId="0" fillId="0" borderId="252" xfId="0" applyNumberFormat="1" applyBorder="1" applyAlignment="1">
      <alignment vertical="center" shrinkToFit="1"/>
    </xf>
    <xf numFmtId="179" fontId="0" fillId="0" borderId="253" xfId="0" applyNumberFormat="1" applyBorder="1" applyAlignment="1">
      <alignment vertical="center" shrinkToFit="1"/>
    </xf>
    <xf numFmtId="179" fontId="0" fillId="0" borderId="254" xfId="0" applyNumberFormat="1" applyBorder="1" applyAlignment="1">
      <alignment vertical="center" shrinkToFit="1"/>
    </xf>
    <xf numFmtId="176" fontId="0" fillId="0" borderId="166" xfId="0" applyNumberFormat="1" applyBorder="1">
      <alignment vertical="center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0" fillId="0" borderId="230" xfId="2" applyFont="1" applyBorder="1" applyAlignment="1">
      <alignment horizontal="center" vertical="center" wrapText="1"/>
    </xf>
    <xf numFmtId="0" fontId="1" fillId="0" borderId="231" xfId="2" applyBorder="1" applyAlignment="1">
      <alignment horizontal="center" vertical="center" wrapText="1"/>
    </xf>
    <xf numFmtId="0" fontId="1" fillId="0" borderId="232" xfId="2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185" fontId="8" fillId="0" borderId="151" xfId="2" applyNumberFormat="1" applyFont="1" applyBorder="1" applyAlignment="1">
      <alignment horizontal="center" vertical="center" wrapText="1"/>
    </xf>
    <xf numFmtId="185" fontId="8" fillId="0" borderId="158" xfId="2" applyNumberFormat="1" applyFont="1" applyBorder="1" applyAlignment="1">
      <alignment horizontal="center" vertical="center" wrapText="1"/>
    </xf>
    <xf numFmtId="185" fontId="8" fillId="0" borderId="52" xfId="2" applyNumberFormat="1" applyFont="1" applyBorder="1" applyAlignment="1">
      <alignment horizontal="center" vertical="center" wrapText="1"/>
    </xf>
    <xf numFmtId="0" fontId="8" fillId="0" borderId="52" xfId="2" applyFont="1" applyBorder="1" applyAlignment="1">
      <alignment horizontal="center" vertical="center" wrapText="1"/>
    </xf>
    <xf numFmtId="188" fontId="8" fillId="0" borderId="25" xfId="2" applyNumberFormat="1" applyFont="1" applyBorder="1" applyAlignment="1">
      <alignment horizontal="center" vertical="center" wrapText="1"/>
    </xf>
    <xf numFmtId="188" fontId="8" fillId="0" borderId="26" xfId="2" applyNumberFormat="1" applyFont="1" applyBorder="1" applyAlignment="1">
      <alignment horizontal="center" vertical="center" wrapText="1"/>
    </xf>
    <xf numFmtId="188" fontId="8" fillId="0" borderId="114" xfId="2" applyNumberFormat="1" applyFont="1" applyBorder="1" applyAlignment="1">
      <alignment horizontal="center" vertical="center" wrapText="1"/>
    </xf>
    <xf numFmtId="0" fontId="1" fillId="0" borderId="89" xfId="2" applyBorder="1" applyAlignment="1">
      <alignment horizontal="center" vertical="center" wrapText="1"/>
    </xf>
    <xf numFmtId="0" fontId="1" fillId="0" borderId="13" xfId="2" applyBorder="1" applyAlignment="1">
      <alignment horizontal="center" vertical="center" wrapText="1"/>
    </xf>
    <xf numFmtId="0" fontId="0" fillId="0" borderId="151" xfId="2" applyFont="1" applyBorder="1" applyAlignment="1">
      <alignment horizontal="left" vertical="center" wrapText="1"/>
    </xf>
    <xf numFmtId="0" fontId="1" fillId="0" borderId="158" xfId="2" applyBorder="1" applyAlignment="1">
      <alignment horizontal="left" vertical="center" wrapText="1"/>
    </xf>
    <xf numFmtId="0" fontId="1" fillId="0" borderId="52" xfId="2" applyBorder="1" applyAlignment="1">
      <alignment horizontal="left" vertical="center" wrapText="1"/>
    </xf>
    <xf numFmtId="0" fontId="0" fillId="0" borderId="13" xfId="2" applyFont="1" applyBorder="1" applyAlignment="1">
      <alignment horizontal="left" vertical="center" wrapText="1"/>
    </xf>
    <xf numFmtId="0" fontId="1" fillId="0" borderId="14" xfId="2" applyBorder="1" applyAlignment="1">
      <alignment horizontal="left" vertical="center" wrapText="1"/>
    </xf>
    <xf numFmtId="0" fontId="1" fillId="0" borderId="13" xfId="2" applyBorder="1" applyAlignment="1">
      <alignment horizontal="left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185" fontId="0" fillId="0" borderId="16" xfId="2" applyNumberFormat="1" applyFont="1" applyBorder="1" applyAlignment="1">
      <alignment horizontal="center" vertical="center" wrapText="1"/>
    </xf>
    <xf numFmtId="185" fontId="1" fillId="0" borderId="16" xfId="2" applyNumberFormat="1" applyBorder="1" applyAlignment="1">
      <alignment horizontal="center" vertical="center" wrapText="1"/>
    </xf>
    <xf numFmtId="185" fontId="1" fillId="0" borderId="10" xfId="2" applyNumberForma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9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8" fillId="0" borderId="10" xfId="2" applyFont="1" applyBorder="1" applyAlignment="1">
      <alignment horizontal="left" vertical="center" wrapText="1" indent="1"/>
    </xf>
    <xf numFmtId="0" fontId="8" fillId="0" borderId="0" xfId="2" applyFont="1" applyAlignment="1">
      <alignment horizontal="left" vertical="center" wrapText="1" indent="1"/>
    </xf>
    <xf numFmtId="0" fontId="1" fillId="0" borderId="136" xfId="2" applyBorder="1" applyAlignment="1">
      <alignment horizontal="left" vertical="center" wrapText="1" indent="1"/>
    </xf>
    <xf numFmtId="0" fontId="1" fillId="0" borderId="138" xfId="2" applyBorder="1" applyAlignment="1">
      <alignment horizontal="left" vertical="center" wrapText="1" indent="1"/>
    </xf>
    <xf numFmtId="0" fontId="1" fillId="0" borderId="19" xfId="2" applyBorder="1" applyAlignment="1">
      <alignment horizontal="left" vertical="center" wrapText="1"/>
    </xf>
    <xf numFmtId="0" fontId="1" fillId="0" borderId="18" xfId="2" applyBorder="1" applyAlignment="1">
      <alignment horizontal="left" vertical="center" wrapText="1"/>
    </xf>
    <xf numFmtId="0" fontId="1" fillId="0" borderId="115" xfId="2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center" wrapText="1" indent="1"/>
    </xf>
    <xf numFmtId="0" fontId="8" fillId="0" borderId="26" xfId="2" applyFont="1" applyBorder="1" applyAlignment="1">
      <alignment horizontal="left" vertical="center" wrapText="1" indent="1"/>
    </xf>
    <xf numFmtId="0" fontId="1" fillId="0" borderId="51" xfId="2" applyBorder="1" applyAlignment="1">
      <alignment horizontal="center" vertical="center"/>
    </xf>
    <xf numFmtId="0" fontId="1" fillId="0" borderId="50" xfId="2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7" xfId="2" applyBorder="1" applyAlignment="1">
      <alignment vertical="center" wrapText="1"/>
    </xf>
    <xf numFmtId="0" fontId="1" fillId="0" borderId="39" xfId="2" applyBorder="1" applyAlignment="1">
      <alignment vertical="center" wrapText="1"/>
    </xf>
    <xf numFmtId="0" fontId="1" fillId="0" borderId="25" xfId="2" applyBorder="1" applyAlignment="1">
      <alignment horizontal="center" vertical="center" wrapText="1"/>
    </xf>
    <xf numFmtId="0" fontId="1" fillId="0" borderId="26" xfId="2" applyBorder="1" applyAlignment="1">
      <alignment horizontal="center" vertical="center" wrapText="1"/>
    </xf>
    <xf numFmtId="0" fontId="1" fillId="0" borderId="29" xfId="2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1" fillId="0" borderId="19" xfId="2" applyBorder="1" applyAlignment="1">
      <alignment horizontal="center" vertical="center" wrapText="1"/>
    </xf>
    <xf numFmtId="0" fontId="1" fillId="0" borderId="18" xfId="2" applyBorder="1" applyAlignment="1">
      <alignment horizontal="center" vertical="center" wrapText="1"/>
    </xf>
    <xf numFmtId="0" fontId="1" fillId="0" borderId="20" xfId="2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Border="1" applyAlignment="1">
      <alignment horizontal="center" vertical="center"/>
    </xf>
    <xf numFmtId="0" fontId="1" fillId="0" borderId="96" xfId="2" applyBorder="1" applyAlignment="1">
      <alignment horizontal="center" vertical="center"/>
    </xf>
    <xf numFmtId="0" fontId="1" fillId="0" borderId="97" xfId="2" applyBorder="1" applyAlignment="1">
      <alignment horizontal="center" vertical="center"/>
    </xf>
    <xf numFmtId="0" fontId="1" fillId="0" borderId="98" xfId="2" applyBorder="1" applyAlignment="1">
      <alignment horizontal="center" vertical="center"/>
    </xf>
    <xf numFmtId="0" fontId="0" fillId="0" borderId="50" xfId="2" applyFont="1" applyBorder="1" applyAlignment="1">
      <alignment vertical="center" wrapText="1"/>
    </xf>
    <xf numFmtId="0" fontId="1" fillId="0" borderId="50" xfId="2" applyBorder="1" applyAlignment="1">
      <alignment vertical="center" wrapText="1"/>
    </xf>
    <xf numFmtId="0" fontId="1" fillId="0" borderId="67" xfId="2" applyBorder="1" applyAlignment="1">
      <alignment vertical="center" wrapText="1"/>
    </xf>
    <xf numFmtId="0" fontId="8" fillId="0" borderId="6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Alignment="1">
      <alignment horizontal="left" vertical="center" indent="1"/>
    </xf>
    <xf numFmtId="0" fontId="0" fillId="0" borderId="49" xfId="2" applyFont="1" applyBorder="1" applyAlignment="1">
      <alignment vertical="center" wrapText="1"/>
    </xf>
    <xf numFmtId="0" fontId="1" fillId="0" borderId="49" xfId="2" applyBorder="1" applyAlignment="1">
      <alignment vertical="center" wrapText="1"/>
    </xf>
    <xf numFmtId="0" fontId="1" fillId="0" borderId="65" xfId="2" applyBorder="1" applyAlignment="1">
      <alignment vertical="center" wrapText="1"/>
    </xf>
    <xf numFmtId="0" fontId="1" fillId="0" borderId="99" xfId="2" applyBorder="1" applyAlignment="1">
      <alignment horizontal="center" vertical="center"/>
    </xf>
    <xf numFmtId="0" fontId="1" fillId="0" borderId="24" xfId="2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Border="1" applyAlignment="1">
      <alignment vertical="center" wrapText="1"/>
    </xf>
    <xf numFmtId="0" fontId="1" fillId="0" borderId="63" xfId="2" applyBorder="1" applyAlignment="1">
      <alignment vertical="center" wrapText="1"/>
    </xf>
    <xf numFmtId="0" fontId="1" fillId="0" borderId="41" xfId="2" applyBorder="1" applyAlignment="1">
      <alignment horizontal="center" vertical="center"/>
    </xf>
    <xf numFmtId="0" fontId="1" fillId="0" borderId="64" xfId="2" applyBorder="1" applyAlignment="1">
      <alignment horizontal="center" vertical="center"/>
    </xf>
    <xf numFmtId="0" fontId="1" fillId="0" borderId="49" xfId="2" applyBorder="1" applyAlignment="1">
      <alignment horizontal="center" vertical="center"/>
    </xf>
    <xf numFmtId="0" fontId="1" fillId="0" borderId="100" xfId="2" applyBorder="1" applyAlignment="1">
      <alignment horizontal="center" vertical="center"/>
    </xf>
    <xf numFmtId="0" fontId="0" fillId="0" borderId="160" xfId="0" applyBorder="1" applyAlignment="1">
      <alignment horizontal="center" vertical="center" shrinkToFit="1"/>
    </xf>
    <xf numFmtId="0" fontId="0" fillId="0" borderId="161" xfId="0" applyBorder="1" applyAlignment="1">
      <alignment horizontal="center" vertical="center" shrinkToFit="1"/>
    </xf>
    <xf numFmtId="0" fontId="8" fillId="0" borderId="160" xfId="0" applyFont="1" applyBorder="1" applyAlignment="1">
      <alignment horizontal="center" vertical="center" shrinkToFit="1"/>
    </xf>
    <xf numFmtId="0" fontId="8" fillId="0" borderId="163" xfId="0" applyFont="1" applyBorder="1" applyAlignment="1">
      <alignment horizontal="center" vertical="center" shrinkToFit="1"/>
    </xf>
    <xf numFmtId="0" fontId="8" fillId="0" borderId="161" xfId="0" applyFont="1" applyBorder="1" applyAlignment="1">
      <alignment horizontal="center" vertical="center" shrinkToFit="1"/>
    </xf>
    <xf numFmtId="0" fontId="8" fillId="0" borderId="101" xfId="0" quotePrefix="1" applyFont="1" applyBorder="1" applyAlignment="1">
      <alignment horizontal="center" vertical="center" wrapText="1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8" fillId="0" borderId="237" xfId="2" applyFont="1" applyBorder="1" applyAlignment="1">
      <alignment horizontal="center" vertical="center" textRotation="255" wrapText="1"/>
    </xf>
    <xf numFmtId="0" fontId="8" fillId="0" borderId="234" xfId="2" applyFont="1" applyBorder="1" applyAlignment="1">
      <alignment horizontal="center" vertical="center" wrapText="1"/>
    </xf>
    <xf numFmtId="0" fontId="8" fillId="0" borderId="235" xfId="2" applyFont="1" applyBorder="1" applyAlignment="1">
      <alignment horizontal="center" vertical="center" wrapText="1"/>
    </xf>
    <xf numFmtId="0" fontId="1" fillId="0" borderId="239" xfId="2" applyBorder="1" applyAlignment="1">
      <alignment horizontal="center" vertical="center"/>
    </xf>
    <xf numFmtId="0" fontId="1" fillId="0" borderId="240" xfId="2" applyBorder="1" applyAlignment="1">
      <alignment horizontal="center" vertical="center"/>
    </xf>
    <xf numFmtId="0" fontId="1" fillId="0" borderId="238" xfId="2" applyBorder="1" applyAlignment="1">
      <alignment horizontal="center" vertical="center"/>
    </xf>
    <xf numFmtId="0" fontId="1" fillId="0" borderId="52" xfId="2" applyBorder="1" applyAlignment="1">
      <alignment horizontal="center" vertical="center"/>
    </xf>
    <xf numFmtId="0" fontId="1" fillId="0" borderId="151" xfId="2" applyBorder="1" applyAlignment="1">
      <alignment horizontal="center" vertical="center" wrapText="1"/>
    </xf>
    <xf numFmtId="0" fontId="1" fillId="0" borderId="52" xfId="2" applyBorder="1" applyAlignment="1">
      <alignment horizontal="center" vertical="center" wrapText="1"/>
    </xf>
    <xf numFmtId="1" fontId="1" fillId="0" borderId="151" xfId="2" applyNumberFormat="1" applyBorder="1" applyAlignment="1">
      <alignment horizontal="center" vertical="center" wrapText="1"/>
    </xf>
    <xf numFmtId="1" fontId="1" fillId="0" borderId="52" xfId="2" applyNumberFormat="1" applyBorder="1" applyAlignment="1">
      <alignment horizontal="center" vertical="center" wrapText="1"/>
    </xf>
    <xf numFmtId="0" fontId="0" fillId="3" borderId="99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4" borderId="150" xfId="0" applyFill="1" applyBorder="1" applyAlignment="1">
      <alignment horizontal="center" vertical="center" textRotation="255" wrapText="1"/>
    </xf>
    <xf numFmtId="0" fontId="0" fillId="4" borderId="44" xfId="0" applyFill="1" applyBorder="1" applyAlignment="1">
      <alignment horizontal="center" vertical="center" textRotation="255" wrapText="1"/>
    </xf>
    <xf numFmtId="0" fontId="0" fillId="4" borderId="127" xfId="0" applyFill="1" applyBorder="1" applyAlignment="1">
      <alignment horizontal="center" vertical="center" textRotation="255" wrapText="1"/>
    </xf>
    <xf numFmtId="0" fontId="0" fillId="4" borderId="150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181" fontId="0" fillId="0" borderId="47" xfId="0" applyNumberFormat="1" applyBorder="1">
      <alignment vertical="center"/>
    </xf>
    <xf numFmtId="181" fontId="0" fillId="0" borderId="48" xfId="0" applyNumberFormat="1" applyBorder="1">
      <alignment vertical="center"/>
    </xf>
    <xf numFmtId="181" fontId="0" fillId="0" borderId="187" xfId="0" applyNumberFormat="1" applyBorder="1">
      <alignment vertical="center"/>
    </xf>
    <xf numFmtId="0" fontId="0" fillId="0" borderId="141" xfId="0" applyBorder="1" applyAlignment="1">
      <alignment horizontal="center" vertical="center" textRotation="255"/>
    </xf>
    <xf numFmtId="0" fontId="0" fillId="0" borderId="106" xfId="0" applyBorder="1" applyAlignment="1">
      <alignment horizontal="center" vertical="center" textRotation="255"/>
    </xf>
    <xf numFmtId="0" fontId="0" fillId="3" borderId="100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181" fontId="0" fillId="0" borderId="34" xfId="0" applyNumberFormat="1" applyBorder="1">
      <alignment vertical="center"/>
    </xf>
    <xf numFmtId="181" fontId="0" fillId="0" borderId="40" xfId="0" applyNumberFormat="1" applyBorder="1">
      <alignment vertical="center"/>
    </xf>
    <xf numFmtId="181" fontId="0" fillId="0" borderId="182" xfId="0" applyNumberFormat="1" applyBorder="1">
      <alignment vertical="center"/>
    </xf>
    <xf numFmtId="180" fontId="0" fillId="0" borderId="176" xfId="1" applyNumberFormat="1" applyFont="1" applyBorder="1" applyAlignment="1">
      <alignment horizontal="center" vertical="center"/>
    </xf>
    <xf numFmtId="180" fontId="0" fillId="0" borderId="107" xfId="1" applyNumberFormat="1" applyFont="1" applyBorder="1" applyAlignment="1">
      <alignment horizontal="center" vertical="center"/>
    </xf>
    <xf numFmtId="180" fontId="0" fillId="0" borderId="177" xfId="1" applyNumberFormat="1" applyFont="1" applyBorder="1" applyAlignment="1">
      <alignment horizontal="center" vertical="center"/>
    </xf>
    <xf numFmtId="180" fontId="0" fillId="0" borderId="133" xfId="1" applyNumberFormat="1" applyFont="1" applyBorder="1" applyAlignment="1">
      <alignment horizontal="center" vertical="center"/>
    </xf>
    <xf numFmtId="180" fontId="0" fillId="0" borderId="108" xfId="1" applyNumberFormat="1" applyFont="1" applyBorder="1" applyAlignment="1">
      <alignment horizontal="center" vertical="center"/>
    </xf>
    <xf numFmtId="180" fontId="0" fillId="0" borderId="178" xfId="1" applyNumberFormat="1" applyFont="1" applyBorder="1" applyAlignment="1">
      <alignment horizontal="center" vertical="center"/>
    </xf>
    <xf numFmtId="181" fontId="0" fillId="0" borderId="179" xfId="0" applyNumberFormat="1" applyBorder="1">
      <alignment vertical="center"/>
    </xf>
    <xf numFmtId="181" fontId="0" fillId="0" borderId="180" xfId="0" applyNumberFormat="1" applyBorder="1">
      <alignment vertical="center"/>
    </xf>
    <xf numFmtId="181" fontId="0" fillId="0" borderId="181" xfId="0" applyNumberFormat="1" applyBorder="1">
      <alignment vertical="center"/>
    </xf>
    <xf numFmtId="0" fontId="0" fillId="7" borderId="106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0" borderId="150" xfId="0" applyBorder="1">
      <alignment vertical="center"/>
    </xf>
    <xf numFmtId="0" fontId="0" fillId="0" borderId="44" xfId="0" applyBorder="1">
      <alignment vertical="center"/>
    </xf>
    <xf numFmtId="0" fontId="0" fillId="0" borderId="127" xfId="0" applyBorder="1">
      <alignment vertical="center"/>
    </xf>
    <xf numFmtId="0" fontId="0" fillId="4" borderId="57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108" xfId="0" applyBorder="1">
      <alignment vertical="center"/>
    </xf>
    <xf numFmtId="0" fontId="0" fillId="3" borderId="34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0" borderId="150" xfId="0" applyBorder="1" applyAlignment="1">
      <alignment vertical="center" wrapText="1"/>
    </xf>
    <xf numFmtId="0" fontId="0" fillId="4" borderId="34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3" borderId="183" xfId="0" applyFill="1" applyBorder="1" applyAlignment="1">
      <alignment horizontal="center" vertical="center"/>
    </xf>
    <xf numFmtId="0" fontId="0" fillId="3" borderId="117" xfId="0" applyFill="1" applyBorder="1" applyAlignment="1">
      <alignment horizontal="center" vertical="center"/>
    </xf>
    <xf numFmtId="0" fontId="0" fillId="3" borderId="18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185" xfId="0" applyFill="1" applyBorder="1" applyAlignment="1">
      <alignment horizontal="center" vertical="center"/>
    </xf>
    <xf numFmtId="0" fontId="0" fillId="3" borderId="186" xfId="0" applyFill="1" applyBorder="1" applyAlignment="1">
      <alignment horizontal="center" vertical="center"/>
    </xf>
    <xf numFmtId="179" fontId="0" fillId="0" borderId="255" xfId="0" applyNumberFormat="1" applyBorder="1" applyAlignment="1">
      <alignment horizontal="center" vertical="center" shrinkToFit="1"/>
    </xf>
    <xf numFmtId="179" fontId="0" fillId="0" borderId="256" xfId="0" applyNumberFormat="1" applyBorder="1" applyAlignment="1">
      <alignment horizontal="center" vertical="center" shrinkToFit="1"/>
    </xf>
    <xf numFmtId="179" fontId="0" fillId="0" borderId="257" xfId="0" applyNumberFormat="1" applyBorder="1" applyAlignment="1">
      <alignment horizontal="center" vertical="center" shrinkToFit="1"/>
    </xf>
    <xf numFmtId="176" fontId="0" fillId="0" borderId="164" xfId="0" applyNumberFormat="1" applyBorder="1" applyAlignment="1">
      <alignment horizontal="center" vertical="center"/>
    </xf>
    <xf numFmtId="176" fontId="0" fillId="0" borderId="16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87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34" xfId="0" applyNumberFormat="1" applyBorder="1" applyAlignment="1">
      <alignment horizontal="center" vertical="center"/>
    </xf>
    <xf numFmtId="176" fontId="0" fillId="0" borderId="114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center" vertical="center"/>
    </xf>
    <xf numFmtId="176" fontId="0" fillId="0" borderId="52" xfId="0" applyNumberFormat="1" applyBorder="1" applyAlignment="1">
      <alignment horizontal="center" vertical="center"/>
    </xf>
    <xf numFmtId="176" fontId="0" fillId="0" borderId="74" xfId="0" applyNumberFormat="1" applyBorder="1" applyAlignment="1">
      <alignment horizontal="left" vertical="center" indent="1"/>
    </xf>
    <xf numFmtId="176" fontId="0" fillId="0" borderId="52" xfId="0" applyNumberFormat="1" applyBorder="1" applyAlignment="1">
      <alignment horizontal="left" vertical="center" indent="1"/>
    </xf>
    <xf numFmtId="176" fontId="0" fillId="0" borderId="84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0" fontId="0" fillId="0" borderId="0" xfId="2" applyFont="1" applyAlignment="1">
      <alignment horizontal="center" vertical="center" shrinkToFit="1"/>
    </xf>
    <xf numFmtId="176" fontId="0" fillId="0" borderId="173" xfId="0" applyNumberFormat="1" applyBorder="1" applyAlignment="1">
      <alignment horizontal="center" vertical="center"/>
    </xf>
    <xf numFmtId="176" fontId="0" fillId="0" borderId="123" xfId="0" applyNumberFormat="1" applyBorder="1" applyAlignment="1">
      <alignment horizontal="center" vertical="center"/>
    </xf>
    <xf numFmtId="176" fontId="0" fillId="0" borderId="168" xfId="0" applyNumberFormat="1" applyBorder="1" applyAlignment="1">
      <alignment horizontal="center" vertical="center"/>
    </xf>
    <xf numFmtId="176" fontId="0" fillId="0" borderId="171" xfId="0" applyNumberFormat="1" applyBorder="1" applyAlignment="1">
      <alignment horizontal="center" vertical="center"/>
    </xf>
    <xf numFmtId="176" fontId="0" fillId="0" borderId="118" xfId="0" applyNumberFormat="1" applyBorder="1" applyAlignment="1">
      <alignment horizontal="center" vertical="center" shrinkToFit="1"/>
    </xf>
    <xf numFmtId="176" fontId="0" fillId="0" borderId="86" xfId="0" applyNumberFormat="1" applyBorder="1" applyAlignment="1">
      <alignment horizontal="center" vertical="center" shrinkToFit="1"/>
    </xf>
    <xf numFmtId="176" fontId="0" fillId="0" borderId="61" xfId="0" applyNumberFormat="1" applyBorder="1" applyAlignment="1">
      <alignment horizontal="center" vertical="center" textRotation="255" shrinkToFit="1"/>
    </xf>
    <xf numFmtId="176" fontId="0" fillId="0" borderId="59" xfId="0" applyNumberFormat="1" applyBorder="1" applyAlignment="1">
      <alignment horizontal="center" vertical="center" textRotation="255" shrinkToFit="1"/>
    </xf>
    <xf numFmtId="176" fontId="0" fillId="0" borderId="81" xfId="0" applyNumberFormat="1" applyBorder="1" applyAlignment="1">
      <alignment horizontal="center" vertical="center" textRotation="255" shrinkToFit="1"/>
    </xf>
    <xf numFmtId="176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176" fontId="0" fillId="0" borderId="80" xfId="0" applyNumberFormat="1" applyBorder="1" applyAlignment="1">
      <alignment horizontal="center" vertical="center" shrinkToFit="1"/>
    </xf>
    <xf numFmtId="176" fontId="0" fillId="0" borderId="81" xfId="0" applyNumberFormat="1" applyBorder="1" applyAlignment="1">
      <alignment horizontal="center" vertical="center" shrinkToFit="1"/>
    </xf>
    <xf numFmtId="176" fontId="0" fillId="0" borderId="73" xfId="0" applyNumberFormat="1" applyBorder="1" applyAlignment="1">
      <alignment horizontal="center" vertical="center" shrinkToFit="1"/>
    </xf>
    <xf numFmtId="176" fontId="0" fillId="0" borderId="82" xfId="0" applyNumberFormat="1" applyBorder="1" applyAlignment="1">
      <alignment horizontal="center" vertical="center" shrinkToFit="1"/>
    </xf>
    <xf numFmtId="177" fontId="0" fillId="0" borderId="151" xfId="0" applyNumberFormat="1" applyBorder="1" applyAlignment="1">
      <alignment horizontal="left" vertical="center"/>
    </xf>
    <xf numFmtId="177" fontId="0" fillId="0" borderId="158" xfId="0" applyNumberFormat="1" applyBorder="1" applyAlignment="1">
      <alignment horizontal="left" vertical="center"/>
    </xf>
    <xf numFmtId="177" fontId="0" fillId="0" borderId="225" xfId="0" applyNumberFormat="1" applyBorder="1" applyAlignment="1">
      <alignment horizontal="left" vertical="center"/>
    </xf>
    <xf numFmtId="177" fontId="0" fillId="0" borderId="13" xfId="0" applyNumberFormat="1" applyBorder="1" applyAlignment="1">
      <alignment vertical="center" shrinkToFit="1"/>
    </xf>
    <xf numFmtId="177" fontId="0" fillId="0" borderId="14" xfId="0" applyNumberFormat="1" applyBorder="1" applyAlignment="1">
      <alignment vertical="center" shrinkToFit="1"/>
    </xf>
    <xf numFmtId="177" fontId="0" fillId="0" borderId="158" xfId="0" applyNumberFormat="1" applyBorder="1" applyAlignment="1">
      <alignment vertical="center" shrinkToFit="1"/>
    </xf>
    <xf numFmtId="177" fontId="0" fillId="0" borderId="151" xfId="0" applyNumberFormat="1" applyBorder="1" applyAlignment="1">
      <alignment horizontal="center" vertical="center"/>
    </xf>
    <xf numFmtId="177" fontId="0" fillId="0" borderId="158" xfId="0" applyNumberFormat="1" applyBorder="1" applyAlignment="1">
      <alignment horizontal="center" vertical="center"/>
    </xf>
    <xf numFmtId="177" fontId="0" fillId="0" borderId="225" xfId="0" applyNumberFormat="1" applyBorder="1" applyAlignment="1">
      <alignment horizontal="center" vertical="center"/>
    </xf>
    <xf numFmtId="177" fontId="0" fillId="0" borderId="151" xfId="0" applyNumberFormat="1" applyBorder="1">
      <alignment vertical="center"/>
    </xf>
    <xf numFmtId="177" fontId="0" fillId="0" borderId="158" xfId="0" applyNumberFormat="1" applyBorder="1">
      <alignment vertical="center"/>
    </xf>
    <xf numFmtId="177" fontId="0" fillId="0" borderId="225" xfId="0" applyNumberFormat="1" applyBorder="1">
      <alignment vertical="center"/>
    </xf>
    <xf numFmtId="177" fontId="0" fillId="0" borderId="12" xfId="0" applyNumberForma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0" borderId="227" xfId="0" applyNumberFormat="1" applyBorder="1" applyAlignment="1">
      <alignment horizontal="center" vertical="center"/>
    </xf>
    <xf numFmtId="177" fontId="0" fillId="0" borderId="88" xfId="0" applyNumberFormat="1" applyBorder="1" applyAlignment="1">
      <alignment horizontal="center" vertical="center" shrinkToFit="1"/>
    </xf>
    <xf numFmtId="177" fontId="0" fillId="0" borderId="89" xfId="0" applyNumberFormat="1" applyBorder="1" applyAlignment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177" fontId="0" fillId="0" borderId="87" xfId="0" applyNumberFormat="1" applyBorder="1" applyAlignment="1">
      <alignment horizontal="center" vertical="center" shrinkToFit="1"/>
    </xf>
    <xf numFmtId="177" fontId="0" fillId="0" borderId="220" xfId="0" applyNumberFormat="1" applyBorder="1" applyAlignment="1">
      <alignment horizontal="center" vertical="center"/>
    </xf>
    <xf numFmtId="177" fontId="0" fillId="0" borderId="221" xfId="0" applyNumberFormat="1" applyBorder="1" applyAlignment="1">
      <alignment horizontal="center" vertical="center"/>
    </xf>
    <xf numFmtId="177" fontId="0" fillId="0" borderId="222" xfId="0" applyNumberFormat="1" applyBorder="1" applyAlignment="1">
      <alignment horizontal="center" vertical="center"/>
    </xf>
    <xf numFmtId="177" fontId="0" fillId="0" borderId="151" xfId="0" applyNumberFormat="1" applyBorder="1" applyAlignment="1">
      <alignment vertical="center" shrinkToFit="1"/>
    </xf>
    <xf numFmtId="177" fontId="0" fillId="0" borderId="225" xfId="0" applyNumberFormat="1" applyBorder="1" applyAlignment="1">
      <alignment vertical="center" shrinkToFit="1"/>
    </xf>
    <xf numFmtId="177" fontId="0" fillId="0" borderId="134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5" xfId="0" applyNumberFormat="1" applyBorder="1" applyAlignment="1">
      <alignment horizontal="center" vertical="center" textRotation="255" shrinkToFit="1"/>
    </xf>
    <xf numFmtId="177" fontId="0" fillId="0" borderId="23" xfId="0" applyNumberFormat="1" applyBorder="1" applyAlignment="1">
      <alignment horizontal="center" vertical="center" textRotation="255" shrinkToFit="1"/>
    </xf>
    <xf numFmtId="177" fontId="0" fillId="0" borderId="16" xfId="0" applyNumberFormat="1" applyBorder="1" applyAlignment="1">
      <alignment horizontal="center" vertical="center" textRotation="255" shrinkToFit="1"/>
    </xf>
    <xf numFmtId="177" fontId="0" fillId="0" borderId="189" xfId="0" applyNumberFormat="1" applyBorder="1" applyAlignment="1">
      <alignment horizontal="center" vertical="center" textRotation="255" shrinkToFit="1"/>
    </xf>
    <xf numFmtId="0" fontId="0" fillId="0" borderId="130" xfId="0" applyBorder="1" applyAlignment="1">
      <alignment horizontal="center" vertical="center" textRotation="255" wrapText="1"/>
    </xf>
    <xf numFmtId="0" fontId="0" fillId="0" borderId="44" xfId="0" applyBorder="1" applyAlignment="1">
      <alignment horizontal="center" vertical="center" textRotation="255" wrapText="1"/>
    </xf>
    <xf numFmtId="0" fontId="0" fillId="0" borderId="78" xfId="0" applyBorder="1" applyAlignment="1">
      <alignment horizontal="center" vertical="center" textRotation="255" wrapText="1"/>
    </xf>
    <xf numFmtId="177" fontId="0" fillId="0" borderId="23" xfId="0" applyNumberFormat="1" applyBorder="1" applyAlignment="1">
      <alignment vertical="center" shrinkToFit="1"/>
    </xf>
    <xf numFmtId="177" fontId="0" fillId="0" borderId="8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177" fontId="0" fillId="0" borderId="210" xfId="0" applyNumberFormat="1" applyBorder="1" applyAlignment="1">
      <alignment horizontal="center" vertical="center" textRotation="255" shrinkToFit="1"/>
    </xf>
    <xf numFmtId="177" fontId="0" fillId="0" borderId="207" xfId="0" applyNumberFormat="1" applyBorder="1" applyAlignment="1">
      <alignment horizontal="center" vertical="center" textRotation="255" shrinkToFit="1"/>
    </xf>
    <xf numFmtId="177" fontId="0" fillId="0" borderId="212" xfId="0" applyNumberFormat="1" applyBorder="1" applyAlignment="1">
      <alignment horizontal="center" vertical="center" textRotation="255" shrinkToFit="1"/>
    </xf>
    <xf numFmtId="0" fontId="0" fillId="0" borderId="42" xfId="0" applyBorder="1">
      <alignment vertical="center"/>
    </xf>
    <xf numFmtId="0" fontId="0" fillId="0" borderId="50" xfId="0" applyBorder="1">
      <alignment vertical="center"/>
    </xf>
    <xf numFmtId="0" fontId="0" fillId="6" borderId="47" xfId="0" applyFill="1" applyBorder="1" applyAlignment="1">
      <alignment horizontal="left" vertical="center"/>
    </xf>
    <xf numFmtId="0" fontId="0" fillId="6" borderId="64" xfId="0" applyFill="1" applyBorder="1" applyAlignment="1">
      <alignment horizontal="left" vertical="center"/>
    </xf>
    <xf numFmtId="177" fontId="0" fillId="2" borderId="131" xfId="0" applyNumberFormat="1" applyFill="1" applyBorder="1" applyAlignment="1">
      <alignment horizontal="center" vertical="center" shrinkToFit="1"/>
    </xf>
    <xf numFmtId="177" fontId="0" fillId="2" borderId="132" xfId="0" applyNumberFormat="1" applyFill="1" applyBorder="1" applyAlignment="1">
      <alignment horizontal="center" vertical="center" shrinkToFit="1"/>
    </xf>
    <xf numFmtId="177" fontId="0" fillId="0" borderId="213" xfId="0" applyNumberFormat="1" applyBorder="1">
      <alignment vertical="center"/>
    </xf>
    <xf numFmtId="177" fontId="0" fillId="0" borderId="215" xfId="0" applyNumberFormat="1" applyBorder="1">
      <alignment vertical="center"/>
    </xf>
    <xf numFmtId="177" fontId="0" fillId="0" borderId="229" xfId="0" applyNumberFormat="1" applyBorder="1">
      <alignment vertical="center"/>
    </xf>
    <xf numFmtId="177" fontId="0" fillId="0" borderId="136" xfId="0" applyNumberFormat="1" applyBorder="1" applyAlignment="1">
      <alignment horizontal="center" vertical="center" shrinkToFit="1"/>
    </xf>
    <xf numFmtId="177" fontId="0" fillId="0" borderId="224" xfId="0" applyNumberFormat="1" applyBorder="1" applyAlignment="1">
      <alignment horizontal="center" vertical="center" shrinkToFit="1"/>
    </xf>
    <xf numFmtId="177" fontId="0" fillId="0" borderId="89" xfId="0" applyNumberFormat="1" applyBorder="1">
      <alignment vertical="center"/>
    </xf>
    <xf numFmtId="0" fontId="0" fillId="0" borderId="89" xfId="0" applyBorder="1">
      <alignment vertical="center"/>
    </xf>
    <xf numFmtId="0" fontId="0" fillId="0" borderId="228" xfId="0" applyBorder="1">
      <alignment vertical="center"/>
    </xf>
    <xf numFmtId="177" fontId="0" fillId="2" borderId="25" xfId="0" applyNumberFormat="1" applyFill="1" applyBorder="1" applyAlignment="1">
      <alignment horizontal="right" vertical="center" shrinkToFit="1"/>
    </xf>
    <xf numFmtId="177" fontId="0" fillId="2" borderId="226" xfId="0" applyNumberFormat="1" applyFill="1" applyBorder="1" applyAlignment="1">
      <alignment horizontal="right" vertical="center" shrinkToFit="1"/>
    </xf>
    <xf numFmtId="177" fontId="0" fillId="0" borderId="12" xfId="0" applyNumberFormat="1" applyBorder="1" applyAlignment="1">
      <alignment horizontal="center" vertical="center" shrinkToFit="1"/>
    </xf>
    <xf numFmtId="177" fontId="0" fillId="0" borderId="21" xfId="0" applyNumberFormat="1" applyBorder="1" applyAlignment="1">
      <alignment horizontal="center" vertical="center" shrinkToFit="1"/>
    </xf>
    <xf numFmtId="177" fontId="0" fillId="0" borderId="227" xfId="0" applyNumberFormat="1" applyBorder="1" applyAlignment="1">
      <alignment horizontal="center" vertical="center" shrinkToFit="1"/>
    </xf>
    <xf numFmtId="177" fontId="0" fillId="2" borderId="239" xfId="0" applyNumberFormat="1" applyFill="1" applyBorder="1" applyAlignment="1">
      <alignment horizontal="center" vertical="center" shrinkToFit="1"/>
    </xf>
    <xf numFmtId="177" fontId="0" fillId="2" borderId="240" xfId="0" applyNumberFormat="1" applyFill="1" applyBorder="1" applyAlignment="1">
      <alignment horizontal="center" vertical="center" shrinkToFit="1"/>
    </xf>
    <xf numFmtId="176" fontId="0" fillId="0" borderId="24" xfId="0" applyNumberFormat="1" applyBorder="1">
      <alignment vertical="center"/>
    </xf>
    <xf numFmtId="177" fontId="0" fillId="0" borderId="141" xfId="3" applyNumberFormat="1" applyFont="1" applyBorder="1" applyAlignment="1">
      <alignment horizontal="center" vertical="center" textRotation="255" shrinkToFit="1"/>
    </xf>
    <xf numFmtId="0" fontId="0" fillId="0" borderId="106" xfId="0" applyBorder="1">
      <alignment vertical="center"/>
    </xf>
    <xf numFmtId="0" fontId="0" fillId="0" borderId="149" xfId="0" applyBorder="1">
      <alignment vertical="center"/>
    </xf>
    <xf numFmtId="176" fontId="0" fillId="2" borderId="53" xfId="0" applyNumberFormat="1" applyFill="1" applyBorder="1" applyAlignment="1">
      <alignment vertical="center" shrinkToFit="1"/>
    </xf>
    <xf numFmtId="176" fontId="0" fillId="0" borderId="53" xfId="0" applyNumberFormat="1" applyBorder="1">
      <alignment vertical="center"/>
    </xf>
    <xf numFmtId="176" fontId="0" fillId="2" borderId="213" xfId="0" applyNumberFormat="1" applyFill="1" applyBorder="1" applyAlignment="1">
      <alignment horizontal="center" vertical="center" shrinkToFit="1"/>
    </xf>
    <xf numFmtId="176" fontId="0" fillId="2" borderId="240" xfId="0" applyNumberFormat="1" applyFill="1" applyBorder="1" applyAlignment="1">
      <alignment horizontal="center" vertical="center" shrinkToFit="1"/>
    </xf>
    <xf numFmtId="176" fontId="0" fillId="0" borderId="34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7" fontId="0" fillId="0" borderId="144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6" fontId="1" fillId="0" borderId="147" xfId="3" applyNumberFormat="1" applyBorder="1" applyAlignment="1">
      <alignment vertical="center" shrinkToFit="1"/>
    </xf>
    <xf numFmtId="176" fontId="1" fillId="0" borderId="148" xfId="3" applyNumberFormat="1" applyBorder="1" applyAlignment="1">
      <alignment vertical="center" shrinkToFit="1"/>
    </xf>
    <xf numFmtId="176" fontId="0" fillId="2" borderId="150" xfId="0" applyNumberFormat="1" applyFill="1" applyBorder="1" applyAlignment="1">
      <alignment vertical="center" shrinkToFit="1"/>
    </xf>
    <xf numFmtId="176" fontId="0" fillId="0" borderId="150" xfId="0" applyNumberFormat="1" applyBorder="1">
      <alignment vertical="center"/>
    </xf>
    <xf numFmtId="176" fontId="0" fillId="0" borderId="119" xfId="0" applyNumberFormat="1" applyBorder="1" applyAlignment="1">
      <alignment horizontal="center" vertical="center" textRotation="255" shrinkToFit="1"/>
    </xf>
    <xf numFmtId="176" fontId="0" fillId="0" borderId="124" xfId="0" applyNumberFormat="1" applyBorder="1" applyAlignment="1">
      <alignment horizontal="center" vertical="center" textRotation="255" shrinkToFit="1"/>
    </xf>
    <xf numFmtId="176" fontId="0" fillId="0" borderId="33" xfId="0" applyNumberFormat="1" applyBorder="1" applyAlignment="1">
      <alignment horizontal="center" vertical="center" textRotation="255" shrinkToFit="1"/>
    </xf>
    <xf numFmtId="176" fontId="0" fillId="0" borderId="205" xfId="0" applyNumberFormat="1" applyBorder="1" applyAlignment="1">
      <alignment horizontal="center" vertical="center" textRotation="255" shrinkToFit="1"/>
    </xf>
    <xf numFmtId="176" fontId="0" fillId="0" borderId="207" xfId="0" applyNumberFormat="1" applyBorder="1" applyAlignment="1">
      <alignment horizontal="center" vertical="center" textRotation="255" shrinkToFit="1"/>
    </xf>
    <xf numFmtId="176" fontId="0" fillId="0" borderId="208" xfId="0" applyNumberFormat="1" applyBorder="1" applyAlignment="1">
      <alignment horizontal="center" vertical="center" textRotation="255" shrinkToFit="1"/>
    </xf>
    <xf numFmtId="176" fontId="0" fillId="0" borderId="210" xfId="0" applyNumberFormat="1" applyBorder="1" applyAlignment="1">
      <alignment horizontal="center" vertical="center" textRotation="255" shrinkToFit="1"/>
    </xf>
    <xf numFmtId="177" fontId="0" fillId="0" borderId="142" xfId="3" applyNumberFormat="1" applyFont="1" applyBorder="1" applyAlignment="1">
      <alignment horizontal="center" vertical="center" textRotation="255" shrinkToFit="1"/>
    </xf>
    <xf numFmtId="176" fontId="0" fillId="0" borderId="145" xfId="0" applyNumberFormat="1" applyBorder="1">
      <alignment vertical="center"/>
    </xf>
    <xf numFmtId="177" fontId="0" fillId="0" borderId="13" xfId="0" applyNumberFormat="1" applyBorder="1" applyAlignment="1">
      <alignment horizontal="center" vertical="center" shrinkToFit="1"/>
    </xf>
    <xf numFmtId="177" fontId="0" fillId="0" borderId="52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6" xfId="3" applyNumberFormat="1" applyFont="1" applyBorder="1" applyAlignment="1">
      <alignment horizontal="center" vertical="center" shrinkToFit="1"/>
    </xf>
    <xf numFmtId="177" fontId="0" fillId="0" borderId="38" xfId="3" applyNumberFormat="1" applyFont="1" applyBorder="1" applyAlignment="1">
      <alignment horizontal="center" vertical="center" shrinkToFit="1"/>
    </xf>
    <xf numFmtId="176" fontId="1" fillId="0" borderId="34" xfId="3" applyNumberFormat="1" applyBorder="1" applyAlignment="1">
      <alignment vertical="center" shrinkToFit="1"/>
    </xf>
    <xf numFmtId="176" fontId="1" fillId="0" borderId="41" xfId="3" applyNumberFormat="1" applyBorder="1" applyAlignment="1">
      <alignment vertical="center" shrinkToFit="1"/>
    </xf>
    <xf numFmtId="176" fontId="0" fillId="0" borderId="34" xfId="3" applyNumberFormat="1" applyFont="1" applyBorder="1" applyAlignment="1">
      <alignment vertical="center" shrinkToFit="1"/>
    </xf>
    <xf numFmtId="176" fontId="0" fillId="0" borderId="41" xfId="3" applyNumberFormat="1" applyFont="1" applyBorder="1" applyAlignment="1">
      <alignment vertical="center" shrinkToFit="1"/>
    </xf>
    <xf numFmtId="176" fontId="0" fillId="0" borderId="34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212" xfId="0" applyNumberFormat="1" applyBorder="1" applyAlignment="1">
      <alignment horizontal="center" vertical="center" textRotation="255" shrinkToFit="1"/>
    </xf>
    <xf numFmtId="177" fontId="0" fillId="2" borderId="122" xfId="0" applyNumberFormat="1" applyFill="1" applyBorder="1" applyAlignment="1">
      <alignment horizontal="center" vertical="center" shrinkToFit="1"/>
    </xf>
    <xf numFmtId="177" fontId="0" fillId="2" borderId="85" xfId="0" applyNumberFormat="1" applyFill="1" applyBorder="1" applyAlignment="1">
      <alignment horizontal="center" vertical="center" shrinkToFit="1"/>
    </xf>
    <xf numFmtId="177" fontId="0" fillId="2" borderId="152" xfId="0" applyNumberFormat="1" applyFill="1" applyBorder="1" applyAlignment="1">
      <alignment horizontal="center" vertical="center" shrinkToFit="1"/>
    </xf>
    <xf numFmtId="177" fontId="0" fillId="2" borderId="153" xfId="0" applyNumberFormat="1" applyFill="1" applyBorder="1" applyAlignment="1">
      <alignment horizontal="center" vertical="center" shrinkToFit="1"/>
    </xf>
    <xf numFmtId="3" fontId="0" fillId="0" borderId="54" xfId="5" applyNumberFormat="1" applyFont="1" applyBorder="1" applyAlignment="1">
      <alignment horizontal="center" vertical="center" shrinkToFit="1"/>
    </xf>
    <xf numFmtId="3" fontId="0" fillId="0" borderId="44" xfId="5" applyNumberFormat="1" applyFont="1" applyBorder="1" applyAlignment="1">
      <alignment horizontal="center" vertical="center" shrinkToFit="1"/>
    </xf>
    <xf numFmtId="3" fontId="0" fillId="0" borderId="127" xfId="5" applyNumberFormat="1" applyFont="1" applyBorder="1" applyAlignment="1">
      <alignment horizontal="center" vertical="center" shrinkToFit="1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141" xfId="3" applyNumberFormat="1" applyFont="1" applyBorder="1" applyAlignment="1">
      <alignment horizontal="center" vertical="center" shrinkToFit="1"/>
    </xf>
    <xf numFmtId="177" fontId="0" fillId="0" borderId="149" xfId="3" applyNumberFormat="1" applyFont="1" applyBorder="1" applyAlignment="1">
      <alignment horizontal="center" vertical="center" shrinkToFit="1"/>
    </xf>
    <xf numFmtId="176" fontId="0" fillId="0" borderId="175" xfId="0" applyNumberFormat="1" applyBorder="1" applyAlignment="1">
      <alignment horizontal="center" vertical="center" shrinkToFit="1"/>
    </xf>
    <xf numFmtId="176" fontId="0" fillId="0" borderId="127" xfId="0" applyNumberFormat="1" applyBorder="1" applyAlignment="1">
      <alignment horizontal="center" vertical="center" shrinkToFit="1"/>
    </xf>
    <xf numFmtId="176" fontId="0" fillId="0" borderId="204" xfId="0" applyNumberFormat="1" applyBorder="1" applyAlignment="1">
      <alignment horizontal="center" vertical="center" shrinkToFit="1"/>
    </xf>
    <xf numFmtId="176" fontId="0" fillId="0" borderId="128" xfId="0" applyNumberFormat="1" applyBorder="1" applyAlignment="1">
      <alignment horizontal="center" vertical="center" shrinkToFit="1"/>
    </xf>
    <xf numFmtId="176" fontId="0" fillId="0" borderId="203" xfId="0" applyNumberFormat="1" applyBorder="1" applyAlignment="1">
      <alignment horizontal="center" vertical="center" textRotation="255" shrinkToFit="1"/>
    </xf>
    <xf numFmtId="176" fontId="0" fillId="0" borderId="126" xfId="0" applyNumberFormat="1" applyBorder="1" applyAlignment="1">
      <alignment horizontal="center" vertical="center" textRotation="255" shrinkToFit="1"/>
    </xf>
    <xf numFmtId="177" fontId="0" fillId="0" borderId="5" xfId="0" applyNumberFormat="1" applyBorder="1" applyAlignment="1">
      <alignment horizontal="center" vertical="center" shrinkToFit="1"/>
    </xf>
  </cellXfs>
  <cellStyles count="11">
    <cellStyle name="パーセント" xfId="4" builtinId="5"/>
    <cellStyle name="パーセント 2" xfId="8" xr:uid="{00000000-0005-0000-0000-000001000000}"/>
    <cellStyle name="ハイパーリンク_20101209　経営改善計画検討手順（素案）" xfId="9" xr:uid="{00000000-0005-0000-0000-000002000000}"/>
    <cellStyle name="桁区切り" xfId="1" builtinId="6"/>
    <cellStyle name="桁区切り 2" xfId="7" xr:uid="{00000000-0005-0000-0000-000004000000}"/>
    <cellStyle name="標準" xfId="0" builtinId="0"/>
    <cellStyle name="標準 2" xfId="6" xr:uid="{00000000-0005-0000-0000-000006000000}"/>
    <cellStyle name="標準_◇類型12（水稲24・大豆12・ぶどう4）" xfId="2" xr:uid="{00000000-0005-0000-0000-000007000000}"/>
    <cellStyle name="標準_水稲(24ha規模)＋大豆(6ｈａ)＋きゃべつ" xfId="3" xr:uid="{00000000-0005-0000-0000-000008000000}"/>
    <cellStyle name="標準_野菜計画(最終 ｱｽﾊﾟﾗ+ｺﾏﾂﾅ)" xfId="5" xr:uid="{00000000-0005-0000-0000-000009000000}"/>
    <cellStyle name="未定義" xfId="10" xr:uid="{00000000-0005-0000-0000-00000A000000}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178594</xdr:colOff>
      <xdr:row>13</xdr:row>
      <xdr:rowOff>130961</xdr:rowOff>
    </xdr:from>
    <xdr:to>
      <xdr:col>19</xdr:col>
      <xdr:colOff>44566</xdr:colOff>
      <xdr:row>13</xdr:row>
      <xdr:rowOff>130961</xdr:rowOff>
    </xdr:to>
    <xdr:sp macro="" textlink="">
      <xdr:nvSpPr>
        <xdr:cNvPr id="9" name="Line 2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4881563" y="3428992"/>
          <a:ext cx="1961472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178593</xdr:colOff>
      <xdr:row>16</xdr:row>
      <xdr:rowOff>141512</xdr:rowOff>
    </xdr:from>
    <xdr:to>
      <xdr:col>40</xdr:col>
      <xdr:colOff>11889</xdr:colOff>
      <xdr:row>16</xdr:row>
      <xdr:rowOff>141512</xdr:rowOff>
    </xdr:to>
    <xdr:sp macro="" textlink="">
      <xdr:nvSpPr>
        <xdr:cNvPr id="15" name="Line 3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9858374" y="4189637"/>
          <a:ext cx="2452671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178594</xdr:colOff>
      <xdr:row>13</xdr:row>
      <xdr:rowOff>178594</xdr:rowOff>
    </xdr:from>
    <xdr:to>
      <xdr:col>30</xdr:col>
      <xdr:colOff>59525</xdr:colOff>
      <xdr:row>16</xdr:row>
      <xdr:rowOff>119062</xdr:rowOff>
    </xdr:to>
    <xdr:sp macro="" textlink="">
      <xdr:nvSpPr>
        <xdr:cNvPr id="21" name="Line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4881563" y="3476625"/>
          <a:ext cx="4857743" cy="690562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23813</xdr:colOff>
      <xdr:row>13</xdr:row>
      <xdr:rowOff>238125</xdr:rowOff>
    </xdr:from>
    <xdr:to>
      <xdr:col>41</xdr:col>
      <xdr:colOff>226219</xdr:colOff>
      <xdr:row>16</xdr:row>
      <xdr:rowOff>11906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7346157" y="3536156"/>
          <a:ext cx="5441156" cy="52387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285749</xdr:colOff>
      <xdr:row>5</xdr:row>
      <xdr:rowOff>136070</xdr:rowOff>
    </xdr:from>
    <xdr:to>
      <xdr:col>15</xdr:col>
      <xdr:colOff>462642</xdr:colOff>
      <xdr:row>5</xdr:row>
      <xdr:rowOff>136070</xdr:rowOff>
    </xdr:to>
    <xdr:sp macro="" textlink="">
      <xdr:nvSpPr>
        <xdr:cNvPr id="2" name="Lin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4490356" y="1374320"/>
          <a:ext cx="3415393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285750</xdr:colOff>
      <xdr:row>7</xdr:row>
      <xdr:rowOff>138792</xdr:rowOff>
    </xdr:from>
    <xdr:to>
      <xdr:col>37</xdr:col>
      <xdr:colOff>13607</xdr:colOff>
      <xdr:row>7</xdr:row>
      <xdr:rowOff>138792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3280571" y="1866899"/>
          <a:ext cx="4354286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285750</xdr:colOff>
      <xdr:row>5</xdr:row>
      <xdr:rowOff>176893</xdr:rowOff>
    </xdr:from>
    <xdr:to>
      <xdr:col>27</xdr:col>
      <xdr:colOff>204102</xdr:colOff>
      <xdr:row>7</xdr:row>
      <xdr:rowOff>108857</xdr:rowOff>
    </xdr:to>
    <xdr:sp macro="" textlink="">
      <xdr:nvSpPr>
        <xdr:cNvPr id="4" name="Line 2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4490357" y="1415143"/>
          <a:ext cx="8708566" cy="421821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13607</xdr:colOff>
      <xdr:row>6</xdr:row>
      <xdr:rowOff>0</xdr:rowOff>
    </xdr:from>
    <xdr:to>
      <xdr:col>38</xdr:col>
      <xdr:colOff>435428</xdr:colOff>
      <xdr:row>6</xdr:row>
      <xdr:rowOff>231321</xdr:rowOff>
    </xdr:to>
    <xdr:sp macro="" textlink="">
      <xdr:nvSpPr>
        <xdr:cNvPr id="5" name="Line 2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8844643" y="1483179"/>
          <a:ext cx="9674678" cy="231321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0"/>
  <sheetViews>
    <sheetView tabSelected="1" zoomScale="75" zoomScaleNormal="75" zoomScaleSheetLayoutView="100" workbookViewId="0">
      <selection activeCell="AF35" sqref="AF35"/>
    </sheetView>
  </sheetViews>
  <sheetFormatPr defaultColWidth="9" defaultRowHeight="13" x14ac:dyDescent="0.2"/>
  <cols>
    <col min="1" max="1" width="1.6328125" style="58" customWidth="1"/>
    <col min="2" max="3" width="7.6328125" style="58" customWidth="1"/>
    <col min="4" max="6" width="9" style="58"/>
    <col min="7" max="7" width="3.453125" style="58" customWidth="1"/>
    <col min="8" max="8" width="3.6328125" style="58" customWidth="1"/>
    <col min="9" max="9" width="3.81640625" style="58" customWidth="1"/>
    <col min="10" max="42" width="3.453125" style="58" customWidth="1"/>
    <col min="43" max="43" width="1.36328125" style="58" customWidth="1"/>
    <col min="44" max="16384" width="9" style="58"/>
  </cols>
  <sheetData>
    <row r="1" spans="1:42" ht="9.9" customHeight="1" thickBot="1" x14ac:dyDescent="0.25"/>
    <row r="2" spans="1:42" ht="39.9" customHeight="1" thickBot="1" x14ac:dyDescent="0.25">
      <c r="A2" s="62"/>
      <c r="B2" s="181" t="s">
        <v>68</v>
      </c>
      <c r="C2" s="500" t="s">
        <v>352</v>
      </c>
      <c r="D2" s="501"/>
      <c r="E2" s="182" t="s">
        <v>54</v>
      </c>
      <c r="F2" s="502" t="s">
        <v>327</v>
      </c>
      <c r="G2" s="503"/>
      <c r="H2" s="503"/>
      <c r="I2" s="503"/>
      <c r="J2" s="503"/>
      <c r="K2" s="503"/>
      <c r="L2" s="503"/>
      <c r="M2" s="503"/>
      <c r="N2" s="504"/>
      <c r="O2" s="508" t="s">
        <v>55</v>
      </c>
      <c r="P2" s="509"/>
      <c r="Q2" s="510"/>
      <c r="R2" s="511" t="s">
        <v>351</v>
      </c>
      <c r="S2" s="511"/>
      <c r="T2" s="511"/>
      <c r="U2" s="511"/>
      <c r="V2" s="512" t="s">
        <v>56</v>
      </c>
      <c r="W2" s="513"/>
      <c r="X2" s="513"/>
      <c r="Y2" s="505" t="s">
        <v>367</v>
      </c>
      <c r="Z2" s="506"/>
      <c r="AA2" s="507"/>
      <c r="AB2" s="62"/>
      <c r="AC2" s="62"/>
      <c r="AD2" s="62"/>
    </row>
    <row r="3" spans="1:42" ht="9.9" customHeight="1" x14ac:dyDescent="0.2">
      <c r="B3" s="63"/>
    </row>
    <row r="4" spans="1:42" ht="24.9" customHeight="1" thickBot="1" x14ac:dyDescent="0.25">
      <c r="B4" s="58" t="s">
        <v>92</v>
      </c>
    </row>
    <row r="5" spans="1:42" ht="20.149999999999999" customHeight="1" x14ac:dyDescent="0.2">
      <c r="B5" s="405" t="s">
        <v>93</v>
      </c>
      <c r="C5" s="406"/>
      <c r="D5" s="407" t="s">
        <v>350</v>
      </c>
      <c r="E5" s="408"/>
      <c r="F5" s="408"/>
      <c r="G5" s="409"/>
      <c r="H5" s="410" t="s">
        <v>57</v>
      </c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11"/>
      <c r="AD5" s="62"/>
      <c r="AE5" s="62"/>
      <c r="AF5" s="62"/>
      <c r="AG5" s="62"/>
      <c r="AH5" s="62"/>
      <c r="AI5" s="62"/>
      <c r="AJ5" s="62"/>
      <c r="AK5" s="62"/>
      <c r="AL5" s="62"/>
    </row>
    <row r="6" spans="1:42" ht="20.149999999999999" customHeight="1" x14ac:dyDescent="0.2">
      <c r="B6" s="417" t="s">
        <v>58</v>
      </c>
      <c r="C6" s="418"/>
      <c r="D6" s="418"/>
      <c r="E6" s="418"/>
      <c r="F6" s="418"/>
      <c r="G6" s="419"/>
      <c r="H6" s="419" t="s">
        <v>59</v>
      </c>
      <c r="I6" s="403"/>
      <c r="J6" s="403"/>
      <c r="K6" s="403"/>
      <c r="L6" s="403"/>
      <c r="M6" s="403"/>
      <c r="N6" s="419" t="s">
        <v>60</v>
      </c>
      <c r="O6" s="403"/>
      <c r="P6" s="403"/>
      <c r="Q6" s="419" t="s">
        <v>61</v>
      </c>
      <c r="R6" s="403"/>
      <c r="S6" s="403"/>
      <c r="T6" s="403"/>
      <c r="U6" s="403"/>
      <c r="V6" s="403"/>
      <c r="W6" s="403"/>
      <c r="X6" s="425"/>
      <c r="Y6" s="403" t="s">
        <v>62</v>
      </c>
      <c r="Z6" s="403"/>
      <c r="AA6" s="404"/>
    </row>
    <row r="7" spans="1:42" ht="20.149999999999999" customHeight="1" x14ac:dyDescent="0.2">
      <c r="B7" s="420" t="s">
        <v>259</v>
      </c>
      <c r="C7" s="421"/>
      <c r="D7" s="422">
        <f>D11/0.6</f>
        <v>66.666666666666671</v>
      </c>
      <c r="E7" s="423"/>
      <c r="F7" s="423"/>
      <c r="G7" s="424"/>
      <c r="H7" s="419" t="s">
        <v>326</v>
      </c>
      <c r="I7" s="403"/>
      <c r="J7" s="403"/>
      <c r="K7" s="403"/>
      <c r="L7" s="403"/>
      <c r="M7" s="425"/>
      <c r="N7" s="426">
        <v>40</v>
      </c>
      <c r="O7" s="427"/>
      <c r="P7" s="428"/>
      <c r="Q7" s="412"/>
      <c r="R7" s="413"/>
      <c r="S7" s="413"/>
      <c r="T7" s="413"/>
      <c r="U7" s="413"/>
      <c r="V7" s="413"/>
      <c r="W7" s="413"/>
      <c r="X7" s="414"/>
      <c r="Y7" s="415"/>
      <c r="Z7" s="415"/>
      <c r="AA7" s="416"/>
    </row>
    <row r="8" spans="1:42" ht="20.149999999999999" customHeight="1" x14ac:dyDescent="0.2">
      <c r="B8" s="417" t="s">
        <v>63</v>
      </c>
      <c r="C8" s="418"/>
      <c r="D8" s="431"/>
      <c r="E8" s="432"/>
      <c r="F8" s="432"/>
      <c r="G8" s="433"/>
      <c r="H8" s="419"/>
      <c r="I8" s="403"/>
      <c r="J8" s="403"/>
      <c r="K8" s="403"/>
      <c r="L8" s="403"/>
      <c r="M8" s="425"/>
      <c r="N8" s="419"/>
      <c r="O8" s="403"/>
      <c r="P8" s="425"/>
      <c r="Q8" s="434"/>
      <c r="R8" s="435"/>
      <c r="S8" s="435"/>
      <c r="T8" s="435"/>
      <c r="U8" s="435"/>
      <c r="V8" s="435"/>
      <c r="W8" s="435"/>
      <c r="X8" s="433"/>
      <c r="Y8" s="419"/>
      <c r="Z8" s="403"/>
      <c r="AA8" s="404"/>
    </row>
    <row r="9" spans="1:42" ht="20.149999999999999" customHeight="1" x14ac:dyDescent="0.2">
      <c r="B9" s="417" t="s">
        <v>64</v>
      </c>
      <c r="C9" s="418"/>
      <c r="D9" s="429"/>
      <c r="E9" s="429"/>
      <c r="F9" s="429"/>
      <c r="G9" s="430"/>
      <c r="H9" s="419"/>
      <c r="I9" s="403"/>
      <c r="J9" s="403"/>
      <c r="K9" s="403"/>
      <c r="L9" s="403"/>
      <c r="M9" s="425"/>
      <c r="N9" s="419"/>
      <c r="O9" s="403"/>
      <c r="P9" s="425"/>
      <c r="Q9" s="436"/>
      <c r="R9" s="435"/>
      <c r="S9" s="435"/>
      <c r="T9" s="435"/>
      <c r="U9" s="435"/>
      <c r="V9" s="435"/>
      <c r="W9" s="435"/>
      <c r="X9" s="433"/>
      <c r="Y9" s="419"/>
      <c r="Z9" s="403"/>
      <c r="AA9" s="404"/>
    </row>
    <row r="10" spans="1:42" ht="20.149999999999999" customHeight="1" x14ac:dyDescent="0.2">
      <c r="B10" s="417" t="s">
        <v>65</v>
      </c>
      <c r="C10" s="418"/>
      <c r="D10" s="429"/>
      <c r="E10" s="429"/>
      <c r="F10" s="429"/>
      <c r="G10" s="430"/>
      <c r="H10" s="437"/>
      <c r="I10" s="438"/>
      <c r="J10" s="438"/>
      <c r="K10" s="438"/>
      <c r="L10" s="438"/>
      <c r="M10" s="438"/>
      <c r="N10" s="419"/>
      <c r="O10" s="403"/>
      <c r="P10" s="425"/>
      <c r="Q10" s="436"/>
      <c r="R10" s="435"/>
      <c r="S10" s="435"/>
      <c r="T10" s="435"/>
      <c r="U10" s="435"/>
      <c r="V10" s="435"/>
      <c r="W10" s="435"/>
      <c r="X10" s="433"/>
      <c r="Y10" s="403"/>
      <c r="Z10" s="403"/>
      <c r="AA10" s="404"/>
    </row>
    <row r="11" spans="1:42" ht="20.149999999999999" customHeight="1" thickBot="1" x14ac:dyDescent="0.25">
      <c r="B11" s="441" t="s">
        <v>66</v>
      </c>
      <c r="C11" s="421"/>
      <c r="D11" s="442">
        <f>N7</f>
        <v>40</v>
      </c>
      <c r="E11" s="443"/>
      <c r="F11" s="443"/>
      <c r="G11" s="444"/>
      <c r="H11" s="445"/>
      <c r="I11" s="446"/>
      <c r="J11" s="446"/>
      <c r="K11" s="446"/>
      <c r="L11" s="446"/>
      <c r="M11" s="446"/>
      <c r="N11" s="460"/>
      <c r="O11" s="457"/>
      <c r="P11" s="457"/>
      <c r="Q11" s="454"/>
      <c r="R11" s="455"/>
      <c r="S11" s="455"/>
      <c r="T11" s="455"/>
      <c r="U11" s="455"/>
      <c r="V11" s="455"/>
      <c r="W11" s="455"/>
      <c r="X11" s="456"/>
      <c r="Y11" s="457"/>
      <c r="Z11" s="457"/>
      <c r="AA11" s="458"/>
    </row>
    <row r="12" spans="1:42" ht="20.149999999999999" customHeight="1" x14ac:dyDescent="0.2">
      <c r="B12" s="447" t="s">
        <v>90</v>
      </c>
      <c r="C12" s="410" t="s">
        <v>94</v>
      </c>
      <c r="D12" s="406"/>
      <c r="E12" s="439"/>
      <c r="F12" s="59" t="s">
        <v>91</v>
      </c>
      <c r="G12" s="410">
        <v>1</v>
      </c>
      <c r="H12" s="406"/>
      <c r="I12" s="406"/>
      <c r="J12" s="410">
        <v>2</v>
      </c>
      <c r="K12" s="406"/>
      <c r="L12" s="439"/>
      <c r="M12" s="406">
        <v>3</v>
      </c>
      <c r="N12" s="406"/>
      <c r="O12" s="440"/>
      <c r="P12" s="410">
        <v>4</v>
      </c>
      <c r="Q12" s="406"/>
      <c r="R12" s="439"/>
      <c r="S12" s="459">
        <v>5</v>
      </c>
      <c r="T12" s="406"/>
      <c r="U12" s="440"/>
      <c r="V12" s="410">
        <v>6</v>
      </c>
      <c r="W12" s="406"/>
      <c r="X12" s="439"/>
      <c r="Y12" s="459">
        <v>7</v>
      </c>
      <c r="Z12" s="406"/>
      <c r="AA12" s="440"/>
      <c r="AB12" s="410">
        <v>8</v>
      </c>
      <c r="AC12" s="406"/>
      <c r="AD12" s="439"/>
      <c r="AE12" s="459">
        <v>9</v>
      </c>
      <c r="AF12" s="406"/>
      <c r="AG12" s="440"/>
      <c r="AH12" s="410">
        <v>10</v>
      </c>
      <c r="AI12" s="406"/>
      <c r="AJ12" s="439"/>
      <c r="AK12" s="410">
        <v>11</v>
      </c>
      <c r="AL12" s="406"/>
      <c r="AM12" s="439"/>
      <c r="AN12" s="406">
        <v>12</v>
      </c>
      <c r="AO12" s="406"/>
      <c r="AP12" s="411"/>
    </row>
    <row r="13" spans="1:42" ht="20.149999999999999" customHeight="1" x14ac:dyDescent="0.2">
      <c r="B13" s="448"/>
      <c r="C13" s="461"/>
      <c r="D13" s="462"/>
      <c r="E13" s="462"/>
      <c r="F13" s="64"/>
      <c r="G13" s="270"/>
      <c r="H13" s="271"/>
      <c r="I13" s="271"/>
      <c r="J13" s="270"/>
      <c r="K13" s="271"/>
      <c r="L13" s="65"/>
      <c r="M13" s="280"/>
      <c r="N13" s="271"/>
      <c r="O13" s="252"/>
      <c r="P13" s="270"/>
      <c r="Q13" s="271"/>
      <c r="R13" s="65"/>
      <c r="S13" s="66"/>
      <c r="T13" s="271"/>
      <c r="U13" s="279"/>
      <c r="V13" s="270"/>
      <c r="W13" s="280"/>
      <c r="X13" s="65"/>
      <c r="Y13" s="66"/>
      <c r="Z13" s="271"/>
      <c r="AA13" s="279"/>
      <c r="AB13" s="270"/>
      <c r="AC13" s="271"/>
      <c r="AD13" s="65"/>
      <c r="AE13" s="253"/>
      <c r="AF13" s="271"/>
      <c r="AG13" s="65"/>
      <c r="AH13" s="270"/>
      <c r="AI13" s="271"/>
      <c r="AJ13" s="65"/>
      <c r="AK13" s="270"/>
      <c r="AL13" s="271"/>
      <c r="AM13" s="65"/>
      <c r="AN13" s="271"/>
      <c r="AO13" s="271"/>
      <c r="AP13" s="272"/>
    </row>
    <row r="14" spans="1:42" ht="20.149999999999999" customHeight="1" x14ac:dyDescent="0.2">
      <c r="B14" s="448"/>
      <c r="C14" s="450"/>
      <c r="D14" s="451"/>
      <c r="E14" s="451"/>
      <c r="F14" s="276"/>
      <c r="G14" s="320"/>
      <c r="H14" s="283"/>
      <c r="I14" s="283"/>
      <c r="J14" s="282"/>
      <c r="K14" s="283"/>
      <c r="L14" s="329" t="s">
        <v>332</v>
      </c>
      <c r="M14" s="328"/>
      <c r="N14" s="283"/>
      <c r="O14" s="317"/>
      <c r="P14" s="282"/>
      <c r="Q14" s="283"/>
      <c r="R14" s="281"/>
      <c r="S14" s="318"/>
      <c r="T14" s="284"/>
      <c r="U14" s="285"/>
      <c r="V14" s="282"/>
      <c r="W14" s="283"/>
      <c r="X14" s="281"/>
      <c r="Y14" s="318"/>
      <c r="Z14" s="283"/>
      <c r="AA14" s="319"/>
      <c r="AB14" s="282"/>
      <c r="AC14" s="283"/>
      <c r="AD14" s="281"/>
      <c r="AE14" s="320"/>
      <c r="AF14" s="283"/>
      <c r="AG14" s="281"/>
      <c r="AH14" s="282"/>
      <c r="AI14" s="283"/>
      <c r="AJ14" s="281"/>
      <c r="AK14" s="282"/>
      <c r="AL14" s="283"/>
      <c r="AM14" s="281"/>
      <c r="AN14" s="283"/>
      <c r="AO14" s="283"/>
      <c r="AP14" s="321"/>
    </row>
    <row r="15" spans="1:42" ht="20.149999999999999" customHeight="1" x14ac:dyDescent="0.2">
      <c r="B15" s="448"/>
      <c r="C15" s="450" t="s">
        <v>325</v>
      </c>
      <c r="D15" s="451"/>
      <c r="E15" s="451"/>
      <c r="F15" s="339">
        <f>N7</f>
        <v>40</v>
      </c>
      <c r="G15" s="282"/>
      <c r="H15" s="283"/>
      <c r="I15" s="283"/>
      <c r="J15" s="282"/>
      <c r="K15" s="283"/>
      <c r="L15" s="281"/>
      <c r="M15" s="283"/>
      <c r="N15" s="283"/>
      <c r="O15" s="317"/>
      <c r="P15" s="282"/>
      <c r="Q15" s="283"/>
      <c r="R15" s="281"/>
      <c r="S15" s="318"/>
      <c r="T15" s="283"/>
      <c r="U15" s="317"/>
      <c r="V15" s="282"/>
      <c r="W15" s="283"/>
      <c r="X15" s="281"/>
      <c r="Y15" s="318"/>
      <c r="Z15" s="283"/>
      <c r="AA15" s="317"/>
      <c r="AB15" s="282"/>
      <c r="AC15" s="283"/>
      <c r="AD15" s="281"/>
      <c r="AE15" s="282"/>
      <c r="AF15" s="283"/>
      <c r="AG15" s="281"/>
      <c r="AH15" s="282"/>
      <c r="AI15" s="283"/>
      <c r="AJ15" s="281"/>
      <c r="AK15" s="282"/>
      <c r="AL15" s="283"/>
      <c r="AM15" s="281"/>
      <c r="AN15" s="283"/>
      <c r="AO15" s="283"/>
      <c r="AP15" s="321"/>
    </row>
    <row r="16" spans="1:42" ht="20.149999999999999" customHeight="1" x14ac:dyDescent="0.2">
      <c r="B16" s="448"/>
      <c r="C16" s="450"/>
      <c r="D16" s="451"/>
      <c r="E16" s="451"/>
      <c r="F16" s="277"/>
      <c r="G16" s="282"/>
      <c r="H16" s="283"/>
      <c r="I16" s="283"/>
      <c r="J16" s="282"/>
      <c r="K16" s="283"/>
      <c r="L16" s="281"/>
      <c r="M16" s="283"/>
      <c r="N16" s="283"/>
      <c r="O16" s="317"/>
      <c r="P16" s="282"/>
      <c r="Q16" s="283"/>
      <c r="R16" s="281"/>
      <c r="S16" s="318"/>
      <c r="T16" s="283"/>
      <c r="U16" s="317"/>
      <c r="V16" s="282"/>
      <c r="W16" s="283"/>
      <c r="X16" s="281"/>
      <c r="Y16" s="318"/>
      <c r="Z16" s="283"/>
      <c r="AA16" s="317"/>
      <c r="AB16" s="282"/>
      <c r="AC16" s="283"/>
      <c r="AD16" s="281"/>
      <c r="AE16" s="282"/>
      <c r="AF16" s="283"/>
      <c r="AG16" s="281"/>
      <c r="AH16" s="282"/>
      <c r="AI16" s="283"/>
      <c r="AJ16" s="281"/>
      <c r="AK16" s="282"/>
      <c r="AL16" s="283"/>
      <c r="AM16" s="281"/>
      <c r="AN16" s="283"/>
      <c r="AO16" s="283"/>
      <c r="AP16" s="321"/>
    </row>
    <row r="17" spans="2:42" ht="20.149999999999999" customHeight="1" x14ac:dyDescent="0.2">
      <c r="B17" s="448"/>
      <c r="C17" s="450"/>
      <c r="D17" s="451"/>
      <c r="E17" s="451"/>
      <c r="F17" s="277"/>
      <c r="G17" s="282"/>
      <c r="H17" s="283"/>
      <c r="I17" s="283"/>
      <c r="J17" s="282"/>
      <c r="K17" s="283"/>
      <c r="L17" s="281"/>
      <c r="M17" s="283"/>
      <c r="N17" s="283"/>
      <c r="O17" s="317"/>
      <c r="P17" s="282"/>
      <c r="Q17" s="283"/>
      <c r="R17" s="281"/>
      <c r="S17" s="318"/>
      <c r="T17" s="283"/>
      <c r="U17" s="317"/>
      <c r="V17" s="282"/>
      <c r="W17" s="283"/>
      <c r="X17" s="281"/>
      <c r="Y17" s="336"/>
      <c r="Z17" s="283"/>
      <c r="AA17" s="317"/>
      <c r="AB17" s="282"/>
      <c r="AC17" s="283"/>
      <c r="AD17" s="329"/>
      <c r="AE17" s="320" t="s">
        <v>333</v>
      </c>
      <c r="AF17" s="283"/>
      <c r="AG17" s="281"/>
      <c r="AH17" s="282"/>
      <c r="AI17" s="283"/>
      <c r="AJ17" s="281"/>
      <c r="AK17" s="282"/>
      <c r="AL17" s="283"/>
      <c r="AM17" s="281"/>
      <c r="AN17" s="283"/>
      <c r="AO17" s="284"/>
      <c r="AP17" s="286"/>
    </row>
    <row r="18" spans="2:42" ht="20.149999999999999" customHeight="1" x14ac:dyDescent="0.2">
      <c r="B18" s="448"/>
      <c r="C18" s="450"/>
      <c r="D18" s="451"/>
      <c r="E18" s="451"/>
      <c r="F18" s="277"/>
      <c r="G18" s="282"/>
      <c r="H18" s="283"/>
      <c r="I18" s="283"/>
      <c r="J18" s="282"/>
      <c r="K18" s="283"/>
      <c r="L18" s="281"/>
      <c r="M18" s="283"/>
      <c r="N18" s="283"/>
      <c r="O18" s="317"/>
      <c r="P18" s="282"/>
      <c r="Q18" s="283"/>
      <c r="R18" s="281"/>
      <c r="S18" s="318"/>
      <c r="T18" s="283"/>
      <c r="U18" s="317"/>
      <c r="V18" s="282"/>
      <c r="W18" s="283"/>
      <c r="X18" s="281"/>
      <c r="Y18" s="318"/>
      <c r="Z18" s="283"/>
      <c r="AA18" s="317"/>
      <c r="AB18" s="282"/>
      <c r="AC18" s="283"/>
      <c r="AD18" s="281"/>
      <c r="AE18" s="282"/>
      <c r="AF18" s="283"/>
      <c r="AG18" s="281"/>
      <c r="AH18" s="282"/>
      <c r="AI18" s="283"/>
      <c r="AJ18" s="281"/>
      <c r="AK18" s="282"/>
      <c r="AL18" s="283"/>
      <c r="AM18" s="281"/>
      <c r="AN18" s="283"/>
      <c r="AO18" s="283"/>
      <c r="AP18" s="321"/>
    </row>
    <row r="19" spans="2:42" ht="20.149999999999999" customHeight="1" x14ac:dyDescent="0.2">
      <c r="B19" s="449"/>
      <c r="C19" s="452"/>
      <c r="D19" s="453"/>
      <c r="E19" s="453"/>
      <c r="F19" s="278"/>
      <c r="G19" s="322"/>
      <c r="H19" s="323"/>
      <c r="I19" s="323"/>
      <c r="J19" s="322"/>
      <c r="K19" s="323"/>
      <c r="L19" s="324"/>
      <c r="M19" s="323"/>
      <c r="N19" s="323"/>
      <c r="O19" s="325"/>
      <c r="P19" s="322"/>
      <c r="Q19" s="323"/>
      <c r="R19" s="324"/>
      <c r="S19" s="326"/>
      <c r="T19" s="323"/>
      <c r="U19" s="325"/>
      <c r="V19" s="322"/>
      <c r="W19" s="323"/>
      <c r="X19" s="324"/>
      <c r="Y19" s="326"/>
      <c r="Z19" s="323"/>
      <c r="AA19" s="325"/>
      <c r="AB19" s="322"/>
      <c r="AC19" s="323"/>
      <c r="AD19" s="324"/>
      <c r="AE19" s="322"/>
      <c r="AF19" s="323"/>
      <c r="AG19" s="324"/>
      <c r="AH19" s="322"/>
      <c r="AI19" s="323"/>
      <c r="AJ19" s="324"/>
      <c r="AK19" s="322"/>
      <c r="AL19" s="323"/>
      <c r="AM19" s="324"/>
      <c r="AN19" s="323"/>
      <c r="AO19" s="323"/>
      <c r="AP19" s="327"/>
    </row>
    <row r="20" spans="2:42" ht="20.149999999999999" customHeight="1" x14ac:dyDescent="0.2">
      <c r="B20" s="485" t="s">
        <v>67</v>
      </c>
      <c r="C20" s="468"/>
      <c r="D20" s="469"/>
      <c r="E20" s="469"/>
      <c r="F20" s="469"/>
      <c r="G20" s="469"/>
      <c r="H20" s="469"/>
      <c r="I20" s="469"/>
      <c r="J20" s="469"/>
      <c r="K20" s="469"/>
      <c r="L20" s="469"/>
      <c r="M20" s="469"/>
      <c r="N20" s="469"/>
      <c r="O20" s="469"/>
      <c r="P20" s="469"/>
      <c r="Q20" s="469"/>
      <c r="R20" s="469"/>
      <c r="S20" s="469"/>
      <c r="T20" s="469"/>
      <c r="U20" s="469"/>
      <c r="V20" s="469"/>
      <c r="W20" s="469"/>
      <c r="X20" s="469"/>
      <c r="Y20" s="469"/>
      <c r="Z20" s="469"/>
      <c r="AA20" s="469"/>
      <c r="AB20" s="469"/>
      <c r="AC20" s="469"/>
      <c r="AD20" s="469"/>
      <c r="AE20" s="469"/>
      <c r="AF20" s="469"/>
      <c r="AG20" s="469"/>
      <c r="AH20" s="469"/>
      <c r="AI20" s="469"/>
      <c r="AJ20" s="469"/>
      <c r="AK20" s="469"/>
      <c r="AL20" s="469"/>
      <c r="AM20" s="469"/>
      <c r="AN20" s="469"/>
      <c r="AO20" s="469"/>
      <c r="AP20" s="470"/>
    </row>
    <row r="21" spans="2:42" ht="20.149999999999999" customHeight="1" x14ac:dyDescent="0.2">
      <c r="B21" s="420"/>
      <c r="C21" s="486" t="s">
        <v>368</v>
      </c>
      <c r="D21" s="487"/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7"/>
      <c r="R21" s="487"/>
      <c r="S21" s="487"/>
      <c r="T21" s="487"/>
      <c r="U21" s="487"/>
      <c r="V21" s="67"/>
      <c r="W21" s="67"/>
      <c r="Y21" s="471"/>
      <c r="Z21" s="471"/>
      <c r="AA21" s="471"/>
      <c r="AB21" s="471"/>
      <c r="AC21" s="67"/>
      <c r="AD21" s="67"/>
      <c r="AI21" s="67"/>
      <c r="AJ21" s="67"/>
      <c r="AK21" s="67"/>
      <c r="AL21" s="67"/>
      <c r="AM21" s="67"/>
      <c r="AN21" s="67"/>
      <c r="AO21" s="67"/>
      <c r="AP21" s="68"/>
    </row>
    <row r="22" spans="2:42" ht="20.149999999999999" customHeight="1" thickBot="1" x14ac:dyDescent="0.25">
      <c r="B22" s="441"/>
      <c r="C22" s="472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473"/>
      <c r="AB22" s="473"/>
      <c r="AC22" s="473"/>
      <c r="AD22" s="473"/>
      <c r="AE22" s="473"/>
      <c r="AF22" s="473"/>
      <c r="AG22" s="473"/>
      <c r="AH22" s="473"/>
      <c r="AI22" s="473"/>
      <c r="AJ22" s="473"/>
      <c r="AK22" s="473"/>
      <c r="AL22" s="473"/>
      <c r="AM22" s="473"/>
      <c r="AN22" s="473"/>
      <c r="AO22" s="473"/>
      <c r="AP22" s="474"/>
    </row>
    <row r="23" spans="2:42" ht="9.9" customHeight="1" x14ac:dyDescent="0.2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2:42" ht="24.9" customHeight="1" thickBot="1" x14ac:dyDescent="0.25">
      <c r="B24" s="58" t="s">
        <v>95</v>
      </c>
    </row>
    <row r="25" spans="2:42" ht="20.149999999999999" customHeight="1" thickBot="1" x14ac:dyDescent="0.25">
      <c r="B25" s="475" t="s">
        <v>16</v>
      </c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7"/>
      <c r="O25" s="478" t="s">
        <v>15</v>
      </c>
      <c r="P25" s="479"/>
      <c r="Q25" s="479"/>
      <c r="R25" s="479"/>
      <c r="S25" s="479"/>
      <c r="T25" s="479"/>
      <c r="U25" s="479"/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479"/>
      <c r="AG25" s="479"/>
      <c r="AH25" s="479"/>
      <c r="AI25" s="479"/>
      <c r="AJ25" s="479"/>
      <c r="AK25" s="479"/>
      <c r="AL25" s="479"/>
      <c r="AM25" s="479"/>
      <c r="AN25" s="479"/>
      <c r="AO25" s="479"/>
      <c r="AP25" s="480"/>
    </row>
    <row r="26" spans="2:42" ht="39.9" customHeight="1" x14ac:dyDescent="0.2">
      <c r="B26" s="481" t="s">
        <v>11</v>
      </c>
      <c r="C26" s="464"/>
      <c r="D26" s="464"/>
      <c r="E26" s="482" t="s">
        <v>280</v>
      </c>
      <c r="F26" s="483"/>
      <c r="G26" s="483"/>
      <c r="H26" s="483"/>
      <c r="I26" s="483"/>
      <c r="J26" s="483"/>
      <c r="K26" s="483"/>
      <c r="L26" s="483"/>
      <c r="M26" s="483"/>
      <c r="N26" s="484"/>
      <c r="O26" s="463" t="s">
        <v>8</v>
      </c>
      <c r="P26" s="464"/>
      <c r="Q26" s="464"/>
      <c r="R26" s="464"/>
      <c r="S26" s="464"/>
      <c r="T26" s="465" t="s">
        <v>319</v>
      </c>
      <c r="U26" s="466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  <c r="AF26" s="466"/>
      <c r="AG26" s="466"/>
      <c r="AH26" s="466"/>
      <c r="AI26" s="466"/>
      <c r="AJ26" s="466"/>
      <c r="AK26" s="466"/>
      <c r="AL26" s="466"/>
      <c r="AM26" s="466"/>
      <c r="AN26" s="466"/>
      <c r="AO26" s="466"/>
      <c r="AP26" s="467"/>
    </row>
    <row r="27" spans="2:42" ht="39.9" customHeight="1" x14ac:dyDescent="0.2">
      <c r="B27" s="491" t="s">
        <v>12</v>
      </c>
      <c r="C27" s="492"/>
      <c r="D27" s="492"/>
      <c r="E27" s="493" t="s">
        <v>370</v>
      </c>
      <c r="F27" s="494"/>
      <c r="G27" s="494"/>
      <c r="H27" s="494"/>
      <c r="I27" s="494"/>
      <c r="J27" s="494"/>
      <c r="K27" s="494"/>
      <c r="L27" s="494"/>
      <c r="M27" s="494"/>
      <c r="N27" s="495"/>
      <c r="O27" s="496" t="s">
        <v>9</v>
      </c>
      <c r="P27" s="492"/>
      <c r="Q27" s="492"/>
      <c r="R27" s="492"/>
      <c r="S27" s="492"/>
      <c r="T27" s="493" t="s">
        <v>369</v>
      </c>
      <c r="U27" s="494"/>
      <c r="V27" s="494"/>
      <c r="W27" s="494"/>
      <c r="X27" s="494"/>
      <c r="Y27" s="494"/>
      <c r="Z27" s="494"/>
      <c r="AA27" s="494"/>
      <c r="AB27" s="494"/>
      <c r="AC27" s="494"/>
      <c r="AD27" s="494"/>
      <c r="AE27" s="494"/>
      <c r="AF27" s="494"/>
      <c r="AG27" s="494"/>
      <c r="AH27" s="494"/>
      <c r="AI27" s="494"/>
      <c r="AJ27" s="494"/>
      <c r="AK27" s="494"/>
      <c r="AL27" s="494"/>
      <c r="AM27" s="494"/>
      <c r="AN27" s="494"/>
      <c r="AO27" s="494"/>
      <c r="AP27" s="495"/>
    </row>
    <row r="28" spans="2:42" ht="39.9" customHeight="1" x14ac:dyDescent="0.2">
      <c r="B28" s="491" t="s">
        <v>13</v>
      </c>
      <c r="C28" s="492"/>
      <c r="D28" s="492"/>
      <c r="E28" s="493" t="s">
        <v>281</v>
      </c>
      <c r="F28" s="494"/>
      <c r="G28" s="494"/>
      <c r="H28" s="494"/>
      <c r="I28" s="494"/>
      <c r="J28" s="494"/>
      <c r="K28" s="494"/>
      <c r="L28" s="494"/>
      <c r="M28" s="494"/>
      <c r="N28" s="495"/>
      <c r="O28" s="496" t="s">
        <v>10</v>
      </c>
      <c r="P28" s="492"/>
      <c r="Q28" s="492"/>
      <c r="R28" s="492"/>
      <c r="S28" s="492"/>
      <c r="T28" s="493" t="s">
        <v>371</v>
      </c>
      <c r="U28" s="494"/>
      <c r="V28" s="494"/>
      <c r="W28" s="494"/>
      <c r="X28" s="494"/>
      <c r="Y28" s="494"/>
      <c r="Z28" s="494"/>
      <c r="AA28" s="494"/>
      <c r="AB28" s="494"/>
      <c r="AC28" s="494"/>
      <c r="AD28" s="494"/>
      <c r="AE28" s="494"/>
      <c r="AF28" s="494"/>
      <c r="AG28" s="494"/>
      <c r="AH28" s="494"/>
      <c r="AI28" s="494"/>
      <c r="AJ28" s="494"/>
      <c r="AK28" s="494"/>
      <c r="AL28" s="494"/>
      <c r="AM28" s="494"/>
      <c r="AN28" s="494"/>
      <c r="AO28" s="494"/>
      <c r="AP28" s="495"/>
    </row>
    <row r="29" spans="2:42" ht="39.9" customHeight="1" thickBot="1" x14ac:dyDescent="0.25">
      <c r="B29" s="499" t="s">
        <v>14</v>
      </c>
      <c r="C29" s="498"/>
      <c r="D29" s="498"/>
      <c r="E29" s="488" t="s">
        <v>282</v>
      </c>
      <c r="F29" s="489"/>
      <c r="G29" s="489"/>
      <c r="H29" s="489"/>
      <c r="I29" s="489"/>
      <c r="J29" s="489"/>
      <c r="K29" s="489"/>
      <c r="L29" s="489"/>
      <c r="M29" s="489"/>
      <c r="N29" s="490"/>
      <c r="O29" s="497"/>
      <c r="P29" s="498"/>
      <c r="Q29" s="498"/>
      <c r="R29" s="498"/>
      <c r="S29" s="498"/>
      <c r="T29" s="489"/>
      <c r="U29" s="489"/>
      <c r="V29" s="489"/>
      <c r="W29" s="489"/>
      <c r="X29" s="489"/>
      <c r="Y29" s="489"/>
      <c r="Z29" s="489"/>
      <c r="AA29" s="489"/>
      <c r="AB29" s="489"/>
      <c r="AC29" s="489"/>
      <c r="AD29" s="489"/>
      <c r="AE29" s="489"/>
      <c r="AF29" s="489"/>
      <c r="AG29" s="489"/>
      <c r="AH29" s="489"/>
      <c r="AI29" s="489"/>
      <c r="AJ29" s="489"/>
      <c r="AK29" s="489"/>
      <c r="AL29" s="489"/>
      <c r="AM29" s="489"/>
      <c r="AN29" s="489"/>
      <c r="AO29" s="489"/>
      <c r="AP29" s="490"/>
    </row>
    <row r="30" spans="2:42" ht="9.75" customHeight="1" x14ac:dyDescent="0.2">
      <c r="B30" s="61"/>
    </row>
  </sheetData>
  <mergeCells count="86">
    <mergeCell ref="C2:D2"/>
    <mergeCell ref="F2:N2"/>
    <mergeCell ref="Y2:AA2"/>
    <mergeCell ref="O2:Q2"/>
    <mergeCell ref="R2:U2"/>
    <mergeCell ref="V2:X2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AN12:AP12"/>
    <mergeCell ref="C13:E13"/>
    <mergeCell ref="C14:E14"/>
    <mergeCell ref="C15:E15"/>
    <mergeCell ref="AB12:AD12"/>
    <mergeCell ref="AE12:AG12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8:X8"/>
    <mergeCell ref="Y8:AA8"/>
    <mergeCell ref="Q9:X9"/>
    <mergeCell ref="Y9:AA9"/>
    <mergeCell ref="Q10:X10"/>
    <mergeCell ref="Y10:AA10"/>
    <mergeCell ref="B9:C9"/>
    <mergeCell ref="D9:G9"/>
    <mergeCell ref="H9:M9"/>
    <mergeCell ref="N9:P9"/>
    <mergeCell ref="B8:C8"/>
    <mergeCell ref="D8:G8"/>
    <mergeCell ref="H8:M8"/>
    <mergeCell ref="N8:P8"/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</mergeCells>
  <phoneticPr fontId="3"/>
  <pageMargins left="0.78740157480314965" right="0.78740157480314965" top="0.78740157480314965" bottom="0.78740157480314965" header="0.39370078740157483" footer="0.39370078740157483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2"/>
  <sheetViews>
    <sheetView zoomScale="75" zoomScaleNormal="75" zoomScaleSheetLayoutView="100" workbookViewId="0">
      <pane xSplit="3" ySplit="3" topLeftCell="D4" activePane="bottomRight" state="frozen"/>
      <selection activeCell="B6" sqref="B6:N38"/>
      <selection pane="topRight" activeCell="B6" sqref="B6:N38"/>
      <selection pane="bottomLeft" activeCell="B6" sqref="B6:N38"/>
      <selection pane="bottomRight" activeCell="F11" sqref="F11"/>
    </sheetView>
  </sheetViews>
  <sheetFormatPr defaultColWidth="9" defaultRowHeight="13" x14ac:dyDescent="0.2"/>
  <cols>
    <col min="1" max="1" width="1.6328125" style="58" customWidth="1"/>
    <col min="2" max="2" width="7.6328125" style="58" customWidth="1"/>
    <col min="3" max="3" width="25.6328125" style="58" customWidth="1"/>
    <col min="4" max="4" width="19.6328125" style="58" customWidth="1"/>
    <col min="5" max="10" width="18.453125" style="58" customWidth="1"/>
    <col min="11" max="16384" width="9" style="58"/>
  </cols>
  <sheetData>
    <row r="1" spans="2:10" ht="9.9" customHeight="1" x14ac:dyDescent="0.2"/>
    <row r="2" spans="2:10" ht="24.9" customHeight="1" thickBot="1" x14ac:dyDescent="0.25">
      <c r="B2" s="180" t="s">
        <v>328</v>
      </c>
      <c r="F2" s="205" t="s">
        <v>263</v>
      </c>
      <c r="G2" s="180" t="str">
        <f>'１　対象経営の概要，２　前提条件'!F2</f>
        <v>青ネギ（土耕）専作</v>
      </c>
      <c r="I2" s="202" t="s">
        <v>195</v>
      </c>
      <c r="J2" s="180" t="str">
        <f>'１　対象経営の概要，２　前提条件'!R2</f>
        <v>春～冬どり</v>
      </c>
    </row>
    <row r="3" spans="2:10" ht="20.149999999999999" customHeight="1" x14ac:dyDescent="0.2">
      <c r="B3" s="515" t="s">
        <v>89</v>
      </c>
      <c r="C3" s="516"/>
      <c r="D3" s="357" t="s">
        <v>307</v>
      </c>
      <c r="E3" s="357" t="s">
        <v>323</v>
      </c>
      <c r="F3" s="357" t="s">
        <v>309</v>
      </c>
      <c r="G3" s="358" t="s">
        <v>346</v>
      </c>
      <c r="H3" s="358" t="s">
        <v>347</v>
      </c>
      <c r="I3" s="357" t="s">
        <v>312</v>
      </c>
      <c r="J3" s="359" t="s">
        <v>314</v>
      </c>
    </row>
    <row r="4" spans="2:10" ht="117" customHeight="1" x14ac:dyDescent="0.2">
      <c r="B4" s="514" t="s">
        <v>80</v>
      </c>
      <c r="C4" s="355" t="s">
        <v>81</v>
      </c>
      <c r="D4" s="377" t="s">
        <v>375</v>
      </c>
      <c r="E4" s="377" t="s">
        <v>376</v>
      </c>
      <c r="F4" s="377" t="s">
        <v>377</v>
      </c>
      <c r="G4" s="377" t="s">
        <v>378</v>
      </c>
      <c r="H4" s="377" t="s">
        <v>379</v>
      </c>
      <c r="I4" s="377" t="s">
        <v>380</v>
      </c>
      <c r="J4" s="378" t="s">
        <v>381</v>
      </c>
    </row>
    <row r="5" spans="2:10" ht="20.149999999999999" customHeight="1" x14ac:dyDescent="0.2">
      <c r="B5" s="514"/>
      <c r="C5" s="355" t="s">
        <v>82</v>
      </c>
      <c r="D5" s="356" t="s">
        <v>334</v>
      </c>
      <c r="E5" s="356" t="s">
        <v>334</v>
      </c>
      <c r="F5" s="356" t="s">
        <v>335</v>
      </c>
      <c r="G5" s="356" t="s">
        <v>336</v>
      </c>
      <c r="H5" s="356" t="s">
        <v>336</v>
      </c>
      <c r="I5" s="356" t="s">
        <v>335</v>
      </c>
      <c r="J5" s="360" t="s">
        <v>337</v>
      </c>
    </row>
    <row r="6" spans="2:10" ht="125.25" customHeight="1" x14ac:dyDescent="0.2">
      <c r="B6" s="514"/>
      <c r="C6" s="355" t="s">
        <v>88</v>
      </c>
      <c r="D6" s="356" t="s">
        <v>331</v>
      </c>
      <c r="E6" s="356" t="s">
        <v>324</v>
      </c>
      <c r="F6" s="356" t="s">
        <v>303</v>
      </c>
      <c r="G6" s="356" t="s">
        <v>348</v>
      </c>
      <c r="H6" s="356" t="s">
        <v>318</v>
      </c>
      <c r="I6" s="356" t="s">
        <v>264</v>
      </c>
      <c r="J6" s="360" t="s">
        <v>316</v>
      </c>
    </row>
    <row r="7" spans="2:10" ht="20.149999999999999" customHeight="1" x14ac:dyDescent="0.2">
      <c r="B7" s="514"/>
      <c r="C7" s="60" t="s">
        <v>85</v>
      </c>
      <c r="D7" s="316">
        <v>70</v>
      </c>
      <c r="E7" s="316">
        <v>35</v>
      </c>
      <c r="F7" s="316">
        <v>0</v>
      </c>
      <c r="G7" s="523">
        <v>90</v>
      </c>
      <c r="H7" s="524"/>
      <c r="I7" s="316">
        <v>80</v>
      </c>
      <c r="J7" s="361">
        <v>365</v>
      </c>
    </row>
    <row r="8" spans="2:10" ht="20.149999999999999" customHeight="1" x14ac:dyDescent="0.2">
      <c r="B8" s="514"/>
      <c r="C8" s="356" t="s">
        <v>86</v>
      </c>
      <c r="D8" s="316">
        <v>70</v>
      </c>
      <c r="E8" s="316">
        <v>35</v>
      </c>
      <c r="F8" s="316">
        <v>100</v>
      </c>
      <c r="G8" s="523">
        <v>90</v>
      </c>
      <c r="H8" s="524"/>
      <c r="I8" s="316">
        <v>80</v>
      </c>
      <c r="J8" s="361">
        <v>365</v>
      </c>
    </row>
    <row r="9" spans="2:10" ht="20.149999999999999" customHeight="1" x14ac:dyDescent="0.2">
      <c r="B9" s="514"/>
      <c r="C9" s="355" t="s">
        <v>87</v>
      </c>
      <c r="D9" s="356">
        <v>1</v>
      </c>
      <c r="E9" s="356">
        <v>1</v>
      </c>
      <c r="F9" s="356">
        <v>1</v>
      </c>
      <c r="G9" s="521">
        <v>1</v>
      </c>
      <c r="H9" s="522"/>
      <c r="I9" s="356">
        <v>1</v>
      </c>
      <c r="J9" s="360">
        <v>2</v>
      </c>
    </row>
    <row r="10" spans="2:10" ht="63" customHeight="1" x14ac:dyDescent="0.2">
      <c r="B10" s="519" t="s">
        <v>83</v>
      </c>
      <c r="C10" s="520"/>
      <c r="D10" s="345" t="s">
        <v>364</v>
      </c>
      <c r="E10" s="347" t="s">
        <v>341</v>
      </c>
      <c r="F10" s="346"/>
      <c r="G10" s="347"/>
      <c r="H10" s="382" t="s">
        <v>392</v>
      </c>
      <c r="I10" s="347"/>
      <c r="J10" s="360"/>
    </row>
    <row r="11" spans="2:10" ht="243" customHeight="1" thickBot="1" x14ac:dyDescent="0.25">
      <c r="B11" s="517" t="s">
        <v>84</v>
      </c>
      <c r="C11" s="518"/>
      <c r="D11" s="379" t="s">
        <v>382</v>
      </c>
      <c r="E11" s="379" t="s">
        <v>383</v>
      </c>
      <c r="F11" s="379" t="s">
        <v>384</v>
      </c>
      <c r="G11" s="379" t="s">
        <v>385</v>
      </c>
      <c r="H11" s="379" t="s">
        <v>386</v>
      </c>
      <c r="I11" s="379" t="s">
        <v>387</v>
      </c>
      <c r="J11" s="380" t="s">
        <v>388</v>
      </c>
    </row>
    <row r="12" spans="2:10" ht="9.75" customHeight="1" x14ac:dyDescent="0.2">
      <c r="B12" s="61"/>
    </row>
  </sheetData>
  <mergeCells count="7">
    <mergeCell ref="B4:B9"/>
    <mergeCell ref="B3:C3"/>
    <mergeCell ref="B11:C11"/>
    <mergeCell ref="B10:C10"/>
    <mergeCell ref="G9:H9"/>
    <mergeCell ref="G7:H7"/>
    <mergeCell ref="G8:H8"/>
  </mergeCells>
  <phoneticPr fontId="4"/>
  <pageMargins left="0.78740157480314965" right="0.78740157480314965" top="0.78740157480314965" bottom="0.78740157480314965" header="0.39370078740157483" footer="0.39370078740157483"/>
  <pageSetup paperSize="9" scale="74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38"/>
  <sheetViews>
    <sheetView zoomScale="75" zoomScaleNormal="75" zoomScaleSheetLayoutView="100" workbookViewId="0">
      <selection activeCell="J14" sqref="J14:P14"/>
    </sheetView>
  </sheetViews>
  <sheetFormatPr defaultColWidth="9" defaultRowHeight="13" x14ac:dyDescent="0.2"/>
  <cols>
    <col min="1" max="1" width="1.6328125" customWidth="1"/>
    <col min="2" max="2" width="7.6328125" customWidth="1"/>
    <col min="3" max="3" width="15.6328125" customWidth="1"/>
    <col min="4" max="7" width="20.6328125" customWidth="1"/>
    <col min="8" max="9" width="20.6328125" hidden="1" customWidth="1"/>
    <col min="10" max="16" width="12.6328125" customWidth="1"/>
  </cols>
  <sheetData>
    <row r="1" spans="2:16" ht="9.9" customHeight="1" x14ac:dyDescent="0.2"/>
    <row r="2" spans="2:16" ht="24.9" customHeight="1" thickBot="1" x14ac:dyDescent="0.25">
      <c r="B2" s="7" t="s">
        <v>79</v>
      </c>
      <c r="C2" s="8"/>
      <c r="D2" s="8"/>
      <c r="O2" s="9"/>
      <c r="P2" s="9"/>
    </row>
    <row r="3" spans="2:16" ht="20.149999999999999" customHeight="1" x14ac:dyDescent="0.2">
      <c r="B3" s="561" t="s">
        <v>240</v>
      </c>
      <c r="C3" s="562"/>
      <c r="D3" s="562"/>
      <c r="E3" s="562"/>
      <c r="F3" s="10" t="s">
        <v>22</v>
      </c>
      <c r="G3" s="10" t="str">
        <f>'１　対象経営の概要，２　前提条件'!F2</f>
        <v>青ネギ（土耕）専作</v>
      </c>
      <c r="H3" s="234"/>
      <c r="I3" s="222"/>
      <c r="J3" s="542" t="s">
        <v>239</v>
      </c>
      <c r="K3" s="543"/>
      <c r="L3" s="543"/>
      <c r="M3" s="543"/>
      <c r="N3" s="543"/>
      <c r="O3" s="543"/>
      <c r="P3" s="544"/>
    </row>
    <row r="4" spans="2:16" ht="20.149999999999999" customHeight="1" thickBot="1" x14ac:dyDescent="0.25">
      <c r="B4" s="563"/>
      <c r="C4" s="564"/>
      <c r="D4" s="564"/>
      <c r="E4" s="564"/>
      <c r="F4" s="11"/>
      <c r="G4" s="221">
        <f>'１　対象経営の概要，２　前提条件'!N7</f>
        <v>40</v>
      </c>
      <c r="H4" s="235"/>
      <c r="I4" s="221"/>
      <c r="J4" s="545"/>
      <c r="K4" s="546"/>
      <c r="L4" s="546"/>
      <c r="M4" s="546"/>
      <c r="N4" s="546"/>
      <c r="O4" s="546"/>
      <c r="P4" s="547"/>
    </row>
    <row r="5" spans="2:16" ht="20.149999999999999" customHeight="1" x14ac:dyDescent="0.2">
      <c r="B5" s="570" t="s">
        <v>44</v>
      </c>
      <c r="C5" s="571"/>
      <c r="D5" s="12" t="s">
        <v>159</v>
      </c>
      <c r="E5" s="13"/>
      <c r="F5" s="14">
        <f>SUM(G5:I5)</f>
        <v>15419931.506849313</v>
      </c>
      <c r="G5" s="179">
        <f>'７　青ネギ（土耕）部門収支'!F4*G$4/10</f>
        <v>15419931.506849313</v>
      </c>
      <c r="H5" s="236"/>
      <c r="I5" s="223"/>
      <c r="J5" s="548"/>
      <c r="K5" s="549"/>
      <c r="L5" s="549"/>
      <c r="M5" s="549"/>
      <c r="N5" s="549"/>
      <c r="O5" s="549"/>
      <c r="P5" s="550"/>
    </row>
    <row r="6" spans="2:16" ht="20.149999999999999" customHeight="1" x14ac:dyDescent="0.2">
      <c r="B6" s="572"/>
      <c r="C6" s="573"/>
      <c r="D6" s="15" t="s">
        <v>70</v>
      </c>
      <c r="E6" s="16"/>
      <c r="F6" s="17">
        <f>SUM(G6:I6)</f>
        <v>0</v>
      </c>
      <c r="G6" s="20">
        <f>'７　青ネギ（土耕）部門収支'!F5*G$4/10</f>
        <v>0</v>
      </c>
      <c r="H6" s="21"/>
      <c r="I6" s="20"/>
      <c r="J6" s="539"/>
      <c r="K6" s="540"/>
      <c r="L6" s="540"/>
      <c r="M6" s="540"/>
      <c r="N6" s="540"/>
      <c r="O6" s="540"/>
      <c r="P6" s="541"/>
    </row>
    <row r="7" spans="2:16" ht="20.149999999999999" customHeight="1" x14ac:dyDescent="0.2">
      <c r="B7" s="574"/>
      <c r="C7" s="575"/>
      <c r="D7" s="565" t="s">
        <v>155</v>
      </c>
      <c r="E7" s="566"/>
      <c r="F7" s="18">
        <f>SUM(G7,J7,O7)</f>
        <v>15419931.506849313</v>
      </c>
      <c r="G7" s="19">
        <f>G5+G6</f>
        <v>15419931.506849313</v>
      </c>
      <c r="H7" s="19">
        <f t="shared" ref="H7:I7" si="0">H5+H6</f>
        <v>0</v>
      </c>
      <c r="I7" s="19">
        <f t="shared" si="0"/>
        <v>0</v>
      </c>
      <c r="J7" s="539"/>
      <c r="K7" s="540"/>
      <c r="L7" s="540"/>
      <c r="M7" s="540"/>
      <c r="N7" s="540"/>
      <c r="O7" s="540"/>
      <c r="P7" s="541"/>
    </row>
    <row r="8" spans="2:16" ht="20.149999999999999" customHeight="1" x14ac:dyDescent="0.2">
      <c r="B8" s="535" t="s">
        <v>226</v>
      </c>
      <c r="C8" s="527" t="s">
        <v>241</v>
      </c>
      <c r="D8" s="15" t="s">
        <v>45</v>
      </c>
      <c r="E8" s="16"/>
      <c r="F8" s="17">
        <f t="shared" ref="F8:F33" si="1">SUM(G8:I8)</f>
        <v>360000</v>
      </c>
      <c r="G8" s="20">
        <f>'７　青ネギ（土耕）部門収支'!F6*G$4/10</f>
        <v>360000</v>
      </c>
      <c r="H8" s="21"/>
      <c r="I8" s="20"/>
      <c r="J8" s="539"/>
      <c r="K8" s="540"/>
      <c r="L8" s="540"/>
      <c r="M8" s="540"/>
      <c r="N8" s="540"/>
      <c r="O8" s="540"/>
      <c r="P8" s="541"/>
    </row>
    <row r="9" spans="2:16" ht="20.149999999999999" customHeight="1" x14ac:dyDescent="0.2">
      <c r="B9" s="536"/>
      <c r="C9" s="528"/>
      <c r="D9" s="15" t="s">
        <v>46</v>
      </c>
      <c r="E9" s="16"/>
      <c r="F9" s="17">
        <f t="shared" si="1"/>
        <v>397978</v>
      </c>
      <c r="G9" s="20">
        <f>'７　青ネギ（土耕）部門収支'!F7*G$4/10</f>
        <v>397978</v>
      </c>
      <c r="H9" s="21"/>
      <c r="I9" s="20"/>
      <c r="J9" s="539"/>
      <c r="K9" s="540"/>
      <c r="L9" s="540"/>
      <c r="M9" s="540"/>
      <c r="N9" s="540"/>
      <c r="O9" s="540"/>
      <c r="P9" s="541"/>
    </row>
    <row r="10" spans="2:16" ht="20.149999999999999" customHeight="1" x14ac:dyDescent="0.2">
      <c r="B10" s="536"/>
      <c r="C10" s="528"/>
      <c r="D10" s="15" t="s">
        <v>47</v>
      </c>
      <c r="E10" s="16"/>
      <c r="F10" s="17">
        <f t="shared" si="1"/>
        <v>358326.72</v>
      </c>
      <c r="G10" s="20">
        <f>'７　青ネギ（土耕）部門収支'!F8*G$4/10</f>
        <v>358326.72</v>
      </c>
      <c r="H10" s="21"/>
      <c r="I10" s="20"/>
      <c r="J10" s="539"/>
      <c r="K10" s="540"/>
      <c r="L10" s="540"/>
      <c r="M10" s="540"/>
      <c r="N10" s="540"/>
      <c r="O10" s="540"/>
      <c r="P10" s="541"/>
    </row>
    <row r="11" spans="2:16" ht="20.149999999999999" customHeight="1" x14ac:dyDescent="0.2">
      <c r="B11" s="536"/>
      <c r="C11" s="528"/>
      <c r="D11" s="15" t="s">
        <v>71</v>
      </c>
      <c r="E11" s="16"/>
      <c r="F11" s="17">
        <f t="shared" si="1"/>
        <v>444069.75999999995</v>
      </c>
      <c r="G11" s="20">
        <f>'７　青ネギ（土耕）部門収支'!F9*G$4/10</f>
        <v>444069.75999999995</v>
      </c>
      <c r="H11" s="21"/>
      <c r="I11" s="20"/>
      <c r="J11" s="539"/>
      <c r="K11" s="540"/>
      <c r="L11" s="540"/>
      <c r="M11" s="540"/>
      <c r="N11" s="540"/>
      <c r="O11" s="540"/>
      <c r="P11" s="541"/>
    </row>
    <row r="12" spans="2:16" ht="20.149999999999999" customHeight="1" x14ac:dyDescent="0.2">
      <c r="B12" s="536"/>
      <c r="C12" s="528"/>
      <c r="D12" s="15" t="s">
        <v>48</v>
      </c>
      <c r="E12" s="16"/>
      <c r="F12" s="17">
        <f t="shared" si="1"/>
        <v>152000</v>
      </c>
      <c r="G12" s="20">
        <f>'７　青ネギ（土耕）部門収支'!F10*G$4/10</f>
        <v>152000</v>
      </c>
      <c r="H12" s="21"/>
      <c r="I12" s="20"/>
      <c r="J12" s="539"/>
      <c r="K12" s="540"/>
      <c r="L12" s="540"/>
      <c r="M12" s="540"/>
      <c r="N12" s="540"/>
      <c r="O12" s="540"/>
      <c r="P12" s="541"/>
    </row>
    <row r="13" spans="2:16" ht="20.149999999999999" customHeight="1" x14ac:dyDescent="0.2">
      <c r="B13" s="536"/>
      <c r="C13" s="528"/>
      <c r="D13" s="15" t="s">
        <v>4</v>
      </c>
      <c r="E13" s="16"/>
      <c r="F13" s="17">
        <f t="shared" si="1"/>
        <v>33066.666666666664</v>
      </c>
      <c r="G13" s="20">
        <f>'７　青ネギ（土耕）部門収支'!F11*G$4/10</f>
        <v>33066.666666666664</v>
      </c>
      <c r="H13" s="21"/>
      <c r="I13" s="20"/>
      <c r="J13" s="539"/>
      <c r="K13" s="540"/>
      <c r="L13" s="540"/>
      <c r="M13" s="540"/>
      <c r="N13" s="540"/>
      <c r="O13" s="540"/>
      <c r="P13" s="541"/>
    </row>
    <row r="14" spans="2:16" ht="20.149999999999999" customHeight="1" x14ac:dyDescent="0.2">
      <c r="B14" s="536"/>
      <c r="C14" s="528"/>
      <c r="D14" s="15" t="s">
        <v>5</v>
      </c>
      <c r="E14" s="16"/>
      <c r="F14" s="20">
        <f t="shared" si="1"/>
        <v>0</v>
      </c>
      <c r="G14" s="20">
        <f>'７　青ネギ（土耕）部門収支'!F12*G$4/10</f>
        <v>0</v>
      </c>
      <c r="H14" s="21"/>
      <c r="I14" s="20"/>
      <c r="J14" s="539"/>
      <c r="K14" s="540"/>
      <c r="L14" s="540"/>
      <c r="M14" s="540"/>
      <c r="N14" s="540"/>
      <c r="O14" s="540"/>
      <c r="P14" s="541"/>
    </row>
    <row r="15" spans="2:16" ht="20.149999999999999" customHeight="1" x14ac:dyDescent="0.2">
      <c r="B15" s="536"/>
      <c r="C15" s="528"/>
      <c r="D15" s="553" t="s">
        <v>49</v>
      </c>
      <c r="E15" s="217" t="s">
        <v>149</v>
      </c>
      <c r="F15" s="20">
        <f t="shared" si="1"/>
        <v>299700</v>
      </c>
      <c r="G15" s="20">
        <f>'７　青ネギ（土耕）部門収支'!F13*G$4/10</f>
        <v>299700</v>
      </c>
      <c r="H15" s="21"/>
      <c r="I15" s="20"/>
      <c r="J15" s="539"/>
      <c r="K15" s="540"/>
      <c r="L15" s="540"/>
      <c r="M15" s="540"/>
      <c r="N15" s="540"/>
      <c r="O15" s="540"/>
      <c r="P15" s="541"/>
    </row>
    <row r="16" spans="2:16" ht="20.149999999999999" customHeight="1" x14ac:dyDescent="0.2">
      <c r="B16" s="536"/>
      <c r="C16" s="528"/>
      <c r="D16" s="555"/>
      <c r="E16" s="217" t="s">
        <v>150</v>
      </c>
      <c r="F16" s="20">
        <f t="shared" si="1"/>
        <v>221950</v>
      </c>
      <c r="G16" s="20">
        <f>'７　青ネギ（土耕）部門収支'!F14*G$4/10</f>
        <v>221950</v>
      </c>
      <c r="H16" s="21"/>
      <c r="I16" s="20"/>
      <c r="J16" s="539"/>
      <c r="K16" s="540"/>
      <c r="L16" s="540"/>
      <c r="M16" s="540"/>
      <c r="N16" s="540"/>
      <c r="O16" s="540"/>
      <c r="P16" s="541"/>
    </row>
    <row r="17" spans="2:16" ht="20.149999999999999" customHeight="1" x14ac:dyDescent="0.2">
      <c r="B17" s="536"/>
      <c r="C17" s="528"/>
      <c r="D17" s="567" t="s">
        <v>72</v>
      </c>
      <c r="E17" s="217" t="s">
        <v>149</v>
      </c>
      <c r="F17" s="20">
        <f t="shared" si="1"/>
        <v>2952321.4285714286</v>
      </c>
      <c r="G17" s="20">
        <f>'７　青ネギ（土耕）部門収支'!F15*G$4/10</f>
        <v>2952321.4285714286</v>
      </c>
      <c r="H17" s="21"/>
      <c r="I17" s="20"/>
      <c r="J17" s="539"/>
      <c r="K17" s="540"/>
      <c r="L17" s="540"/>
      <c r="M17" s="540"/>
      <c r="N17" s="540"/>
      <c r="O17" s="540"/>
      <c r="P17" s="541"/>
    </row>
    <row r="18" spans="2:16" ht="20.149999999999999" customHeight="1" x14ac:dyDescent="0.2">
      <c r="B18" s="536"/>
      <c r="C18" s="528"/>
      <c r="D18" s="554"/>
      <c r="E18" s="217" t="s">
        <v>150</v>
      </c>
      <c r="F18" s="20">
        <f t="shared" si="1"/>
        <v>732714.28571428568</v>
      </c>
      <c r="G18" s="20">
        <f>'７　青ネギ（土耕）部門収支'!F16*G$4/10</f>
        <v>732714.28571428568</v>
      </c>
      <c r="H18" s="21"/>
      <c r="I18" s="20"/>
      <c r="J18" s="539"/>
      <c r="K18" s="540"/>
      <c r="L18" s="540"/>
      <c r="M18" s="540"/>
      <c r="N18" s="540"/>
      <c r="O18" s="540"/>
      <c r="P18" s="541"/>
    </row>
    <row r="19" spans="2:16" ht="20.149999999999999" customHeight="1" x14ac:dyDescent="0.2">
      <c r="B19" s="536"/>
      <c r="C19" s="528"/>
      <c r="D19" s="555"/>
      <c r="E19" s="217" t="s">
        <v>50</v>
      </c>
      <c r="F19" s="20">
        <f t="shared" si="1"/>
        <v>0</v>
      </c>
      <c r="G19" s="20">
        <f>'７　青ネギ（土耕）部門収支'!F17*G$4/10</f>
        <v>0</v>
      </c>
      <c r="H19" s="21"/>
      <c r="I19" s="20"/>
      <c r="J19" s="539"/>
      <c r="K19" s="540"/>
      <c r="L19" s="540"/>
      <c r="M19" s="540"/>
      <c r="N19" s="540"/>
      <c r="O19" s="540"/>
      <c r="P19" s="541"/>
    </row>
    <row r="20" spans="2:16" ht="20.149999999999999" customHeight="1" x14ac:dyDescent="0.2">
      <c r="B20" s="536"/>
      <c r="C20" s="528"/>
      <c r="D20" s="15" t="s">
        <v>51</v>
      </c>
      <c r="E20" s="16"/>
      <c r="F20" s="17">
        <f t="shared" si="1"/>
        <v>0</v>
      </c>
      <c r="G20" s="20">
        <f>'７　青ネギ（土耕）部門収支'!F18*G$4/10</f>
        <v>0</v>
      </c>
      <c r="H20" s="21"/>
      <c r="I20" s="20"/>
      <c r="J20" s="539"/>
      <c r="K20" s="540"/>
      <c r="L20" s="540"/>
      <c r="M20" s="540"/>
      <c r="N20" s="540"/>
      <c r="O20" s="540"/>
      <c r="P20" s="541"/>
    </row>
    <row r="21" spans="2:16" ht="20.149999999999999" customHeight="1" x14ac:dyDescent="0.2">
      <c r="B21" s="536"/>
      <c r="C21" s="528"/>
      <c r="D21" s="15" t="s">
        <v>127</v>
      </c>
      <c r="E21" s="16"/>
      <c r="F21" s="17">
        <f t="shared" si="1"/>
        <v>60122.493544973549</v>
      </c>
      <c r="G21" s="20">
        <f>'７　青ネギ（土耕）部門収支'!F19*G$4/10</f>
        <v>60122.493544973549</v>
      </c>
      <c r="H21" s="21"/>
      <c r="I21" s="20"/>
      <c r="J21" s="539"/>
      <c r="K21" s="540"/>
      <c r="L21" s="540"/>
      <c r="M21" s="540"/>
      <c r="N21" s="540"/>
      <c r="O21" s="540"/>
      <c r="P21" s="541"/>
    </row>
    <row r="22" spans="2:16" ht="20.149999999999999" customHeight="1" x14ac:dyDescent="0.2">
      <c r="B22" s="536"/>
      <c r="C22" s="529"/>
      <c r="D22" s="568" t="s">
        <v>156</v>
      </c>
      <c r="E22" s="569"/>
      <c r="F22" s="225">
        <f>SUM(F8:F21)</f>
        <v>6012249.3544973545</v>
      </c>
      <c r="G22" s="225">
        <f>SUM(G8:G21)</f>
        <v>6012249.3544973545</v>
      </c>
      <c r="H22" s="225">
        <f t="shared" ref="H22:I22" si="2">SUM(H8:H21)</f>
        <v>0</v>
      </c>
      <c r="I22" s="225">
        <f t="shared" si="2"/>
        <v>0</v>
      </c>
      <c r="J22" s="539"/>
      <c r="K22" s="540"/>
      <c r="L22" s="540"/>
      <c r="M22" s="540"/>
      <c r="N22" s="540"/>
      <c r="O22" s="540"/>
      <c r="P22" s="541"/>
    </row>
    <row r="23" spans="2:16" ht="20.149999999999999" customHeight="1" x14ac:dyDescent="0.2">
      <c r="B23" s="536"/>
      <c r="C23" s="530" t="s">
        <v>153</v>
      </c>
      <c r="D23" s="553" t="s">
        <v>52</v>
      </c>
      <c r="E23" s="15" t="s">
        <v>1</v>
      </c>
      <c r="F23" s="20">
        <f t="shared" si="1"/>
        <v>716666.66666666674</v>
      </c>
      <c r="G23" s="20">
        <f>'７　青ネギ（土耕）部門収支'!F21*G$4/10</f>
        <v>716666.66666666674</v>
      </c>
      <c r="H23" s="21"/>
      <c r="I23" s="20"/>
      <c r="J23" s="539"/>
      <c r="K23" s="540"/>
      <c r="L23" s="540"/>
      <c r="M23" s="540"/>
      <c r="N23" s="540"/>
      <c r="O23" s="540"/>
      <c r="P23" s="541"/>
    </row>
    <row r="24" spans="2:16" ht="20.149999999999999" customHeight="1" x14ac:dyDescent="0.2">
      <c r="B24" s="536"/>
      <c r="C24" s="531"/>
      <c r="D24" s="554"/>
      <c r="E24" s="15" t="s">
        <v>2</v>
      </c>
      <c r="F24" s="20">
        <f t="shared" si="1"/>
        <v>500000</v>
      </c>
      <c r="G24" s="20">
        <f>'７　青ネギ（土耕）部門収支'!F22*G$4/10</f>
        <v>500000</v>
      </c>
      <c r="H24" s="21"/>
      <c r="I24" s="20"/>
      <c r="J24" s="539"/>
      <c r="K24" s="540"/>
      <c r="L24" s="540"/>
      <c r="M24" s="540"/>
      <c r="N24" s="540"/>
      <c r="O24" s="540"/>
      <c r="P24" s="541"/>
    </row>
    <row r="25" spans="2:16" ht="20.149999999999999" customHeight="1" x14ac:dyDescent="0.2">
      <c r="B25" s="536"/>
      <c r="C25" s="531"/>
      <c r="D25" s="555"/>
      <c r="E25" s="15" t="s">
        <v>6</v>
      </c>
      <c r="F25" s="20">
        <f t="shared" si="1"/>
        <v>1773292.123287671</v>
      </c>
      <c r="G25" s="20">
        <f>'７　青ネギ（土耕）部門収支'!F23*G$4/10</f>
        <v>1773292.123287671</v>
      </c>
      <c r="H25" s="21"/>
      <c r="I25" s="20"/>
      <c r="J25" s="539"/>
      <c r="K25" s="540"/>
      <c r="L25" s="540"/>
      <c r="M25" s="540"/>
      <c r="N25" s="540"/>
      <c r="O25" s="540"/>
      <c r="P25" s="541"/>
    </row>
    <row r="26" spans="2:16" ht="20.149999999999999" customHeight="1" x14ac:dyDescent="0.2">
      <c r="B26" s="536"/>
      <c r="C26" s="531"/>
      <c r="D26" s="15" t="s">
        <v>224</v>
      </c>
      <c r="E26" s="16"/>
      <c r="F26" s="20">
        <f t="shared" si="1"/>
        <v>0</v>
      </c>
      <c r="G26" s="20">
        <f>'７　青ネギ（土耕）部門収支'!F24*G$4/10</f>
        <v>0</v>
      </c>
      <c r="H26" s="21"/>
      <c r="I26" s="20"/>
      <c r="J26" s="539"/>
      <c r="K26" s="540"/>
      <c r="L26" s="540"/>
      <c r="M26" s="540"/>
      <c r="N26" s="540"/>
      <c r="O26" s="540"/>
      <c r="P26" s="541"/>
    </row>
    <row r="27" spans="2:16" ht="20.149999999999999" customHeight="1" x14ac:dyDescent="0.2">
      <c r="B27" s="536"/>
      <c r="C27" s="531"/>
      <c r="D27" s="15" t="s">
        <v>73</v>
      </c>
      <c r="E27" s="16"/>
      <c r="F27" s="20">
        <f t="shared" si="1"/>
        <v>0</v>
      </c>
      <c r="G27" s="20">
        <f>'７　青ネギ（土耕）部門収支'!F25*G$4/10</f>
        <v>0</v>
      </c>
      <c r="H27" s="21"/>
      <c r="I27" s="20"/>
      <c r="J27" s="539"/>
      <c r="K27" s="540"/>
      <c r="L27" s="540"/>
      <c r="M27" s="540"/>
      <c r="N27" s="540"/>
      <c r="O27" s="540"/>
      <c r="P27" s="541"/>
    </row>
    <row r="28" spans="2:16" ht="20.149999999999999" customHeight="1" x14ac:dyDescent="0.2">
      <c r="B28" s="536"/>
      <c r="C28" s="531"/>
      <c r="D28" s="15" t="s">
        <v>96</v>
      </c>
      <c r="E28" s="16"/>
      <c r="F28" s="20">
        <f t="shared" si="1"/>
        <v>140600</v>
      </c>
      <c r="G28" s="20">
        <f>'７　青ネギ（土耕）部門収支'!F26*G$4/10</f>
        <v>140600</v>
      </c>
      <c r="H28" s="21"/>
      <c r="I28" s="20"/>
      <c r="J28" s="539"/>
      <c r="K28" s="540"/>
      <c r="L28" s="540"/>
      <c r="M28" s="540"/>
      <c r="N28" s="540"/>
      <c r="O28" s="540"/>
      <c r="P28" s="541"/>
    </row>
    <row r="29" spans="2:16" ht="20.149999999999999" customHeight="1" x14ac:dyDescent="0.2">
      <c r="B29" s="536"/>
      <c r="C29" s="531"/>
      <c r="D29" s="15" t="s">
        <v>74</v>
      </c>
      <c r="E29" s="16"/>
      <c r="F29" s="20">
        <f t="shared" si="1"/>
        <v>0</v>
      </c>
      <c r="G29" s="20">
        <f>'７　青ネギ（土耕）部門収支'!F27*G$4/10</f>
        <v>0</v>
      </c>
      <c r="H29" s="21"/>
      <c r="I29" s="20"/>
      <c r="J29" s="539"/>
      <c r="K29" s="540"/>
      <c r="L29" s="540"/>
      <c r="M29" s="540"/>
      <c r="N29" s="540"/>
      <c r="O29" s="540"/>
      <c r="P29" s="541"/>
    </row>
    <row r="30" spans="2:16" ht="20.149999999999999" customHeight="1" x14ac:dyDescent="0.2">
      <c r="B30" s="536"/>
      <c r="C30" s="531"/>
      <c r="D30" s="15" t="s">
        <v>53</v>
      </c>
      <c r="E30" s="16"/>
      <c r="F30" s="20">
        <f t="shared" si="1"/>
        <v>403432.35616438353</v>
      </c>
      <c r="G30" s="20">
        <f>'７　青ネギ（土耕）部門収支'!F28*G$4/10</f>
        <v>403432.35616438353</v>
      </c>
      <c r="H30" s="21"/>
      <c r="I30" s="20"/>
      <c r="J30" s="539"/>
      <c r="K30" s="540"/>
      <c r="L30" s="540"/>
      <c r="M30" s="540"/>
      <c r="N30" s="540"/>
      <c r="O30" s="540"/>
      <c r="P30" s="541"/>
    </row>
    <row r="31" spans="2:16" ht="20.149999999999999" customHeight="1" x14ac:dyDescent="0.2">
      <c r="B31" s="536"/>
      <c r="C31" s="531"/>
      <c r="D31" s="15" t="s">
        <v>225</v>
      </c>
      <c r="E31" s="16"/>
      <c r="F31" s="20">
        <f t="shared" si="1"/>
        <v>35696.880263825471</v>
      </c>
      <c r="G31" s="20">
        <f>'７　青ネギ（土耕）部門収支'!F29*G$4/10</f>
        <v>35696.880263825471</v>
      </c>
      <c r="H31" s="21"/>
      <c r="I31" s="20"/>
      <c r="J31" s="539"/>
      <c r="K31" s="540"/>
      <c r="L31" s="540"/>
      <c r="M31" s="540"/>
      <c r="N31" s="540"/>
      <c r="O31" s="540"/>
      <c r="P31" s="541"/>
    </row>
    <row r="32" spans="2:16" ht="20.149999999999999" customHeight="1" x14ac:dyDescent="0.2">
      <c r="B32" s="536"/>
      <c r="C32" s="531"/>
      <c r="D32" s="556" t="s">
        <v>227</v>
      </c>
      <c r="E32" s="557"/>
      <c r="F32" s="224">
        <f>SUM(F23:F31)</f>
        <v>3569688.0263825469</v>
      </c>
      <c r="G32" s="224">
        <f>SUM(G23:G31)</f>
        <v>3569688.0263825469</v>
      </c>
      <c r="H32" s="237"/>
      <c r="I32" s="242"/>
      <c r="J32" s="539"/>
      <c r="K32" s="540"/>
      <c r="L32" s="540"/>
      <c r="M32" s="540"/>
      <c r="N32" s="540"/>
      <c r="O32" s="540"/>
      <c r="P32" s="541"/>
    </row>
    <row r="33" spans="2:16" ht="20.149999999999999" customHeight="1" x14ac:dyDescent="0.2">
      <c r="B33" s="536"/>
      <c r="C33" s="558" t="s">
        <v>228</v>
      </c>
      <c r="D33" s="559"/>
      <c r="E33" s="560"/>
      <c r="F33" s="20">
        <f t="shared" si="1"/>
        <v>0</v>
      </c>
      <c r="G33" s="17">
        <f>'５　青ネギ（土耕）作業時間'!AN51*'４　経営収支'!K33</f>
        <v>0</v>
      </c>
      <c r="H33" s="231"/>
      <c r="I33" s="20"/>
      <c r="J33" s="21" t="s">
        <v>230</v>
      </c>
      <c r="K33" s="229">
        <v>900</v>
      </c>
      <c r="L33" s="227" t="s">
        <v>231</v>
      </c>
      <c r="M33" s="227"/>
      <c r="N33" s="227"/>
      <c r="O33" s="227"/>
      <c r="P33" s="228"/>
    </row>
    <row r="34" spans="2:16" ht="20.149999999999999" customHeight="1" x14ac:dyDescent="0.2">
      <c r="B34" s="551" t="s">
        <v>229</v>
      </c>
      <c r="C34" s="552"/>
      <c r="D34" s="552"/>
      <c r="E34" s="552"/>
      <c r="F34" s="226">
        <f>F22+F32+F33</f>
        <v>9581937.3808799013</v>
      </c>
      <c r="G34" s="226">
        <f>G22+G32+G33</f>
        <v>9581937.3808799013</v>
      </c>
      <c r="H34" s="238"/>
      <c r="I34" s="226"/>
      <c r="J34" s="539"/>
      <c r="K34" s="540"/>
      <c r="L34" s="540"/>
      <c r="M34" s="540"/>
      <c r="N34" s="540"/>
      <c r="O34" s="540"/>
      <c r="P34" s="541"/>
    </row>
    <row r="35" spans="2:16" ht="20.149999999999999" customHeight="1" x14ac:dyDescent="0.2">
      <c r="B35" s="525" t="s">
        <v>232</v>
      </c>
      <c r="C35" s="526"/>
      <c r="D35" s="526"/>
      <c r="E35" s="526"/>
      <c r="F35" s="230">
        <f>F7-F34</f>
        <v>5837994.1259694118</v>
      </c>
      <c r="G35" s="230">
        <f>G7-G34</f>
        <v>5837994.1259694118</v>
      </c>
      <c r="H35" s="239"/>
      <c r="I35" s="230"/>
      <c r="J35" s="539"/>
      <c r="K35" s="540"/>
      <c r="L35" s="540"/>
      <c r="M35" s="540"/>
      <c r="N35" s="540"/>
      <c r="O35" s="540"/>
      <c r="P35" s="541"/>
    </row>
    <row r="36" spans="2:16" ht="20.149999999999999" customHeight="1" x14ac:dyDescent="0.2">
      <c r="B36" s="525" t="s">
        <v>233</v>
      </c>
      <c r="C36" s="526"/>
      <c r="D36" s="526"/>
      <c r="E36" s="526"/>
      <c r="F36" s="232">
        <f>F35/F7</f>
        <v>0.37860052253644955</v>
      </c>
      <c r="G36" s="232">
        <f>G35/G7</f>
        <v>0.37860052253644955</v>
      </c>
      <c r="H36" s="240"/>
      <c r="I36" s="232"/>
      <c r="J36" s="539"/>
      <c r="K36" s="540"/>
      <c r="L36" s="540"/>
      <c r="M36" s="540"/>
      <c r="N36" s="540"/>
      <c r="O36" s="540"/>
      <c r="P36" s="541"/>
    </row>
    <row r="37" spans="2:16" ht="20.149999999999999" customHeight="1" x14ac:dyDescent="0.2">
      <c r="B37" s="525" t="s">
        <v>237</v>
      </c>
      <c r="C37" s="526"/>
      <c r="D37" s="526"/>
      <c r="E37" s="526"/>
      <c r="F37" s="230">
        <f>SUM(G37:I37)</f>
        <v>2960.0000000000005</v>
      </c>
      <c r="G37" s="230">
        <f>K37+N37</f>
        <v>2960.0000000000005</v>
      </c>
      <c r="H37" s="239"/>
      <c r="I37" s="230"/>
      <c r="J37" s="21" t="s">
        <v>234</v>
      </c>
      <c r="K37" s="229">
        <f>'５　青ネギ（土耕）作業時間'!AN44</f>
        <v>2960.0000000000005</v>
      </c>
      <c r="L37" s="227" t="s">
        <v>235</v>
      </c>
      <c r="M37" s="231" t="s">
        <v>236</v>
      </c>
      <c r="N37" s="229">
        <f>'５　青ネギ（土耕）作業時間'!AN51</f>
        <v>0</v>
      </c>
      <c r="O37" s="227" t="s">
        <v>235</v>
      </c>
      <c r="P37" s="228"/>
    </row>
    <row r="38" spans="2:16" ht="20.149999999999999" customHeight="1" thickBot="1" x14ac:dyDescent="0.25">
      <c r="B38" s="537" t="s">
        <v>238</v>
      </c>
      <c r="C38" s="538"/>
      <c r="D38" s="538"/>
      <c r="E38" s="538"/>
      <c r="F38" s="233">
        <f>F35/K37</f>
        <v>1972.2953128275037</v>
      </c>
      <c r="G38" s="233">
        <f>G35/K37</f>
        <v>1972.2953128275037</v>
      </c>
      <c r="H38" s="241"/>
      <c r="I38" s="233"/>
      <c r="J38" s="532"/>
      <c r="K38" s="533"/>
      <c r="L38" s="533"/>
      <c r="M38" s="533"/>
      <c r="N38" s="533"/>
      <c r="O38" s="533"/>
      <c r="P38" s="534"/>
    </row>
  </sheetData>
  <mergeCells count="50">
    <mergeCell ref="B3:E4"/>
    <mergeCell ref="D7:E7"/>
    <mergeCell ref="D15:D16"/>
    <mergeCell ref="D17:D19"/>
    <mergeCell ref="D22:E22"/>
    <mergeCell ref="B5:C7"/>
    <mergeCell ref="J14:P14"/>
    <mergeCell ref="J15:P15"/>
    <mergeCell ref="J16:P16"/>
    <mergeCell ref="J17:P17"/>
    <mergeCell ref="B34:E34"/>
    <mergeCell ref="D23:D25"/>
    <mergeCell ref="D32:E32"/>
    <mergeCell ref="J18:P18"/>
    <mergeCell ref="J19:P19"/>
    <mergeCell ref="J20:P20"/>
    <mergeCell ref="J21:P21"/>
    <mergeCell ref="J22:P22"/>
    <mergeCell ref="C33:E33"/>
    <mergeCell ref="J9:P9"/>
    <mergeCell ref="J10:P10"/>
    <mergeCell ref="J11:P11"/>
    <mergeCell ref="J12:P12"/>
    <mergeCell ref="J13:P13"/>
    <mergeCell ref="J3:P4"/>
    <mergeCell ref="J5:P5"/>
    <mergeCell ref="J6:P6"/>
    <mergeCell ref="J7:P7"/>
    <mergeCell ref="J8:P8"/>
    <mergeCell ref="J38:P38"/>
    <mergeCell ref="B8:B33"/>
    <mergeCell ref="B38:E38"/>
    <mergeCell ref="J34:P34"/>
    <mergeCell ref="J35:P35"/>
    <mergeCell ref="J36:P36"/>
    <mergeCell ref="J28:P28"/>
    <mergeCell ref="J29:P29"/>
    <mergeCell ref="J30:P30"/>
    <mergeCell ref="J31:P31"/>
    <mergeCell ref="J32:P32"/>
    <mergeCell ref="J23:P23"/>
    <mergeCell ref="J24:P24"/>
    <mergeCell ref="J25:P25"/>
    <mergeCell ref="J26:P26"/>
    <mergeCell ref="J27:P27"/>
    <mergeCell ref="B35:E35"/>
    <mergeCell ref="B36:E36"/>
    <mergeCell ref="B37:E37"/>
    <mergeCell ref="C8:C22"/>
    <mergeCell ref="C23:C32"/>
  </mergeCells>
  <phoneticPr fontId="4"/>
  <pageMargins left="0.78740157480314965" right="0.78740157480314965" top="0.78740157480314965" bottom="0.78740157480314965" header="0.39370078740157483" footer="0.39370078740157483"/>
  <pageSetup paperSize="9" scale="6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Q52"/>
  <sheetViews>
    <sheetView showZeros="0" zoomScale="75" zoomScaleNormal="75" zoomScaleSheetLayoutView="100" workbookViewId="0">
      <selection activeCell="Y26" sqref="Y26"/>
    </sheetView>
  </sheetViews>
  <sheetFormatPr defaultColWidth="9" defaultRowHeight="13" x14ac:dyDescent="0.2"/>
  <cols>
    <col min="1" max="1" width="1.6328125" style="1" customWidth="1"/>
    <col min="2" max="3" width="11.6328125" style="1" customWidth="1"/>
    <col min="4" max="39" width="6.08984375" style="1" customWidth="1"/>
    <col min="40" max="40" width="7" style="1" customWidth="1"/>
    <col min="41" max="41" width="1.453125" style="1" customWidth="1"/>
    <col min="42" max="16384" width="9" style="1"/>
  </cols>
  <sheetData>
    <row r="1" spans="2:40" ht="9.9" customHeight="1" x14ac:dyDescent="0.2"/>
    <row r="2" spans="2:40" ht="24.9" customHeight="1" x14ac:dyDescent="0.2">
      <c r="B2" s="1" t="s">
        <v>283</v>
      </c>
      <c r="L2" s="202" t="s">
        <v>194</v>
      </c>
      <c r="M2" s="598" t="str">
        <f>'１　対象経営の概要，２　前提条件'!F2</f>
        <v>青ネギ（土耕）専作</v>
      </c>
      <c r="N2" s="598"/>
      <c r="O2" s="202" t="s">
        <v>195</v>
      </c>
      <c r="P2" s="180" t="str">
        <f>'１　対象経営の概要，２　前提条件'!R2</f>
        <v>春～冬どり</v>
      </c>
      <c r="W2" s="25"/>
    </row>
    <row r="3" spans="2:40" ht="24.9" customHeight="1" thickBot="1" x14ac:dyDescent="0.25">
      <c r="B3" s="1" t="s">
        <v>342</v>
      </c>
      <c r="M3" s="25"/>
      <c r="P3" s="25"/>
      <c r="W3" s="25"/>
    </row>
    <row r="4" spans="2:40" ht="20.149999999999999" customHeight="1" x14ac:dyDescent="0.2">
      <c r="B4" s="579" t="s">
        <v>97</v>
      </c>
      <c r="C4" s="580"/>
      <c r="D4" s="583">
        <v>1</v>
      </c>
      <c r="E4" s="584"/>
      <c r="F4" s="585"/>
      <c r="G4" s="583">
        <v>2</v>
      </c>
      <c r="H4" s="584"/>
      <c r="I4" s="585"/>
      <c r="J4" s="583">
        <v>3</v>
      </c>
      <c r="K4" s="584"/>
      <c r="L4" s="585"/>
      <c r="M4" s="583">
        <v>4</v>
      </c>
      <c r="N4" s="584"/>
      <c r="O4" s="585"/>
      <c r="P4" s="583">
        <v>5</v>
      </c>
      <c r="Q4" s="584"/>
      <c r="R4" s="585"/>
      <c r="S4" s="583">
        <v>6</v>
      </c>
      <c r="T4" s="584"/>
      <c r="U4" s="585"/>
      <c r="V4" s="583">
        <v>7</v>
      </c>
      <c r="W4" s="584"/>
      <c r="X4" s="585"/>
      <c r="Y4" s="583">
        <v>8</v>
      </c>
      <c r="Z4" s="584"/>
      <c r="AA4" s="585"/>
      <c r="AB4" s="583">
        <v>9</v>
      </c>
      <c r="AC4" s="584"/>
      <c r="AD4" s="585"/>
      <c r="AE4" s="583">
        <v>10</v>
      </c>
      <c r="AF4" s="584"/>
      <c r="AG4" s="585"/>
      <c r="AH4" s="583">
        <v>11</v>
      </c>
      <c r="AI4" s="584"/>
      <c r="AJ4" s="585"/>
      <c r="AK4" s="583">
        <v>12</v>
      </c>
      <c r="AL4" s="584"/>
      <c r="AM4" s="585"/>
      <c r="AN4" s="586" t="s">
        <v>30</v>
      </c>
    </row>
    <row r="5" spans="2:40" ht="20.149999999999999" customHeight="1" x14ac:dyDescent="0.2">
      <c r="B5" s="581"/>
      <c r="C5" s="582"/>
      <c r="D5" s="43" t="s">
        <v>31</v>
      </c>
      <c r="E5" s="44" t="s">
        <v>32</v>
      </c>
      <c r="F5" s="45" t="s">
        <v>33</v>
      </c>
      <c r="G5" s="43" t="s">
        <v>31</v>
      </c>
      <c r="H5" s="45" t="s">
        <v>32</v>
      </c>
      <c r="I5" s="45" t="s">
        <v>33</v>
      </c>
      <c r="J5" s="43" t="s">
        <v>31</v>
      </c>
      <c r="K5" s="45" t="s">
        <v>32</v>
      </c>
      <c r="L5" s="45" t="s">
        <v>33</v>
      </c>
      <c r="M5" s="43" t="s">
        <v>31</v>
      </c>
      <c r="N5" s="45" t="s">
        <v>32</v>
      </c>
      <c r="O5" s="45" t="s">
        <v>33</v>
      </c>
      <c r="P5" s="43" t="s">
        <v>31</v>
      </c>
      <c r="Q5" s="45" t="s">
        <v>32</v>
      </c>
      <c r="R5" s="45" t="s">
        <v>33</v>
      </c>
      <c r="S5" s="43" t="s">
        <v>31</v>
      </c>
      <c r="T5" s="46" t="s">
        <v>32</v>
      </c>
      <c r="U5" s="46" t="s">
        <v>33</v>
      </c>
      <c r="V5" s="43" t="s">
        <v>31</v>
      </c>
      <c r="W5" s="45" t="s">
        <v>32</v>
      </c>
      <c r="X5" s="45" t="s">
        <v>33</v>
      </c>
      <c r="Y5" s="43" t="s">
        <v>31</v>
      </c>
      <c r="Z5" s="45" t="s">
        <v>32</v>
      </c>
      <c r="AA5" s="45" t="s">
        <v>33</v>
      </c>
      <c r="AB5" s="43" t="s">
        <v>31</v>
      </c>
      <c r="AC5" s="45" t="s">
        <v>32</v>
      </c>
      <c r="AD5" s="45" t="s">
        <v>33</v>
      </c>
      <c r="AE5" s="43" t="s">
        <v>31</v>
      </c>
      <c r="AF5" s="45" t="s">
        <v>32</v>
      </c>
      <c r="AG5" s="45" t="s">
        <v>33</v>
      </c>
      <c r="AH5" s="43" t="s">
        <v>31</v>
      </c>
      <c r="AI5" s="45" t="s">
        <v>32</v>
      </c>
      <c r="AJ5" s="45" t="s">
        <v>33</v>
      </c>
      <c r="AK5" s="43" t="s">
        <v>31</v>
      </c>
      <c r="AL5" s="45" t="s">
        <v>32</v>
      </c>
      <c r="AM5" s="45" t="s">
        <v>33</v>
      </c>
      <c r="AN5" s="587"/>
    </row>
    <row r="6" spans="2:40" ht="20.149999999999999" customHeight="1" x14ac:dyDescent="0.2">
      <c r="B6" s="588" t="s">
        <v>98</v>
      </c>
      <c r="C6" s="589"/>
      <c r="D6" s="337"/>
      <c r="I6" s="333" t="s">
        <v>339</v>
      </c>
      <c r="J6" s="333"/>
      <c r="O6" s="25"/>
      <c r="P6" s="25"/>
      <c r="Q6" s="334"/>
      <c r="R6" s="334"/>
      <c r="AN6" s="47"/>
    </row>
    <row r="7" spans="2:40" ht="20.149999999999999" customHeight="1" x14ac:dyDescent="0.25">
      <c r="B7" s="590"/>
      <c r="C7" s="591"/>
      <c r="D7" s="330"/>
      <c r="E7" s="331"/>
      <c r="F7" s="331"/>
      <c r="G7" s="331"/>
      <c r="H7" s="331"/>
      <c r="I7" s="331"/>
      <c r="J7" s="331"/>
      <c r="K7" s="331"/>
      <c r="L7" s="331"/>
      <c r="M7" s="332"/>
      <c r="N7" s="332"/>
      <c r="O7" s="331"/>
      <c r="P7" s="331"/>
      <c r="Q7" s="332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2"/>
      <c r="AG7" s="331"/>
      <c r="AH7" s="331"/>
      <c r="AI7" s="331"/>
      <c r="AJ7" s="331"/>
      <c r="AK7" s="331"/>
      <c r="AL7" s="331"/>
      <c r="AM7" s="331"/>
      <c r="AN7" s="47"/>
    </row>
    <row r="8" spans="2:40" ht="20.149999999999999" customHeight="1" x14ac:dyDescent="0.2">
      <c r="B8" s="581"/>
      <c r="C8" s="582"/>
      <c r="D8" s="48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6"/>
      <c r="AB8" s="46" t="s">
        <v>340</v>
      </c>
      <c r="AC8" s="49"/>
      <c r="AD8" s="49"/>
      <c r="AE8" s="49"/>
      <c r="AF8" s="49"/>
      <c r="AG8" s="49"/>
      <c r="AH8" s="49"/>
      <c r="AI8" s="49"/>
      <c r="AJ8" s="49"/>
      <c r="AK8" s="49"/>
      <c r="AL8" s="335"/>
      <c r="AM8" s="335"/>
      <c r="AN8" s="50"/>
    </row>
    <row r="9" spans="2:40" ht="20.149999999999999" customHeight="1" x14ac:dyDescent="0.2">
      <c r="B9" s="592" t="s">
        <v>306</v>
      </c>
      <c r="C9" s="593"/>
      <c r="D9" s="51"/>
      <c r="E9" s="52"/>
      <c r="F9" s="52"/>
      <c r="G9" s="51"/>
      <c r="H9" s="52">
        <f t="shared" ref="G9:V13" si="0">10/3</f>
        <v>3.3333333333333335</v>
      </c>
      <c r="I9" s="52">
        <f t="shared" si="0"/>
        <v>3.3333333333333335</v>
      </c>
      <c r="J9" s="51">
        <f t="shared" si="0"/>
        <v>3.3333333333333335</v>
      </c>
      <c r="K9" s="52">
        <f t="shared" si="0"/>
        <v>3.3333333333333335</v>
      </c>
      <c r="L9" s="52">
        <f t="shared" si="0"/>
        <v>3.3333333333333335</v>
      </c>
      <c r="M9" s="51">
        <f t="shared" si="0"/>
        <v>3.3333333333333335</v>
      </c>
      <c r="N9" s="52">
        <f t="shared" si="0"/>
        <v>3.3333333333333335</v>
      </c>
      <c r="O9" s="52">
        <f t="shared" si="0"/>
        <v>3.3333333333333335</v>
      </c>
      <c r="P9" s="51">
        <f>10/3</f>
        <v>3.3333333333333335</v>
      </c>
      <c r="Q9" s="52">
        <f t="shared" si="0"/>
        <v>3.3333333333333335</v>
      </c>
      <c r="R9" s="52">
        <f t="shared" si="0"/>
        <v>3.3333333333333335</v>
      </c>
      <c r="S9" s="51">
        <f t="shared" ref="S9:AB9" si="1">10/3</f>
        <v>3.3333333333333335</v>
      </c>
      <c r="T9" s="52">
        <f t="shared" si="1"/>
        <v>3.3333333333333335</v>
      </c>
      <c r="U9" s="52">
        <f t="shared" si="1"/>
        <v>3.3333333333333335</v>
      </c>
      <c r="V9" s="51">
        <f t="shared" si="1"/>
        <v>3.3333333333333335</v>
      </c>
      <c r="W9" s="52">
        <f t="shared" si="1"/>
        <v>3.3333333333333335</v>
      </c>
      <c r="X9" s="52">
        <f t="shared" si="1"/>
        <v>3.3333333333333335</v>
      </c>
      <c r="Y9" s="51">
        <f t="shared" si="1"/>
        <v>3.3333333333333335</v>
      </c>
      <c r="Z9" s="52">
        <f t="shared" si="1"/>
        <v>3.3333333333333335</v>
      </c>
      <c r="AA9" s="52">
        <f t="shared" si="1"/>
        <v>3.3333333333333335</v>
      </c>
      <c r="AB9" s="51">
        <f t="shared" si="1"/>
        <v>3.3333333333333335</v>
      </c>
      <c r="AC9" s="52"/>
      <c r="AD9" s="52"/>
      <c r="AE9" s="51"/>
      <c r="AF9" s="52"/>
      <c r="AG9" s="52"/>
      <c r="AH9" s="51" t="s">
        <v>284</v>
      </c>
      <c r="AI9" s="52"/>
      <c r="AJ9" s="52"/>
      <c r="AK9" s="51" t="s">
        <v>284</v>
      </c>
      <c r="AL9" s="52"/>
      <c r="AM9" s="52"/>
      <c r="AN9" s="53">
        <f>SUM(D9:AM9)</f>
        <v>70.000000000000014</v>
      </c>
    </row>
    <row r="10" spans="2:40" ht="20.149999999999999" customHeight="1" x14ac:dyDescent="0.2">
      <c r="B10" s="592" t="s">
        <v>317</v>
      </c>
      <c r="C10" s="593"/>
      <c r="D10" s="51"/>
      <c r="E10" s="52"/>
      <c r="F10" s="52"/>
      <c r="G10" s="51"/>
      <c r="H10" s="52"/>
      <c r="I10" s="52">
        <f t="shared" ref="I10:AA10" si="2">35/20</f>
        <v>1.75</v>
      </c>
      <c r="J10" s="51">
        <f t="shared" si="2"/>
        <v>1.75</v>
      </c>
      <c r="K10" s="52">
        <f t="shared" si="2"/>
        <v>1.75</v>
      </c>
      <c r="L10" s="52">
        <f t="shared" si="2"/>
        <v>1.75</v>
      </c>
      <c r="M10" s="51">
        <f t="shared" si="2"/>
        <v>1.75</v>
      </c>
      <c r="N10" s="52">
        <f t="shared" si="2"/>
        <v>1.75</v>
      </c>
      <c r="O10" s="52">
        <f t="shared" si="2"/>
        <v>1.75</v>
      </c>
      <c r="P10" s="51">
        <f t="shared" si="2"/>
        <v>1.75</v>
      </c>
      <c r="Q10" s="52">
        <f t="shared" si="2"/>
        <v>1.75</v>
      </c>
      <c r="R10" s="52">
        <f t="shared" si="2"/>
        <v>1.75</v>
      </c>
      <c r="S10" s="51">
        <f t="shared" si="2"/>
        <v>1.75</v>
      </c>
      <c r="T10" s="52">
        <f t="shared" si="2"/>
        <v>1.75</v>
      </c>
      <c r="U10" s="52">
        <f t="shared" si="2"/>
        <v>1.75</v>
      </c>
      <c r="V10" s="51">
        <f t="shared" si="2"/>
        <v>1.75</v>
      </c>
      <c r="W10" s="52">
        <f t="shared" si="2"/>
        <v>1.75</v>
      </c>
      <c r="X10" s="52">
        <f t="shared" si="2"/>
        <v>1.75</v>
      </c>
      <c r="Y10" s="51">
        <f t="shared" si="2"/>
        <v>1.75</v>
      </c>
      <c r="Z10" s="52">
        <f t="shared" si="2"/>
        <v>1.75</v>
      </c>
      <c r="AA10" s="52">
        <f t="shared" si="2"/>
        <v>1.75</v>
      </c>
      <c r="AB10" s="51">
        <f>35/20</f>
        <v>1.75</v>
      </c>
      <c r="AC10" s="52"/>
      <c r="AD10" s="52"/>
      <c r="AE10" s="51"/>
      <c r="AF10" s="52"/>
      <c r="AG10" s="52"/>
      <c r="AH10" s="51"/>
      <c r="AI10" s="52"/>
      <c r="AJ10" s="52"/>
      <c r="AK10" s="51"/>
      <c r="AL10" s="52"/>
      <c r="AM10" s="52"/>
      <c r="AN10" s="53">
        <f t="shared" ref="AN10:AN34" si="3">SUM(D10:AM10)</f>
        <v>35</v>
      </c>
    </row>
    <row r="11" spans="2:40" ht="20.149999999999999" customHeight="1" x14ac:dyDescent="0.2">
      <c r="B11" s="592" t="s">
        <v>308</v>
      </c>
      <c r="C11" s="593"/>
      <c r="D11" s="51"/>
      <c r="E11" s="52"/>
      <c r="F11" s="52"/>
      <c r="G11" s="51">
        <f t="shared" si="0"/>
        <v>3.3333333333333335</v>
      </c>
      <c r="H11" s="52">
        <f t="shared" si="0"/>
        <v>3.3333333333333335</v>
      </c>
      <c r="I11" s="52">
        <f t="shared" si="0"/>
        <v>3.3333333333333335</v>
      </c>
      <c r="J11" s="51">
        <f t="shared" si="0"/>
        <v>3.3333333333333335</v>
      </c>
      <c r="K11" s="52">
        <f t="shared" si="0"/>
        <v>3.3333333333333335</v>
      </c>
      <c r="L11" s="52">
        <f t="shared" si="0"/>
        <v>3.3333333333333335</v>
      </c>
      <c r="M11" s="51">
        <f t="shared" si="0"/>
        <v>3.3333333333333335</v>
      </c>
      <c r="N11" s="52">
        <f t="shared" si="0"/>
        <v>3.3333333333333335</v>
      </c>
      <c r="O11" s="52">
        <f t="shared" si="0"/>
        <v>3.3333333333333335</v>
      </c>
      <c r="P11" s="51">
        <f t="shared" si="0"/>
        <v>3.3333333333333335</v>
      </c>
      <c r="Q11" s="52">
        <f t="shared" si="0"/>
        <v>3.3333333333333335</v>
      </c>
      <c r="R11" s="52">
        <f t="shared" si="0"/>
        <v>3.3333333333333335</v>
      </c>
      <c r="S11" s="51">
        <f t="shared" si="0"/>
        <v>3.3333333333333335</v>
      </c>
      <c r="T11" s="52">
        <f t="shared" si="0"/>
        <v>3.3333333333333335</v>
      </c>
      <c r="U11" s="52">
        <f t="shared" ref="U11:U13" si="4">10/3</f>
        <v>3.3333333333333335</v>
      </c>
      <c r="V11" s="51">
        <f t="shared" si="0"/>
        <v>3.3333333333333335</v>
      </c>
      <c r="W11" s="52">
        <f t="shared" ref="W11:AJ13" si="5">10/3</f>
        <v>3.3333333333333335</v>
      </c>
      <c r="X11" s="52">
        <f t="shared" si="5"/>
        <v>3.3333333333333335</v>
      </c>
      <c r="Y11" s="51">
        <f t="shared" si="5"/>
        <v>3.3333333333333335</v>
      </c>
      <c r="Z11" s="52">
        <f t="shared" si="5"/>
        <v>3.3333333333333335</v>
      </c>
      <c r="AA11" s="52">
        <f t="shared" si="5"/>
        <v>3.3333333333333335</v>
      </c>
      <c r="AB11" s="51">
        <f t="shared" si="5"/>
        <v>3.3333333333333335</v>
      </c>
      <c r="AC11" s="52">
        <f t="shared" si="5"/>
        <v>3.3333333333333335</v>
      </c>
      <c r="AD11" s="52">
        <f t="shared" si="5"/>
        <v>3.3333333333333335</v>
      </c>
      <c r="AE11" s="51">
        <f t="shared" si="5"/>
        <v>3.3333333333333335</v>
      </c>
      <c r="AF11" s="52">
        <f t="shared" si="5"/>
        <v>3.3333333333333335</v>
      </c>
      <c r="AG11" s="52">
        <f t="shared" si="5"/>
        <v>3.3333333333333335</v>
      </c>
      <c r="AH11" s="51">
        <f t="shared" si="5"/>
        <v>3.3333333333333335</v>
      </c>
      <c r="AI11" s="52">
        <f t="shared" si="5"/>
        <v>3.3333333333333335</v>
      </c>
      <c r="AJ11" s="52">
        <f t="shared" si="5"/>
        <v>3.3333333333333335</v>
      </c>
      <c r="AK11" s="51"/>
      <c r="AL11" s="52"/>
      <c r="AM11" s="52"/>
      <c r="AN11" s="53">
        <f t="shared" si="3"/>
        <v>99.999999999999972</v>
      </c>
    </row>
    <row r="12" spans="2:40" ht="20.149999999999999" customHeight="1" x14ac:dyDescent="0.2">
      <c r="B12" s="592" t="s">
        <v>310</v>
      </c>
      <c r="C12" s="593"/>
      <c r="D12" s="51"/>
      <c r="E12" s="52"/>
      <c r="F12" s="52"/>
      <c r="G12" s="51"/>
      <c r="H12" s="52"/>
      <c r="I12" s="52"/>
      <c r="J12" s="51">
        <f t="shared" si="0"/>
        <v>3.3333333333333335</v>
      </c>
      <c r="K12" s="52">
        <f t="shared" si="0"/>
        <v>3.3333333333333335</v>
      </c>
      <c r="L12" s="52">
        <f t="shared" si="0"/>
        <v>3.3333333333333335</v>
      </c>
      <c r="M12" s="51">
        <f t="shared" si="0"/>
        <v>3.3333333333333335</v>
      </c>
      <c r="N12" s="52">
        <f t="shared" si="0"/>
        <v>3.3333333333333335</v>
      </c>
      <c r="O12" s="52">
        <f t="shared" si="0"/>
        <v>3.3333333333333335</v>
      </c>
      <c r="P12" s="51">
        <f t="shared" si="0"/>
        <v>3.3333333333333335</v>
      </c>
      <c r="Q12" s="52">
        <f t="shared" si="0"/>
        <v>3.3333333333333335</v>
      </c>
      <c r="R12" s="52">
        <f t="shared" si="0"/>
        <v>3.3333333333333335</v>
      </c>
      <c r="S12" s="51">
        <f t="shared" si="0"/>
        <v>3.3333333333333335</v>
      </c>
      <c r="T12" s="52">
        <f t="shared" si="0"/>
        <v>3.3333333333333335</v>
      </c>
      <c r="U12" s="52">
        <f t="shared" si="4"/>
        <v>3.3333333333333335</v>
      </c>
      <c r="V12" s="51">
        <f t="shared" si="0"/>
        <v>3.3333333333333335</v>
      </c>
      <c r="W12" s="52">
        <f t="shared" si="5"/>
        <v>3.3333333333333335</v>
      </c>
      <c r="X12" s="52">
        <f t="shared" si="5"/>
        <v>3.3333333333333335</v>
      </c>
      <c r="Y12" s="51">
        <f t="shared" si="5"/>
        <v>3.3333333333333335</v>
      </c>
      <c r="Z12" s="52">
        <f t="shared" si="5"/>
        <v>3.3333333333333335</v>
      </c>
      <c r="AA12" s="52">
        <f t="shared" si="5"/>
        <v>3.3333333333333335</v>
      </c>
      <c r="AB12" s="51">
        <f t="shared" si="5"/>
        <v>3.3333333333333335</v>
      </c>
      <c r="AC12" s="52">
        <f t="shared" si="5"/>
        <v>3.3333333333333335</v>
      </c>
      <c r="AD12" s="52">
        <f t="shared" si="5"/>
        <v>3.3333333333333335</v>
      </c>
      <c r="AE12" s="51">
        <f t="shared" si="5"/>
        <v>3.3333333333333335</v>
      </c>
      <c r="AF12" s="52">
        <f t="shared" si="5"/>
        <v>3.3333333333333335</v>
      </c>
      <c r="AG12" s="52">
        <f t="shared" si="5"/>
        <v>3.3333333333333335</v>
      </c>
      <c r="AH12" s="51">
        <f t="shared" si="5"/>
        <v>3.3333333333333335</v>
      </c>
      <c r="AI12" s="52">
        <f t="shared" si="5"/>
        <v>3.3333333333333335</v>
      </c>
      <c r="AJ12" s="52">
        <f t="shared" si="5"/>
        <v>3.3333333333333335</v>
      </c>
      <c r="AK12" s="51"/>
      <c r="AL12" s="52"/>
      <c r="AM12" s="52"/>
      <c r="AN12" s="53">
        <f t="shared" si="3"/>
        <v>89.999999999999986</v>
      </c>
    </row>
    <row r="13" spans="2:40" ht="20.149999999999999" customHeight="1" x14ac:dyDescent="0.2">
      <c r="B13" s="592" t="s">
        <v>311</v>
      </c>
      <c r="C13" s="593"/>
      <c r="D13" s="51"/>
      <c r="E13" s="52"/>
      <c r="F13" s="52"/>
      <c r="G13" s="51"/>
      <c r="H13" s="52"/>
      <c r="I13" s="52"/>
      <c r="J13" s="51"/>
      <c r="K13" s="52"/>
      <c r="L13" s="52"/>
      <c r="M13" s="51">
        <f t="shared" si="0"/>
        <v>3.3333333333333335</v>
      </c>
      <c r="N13" s="52">
        <f t="shared" si="0"/>
        <v>3.3333333333333335</v>
      </c>
      <c r="O13" s="52">
        <f t="shared" si="0"/>
        <v>3.3333333333333335</v>
      </c>
      <c r="P13" s="51">
        <f t="shared" si="0"/>
        <v>3.3333333333333335</v>
      </c>
      <c r="Q13" s="52">
        <f t="shared" si="0"/>
        <v>3.3333333333333335</v>
      </c>
      <c r="R13" s="52">
        <f t="shared" si="0"/>
        <v>3.3333333333333335</v>
      </c>
      <c r="S13" s="51">
        <f t="shared" si="0"/>
        <v>3.3333333333333335</v>
      </c>
      <c r="T13" s="52">
        <f t="shared" si="0"/>
        <v>3.3333333333333335</v>
      </c>
      <c r="U13" s="52">
        <f t="shared" si="4"/>
        <v>3.3333333333333335</v>
      </c>
      <c r="V13" s="51">
        <f t="shared" si="0"/>
        <v>3.3333333333333335</v>
      </c>
      <c r="W13" s="52">
        <f t="shared" si="5"/>
        <v>3.3333333333333335</v>
      </c>
      <c r="X13" s="52">
        <f t="shared" si="5"/>
        <v>3.3333333333333335</v>
      </c>
      <c r="Y13" s="51">
        <f t="shared" si="5"/>
        <v>3.3333333333333335</v>
      </c>
      <c r="Z13" s="52">
        <f t="shared" si="5"/>
        <v>3.3333333333333335</v>
      </c>
      <c r="AA13" s="52">
        <f t="shared" si="5"/>
        <v>3.3333333333333335</v>
      </c>
      <c r="AB13" s="51">
        <f t="shared" si="5"/>
        <v>3.3333333333333335</v>
      </c>
      <c r="AC13" s="52">
        <f t="shared" si="5"/>
        <v>3.3333333333333335</v>
      </c>
      <c r="AD13" s="52">
        <f t="shared" si="5"/>
        <v>3.3333333333333335</v>
      </c>
      <c r="AE13" s="51">
        <f t="shared" si="5"/>
        <v>3.3333333333333335</v>
      </c>
      <c r="AF13" s="52">
        <f t="shared" si="5"/>
        <v>3.3333333333333335</v>
      </c>
      <c r="AG13" s="52">
        <f t="shared" si="5"/>
        <v>3.3333333333333335</v>
      </c>
      <c r="AH13" s="51">
        <f t="shared" si="5"/>
        <v>3.3333333333333335</v>
      </c>
      <c r="AI13" s="52">
        <f t="shared" si="5"/>
        <v>3.3333333333333335</v>
      </c>
      <c r="AJ13" s="52">
        <f t="shared" si="5"/>
        <v>3.3333333333333335</v>
      </c>
      <c r="AK13" s="51"/>
      <c r="AL13" s="52"/>
      <c r="AM13" s="52"/>
      <c r="AN13" s="53">
        <f t="shared" si="3"/>
        <v>80</v>
      </c>
    </row>
    <row r="14" spans="2:40" ht="20.149999999999999" customHeight="1" x14ac:dyDescent="0.2">
      <c r="B14" s="592" t="s">
        <v>313</v>
      </c>
      <c r="C14" s="593"/>
      <c r="D14" s="51"/>
      <c r="E14" s="52"/>
      <c r="F14" s="52"/>
      <c r="G14" s="51"/>
      <c r="H14" s="52"/>
      <c r="I14" s="52"/>
      <c r="J14" s="51"/>
      <c r="K14" s="52"/>
      <c r="L14" s="52"/>
      <c r="M14" s="51"/>
      <c r="N14" s="52"/>
      <c r="O14" s="52"/>
      <c r="P14" s="51"/>
      <c r="Q14" s="52">
        <f>15/2</f>
        <v>7.5</v>
      </c>
      <c r="R14" s="52">
        <f>15/2</f>
        <v>7.5</v>
      </c>
      <c r="S14" s="51">
        <f>50/3</f>
        <v>16.666666666666668</v>
      </c>
      <c r="T14" s="52">
        <f t="shared" ref="T14:AM14" si="6">50/3</f>
        <v>16.666666666666668</v>
      </c>
      <c r="U14" s="52">
        <f t="shared" si="6"/>
        <v>16.666666666666668</v>
      </c>
      <c r="V14" s="51">
        <f t="shared" si="6"/>
        <v>16.666666666666668</v>
      </c>
      <c r="W14" s="52">
        <f t="shared" si="6"/>
        <v>16.666666666666668</v>
      </c>
      <c r="X14" s="52">
        <f t="shared" si="6"/>
        <v>16.666666666666668</v>
      </c>
      <c r="Y14" s="51">
        <f t="shared" si="6"/>
        <v>16.666666666666668</v>
      </c>
      <c r="Z14" s="52">
        <f t="shared" si="6"/>
        <v>16.666666666666668</v>
      </c>
      <c r="AA14" s="52">
        <f t="shared" si="6"/>
        <v>16.666666666666668</v>
      </c>
      <c r="AB14" s="51">
        <f t="shared" si="6"/>
        <v>16.666666666666668</v>
      </c>
      <c r="AC14" s="52">
        <f t="shared" si="6"/>
        <v>16.666666666666668</v>
      </c>
      <c r="AD14" s="52">
        <f t="shared" si="6"/>
        <v>16.666666666666668</v>
      </c>
      <c r="AE14" s="51">
        <f t="shared" si="6"/>
        <v>16.666666666666668</v>
      </c>
      <c r="AF14" s="52">
        <f t="shared" si="6"/>
        <v>16.666666666666668</v>
      </c>
      <c r="AG14" s="52">
        <f t="shared" si="6"/>
        <v>16.666666666666668</v>
      </c>
      <c r="AH14" s="51">
        <f t="shared" si="6"/>
        <v>16.666666666666668</v>
      </c>
      <c r="AI14" s="52">
        <f t="shared" si="6"/>
        <v>16.666666666666668</v>
      </c>
      <c r="AJ14" s="52">
        <f t="shared" si="6"/>
        <v>16.666666666666668</v>
      </c>
      <c r="AK14" s="51">
        <f t="shared" si="6"/>
        <v>16.666666666666668</v>
      </c>
      <c r="AL14" s="52">
        <f t="shared" si="6"/>
        <v>16.666666666666668</v>
      </c>
      <c r="AM14" s="52">
        <f t="shared" si="6"/>
        <v>16.666666666666668</v>
      </c>
      <c r="AN14" s="53">
        <f t="shared" si="3"/>
        <v>365.00000000000006</v>
      </c>
    </row>
    <row r="15" spans="2:40" ht="20.149999999999999" customHeight="1" x14ac:dyDescent="0.2">
      <c r="B15" s="592"/>
      <c r="C15" s="593"/>
      <c r="D15" s="51"/>
      <c r="E15" s="52"/>
      <c r="F15" s="52"/>
      <c r="G15" s="51"/>
      <c r="H15" s="52"/>
      <c r="I15" s="52"/>
      <c r="J15" s="51"/>
      <c r="K15" s="52"/>
      <c r="L15" s="52"/>
      <c r="M15" s="51"/>
      <c r="N15" s="52"/>
      <c r="O15" s="52"/>
      <c r="P15" s="51"/>
      <c r="Q15" s="52"/>
      <c r="R15" s="52"/>
      <c r="S15" s="51"/>
      <c r="T15" s="52"/>
      <c r="U15" s="52"/>
      <c r="V15" s="51"/>
      <c r="W15" s="52"/>
      <c r="X15" s="52"/>
      <c r="Y15" s="51"/>
      <c r="Z15" s="52"/>
      <c r="AA15" s="52"/>
      <c r="AB15" s="51"/>
      <c r="AC15" s="52"/>
      <c r="AD15" s="52"/>
      <c r="AE15" s="51"/>
      <c r="AF15" s="52"/>
      <c r="AG15" s="52"/>
      <c r="AH15" s="51"/>
      <c r="AI15" s="52"/>
      <c r="AJ15" s="52"/>
      <c r="AK15" s="51"/>
      <c r="AL15" s="52"/>
      <c r="AM15" s="52"/>
      <c r="AN15" s="53">
        <f t="shared" si="3"/>
        <v>0</v>
      </c>
    </row>
    <row r="16" spans="2:40" ht="20.149999999999999" customHeight="1" x14ac:dyDescent="0.2">
      <c r="B16" s="592"/>
      <c r="C16" s="593"/>
      <c r="D16" s="51"/>
      <c r="E16" s="52"/>
      <c r="F16" s="52"/>
      <c r="G16" s="51"/>
      <c r="H16" s="52"/>
      <c r="I16" s="52"/>
      <c r="J16" s="51"/>
      <c r="K16" s="52"/>
      <c r="L16" s="52"/>
      <c r="M16" s="51"/>
      <c r="N16" s="52"/>
      <c r="O16" s="52"/>
      <c r="P16" s="51"/>
      <c r="Q16" s="52"/>
      <c r="R16" s="52"/>
      <c r="S16" s="51"/>
      <c r="T16" s="52"/>
      <c r="U16" s="52"/>
      <c r="V16" s="51"/>
      <c r="W16" s="52"/>
      <c r="X16" s="52"/>
      <c r="Y16" s="51"/>
      <c r="Z16" s="52"/>
      <c r="AA16" s="52"/>
      <c r="AB16" s="51"/>
      <c r="AC16" s="52"/>
      <c r="AD16" s="52"/>
      <c r="AE16" s="51"/>
      <c r="AF16" s="52"/>
      <c r="AG16" s="52"/>
      <c r="AH16" s="51"/>
      <c r="AI16" s="52"/>
      <c r="AJ16" s="52"/>
      <c r="AK16" s="51"/>
      <c r="AL16" s="52"/>
      <c r="AM16" s="52"/>
      <c r="AN16" s="53">
        <f t="shared" si="3"/>
        <v>0</v>
      </c>
    </row>
    <row r="17" spans="2:40" ht="20.149999999999999" customHeight="1" x14ac:dyDescent="0.2">
      <c r="B17" s="592"/>
      <c r="C17" s="593"/>
      <c r="D17" s="51"/>
      <c r="E17" s="52"/>
      <c r="F17" s="52"/>
      <c r="G17" s="51"/>
      <c r="H17" s="52"/>
      <c r="I17" s="52"/>
      <c r="J17" s="51"/>
      <c r="K17" s="52"/>
      <c r="L17" s="52"/>
      <c r="M17" s="51"/>
      <c r="N17" s="52"/>
      <c r="O17" s="52"/>
      <c r="P17" s="51"/>
      <c r="Q17" s="52"/>
      <c r="R17" s="52"/>
      <c r="S17" s="51"/>
      <c r="T17" s="52"/>
      <c r="U17" s="52"/>
      <c r="V17" s="51"/>
      <c r="W17" s="52"/>
      <c r="X17" s="52"/>
      <c r="Y17" s="51"/>
      <c r="Z17" s="52"/>
      <c r="AA17" s="52"/>
      <c r="AB17" s="51"/>
      <c r="AC17" s="52"/>
      <c r="AD17" s="52"/>
      <c r="AE17" s="51"/>
      <c r="AF17" s="52"/>
      <c r="AG17" s="52"/>
      <c r="AH17" s="51"/>
      <c r="AI17" s="52"/>
      <c r="AJ17" s="52"/>
      <c r="AK17" s="51"/>
      <c r="AL17" s="52"/>
      <c r="AM17" s="52"/>
      <c r="AN17" s="53">
        <f t="shared" si="3"/>
        <v>0</v>
      </c>
    </row>
    <row r="18" spans="2:40" ht="20.149999999999999" customHeight="1" x14ac:dyDescent="0.2">
      <c r="B18" s="592"/>
      <c r="C18" s="593"/>
      <c r="D18" s="51"/>
      <c r="E18" s="52"/>
      <c r="F18" s="52"/>
      <c r="G18" s="51"/>
      <c r="H18" s="52"/>
      <c r="I18" s="52"/>
      <c r="J18" s="51"/>
      <c r="K18" s="52"/>
      <c r="L18" s="52"/>
      <c r="M18" s="51"/>
      <c r="N18" s="52"/>
      <c r="O18" s="52"/>
      <c r="P18" s="51"/>
      <c r="Q18" s="52"/>
      <c r="R18" s="52"/>
      <c r="S18" s="51"/>
      <c r="T18" s="52"/>
      <c r="U18" s="52"/>
      <c r="V18" s="51"/>
      <c r="W18" s="52"/>
      <c r="X18" s="52"/>
      <c r="Y18" s="51"/>
      <c r="Z18" s="52"/>
      <c r="AA18" s="52"/>
      <c r="AB18" s="51"/>
      <c r="AC18" s="52"/>
      <c r="AD18" s="52"/>
      <c r="AE18" s="51"/>
      <c r="AF18" s="52"/>
      <c r="AG18" s="52"/>
      <c r="AH18" s="51"/>
      <c r="AI18" s="52"/>
      <c r="AJ18" s="52"/>
      <c r="AK18" s="51"/>
      <c r="AL18" s="52"/>
      <c r="AM18" s="52"/>
      <c r="AN18" s="53">
        <f t="shared" si="3"/>
        <v>0</v>
      </c>
    </row>
    <row r="19" spans="2:40" ht="20.149999999999999" customHeight="1" x14ac:dyDescent="0.2">
      <c r="B19" s="592"/>
      <c r="C19" s="593"/>
      <c r="D19" s="51"/>
      <c r="E19" s="52"/>
      <c r="F19" s="52"/>
      <c r="G19" s="51"/>
      <c r="H19" s="52"/>
      <c r="I19" s="52"/>
      <c r="J19" s="51"/>
      <c r="K19" s="52"/>
      <c r="L19" s="52"/>
      <c r="M19" s="51"/>
      <c r="N19" s="52"/>
      <c r="O19" s="52"/>
      <c r="P19" s="51"/>
      <c r="Q19" s="52"/>
      <c r="R19" s="52"/>
      <c r="S19" s="51"/>
      <c r="T19" s="52"/>
      <c r="U19" s="52"/>
      <c r="V19" s="51"/>
      <c r="W19" s="52"/>
      <c r="X19" s="52"/>
      <c r="Y19" s="51"/>
      <c r="Z19" s="52"/>
      <c r="AA19" s="52"/>
      <c r="AB19" s="51"/>
      <c r="AC19" s="52"/>
      <c r="AD19" s="52"/>
      <c r="AE19" s="51"/>
      <c r="AF19" s="52"/>
      <c r="AG19" s="52"/>
      <c r="AH19" s="51"/>
      <c r="AI19" s="52"/>
      <c r="AJ19" s="52"/>
      <c r="AK19" s="51"/>
      <c r="AL19" s="52"/>
      <c r="AM19" s="52"/>
      <c r="AN19" s="53">
        <f t="shared" si="3"/>
        <v>0</v>
      </c>
    </row>
    <row r="20" spans="2:40" ht="20.149999999999999" customHeight="1" x14ac:dyDescent="0.2">
      <c r="B20" s="594"/>
      <c r="C20" s="595"/>
      <c r="D20" s="51"/>
      <c r="E20" s="52"/>
      <c r="F20" s="52"/>
      <c r="G20" s="51"/>
      <c r="H20" s="52"/>
      <c r="I20" s="52"/>
      <c r="J20" s="51"/>
      <c r="K20" s="52"/>
      <c r="L20" s="52"/>
      <c r="M20" s="51"/>
      <c r="N20" s="52"/>
      <c r="O20" s="52"/>
      <c r="P20" s="51"/>
      <c r="Q20" s="52"/>
      <c r="R20" s="52"/>
      <c r="S20" s="51"/>
      <c r="T20" s="52"/>
      <c r="U20" s="52"/>
      <c r="V20" s="51"/>
      <c r="W20" s="52"/>
      <c r="X20" s="52"/>
      <c r="Y20" s="51"/>
      <c r="Z20" s="52"/>
      <c r="AA20" s="52"/>
      <c r="AB20" s="51"/>
      <c r="AC20" s="52"/>
      <c r="AD20" s="52"/>
      <c r="AE20" s="51"/>
      <c r="AF20" s="52"/>
      <c r="AG20" s="52"/>
      <c r="AH20" s="51"/>
      <c r="AI20" s="52"/>
      <c r="AJ20" s="52"/>
      <c r="AK20" s="51"/>
      <c r="AL20" s="52"/>
      <c r="AM20" s="52"/>
      <c r="AN20" s="53">
        <f t="shared" si="3"/>
        <v>0</v>
      </c>
    </row>
    <row r="21" spans="2:40" ht="20.149999999999999" customHeight="1" x14ac:dyDescent="0.2">
      <c r="B21" s="594"/>
      <c r="C21" s="595"/>
      <c r="D21" s="51"/>
      <c r="E21" s="52"/>
      <c r="F21" s="52"/>
      <c r="G21" s="51"/>
      <c r="H21" s="52"/>
      <c r="I21" s="52"/>
      <c r="J21" s="51"/>
      <c r="K21" s="52"/>
      <c r="L21" s="52"/>
      <c r="M21" s="51"/>
      <c r="N21" s="52"/>
      <c r="O21" s="52"/>
      <c r="P21" s="51"/>
      <c r="Q21" s="52"/>
      <c r="R21" s="52"/>
      <c r="S21" s="51"/>
      <c r="T21" s="52"/>
      <c r="U21" s="52"/>
      <c r="V21" s="51"/>
      <c r="W21" s="52"/>
      <c r="X21" s="52"/>
      <c r="Y21" s="51"/>
      <c r="Z21" s="52"/>
      <c r="AA21" s="52"/>
      <c r="AB21" s="51"/>
      <c r="AC21" s="52"/>
      <c r="AD21" s="52"/>
      <c r="AE21" s="51"/>
      <c r="AF21" s="52"/>
      <c r="AG21" s="52"/>
      <c r="AH21" s="51"/>
      <c r="AI21" s="52"/>
      <c r="AJ21" s="52"/>
      <c r="AK21" s="51"/>
      <c r="AL21" s="52"/>
      <c r="AM21" s="52"/>
      <c r="AN21" s="53">
        <f t="shared" si="3"/>
        <v>0</v>
      </c>
    </row>
    <row r="22" spans="2:40" ht="20.149999999999999" customHeight="1" x14ac:dyDescent="0.2">
      <c r="B22" s="594"/>
      <c r="C22" s="595"/>
      <c r="D22" s="51"/>
      <c r="E22" s="52"/>
      <c r="F22" s="52"/>
      <c r="G22" s="51"/>
      <c r="H22" s="52"/>
      <c r="I22" s="52"/>
      <c r="J22" s="51"/>
      <c r="K22" s="52"/>
      <c r="L22" s="52"/>
      <c r="M22" s="51"/>
      <c r="N22" s="52"/>
      <c r="O22" s="52"/>
      <c r="P22" s="51"/>
      <c r="Q22" s="52"/>
      <c r="R22" s="52"/>
      <c r="S22" s="51"/>
      <c r="T22" s="52"/>
      <c r="U22" s="52"/>
      <c r="V22" s="51"/>
      <c r="W22" s="52"/>
      <c r="X22" s="52"/>
      <c r="Y22" s="51"/>
      <c r="Z22" s="52"/>
      <c r="AA22" s="52"/>
      <c r="AB22" s="51"/>
      <c r="AC22" s="52"/>
      <c r="AD22" s="52"/>
      <c r="AE22" s="51"/>
      <c r="AF22" s="52"/>
      <c r="AG22" s="52"/>
      <c r="AH22" s="51"/>
      <c r="AI22" s="52"/>
      <c r="AJ22" s="52"/>
      <c r="AK22" s="51"/>
      <c r="AL22" s="52"/>
      <c r="AM22" s="52"/>
      <c r="AN22" s="53">
        <f t="shared" si="3"/>
        <v>0</v>
      </c>
    </row>
    <row r="23" spans="2:40" ht="20.149999999999999" customHeight="1" x14ac:dyDescent="0.2">
      <c r="B23" s="594"/>
      <c r="C23" s="595"/>
      <c r="D23" s="51"/>
      <c r="E23" s="52"/>
      <c r="F23" s="52"/>
      <c r="G23" s="51"/>
      <c r="H23" s="52"/>
      <c r="I23" s="52"/>
      <c r="J23" s="51"/>
      <c r="K23" s="52"/>
      <c r="L23" s="52"/>
      <c r="M23" s="51"/>
      <c r="N23" s="52"/>
      <c r="O23" s="52"/>
      <c r="P23" s="51"/>
      <c r="Q23" s="52"/>
      <c r="R23" s="52"/>
      <c r="S23" s="51"/>
      <c r="T23" s="52"/>
      <c r="U23" s="52"/>
      <c r="V23" s="51"/>
      <c r="W23" s="52"/>
      <c r="X23" s="52"/>
      <c r="Y23" s="51"/>
      <c r="Z23" s="52"/>
      <c r="AA23" s="52"/>
      <c r="AB23" s="51"/>
      <c r="AC23" s="52"/>
      <c r="AD23" s="52"/>
      <c r="AE23" s="51"/>
      <c r="AF23" s="52"/>
      <c r="AG23" s="52"/>
      <c r="AH23" s="51"/>
      <c r="AI23" s="52"/>
      <c r="AJ23" s="52"/>
      <c r="AK23" s="51"/>
      <c r="AL23" s="52"/>
      <c r="AM23" s="52"/>
      <c r="AN23" s="53">
        <f t="shared" si="3"/>
        <v>0</v>
      </c>
    </row>
    <row r="24" spans="2:40" ht="20.149999999999999" customHeight="1" x14ac:dyDescent="0.2">
      <c r="B24" s="594"/>
      <c r="C24" s="595"/>
      <c r="D24" s="51"/>
      <c r="E24" s="52"/>
      <c r="F24" s="52"/>
      <c r="G24" s="51"/>
      <c r="H24" s="52"/>
      <c r="I24" s="52"/>
      <c r="J24" s="51"/>
      <c r="K24" s="52"/>
      <c r="L24" s="52"/>
      <c r="M24" s="51"/>
      <c r="N24" s="52"/>
      <c r="O24" s="52"/>
      <c r="P24" s="51"/>
      <c r="Q24" s="52"/>
      <c r="R24" s="52"/>
      <c r="S24" s="51"/>
      <c r="T24" s="52"/>
      <c r="U24" s="52"/>
      <c r="V24" s="51"/>
      <c r="W24" s="52"/>
      <c r="X24" s="52"/>
      <c r="Y24" s="51"/>
      <c r="Z24" s="52"/>
      <c r="AA24" s="52"/>
      <c r="AB24" s="51"/>
      <c r="AC24" s="52"/>
      <c r="AD24" s="52"/>
      <c r="AE24" s="51"/>
      <c r="AF24" s="52"/>
      <c r="AG24" s="52"/>
      <c r="AH24" s="51"/>
      <c r="AI24" s="52"/>
      <c r="AJ24" s="52"/>
      <c r="AK24" s="51"/>
      <c r="AL24" s="52"/>
      <c r="AM24" s="52"/>
      <c r="AN24" s="53">
        <f t="shared" si="3"/>
        <v>0</v>
      </c>
    </row>
    <row r="25" spans="2:40" ht="20.149999999999999" customHeight="1" x14ac:dyDescent="0.2">
      <c r="B25" s="594"/>
      <c r="C25" s="595"/>
      <c r="D25" s="51"/>
      <c r="E25" s="52"/>
      <c r="F25" s="52"/>
      <c r="G25" s="51"/>
      <c r="H25" s="52"/>
      <c r="I25" s="52"/>
      <c r="J25" s="51"/>
      <c r="K25" s="52"/>
      <c r="L25" s="52"/>
      <c r="M25" s="51"/>
      <c r="N25" s="52"/>
      <c r="O25" s="52"/>
      <c r="P25" s="51"/>
      <c r="Q25" s="52"/>
      <c r="R25" s="52"/>
      <c r="S25" s="51"/>
      <c r="T25" s="52"/>
      <c r="U25" s="52"/>
      <c r="V25" s="51"/>
      <c r="W25" s="52"/>
      <c r="X25" s="52"/>
      <c r="Y25" s="51"/>
      <c r="Z25" s="52"/>
      <c r="AA25" s="52"/>
      <c r="AB25" s="51"/>
      <c r="AC25" s="52"/>
      <c r="AD25" s="52"/>
      <c r="AE25" s="51"/>
      <c r="AF25" s="52"/>
      <c r="AG25" s="52"/>
      <c r="AH25" s="51"/>
      <c r="AI25" s="52"/>
      <c r="AJ25" s="52"/>
      <c r="AK25" s="51"/>
      <c r="AL25" s="52"/>
      <c r="AM25" s="52"/>
      <c r="AN25" s="53">
        <f t="shared" si="3"/>
        <v>0</v>
      </c>
    </row>
    <row r="26" spans="2:40" ht="20.149999999999999" customHeight="1" x14ac:dyDescent="0.2">
      <c r="B26" s="594"/>
      <c r="C26" s="595"/>
      <c r="D26" s="51"/>
      <c r="E26" s="52"/>
      <c r="F26" s="52"/>
      <c r="G26" s="51"/>
      <c r="H26" s="52"/>
      <c r="I26" s="52"/>
      <c r="J26" s="51"/>
      <c r="K26" s="52"/>
      <c r="L26" s="52"/>
      <c r="M26" s="51"/>
      <c r="N26" s="52"/>
      <c r="O26" s="52"/>
      <c r="P26" s="51"/>
      <c r="Q26" s="52"/>
      <c r="R26" s="52"/>
      <c r="S26" s="51"/>
      <c r="T26" s="52"/>
      <c r="U26" s="52"/>
      <c r="V26" s="51"/>
      <c r="W26" s="52"/>
      <c r="X26" s="52"/>
      <c r="Y26" s="51"/>
      <c r="Z26" s="52"/>
      <c r="AA26" s="52"/>
      <c r="AB26" s="51"/>
      <c r="AC26" s="52"/>
      <c r="AD26" s="52"/>
      <c r="AE26" s="51"/>
      <c r="AF26" s="52"/>
      <c r="AG26" s="52"/>
      <c r="AH26" s="51"/>
      <c r="AI26" s="52"/>
      <c r="AJ26" s="52"/>
      <c r="AK26" s="51"/>
      <c r="AL26" s="52"/>
      <c r="AM26" s="52"/>
      <c r="AN26" s="53">
        <f t="shared" si="3"/>
        <v>0</v>
      </c>
    </row>
    <row r="27" spans="2:40" ht="20.149999999999999" customHeight="1" x14ac:dyDescent="0.2">
      <c r="B27" s="594"/>
      <c r="C27" s="595"/>
      <c r="D27" s="51"/>
      <c r="E27" s="52"/>
      <c r="F27" s="52"/>
      <c r="G27" s="51"/>
      <c r="H27" s="52"/>
      <c r="I27" s="52"/>
      <c r="J27" s="51"/>
      <c r="K27" s="52"/>
      <c r="L27" s="52"/>
      <c r="M27" s="51"/>
      <c r="N27" s="52"/>
      <c r="O27" s="52"/>
      <c r="P27" s="51"/>
      <c r="Q27" s="52"/>
      <c r="R27" s="52"/>
      <c r="S27" s="51"/>
      <c r="T27" s="52"/>
      <c r="U27" s="52"/>
      <c r="V27" s="51"/>
      <c r="W27" s="52"/>
      <c r="X27" s="52"/>
      <c r="Y27" s="51"/>
      <c r="Z27" s="52"/>
      <c r="AA27" s="52"/>
      <c r="AB27" s="51"/>
      <c r="AC27" s="52"/>
      <c r="AD27" s="52"/>
      <c r="AE27" s="51"/>
      <c r="AF27" s="52"/>
      <c r="AG27" s="52"/>
      <c r="AH27" s="51"/>
      <c r="AI27" s="52"/>
      <c r="AJ27" s="52"/>
      <c r="AK27" s="51"/>
      <c r="AL27" s="52"/>
      <c r="AM27" s="52"/>
      <c r="AN27" s="53">
        <f t="shared" si="3"/>
        <v>0</v>
      </c>
    </row>
    <row r="28" spans="2:40" ht="20.149999999999999" customHeight="1" x14ac:dyDescent="0.2">
      <c r="B28" s="594"/>
      <c r="C28" s="595"/>
      <c r="D28" s="51"/>
      <c r="E28" s="52"/>
      <c r="F28" s="52"/>
      <c r="G28" s="51"/>
      <c r="H28" s="52"/>
      <c r="I28" s="52"/>
      <c r="J28" s="51"/>
      <c r="K28" s="52"/>
      <c r="L28" s="52"/>
      <c r="M28" s="51"/>
      <c r="N28" s="52"/>
      <c r="O28" s="52"/>
      <c r="P28" s="51"/>
      <c r="Q28" s="52"/>
      <c r="R28" s="52"/>
      <c r="S28" s="51"/>
      <c r="T28" s="52"/>
      <c r="U28" s="52"/>
      <c r="V28" s="51"/>
      <c r="W28" s="52"/>
      <c r="X28" s="52"/>
      <c r="Y28" s="51"/>
      <c r="Z28" s="52"/>
      <c r="AA28" s="52"/>
      <c r="AB28" s="51"/>
      <c r="AC28" s="52"/>
      <c r="AD28" s="52"/>
      <c r="AE28" s="51"/>
      <c r="AF28" s="52"/>
      <c r="AG28" s="52"/>
      <c r="AH28" s="51"/>
      <c r="AI28" s="52"/>
      <c r="AJ28" s="52"/>
      <c r="AK28" s="51"/>
      <c r="AL28" s="52"/>
      <c r="AM28" s="52"/>
      <c r="AN28" s="53">
        <f t="shared" si="3"/>
        <v>0</v>
      </c>
    </row>
    <row r="29" spans="2:40" ht="20.149999999999999" customHeight="1" x14ac:dyDescent="0.2">
      <c r="B29" s="594"/>
      <c r="C29" s="595"/>
      <c r="D29" s="51"/>
      <c r="E29" s="52"/>
      <c r="F29" s="52"/>
      <c r="G29" s="51"/>
      <c r="H29" s="52"/>
      <c r="I29" s="52"/>
      <c r="J29" s="51"/>
      <c r="K29" s="52"/>
      <c r="L29" s="52"/>
      <c r="M29" s="51"/>
      <c r="N29" s="52"/>
      <c r="O29" s="52"/>
      <c r="P29" s="51"/>
      <c r="Q29" s="52"/>
      <c r="R29" s="52"/>
      <c r="S29" s="51"/>
      <c r="T29" s="52"/>
      <c r="U29" s="52"/>
      <c r="V29" s="51"/>
      <c r="W29" s="52"/>
      <c r="X29" s="52"/>
      <c r="Y29" s="51"/>
      <c r="Z29" s="52"/>
      <c r="AA29" s="52"/>
      <c r="AB29" s="51"/>
      <c r="AC29" s="52"/>
      <c r="AD29" s="52"/>
      <c r="AE29" s="51"/>
      <c r="AF29" s="52"/>
      <c r="AG29" s="52"/>
      <c r="AH29" s="51"/>
      <c r="AI29" s="52"/>
      <c r="AJ29" s="52"/>
      <c r="AK29" s="51"/>
      <c r="AL29" s="52"/>
      <c r="AM29" s="52"/>
      <c r="AN29" s="53">
        <f t="shared" si="3"/>
        <v>0</v>
      </c>
    </row>
    <row r="30" spans="2:40" ht="20.149999999999999" customHeight="1" x14ac:dyDescent="0.2">
      <c r="B30" s="594"/>
      <c r="C30" s="595"/>
      <c r="D30" s="51"/>
      <c r="E30" s="52"/>
      <c r="F30" s="52"/>
      <c r="G30" s="51"/>
      <c r="H30" s="52"/>
      <c r="I30" s="52"/>
      <c r="J30" s="51"/>
      <c r="K30" s="52"/>
      <c r="L30" s="52"/>
      <c r="M30" s="51"/>
      <c r="N30" s="52"/>
      <c r="O30" s="52"/>
      <c r="P30" s="51"/>
      <c r="Q30" s="52"/>
      <c r="R30" s="52"/>
      <c r="S30" s="51"/>
      <c r="T30" s="52"/>
      <c r="U30" s="52"/>
      <c r="V30" s="51"/>
      <c r="W30" s="52"/>
      <c r="X30" s="52"/>
      <c r="Y30" s="51"/>
      <c r="Z30" s="52"/>
      <c r="AA30" s="52"/>
      <c r="AB30" s="51"/>
      <c r="AC30" s="52"/>
      <c r="AD30" s="52"/>
      <c r="AE30" s="51"/>
      <c r="AF30" s="52"/>
      <c r="AG30" s="52"/>
      <c r="AH30" s="51"/>
      <c r="AI30" s="52"/>
      <c r="AJ30" s="52"/>
      <c r="AK30" s="51"/>
      <c r="AL30" s="52"/>
      <c r="AM30" s="52"/>
      <c r="AN30" s="53">
        <f t="shared" si="3"/>
        <v>0</v>
      </c>
    </row>
    <row r="31" spans="2:40" ht="20.149999999999999" customHeight="1" x14ac:dyDescent="0.2">
      <c r="B31" s="594"/>
      <c r="C31" s="595"/>
      <c r="D31" s="51"/>
      <c r="E31" s="52"/>
      <c r="F31" s="52"/>
      <c r="G31" s="51"/>
      <c r="H31" s="52"/>
      <c r="I31" s="52"/>
      <c r="J31" s="51"/>
      <c r="K31" s="52"/>
      <c r="L31" s="52"/>
      <c r="M31" s="51"/>
      <c r="N31" s="52"/>
      <c r="O31" s="52"/>
      <c r="P31" s="51"/>
      <c r="Q31" s="52"/>
      <c r="R31" s="52"/>
      <c r="S31" s="51"/>
      <c r="T31" s="52"/>
      <c r="U31" s="52"/>
      <c r="V31" s="51"/>
      <c r="W31" s="52"/>
      <c r="X31" s="52"/>
      <c r="Y31" s="51"/>
      <c r="Z31" s="52"/>
      <c r="AA31" s="52"/>
      <c r="AB31" s="51"/>
      <c r="AC31" s="52"/>
      <c r="AD31" s="52"/>
      <c r="AE31" s="51"/>
      <c r="AF31" s="52"/>
      <c r="AG31" s="52"/>
      <c r="AH31" s="51"/>
      <c r="AI31" s="52"/>
      <c r="AJ31" s="52"/>
      <c r="AK31" s="51"/>
      <c r="AL31" s="52"/>
      <c r="AM31" s="52"/>
      <c r="AN31" s="53">
        <f t="shared" si="3"/>
        <v>0</v>
      </c>
    </row>
    <row r="32" spans="2:40" ht="20.149999999999999" customHeight="1" x14ac:dyDescent="0.2">
      <c r="B32" s="594"/>
      <c r="C32" s="595"/>
      <c r="D32" s="51"/>
      <c r="E32" s="52"/>
      <c r="F32" s="52"/>
      <c r="G32" s="51"/>
      <c r="H32" s="52"/>
      <c r="I32" s="52"/>
      <c r="J32" s="51"/>
      <c r="K32" s="52"/>
      <c r="L32" s="52"/>
      <c r="M32" s="51"/>
      <c r="N32" s="52"/>
      <c r="O32" s="52"/>
      <c r="P32" s="51"/>
      <c r="Q32" s="52"/>
      <c r="R32" s="52"/>
      <c r="S32" s="51"/>
      <c r="T32" s="52"/>
      <c r="U32" s="52"/>
      <c r="V32" s="51"/>
      <c r="W32" s="52"/>
      <c r="X32" s="52"/>
      <c r="Y32" s="51"/>
      <c r="Z32" s="52"/>
      <c r="AA32" s="52"/>
      <c r="AB32" s="51"/>
      <c r="AC32" s="52"/>
      <c r="AD32" s="52"/>
      <c r="AE32" s="51"/>
      <c r="AF32" s="52"/>
      <c r="AG32" s="52"/>
      <c r="AH32" s="51"/>
      <c r="AI32" s="52"/>
      <c r="AJ32" s="52"/>
      <c r="AK32" s="51"/>
      <c r="AL32" s="52"/>
      <c r="AM32" s="52"/>
      <c r="AN32" s="53">
        <f t="shared" si="3"/>
        <v>0</v>
      </c>
    </row>
    <row r="33" spans="2:43" ht="20.149999999999999" customHeight="1" x14ac:dyDescent="0.2">
      <c r="B33" s="594"/>
      <c r="C33" s="595"/>
      <c r="D33" s="51"/>
      <c r="E33" s="52"/>
      <c r="F33" s="52"/>
      <c r="G33" s="51"/>
      <c r="H33" s="52"/>
      <c r="I33" s="52"/>
      <c r="J33" s="51"/>
      <c r="K33" s="52"/>
      <c r="L33" s="52"/>
      <c r="M33" s="51"/>
      <c r="N33" s="52"/>
      <c r="O33" s="52"/>
      <c r="P33" s="51"/>
      <c r="Q33" s="52"/>
      <c r="R33" s="52"/>
      <c r="S33" s="51"/>
      <c r="T33" s="52"/>
      <c r="U33" s="52"/>
      <c r="V33" s="51"/>
      <c r="W33" s="52"/>
      <c r="X33" s="52"/>
      <c r="Y33" s="51"/>
      <c r="Z33" s="52"/>
      <c r="AA33" s="52"/>
      <c r="AB33" s="51"/>
      <c r="AC33" s="52"/>
      <c r="AD33" s="52"/>
      <c r="AE33" s="51"/>
      <c r="AF33" s="52"/>
      <c r="AG33" s="52"/>
      <c r="AH33" s="51"/>
      <c r="AI33" s="52"/>
      <c r="AJ33" s="52"/>
      <c r="AK33" s="51"/>
      <c r="AL33" s="52"/>
      <c r="AM33" s="52"/>
      <c r="AN33" s="53">
        <f t="shared" si="3"/>
        <v>0</v>
      </c>
    </row>
    <row r="34" spans="2:43" ht="20.149999999999999" customHeight="1" x14ac:dyDescent="0.2">
      <c r="B34" s="592" t="s">
        <v>99</v>
      </c>
      <c r="C34" s="593"/>
      <c r="D34" s="51">
        <f t="shared" ref="D34:AM34" si="7">SUM(D9:D33)</f>
        <v>0</v>
      </c>
      <c r="E34" s="54">
        <f t="shared" si="7"/>
        <v>0</v>
      </c>
      <c r="F34" s="55">
        <f t="shared" si="7"/>
        <v>0</v>
      </c>
      <c r="G34" s="51">
        <f t="shared" si="7"/>
        <v>3.3333333333333335</v>
      </c>
      <c r="H34" s="54">
        <f t="shared" si="7"/>
        <v>6.666666666666667</v>
      </c>
      <c r="I34" s="55">
        <f t="shared" si="7"/>
        <v>8.4166666666666679</v>
      </c>
      <c r="J34" s="51">
        <f t="shared" si="7"/>
        <v>11.750000000000002</v>
      </c>
      <c r="K34" s="54">
        <f t="shared" si="7"/>
        <v>11.750000000000002</v>
      </c>
      <c r="L34" s="55">
        <f t="shared" si="7"/>
        <v>11.750000000000002</v>
      </c>
      <c r="M34" s="51">
        <f t="shared" si="7"/>
        <v>15.083333333333336</v>
      </c>
      <c r="N34" s="54">
        <f t="shared" si="7"/>
        <v>15.083333333333336</v>
      </c>
      <c r="O34" s="55">
        <f t="shared" si="7"/>
        <v>15.083333333333336</v>
      </c>
      <c r="P34" s="51">
        <f t="shared" si="7"/>
        <v>15.083333333333336</v>
      </c>
      <c r="Q34" s="54">
        <f t="shared" si="7"/>
        <v>22.583333333333336</v>
      </c>
      <c r="R34" s="55">
        <f t="shared" si="7"/>
        <v>22.583333333333336</v>
      </c>
      <c r="S34" s="51">
        <f t="shared" si="7"/>
        <v>31.750000000000004</v>
      </c>
      <c r="T34" s="54">
        <f t="shared" si="7"/>
        <v>31.750000000000004</v>
      </c>
      <c r="U34" s="55">
        <f t="shared" si="7"/>
        <v>31.750000000000004</v>
      </c>
      <c r="V34" s="51">
        <f t="shared" si="7"/>
        <v>31.750000000000004</v>
      </c>
      <c r="W34" s="54">
        <f t="shared" si="7"/>
        <v>31.750000000000004</v>
      </c>
      <c r="X34" s="55">
        <f t="shared" si="7"/>
        <v>31.750000000000004</v>
      </c>
      <c r="Y34" s="51">
        <f t="shared" si="7"/>
        <v>31.750000000000004</v>
      </c>
      <c r="Z34" s="54">
        <f t="shared" si="7"/>
        <v>31.750000000000004</v>
      </c>
      <c r="AA34" s="55">
        <f t="shared" si="7"/>
        <v>31.750000000000004</v>
      </c>
      <c r="AB34" s="51">
        <f t="shared" si="7"/>
        <v>31.750000000000004</v>
      </c>
      <c r="AC34" s="54">
        <f t="shared" si="7"/>
        <v>26.666666666666668</v>
      </c>
      <c r="AD34" s="55">
        <f t="shared" si="7"/>
        <v>26.666666666666668</v>
      </c>
      <c r="AE34" s="51">
        <f t="shared" si="7"/>
        <v>26.666666666666668</v>
      </c>
      <c r="AF34" s="54">
        <f t="shared" si="7"/>
        <v>26.666666666666668</v>
      </c>
      <c r="AG34" s="55">
        <f t="shared" si="7"/>
        <v>26.666666666666668</v>
      </c>
      <c r="AH34" s="51">
        <f t="shared" si="7"/>
        <v>26.666666666666668</v>
      </c>
      <c r="AI34" s="54">
        <f t="shared" si="7"/>
        <v>26.666666666666668</v>
      </c>
      <c r="AJ34" s="55">
        <f t="shared" si="7"/>
        <v>26.666666666666668</v>
      </c>
      <c r="AK34" s="51">
        <f t="shared" si="7"/>
        <v>16.666666666666668</v>
      </c>
      <c r="AL34" s="54">
        <f t="shared" si="7"/>
        <v>16.666666666666668</v>
      </c>
      <c r="AM34" s="55">
        <f t="shared" si="7"/>
        <v>16.666666666666668</v>
      </c>
      <c r="AN34" s="53">
        <f t="shared" si="3"/>
        <v>739.99999999999977</v>
      </c>
    </row>
    <row r="35" spans="2:43" ht="20.149999999999999" customHeight="1" thickBot="1" x14ac:dyDescent="0.25">
      <c r="B35" s="596" t="s">
        <v>100</v>
      </c>
      <c r="C35" s="597"/>
      <c r="D35" s="42"/>
      <c r="E35" s="56">
        <f>SUM(D34:F34)</f>
        <v>0</v>
      </c>
      <c r="F35" s="56"/>
      <c r="G35" s="42"/>
      <c r="H35" s="56">
        <f>SUM(G34:I34)</f>
        <v>18.416666666666668</v>
      </c>
      <c r="I35" s="56"/>
      <c r="J35" s="42"/>
      <c r="K35" s="56">
        <f>SUM(J34:L34)</f>
        <v>35.250000000000007</v>
      </c>
      <c r="L35" s="56"/>
      <c r="M35" s="42"/>
      <c r="N35" s="56">
        <f>SUM(M34:O34)</f>
        <v>45.250000000000007</v>
      </c>
      <c r="O35" s="56"/>
      <c r="P35" s="42"/>
      <c r="Q35" s="56">
        <f>SUM(P34:R34)</f>
        <v>60.250000000000007</v>
      </c>
      <c r="R35" s="56"/>
      <c r="S35" s="42"/>
      <c r="T35" s="56">
        <f>SUM(S34:U34)</f>
        <v>95.250000000000014</v>
      </c>
      <c r="U35" s="56"/>
      <c r="V35" s="42"/>
      <c r="W35" s="56">
        <f>SUM(V34:X34)</f>
        <v>95.250000000000014</v>
      </c>
      <c r="X35" s="56"/>
      <c r="Y35" s="42"/>
      <c r="Z35" s="56">
        <f>SUM(Y34:AA34)</f>
        <v>95.250000000000014</v>
      </c>
      <c r="AA35" s="56"/>
      <c r="AB35" s="42"/>
      <c r="AC35" s="56">
        <f>SUM(AB34:AD34)</f>
        <v>85.083333333333343</v>
      </c>
      <c r="AD35" s="56"/>
      <c r="AE35" s="42"/>
      <c r="AF35" s="56">
        <f>SUM(AE34:AG34)</f>
        <v>80</v>
      </c>
      <c r="AG35" s="56"/>
      <c r="AH35" s="42"/>
      <c r="AI35" s="56">
        <f>SUM(AH34:AJ34)</f>
        <v>80</v>
      </c>
      <c r="AJ35" s="56"/>
      <c r="AK35" s="42"/>
      <c r="AL35" s="56">
        <f>SUM(AK34:AM34)</f>
        <v>50</v>
      </c>
      <c r="AM35" s="56"/>
      <c r="AN35" s="57">
        <f>SUM(AN9:AN33)</f>
        <v>740</v>
      </c>
    </row>
    <row r="36" spans="2:43" ht="9.9" customHeight="1" x14ac:dyDescent="0.2"/>
    <row r="37" spans="2:43" ht="24.9" customHeight="1" x14ac:dyDescent="0.2">
      <c r="B37" s="1" t="s">
        <v>197</v>
      </c>
    </row>
    <row r="38" spans="2:43" ht="9.9" customHeight="1" thickBot="1" x14ac:dyDescent="0.25"/>
    <row r="39" spans="2:43" ht="20.149999999999999" customHeight="1" thickBot="1" x14ac:dyDescent="0.25">
      <c r="B39" s="1" t="s">
        <v>196</v>
      </c>
      <c r="C39" s="402">
        <v>40</v>
      </c>
      <c r="D39" s="1" t="s">
        <v>285</v>
      </c>
    </row>
    <row r="40" spans="2:43" ht="9.9" customHeight="1" thickBot="1" x14ac:dyDescent="0.25"/>
    <row r="41" spans="2:43" ht="20.149999999999999" customHeight="1" x14ac:dyDescent="0.2">
      <c r="B41" s="579" t="s">
        <v>97</v>
      </c>
      <c r="C41" s="580"/>
      <c r="D41" s="583">
        <v>1</v>
      </c>
      <c r="E41" s="584"/>
      <c r="F41" s="585"/>
      <c r="G41" s="583">
        <v>2</v>
      </c>
      <c r="H41" s="584"/>
      <c r="I41" s="585"/>
      <c r="J41" s="583">
        <v>3</v>
      </c>
      <c r="K41" s="584"/>
      <c r="L41" s="585"/>
      <c r="M41" s="583">
        <v>4</v>
      </c>
      <c r="N41" s="584"/>
      <c r="O41" s="585"/>
      <c r="P41" s="583">
        <v>5</v>
      </c>
      <c r="Q41" s="584"/>
      <c r="R41" s="585"/>
      <c r="S41" s="583">
        <v>6</v>
      </c>
      <c r="T41" s="584"/>
      <c r="U41" s="585"/>
      <c r="V41" s="583">
        <v>7</v>
      </c>
      <c r="W41" s="584"/>
      <c r="X41" s="585"/>
      <c r="Y41" s="583">
        <v>8</v>
      </c>
      <c r="Z41" s="584"/>
      <c r="AA41" s="585"/>
      <c r="AB41" s="583">
        <v>9</v>
      </c>
      <c r="AC41" s="584"/>
      <c r="AD41" s="585"/>
      <c r="AE41" s="583">
        <v>10</v>
      </c>
      <c r="AF41" s="584"/>
      <c r="AG41" s="585"/>
      <c r="AH41" s="583">
        <v>11</v>
      </c>
      <c r="AI41" s="584"/>
      <c r="AJ41" s="585"/>
      <c r="AK41" s="583">
        <v>12</v>
      </c>
      <c r="AL41" s="584"/>
      <c r="AM41" s="585"/>
      <c r="AN41" s="586" t="s">
        <v>30</v>
      </c>
    </row>
    <row r="42" spans="2:43" ht="20.149999999999999" customHeight="1" x14ac:dyDescent="0.2">
      <c r="B42" s="581"/>
      <c r="C42" s="582"/>
      <c r="D42" s="43" t="s">
        <v>31</v>
      </c>
      <c r="E42" s="44" t="s">
        <v>32</v>
      </c>
      <c r="F42" s="45" t="s">
        <v>33</v>
      </c>
      <c r="G42" s="43" t="s">
        <v>31</v>
      </c>
      <c r="H42" s="45" t="s">
        <v>32</v>
      </c>
      <c r="I42" s="45" t="s">
        <v>33</v>
      </c>
      <c r="J42" s="43" t="s">
        <v>31</v>
      </c>
      <c r="K42" s="45" t="s">
        <v>32</v>
      </c>
      <c r="L42" s="45" t="s">
        <v>33</v>
      </c>
      <c r="M42" s="43" t="s">
        <v>31</v>
      </c>
      <c r="N42" s="45" t="s">
        <v>32</v>
      </c>
      <c r="O42" s="45" t="s">
        <v>33</v>
      </c>
      <c r="P42" s="43" t="s">
        <v>31</v>
      </c>
      <c r="Q42" s="395" t="s">
        <v>32</v>
      </c>
      <c r="R42" s="394" t="s">
        <v>33</v>
      </c>
      <c r="S42" s="397" t="s">
        <v>31</v>
      </c>
      <c r="T42" s="398" t="s">
        <v>32</v>
      </c>
      <c r="U42" s="394" t="s">
        <v>33</v>
      </c>
      <c r="V42" s="397" t="s">
        <v>31</v>
      </c>
      <c r="W42" s="394" t="s">
        <v>32</v>
      </c>
      <c r="X42" s="45" t="s">
        <v>33</v>
      </c>
      <c r="Y42" s="43" t="s">
        <v>31</v>
      </c>
      <c r="Z42" s="45" t="s">
        <v>32</v>
      </c>
      <c r="AA42" s="45" t="s">
        <v>33</v>
      </c>
      <c r="AB42" s="43" t="s">
        <v>31</v>
      </c>
      <c r="AC42" s="45" t="s">
        <v>32</v>
      </c>
      <c r="AD42" s="45" t="s">
        <v>33</v>
      </c>
      <c r="AE42" s="43" t="s">
        <v>31</v>
      </c>
      <c r="AF42" s="45" t="s">
        <v>32</v>
      </c>
      <c r="AG42" s="45" t="s">
        <v>33</v>
      </c>
      <c r="AH42" s="43" t="s">
        <v>31</v>
      </c>
      <c r="AI42" s="45" t="s">
        <v>32</v>
      </c>
      <c r="AJ42" s="45" t="s">
        <v>33</v>
      </c>
      <c r="AK42" s="43" t="s">
        <v>31</v>
      </c>
      <c r="AL42" s="45" t="s">
        <v>32</v>
      </c>
      <c r="AM42" s="45" t="s">
        <v>33</v>
      </c>
      <c r="AN42" s="587"/>
    </row>
    <row r="43" spans="2:43" ht="20.149999999999999" customHeight="1" x14ac:dyDescent="0.2">
      <c r="B43" s="581" t="s">
        <v>202</v>
      </c>
      <c r="C43" s="582"/>
      <c r="D43" s="51">
        <f>D34*$C$39/10</f>
        <v>0</v>
      </c>
      <c r="E43" s="54">
        <f t="shared" ref="E43:F43" si="8">E34*$C$39/10</f>
        <v>0</v>
      </c>
      <c r="F43" s="55">
        <f t="shared" si="8"/>
        <v>0</v>
      </c>
      <c r="G43" s="51">
        <f>G34*$C$39/10</f>
        <v>13.333333333333334</v>
      </c>
      <c r="H43" s="387">
        <f t="shared" ref="H43:AM43" si="9">H34*$C$39/10</f>
        <v>26.666666666666668</v>
      </c>
      <c r="I43" s="386">
        <f t="shared" si="9"/>
        <v>33.666666666666671</v>
      </c>
      <c r="J43" s="390">
        <f t="shared" si="9"/>
        <v>47.000000000000007</v>
      </c>
      <c r="K43" s="386">
        <f t="shared" si="9"/>
        <v>47.000000000000007</v>
      </c>
      <c r="L43" s="383">
        <f t="shared" si="9"/>
        <v>47.000000000000007</v>
      </c>
      <c r="M43" s="51">
        <f t="shared" si="9"/>
        <v>60.33333333333335</v>
      </c>
      <c r="N43" s="391">
        <f t="shared" si="9"/>
        <v>60.33333333333335</v>
      </c>
      <c r="O43" s="383">
        <f t="shared" si="9"/>
        <v>60.33333333333335</v>
      </c>
      <c r="P43" s="390">
        <f t="shared" si="9"/>
        <v>60.33333333333335</v>
      </c>
      <c r="Q43" s="396">
        <f t="shared" si="9"/>
        <v>90.333333333333343</v>
      </c>
      <c r="R43" s="386">
        <f t="shared" si="9"/>
        <v>90.333333333333343</v>
      </c>
      <c r="S43" s="393">
        <f t="shared" si="9"/>
        <v>127.00000000000003</v>
      </c>
      <c r="T43" s="399">
        <f t="shared" si="9"/>
        <v>127.00000000000003</v>
      </c>
      <c r="U43" s="386">
        <f t="shared" si="9"/>
        <v>127.00000000000003</v>
      </c>
      <c r="V43" s="393">
        <f t="shared" si="9"/>
        <v>127.00000000000003</v>
      </c>
      <c r="W43" s="387">
        <f t="shared" si="9"/>
        <v>127.00000000000003</v>
      </c>
      <c r="X43" s="386">
        <f t="shared" si="9"/>
        <v>127.00000000000003</v>
      </c>
      <c r="Y43" s="390">
        <f t="shared" si="9"/>
        <v>127.00000000000003</v>
      </c>
      <c r="Z43" s="401">
        <f t="shared" si="9"/>
        <v>127.00000000000003</v>
      </c>
      <c r="AA43" s="55">
        <f t="shared" si="9"/>
        <v>127.00000000000003</v>
      </c>
      <c r="AB43" s="390">
        <f t="shared" si="9"/>
        <v>127.00000000000003</v>
      </c>
      <c r="AC43" s="401">
        <f t="shared" si="9"/>
        <v>106.66666666666667</v>
      </c>
      <c r="AD43" s="55">
        <f t="shared" si="9"/>
        <v>106.66666666666667</v>
      </c>
      <c r="AE43" s="51">
        <f t="shared" si="9"/>
        <v>106.66666666666667</v>
      </c>
      <c r="AF43" s="54">
        <f t="shared" si="9"/>
        <v>106.66666666666667</v>
      </c>
      <c r="AG43" s="55">
        <f t="shared" si="9"/>
        <v>106.66666666666667</v>
      </c>
      <c r="AH43" s="51">
        <f t="shared" si="9"/>
        <v>106.66666666666667</v>
      </c>
      <c r="AI43" s="54">
        <f t="shared" si="9"/>
        <v>106.66666666666667</v>
      </c>
      <c r="AJ43" s="55">
        <f t="shared" si="9"/>
        <v>106.66666666666667</v>
      </c>
      <c r="AK43" s="51">
        <f t="shared" si="9"/>
        <v>66.666666666666671</v>
      </c>
      <c r="AL43" s="54">
        <f t="shared" si="9"/>
        <v>66.666666666666671</v>
      </c>
      <c r="AM43" s="55">
        <f t="shared" si="9"/>
        <v>66.666666666666671</v>
      </c>
      <c r="AN43" s="53">
        <f>SUM(D43:AM43)</f>
        <v>2959.9999999999991</v>
      </c>
    </row>
    <row r="44" spans="2:43" ht="20.149999999999999" customHeight="1" thickBot="1" x14ac:dyDescent="0.25">
      <c r="B44" s="588" t="s">
        <v>100</v>
      </c>
      <c r="C44" s="589"/>
      <c r="D44" s="185"/>
      <c r="E44" s="183">
        <f>SUM(D43:F43)</f>
        <v>0</v>
      </c>
      <c r="F44" s="183"/>
      <c r="G44" s="576">
        <f>SUM(G43:I43)</f>
        <v>73.666666666666671</v>
      </c>
      <c r="H44" s="577"/>
      <c r="I44" s="578"/>
      <c r="J44" s="576">
        <f>SUM(J43:L43)</f>
        <v>141.00000000000003</v>
      </c>
      <c r="K44" s="577"/>
      <c r="L44" s="578"/>
      <c r="M44" s="576">
        <f>SUM(M43:O43)</f>
        <v>181.00000000000006</v>
      </c>
      <c r="N44" s="577"/>
      <c r="O44" s="578"/>
      <c r="P44" s="576">
        <f>SUM(P43:R43)</f>
        <v>241.00000000000003</v>
      </c>
      <c r="Q44" s="577"/>
      <c r="R44" s="578"/>
      <c r="S44" s="576">
        <f>SUM(S43:U43)</f>
        <v>381.00000000000011</v>
      </c>
      <c r="T44" s="577"/>
      <c r="U44" s="578"/>
      <c r="V44" s="576">
        <f>SUM(V43:X43)</f>
        <v>381.00000000000011</v>
      </c>
      <c r="W44" s="577"/>
      <c r="X44" s="578"/>
      <c r="Y44" s="576">
        <f>SUM(Y43:AA43)</f>
        <v>381.00000000000011</v>
      </c>
      <c r="Z44" s="577"/>
      <c r="AA44" s="578"/>
      <c r="AB44" s="576">
        <f>SUM(AB43:AD43)</f>
        <v>340.33333333333337</v>
      </c>
      <c r="AC44" s="577"/>
      <c r="AD44" s="578"/>
      <c r="AE44" s="576">
        <f>SUM(AE43:AG43)</f>
        <v>320</v>
      </c>
      <c r="AF44" s="577"/>
      <c r="AG44" s="578"/>
      <c r="AH44" s="576">
        <f>SUM(AH43:AJ43)</f>
        <v>320</v>
      </c>
      <c r="AI44" s="577"/>
      <c r="AJ44" s="578"/>
      <c r="AK44" s="576">
        <f>SUM(AK43:AM43)</f>
        <v>200</v>
      </c>
      <c r="AL44" s="577"/>
      <c r="AM44" s="578"/>
      <c r="AN44" s="186">
        <f>SUM(D44:AM44)</f>
        <v>2960.0000000000005</v>
      </c>
      <c r="AP44" s="375" t="s">
        <v>315</v>
      </c>
      <c r="AQ44" s="375"/>
    </row>
    <row r="45" spans="2:43" ht="20.149999999999999" customHeight="1" thickTop="1" x14ac:dyDescent="0.2">
      <c r="B45" s="601" t="s">
        <v>200</v>
      </c>
      <c r="C45" s="187" t="s">
        <v>198</v>
      </c>
      <c r="D45" s="341">
        <f>IF(D$43="","",D$43/2.5)</f>
        <v>0</v>
      </c>
      <c r="E45" s="189">
        <f t="shared" ref="E45:T46" si="10">IF(E$43="","",E$43/2.5)</f>
        <v>0</v>
      </c>
      <c r="F45" s="189">
        <f t="shared" si="10"/>
        <v>0</v>
      </c>
      <c r="G45" s="385">
        <f t="shared" si="10"/>
        <v>5.3333333333333339</v>
      </c>
      <c r="H45" s="388">
        <f t="shared" si="10"/>
        <v>10.666666666666668</v>
      </c>
      <c r="I45" s="384">
        <f t="shared" si="10"/>
        <v>13.466666666666669</v>
      </c>
      <c r="J45" s="188">
        <f t="shared" si="10"/>
        <v>18.800000000000004</v>
      </c>
      <c r="K45" s="189">
        <f t="shared" si="10"/>
        <v>18.800000000000004</v>
      </c>
      <c r="L45" s="189">
        <f t="shared" si="10"/>
        <v>18.800000000000004</v>
      </c>
      <c r="M45" s="188">
        <f t="shared" si="10"/>
        <v>24.13333333333334</v>
      </c>
      <c r="N45" s="189">
        <f t="shared" si="10"/>
        <v>24.13333333333334</v>
      </c>
      <c r="O45" s="189">
        <f t="shared" si="10"/>
        <v>24.13333333333334</v>
      </c>
      <c r="P45" s="392">
        <f t="shared" si="10"/>
        <v>24.13333333333334</v>
      </c>
      <c r="Q45" s="388">
        <f t="shared" si="10"/>
        <v>36.13333333333334</v>
      </c>
      <c r="R45" s="384">
        <f t="shared" si="10"/>
        <v>36.13333333333334</v>
      </c>
      <c r="S45" s="392">
        <f t="shared" si="10"/>
        <v>50.800000000000011</v>
      </c>
      <c r="T45" s="400">
        <f t="shared" si="10"/>
        <v>50.800000000000011</v>
      </c>
      <c r="U45" s="384">
        <f t="shared" ref="U45:AM46" si="11">IF(U$43="","",U$43/2.5)</f>
        <v>50.800000000000011</v>
      </c>
      <c r="V45" s="392">
        <f t="shared" si="11"/>
        <v>50.800000000000011</v>
      </c>
      <c r="W45" s="400">
        <f t="shared" si="11"/>
        <v>50.800000000000011</v>
      </c>
      <c r="X45" s="384">
        <f t="shared" si="11"/>
        <v>50.800000000000011</v>
      </c>
      <c r="Y45" s="392">
        <f t="shared" si="11"/>
        <v>50.800000000000011</v>
      </c>
      <c r="Z45" s="400">
        <f t="shared" si="11"/>
        <v>50.800000000000011</v>
      </c>
      <c r="AA45" s="384">
        <f t="shared" si="11"/>
        <v>50.800000000000011</v>
      </c>
      <c r="AB45" s="392">
        <f t="shared" si="11"/>
        <v>50.800000000000011</v>
      </c>
      <c r="AC45" s="400">
        <f t="shared" si="11"/>
        <v>42.666666666666671</v>
      </c>
      <c r="AD45" s="384">
        <f t="shared" si="11"/>
        <v>42.666666666666671</v>
      </c>
      <c r="AE45" s="188">
        <f t="shared" si="11"/>
        <v>42.666666666666671</v>
      </c>
      <c r="AF45" s="189">
        <f t="shared" si="11"/>
        <v>42.666666666666671</v>
      </c>
      <c r="AG45" s="189">
        <f t="shared" si="11"/>
        <v>42.666666666666671</v>
      </c>
      <c r="AH45" s="188">
        <f t="shared" si="11"/>
        <v>42.666666666666671</v>
      </c>
      <c r="AI45" s="189">
        <f t="shared" si="11"/>
        <v>42.666666666666671</v>
      </c>
      <c r="AJ45" s="189">
        <f t="shared" si="11"/>
        <v>42.666666666666671</v>
      </c>
      <c r="AK45" s="188">
        <f t="shared" si="11"/>
        <v>26.666666666666668</v>
      </c>
      <c r="AL45" s="189">
        <f t="shared" si="11"/>
        <v>26.666666666666668</v>
      </c>
      <c r="AM45" s="189">
        <f t="shared" si="11"/>
        <v>26.666666666666668</v>
      </c>
      <c r="AN45" s="190">
        <f t="shared" ref="AN45:AN47" si="12">SUM(D45:AM45)</f>
        <v>1184</v>
      </c>
      <c r="AP45" s="375">
        <v>2000</v>
      </c>
      <c r="AQ45" s="375">
        <f>AP45/36</f>
        <v>55.555555555555557</v>
      </c>
    </row>
    <row r="46" spans="2:43" ht="20.149999999999999" customHeight="1" x14ac:dyDescent="0.2">
      <c r="B46" s="590"/>
      <c r="C46" s="184" t="s">
        <v>199</v>
      </c>
      <c r="D46" s="191">
        <f>IF(D$43="","",D$43/2.5)</f>
        <v>0</v>
      </c>
      <c r="E46" s="52">
        <f t="shared" si="10"/>
        <v>0</v>
      </c>
      <c r="F46" s="52">
        <f t="shared" si="10"/>
        <v>0</v>
      </c>
      <c r="G46" s="191">
        <f t="shared" si="10"/>
        <v>5.3333333333333339</v>
      </c>
      <c r="H46" s="389">
        <f t="shared" si="10"/>
        <v>10.666666666666668</v>
      </c>
      <c r="I46" s="386">
        <f t="shared" si="10"/>
        <v>13.466666666666669</v>
      </c>
      <c r="J46" s="191">
        <f t="shared" si="10"/>
        <v>18.800000000000004</v>
      </c>
      <c r="K46" s="52">
        <f t="shared" si="10"/>
        <v>18.800000000000004</v>
      </c>
      <c r="L46" s="52">
        <f t="shared" si="10"/>
        <v>18.800000000000004</v>
      </c>
      <c r="M46" s="191">
        <f t="shared" si="10"/>
        <v>24.13333333333334</v>
      </c>
      <c r="N46" s="52">
        <f t="shared" si="10"/>
        <v>24.13333333333334</v>
      </c>
      <c r="O46" s="52">
        <f t="shared" si="10"/>
        <v>24.13333333333334</v>
      </c>
      <c r="P46" s="393">
        <f t="shared" si="10"/>
        <v>24.13333333333334</v>
      </c>
      <c r="Q46" s="386">
        <f t="shared" si="10"/>
        <v>36.13333333333334</v>
      </c>
      <c r="R46" s="52">
        <f t="shared" si="10"/>
        <v>36.13333333333334</v>
      </c>
      <c r="S46" s="393">
        <f t="shared" si="10"/>
        <v>50.800000000000011</v>
      </c>
      <c r="T46" s="399">
        <f t="shared" si="10"/>
        <v>50.800000000000011</v>
      </c>
      <c r="U46" s="386">
        <f t="shared" si="11"/>
        <v>50.800000000000011</v>
      </c>
      <c r="V46" s="393">
        <f t="shared" si="11"/>
        <v>50.800000000000011</v>
      </c>
      <c r="W46" s="386">
        <f t="shared" si="11"/>
        <v>50.800000000000011</v>
      </c>
      <c r="X46" s="52">
        <f t="shared" si="11"/>
        <v>50.800000000000011</v>
      </c>
      <c r="Y46" s="191">
        <f t="shared" si="11"/>
        <v>50.800000000000011</v>
      </c>
      <c r="Z46" s="52">
        <f t="shared" si="11"/>
        <v>50.800000000000011</v>
      </c>
      <c r="AA46" s="52">
        <f t="shared" si="11"/>
        <v>50.800000000000011</v>
      </c>
      <c r="AB46" s="393">
        <f t="shared" si="11"/>
        <v>50.800000000000011</v>
      </c>
      <c r="AC46" s="386">
        <f t="shared" si="11"/>
        <v>42.666666666666671</v>
      </c>
      <c r="AD46" s="52">
        <f t="shared" si="11"/>
        <v>42.666666666666671</v>
      </c>
      <c r="AE46" s="191">
        <f t="shared" si="11"/>
        <v>42.666666666666671</v>
      </c>
      <c r="AF46" s="52">
        <f t="shared" si="11"/>
        <v>42.666666666666671</v>
      </c>
      <c r="AG46" s="52">
        <f t="shared" si="11"/>
        <v>42.666666666666671</v>
      </c>
      <c r="AH46" s="191">
        <f t="shared" si="11"/>
        <v>42.666666666666671</v>
      </c>
      <c r="AI46" s="52">
        <f t="shared" si="11"/>
        <v>42.666666666666671</v>
      </c>
      <c r="AJ46" s="52">
        <f t="shared" si="11"/>
        <v>42.666666666666671</v>
      </c>
      <c r="AK46" s="191">
        <f t="shared" si="11"/>
        <v>26.666666666666668</v>
      </c>
      <c r="AL46" s="52">
        <f t="shared" si="11"/>
        <v>26.666666666666668</v>
      </c>
      <c r="AM46" s="52">
        <f t="shared" si="11"/>
        <v>26.666666666666668</v>
      </c>
      <c r="AN46" s="53">
        <f t="shared" si="12"/>
        <v>1184</v>
      </c>
      <c r="AP46" s="375">
        <f>AP45</f>
        <v>2000</v>
      </c>
      <c r="AQ46" s="375">
        <f t="shared" ref="AQ46:AQ47" si="13">AP46/36</f>
        <v>55.555555555555557</v>
      </c>
    </row>
    <row r="47" spans="2:43" ht="20.149999999999999" customHeight="1" x14ac:dyDescent="0.2">
      <c r="B47" s="590"/>
      <c r="C47" s="184" t="s">
        <v>205</v>
      </c>
      <c r="D47" s="191">
        <f>IF(D$43="","",D$43/2.5*0.5)</f>
        <v>0</v>
      </c>
      <c r="E47" s="52">
        <f t="shared" ref="E47:AM47" si="14">IF(E$43="","",E$43/2.5*0.5)</f>
        <v>0</v>
      </c>
      <c r="F47" s="52">
        <f t="shared" si="14"/>
        <v>0</v>
      </c>
      <c r="G47" s="191">
        <f t="shared" si="14"/>
        <v>2.666666666666667</v>
      </c>
      <c r="H47" s="52">
        <f t="shared" si="14"/>
        <v>5.3333333333333339</v>
      </c>
      <c r="I47" s="52">
        <f t="shared" si="14"/>
        <v>6.7333333333333343</v>
      </c>
      <c r="J47" s="191">
        <f t="shared" si="14"/>
        <v>9.4000000000000021</v>
      </c>
      <c r="K47" s="52">
        <f t="shared" si="14"/>
        <v>9.4000000000000021</v>
      </c>
      <c r="L47" s="52">
        <f t="shared" si="14"/>
        <v>9.4000000000000021</v>
      </c>
      <c r="M47" s="191">
        <f t="shared" si="14"/>
        <v>12.06666666666667</v>
      </c>
      <c r="N47" s="52">
        <f t="shared" si="14"/>
        <v>12.06666666666667</v>
      </c>
      <c r="O47" s="52">
        <f t="shared" si="14"/>
        <v>12.06666666666667</v>
      </c>
      <c r="P47" s="191">
        <f t="shared" si="14"/>
        <v>12.06666666666667</v>
      </c>
      <c r="Q47" s="52">
        <f t="shared" si="14"/>
        <v>18.06666666666667</v>
      </c>
      <c r="R47" s="52">
        <f t="shared" si="14"/>
        <v>18.06666666666667</v>
      </c>
      <c r="S47" s="393">
        <f t="shared" si="14"/>
        <v>25.400000000000006</v>
      </c>
      <c r="T47" s="399">
        <f t="shared" si="14"/>
        <v>25.400000000000006</v>
      </c>
      <c r="U47" s="386">
        <f t="shared" si="14"/>
        <v>25.400000000000006</v>
      </c>
      <c r="V47" s="191">
        <f t="shared" si="14"/>
        <v>25.400000000000006</v>
      </c>
      <c r="W47" s="52">
        <f t="shared" si="14"/>
        <v>25.400000000000006</v>
      </c>
      <c r="X47" s="52">
        <f t="shared" si="14"/>
        <v>25.400000000000006</v>
      </c>
      <c r="Y47" s="191">
        <f t="shared" si="14"/>
        <v>25.400000000000006</v>
      </c>
      <c r="Z47" s="52">
        <f t="shared" si="14"/>
        <v>25.400000000000006</v>
      </c>
      <c r="AA47" s="52">
        <f t="shared" si="14"/>
        <v>25.400000000000006</v>
      </c>
      <c r="AB47" s="393">
        <f t="shared" si="14"/>
        <v>25.400000000000006</v>
      </c>
      <c r="AC47" s="386">
        <f t="shared" si="14"/>
        <v>21.333333333333336</v>
      </c>
      <c r="AD47" s="52">
        <f t="shared" si="14"/>
        <v>21.333333333333336</v>
      </c>
      <c r="AE47" s="191">
        <f t="shared" si="14"/>
        <v>21.333333333333336</v>
      </c>
      <c r="AF47" s="52">
        <f t="shared" si="14"/>
        <v>21.333333333333336</v>
      </c>
      <c r="AG47" s="52">
        <f t="shared" si="14"/>
        <v>21.333333333333336</v>
      </c>
      <c r="AH47" s="191">
        <f t="shared" si="14"/>
        <v>21.333333333333336</v>
      </c>
      <c r="AI47" s="52">
        <f t="shared" si="14"/>
        <v>21.333333333333336</v>
      </c>
      <c r="AJ47" s="52">
        <f t="shared" si="14"/>
        <v>21.333333333333336</v>
      </c>
      <c r="AK47" s="191">
        <f t="shared" si="14"/>
        <v>13.333333333333334</v>
      </c>
      <c r="AL47" s="52">
        <f t="shared" si="14"/>
        <v>13.333333333333334</v>
      </c>
      <c r="AM47" s="52">
        <f t="shared" si="14"/>
        <v>13.333333333333334</v>
      </c>
      <c r="AN47" s="53">
        <f t="shared" si="12"/>
        <v>592</v>
      </c>
      <c r="AP47" s="375">
        <f>AP45/2</f>
        <v>1000</v>
      </c>
      <c r="AQ47" s="375">
        <f t="shared" si="13"/>
        <v>27.777777777777779</v>
      </c>
    </row>
    <row r="48" spans="2:43" ht="20.149999999999999" customHeight="1" x14ac:dyDescent="0.2">
      <c r="B48" s="590"/>
      <c r="C48" s="184"/>
      <c r="D48" s="191"/>
      <c r="E48" s="52"/>
      <c r="F48" s="52"/>
      <c r="G48" s="191"/>
      <c r="H48" s="52"/>
      <c r="I48" s="52"/>
      <c r="J48" s="191"/>
      <c r="K48" s="52"/>
      <c r="L48" s="52"/>
      <c r="M48" s="191"/>
      <c r="N48" s="52"/>
      <c r="O48" s="52"/>
      <c r="P48" s="191"/>
      <c r="Q48" s="52"/>
      <c r="R48" s="52"/>
      <c r="S48" s="191"/>
      <c r="T48" s="52"/>
      <c r="U48" s="52"/>
      <c r="V48" s="191"/>
      <c r="W48" s="52"/>
      <c r="X48" s="52"/>
      <c r="Y48" s="191"/>
      <c r="Z48" s="52"/>
      <c r="AA48" s="52"/>
      <c r="AB48" s="191"/>
      <c r="AC48" s="52"/>
      <c r="AD48" s="52"/>
      <c r="AE48" s="191"/>
      <c r="AF48" s="52"/>
      <c r="AG48" s="52"/>
      <c r="AH48" s="191"/>
      <c r="AI48" s="52"/>
      <c r="AJ48" s="52"/>
      <c r="AK48" s="191"/>
      <c r="AL48" s="52"/>
      <c r="AM48" s="52"/>
      <c r="AN48" s="53">
        <f t="shared" ref="AN48:AN50" si="15">SUM(D48:AM48)</f>
        <v>0</v>
      </c>
      <c r="AP48" s="375"/>
      <c r="AQ48" s="375"/>
    </row>
    <row r="49" spans="2:43" ht="20.149999999999999" customHeight="1" thickBot="1" x14ac:dyDescent="0.25">
      <c r="B49" s="602"/>
      <c r="C49" s="198" t="s">
        <v>203</v>
      </c>
      <c r="D49" s="192">
        <f>SUM(D45:D48)</f>
        <v>0</v>
      </c>
      <c r="E49" s="193">
        <f t="shared" ref="E49:AM49" si="16">SUM(E45:E48)</f>
        <v>0</v>
      </c>
      <c r="F49" s="193">
        <f t="shared" si="16"/>
        <v>0</v>
      </c>
      <c r="G49" s="192">
        <f t="shared" si="16"/>
        <v>13.333333333333336</v>
      </c>
      <c r="H49" s="193">
        <f t="shared" si="16"/>
        <v>26.666666666666671</v>
      </c>
      <c r="I49" s="193">
        <f t="shared" si="16"/>
        <v>33.666666666666671</v>
      </c>
      <c r="J49" s="192">
        <f t="shared" si="16"/>
        <v>47.000000000000014</v>
      </c>
      <c r="K49" s="193">
        <f t="shared" si="16"/>
        <v>47.000000000000014</v>
      </c>
      <c r="L49" s="193">
        <f t="shared" si="16"/>
        <v>47.000000000000014</v>
      </c>
      <c r="M49" s="192">
        <f t="shared" si="16"/>
        <v>60.33333333333335</v>
      </c>
      <c r="N49" s="193">
        <f t="shared" si="16"/>
        <v>60.33333333333335</v>
      </c>
      <c r="O49" s="193">
        <f t="shared" si="16"/>
        <v>60.33333333333335</v>
      </c>
      <c r="P49" s="192">
        <f t="shared" si="16"/>
        <v>60.33333333333335</v>
      </c>
      <c r="Q49" s="193">
        <f t="shared" si="16"/>
        <v>90.333333333333343</v>
      </c>
      <c r="R49" s="193">
        <f t="shared" si="16"/>
        <v>90.333333333333343</v>
      </c>
      <c r="S49" s="192">
        <f t="shared" si="16"/>
        <v>127.00000000000003</v>
      </c>
      <c r="T49" s="193">
        <f t="shared" si="16"/>
        <v>127.00000000000003</v>
      </c>
      <c r="U49" s="193">
        <f t="shared" si="16"/>
        <v>127.00000000000003</v>
      </c>
      <c r="V49" s="192">
        <f t="shared" si="16"/>
        <v>127.00000000000003</v>
      </c>
      <c r="W49" s="193">
        <f t="shared" si="16"/>
        <v>127.00000000000003</v>
      </c>
      <c r="X49" s="193">
        <f t="shared" si="16"/>
        <v>127.00000000000003</v>
      </c>
      <c r="Y49" s="192">
        <f t="shared" si="16"/>
        <v>127.00000000000003</v>
      </c>
      <c r="Z49" s="193">
        <f t="shared" si="16"/>
        <v>127.00000000000003</v>
      </c>
      <c r="AA49" s="193">
        <f t="shared" si="16"/>
        <v>127.00000000000003</v>
      </c>
      <c r="AB49" s="192">
        <f t="shared" si="16"/>
        <v>127.00000000000003</v>
      </c>
      <c r="AC49" s="193">
        <f t="shared" si="16"/>
        <v>106.66666666666669</v>
      </c>
      <c r="AD49" s="193">
        <f t="shared" si="16"/>
        <v>106.66666666666669</v>
      </c>
      <c r="AE49" s="192">
        <f t="shared" si="16"/>
        <v>106.66666666666669</v>
      </c>
      <c r="AF49" s="193">
        <f t="shared" si="16"/>
        <v>106.66666666666669</v>
      </c>
      <c r="AG49" s="193">
        <f t="shared" si="16"/>
        <v>106.66666666666669</v>
      </c>
      <c r="AH49" s="192">
        <f t="shared" si="16"/>
        <v>106.66666666666669</v>
      </c>
      <c r="AI49" s="193">
        <f t="shared" si="16"/>
        <v>106.66666666666669</v>
      </c>
      <c r="AJ49" s="193">
        <f t="shared" si="16"/>
        <v>106.66666666666669</v>
      </c>
      <c r="AK49" s="192">
        <f t="shared" si="16"/>
        <v>66.666666666666671</v>
      </c>
      <c r="AL49" s="193">
        <f t="shared" si="16"/>
        <v>66.666666666666671</v>
      </c>
      <c r="AM49" s="193">
        <f t="shared" si="16"/>
        <v>66.666666666666671</v>
      </c>
      <c r="AN49" s="194">
        <f>SUM(D49:AM49)</f>
        <v>2959.9999999999991</v>
      </c>
      <c r="AP49" s="375">
        <f>SUM(AP45:AP48)</f>
        <v>5000</v>
      </c>
      <c r="AQ49" s="375">
        <f>SUM(AQ45:AQ48)</f>
        <v>138.88888888888889</v>
      </c>
    </row>
    <row r="50" spans="2:43" ht="20.149999999999999" customHeight="1" thickTop="1" x14ac:dyDescent="0.2">
      <c r="B50" s="599" t="s">
        <v>204</v>
      </c>
      <c r="C50" s="600"/>
      <c r="D50" s="199">
        <f>D49-D43</f>
        <v>0</v>
      </c>
      <c r="E50" s="200">
        <f t="shared" ref="E50:AM50" si="17">E49-E43</f>
        <v>0</v>
      </c>
      <c r="F50" s="200">
        <f t="shared" si="17"/>
        <v>0</v>
      </c>
      <c r="G50" s="199">
        <f t="shared" si="17"/>
        <v>0</v>
      </c>
      <c r="H50" s="200">
        <f t="shared" si="17"/>
        <v>0</v>
      </c>
      <c r="I50" s="200">
        <f t="shared" si="17"/>
        <v>0</v>
      </c>
      <c r="J50" s="199">
        <f t="shared" si="17"/>
        <v>0</v>
      </c>
      <c r="K50" s="200">
        <f t="shared" si="17"/>
        <v>0</v>
      </c>
      <c r="L50" s="200">
        <f t="shared" si="17"/>
        <v>0</v>
      </c>
      <c r="M50" s="199">
        <f t="shared" si="17"/>
        <v>0</v>
      </c>
      <c r="N50" s="200">
        <f t="shared" si="17"/>
        <v>0</v>
      </c>
      <c r="O50" s="200">
        <f t="shared" si="17"/>
        <v>0</v>
      </c>
      <c r="P50" s="199">
        <f t="shared" si="17"/>
        <v>0</v>
      </c>
      <c r="Q50" s="200">
        <f t="shared" si="17"/>
        <v>0</v>
      </c>
      <c r="R50" s="200">
        <f t="shared" si="17"/>
        <v>0</v>
      </c>
      <c r="S50" s="199">
        <f t="shared" si="17"/>
        <v>0</v>
      </c>
      <c r="T50" s="200">
        <f t="shared" si="17"/>
        <v>0</v>
      </c>
      <c r="U50" s="200">
        <f t="shared" si="17"/>
        <v>0</v>
      </c>
      <c r="V50" s="199">
        <f t="shared" si="17"/>
        <v>0</v>
      </c>
      <c r="W50" s="200">
        <f t="shared" si="17"/>
        <v>0</v>
      </c>
      <c r="X50" s="200">
        <f t="shared" si="17"/>
        <v>0</v>
      </c>
      <c r="Y50" s="199">
        <f t="shared" si="17"/>
        <v>0</v>
      </c>
      <c r="Z50" s="200">
        <f t="shared" si="17"/>
        <v>0</v>
      </c>
      <c r="AA50" s="200">
        <f t="shared" si="17"/>
        <v>0</v>
      </c>
      <c r="AB50" s="199">
        <f t="shared" si="17"/>
        <v>0</v>
      </c>
      <c r="AC50" s="200">
        <f t="shared" si="17"/>
        <v>0</v>
      </c>
      <c r="AD50" s="200">
        <f t="shared" si="17"/>
        <v>0</v>
      </c>
      <c r="AE50" s="199">
        <f t="shared" si="17"/>
        <v>0</v>
      </c>
      <c r="AF50" s="200">
        <f t="shared" si="17"/>
        <v>0</v>
      </c>
      <c r="AG50" s="200">
        <f t="shared" si="17"/>
        <v>0</v>
      </c>
      <c r="AH50" s="199">
        <f t="shared" si="17"/>
        <v>0</v>
      </c>
      <c r="AI50" s="201">
        <f t="shared" si="17"/>
        <v>0</v>
      </c>
      <c r="AJ50" s="200">
        <f t="shared" si="17"/>
        <v>0</v>
      </c>
      <c r="AK50" s="199">
        <f t="shared" si="17"/>
        <v>0</v>
      </c>
      <c r="AL50" s="200">
        <f t="shared" si="17"/>
        <v>0</v>
      </c>
      <c r="AM50" s="200">
        <f t="shared" si="17"/>
        <v>0</v>
      </c>
      <c r="AN50" s="314">
        <f t="shared" si="15"/>
        <v>0</v>
      </c>
    </row>
    <row r="51" spans="2:43" ht="20.149999999999999" customHeight="1" thickBot="1" x14ac:dyDescent="0.25">
      <c r="B51" s="596" t="s">
        <v>201</v>
      </c>
      <c r="C51" s="597"/>
      <c r="D51" s="195" t="str">
        <f t="shared" ref="D51:E51" si="18">IF(D50&lt;0,ABS(D50),"")</f>
        <v/>
      </c>
      <c r="E51" s="196" t="str">
        <f t="shared" si="18"/>
        <v/>
      </c>
      <c r="F51" s="196" t="str">
        <f>IF(F50&lt;0,ABS(F50),"")</f>
        <v/>
      </c>
      <c r="G51" s="195" t="str">
        <f t="shared" ref="G51:AM51" si="19">IF(G50&lt;0,ABS(G50),"")</f>
        <v/>
      </c>
      <c r="H51" s="196" t="str">
        <f t="shared" si="19"/>
        <v/>
      </c>
      <c r="I51" s="196" t="str">
        <f t="shared" si="19"/>
        <v/>
      </c>
      <c r="J51" s="195" t="str">
        <f t="shared" si="19"/>
        <v/>
      </c>
      <c r="K51" s="196" t="str">
        <f t="shared" si="19"/>
        <v/>
      </c>
      <c r="L51" s="196" t="str">
        <f t="shared" si="19"/>
        <v/>
      </c>
      <c r="M51" s="195" t="str">
        <f t="shared" si="19"/>
        <v/>
      </c>
      <c r="N51" s="196" t="str">
        <f t="shared" si="19"/>
        <v/>
      </c>
      <c r="O51" s="196" t="str">
        <f t="shared" si="19"/>
        <v/>
      </c>
      <c r="P51" s="195" t="str">
        <f t="shared" si="19"/>
        <v/>
      </c>
      <c r="Q51" s="196" t="str">
        <f t="shared" si="19"/>
        <v/>
      </c>
      <c r="R51" s="196" t="str">
        <f t="shared" si="19"/>
        <v/>
      </c>
      <c r="S51" s="195" t="str">
        <f t="shared" si="19"/>
        <v/>
      </c>
      <c r="T51" s="196" t="str">
        <f t="shared" si="19"/>
        <v/>
      </c>
      <c r="U51" s="196" t="str">
        <f>IF(U50&lt;0,ABS(U50),"")</f>
        <v/>
      </c>
      <c r="V51" s="195" t="str">
        <f t="shared" si="19"/>
        <v/>
      </c>
      <c r="W51" s="196" t="str">
        <f t="shared" si="19"/>
        <v/>
      </c>
      <c r="X51" s="196" t="str">
        <f t="shared" si="19"/>
        <v/>
      </c>
      <c r="Y51" s="195" t="str">
        <f t="shared" si="19"/>
        <v/>
      </c>
      <c r="Z51" s="196" t="str">
        <f t="shared" si="19"/>
        <v/>
      </c>
      <c r="AA51" s="196" t="str">
        <f t="shared" si="19"/>
        <v/>
      </c>
      <c r="AB51" s="195" t="str">
        <f t="shared" si="19"/>
        <v/>
      </c>
      <c r="AC51" s="196" t="str">
        <f t="shared" si="19"/>
        <v/>
      </c>
      <c r="AD51" s="196" t="str">
        <f t="shared" si="19"/>
        <v/>
      </c>
      <c r="AE51" s="195" t="str">
        <f t="shared" si="19"/>
        <v/>
      </c>
      <c r="AF51" s="196" t="str">
        <f t="shared" si="19"/>
        <v/>
      </c>
      <c r="AG51" s="196" t="str">
        <f t="shared" si="19"/>
        <v/>
      </c>
      <c r="AH51" s="195" t="str">
        <f t="shared" si="19"/>
        <v/>
      </c>
      <c r="AI51" s="196" t="str">
        <f t="shared" si="19"/>
        <v/>
      </c>
      <c r="AJ51" s="196" t="str">
        <f t="shared" si="19"/>
        <v/>
      </c>
      <c r="AK51" s="195" t="str">
        <f t="shared" si="19"/>
        <v/>
      </c>
      <c r="AL51" s="196" t="str">
        <f t="shared" si="19"/>
        <v/>
      </c>
      <c r="AM51" s="196" t="str">
        <f t="shared" si="19"/>
        <v/>
      </c>
      <c r="AN51" s="197">
        <f>SUM(D51:AM51)</f>
        <v>0</v>
      </c>
    </row>
    <row r="52" spans="2:43" x14ac:dyDescent="0.2">
      <c r="D52" s="24">
        <f>D45/$AQ$45</f>
        <v>0</v>
      </c>
      <c r="E52" s="24">
        <f t="shared" ref="E52:AM52" si="20">E45/$AQ$45</f>
        <v>0</v>
      </c>
      <c r="F52" s="24">
        <f t="shared" si="20"/>
        <v>0</v>
      </c>
      <c r="G52" s="376">
        <f>G45/$AQ$45</f>
        <v>9.6000000000000002E-2</v>
      </c>
      <c r="H52" s="376">
        <f t="shared" si="20"/>
        <v>0.192</v>
      </c>
      <c r="I52" s="376">
        <f t="shared" si="20"/>
        <v>0.24240000000000003</v>
      </c>
      <c r="J52" s="376">
        <f t="shared" si="20"/>
        <v>0.33840000000000009</v>
      </c>
      <c r="K52" s="376">
        <f t="shared" si="20"/>
        <v>0.33840000000000009</v>
      </c>
      <c r="L52" s="376">
        <f t="shared" si="20"/>
        <v>0.33840000000000009</v>
      </c>
      <c r="M52" s="376">
        <f t="shared" si="20"/>
        <v>0.43440000000000012</v>
      </c>
      <c r="N52" s="376">
        <f t="shared" si="20"/>
        <v>0.43440000000000012</v>
      </c>
      <c r="O52" s="376">
        <f t="shared" si="20"/>
        <v>0.43440000000000012</v>
      </c>
      <c r="P52" s="376">
        <f t="shared" si="20"/>
        <v>0.43440000000000012</v>
      </c>
      <c r="Q52" s="376">
        <f t="shared" si="20"/>
        <v>0.65040000000000009</v>
      </c>
      <c r="R52" s="376">
        <f t="shared" si="20"/>
        <v>0.65040000000000009</v>
      </c>
      <c r="S52" s="376">
        <f t="shared" si="20"/>
        <v>0.91440000000000021</v>
      </c>
      <c r="T52" s="376">
        <f t="shared" si="20"/>
        <v>0.91440000000000021</v>
      </c>
      <c r="U52" s="376">
        <f t="shared" si="20"/>
        <v>0.91440000000000021</v>
      </c>
      <c r="V52" s="376">
        <f t="shared" si="20"/>
        <v>0.91440000000000021</v>
      </c>
      <c r="W52" s="376">
        <f t="shared" si="20"/>
        <v>0.91440000000000021</v>
      </c>
      <c r="X52" s="376">
        <f t="shared" si="20"/>
        <v>0.91440000000000021</v>
      </c>
      <c r="Y52" s="376">
        <f t="shared" si="20"/>
        <v>0.91440000000000021</v>
      </c>
      <c r="Z52" s="376">
        <f t="shared" si="20"/>
        <v>0.91440000000000021</v>
      </c>
      <c r="AA52" s="376">
        <f t="shared" si="20"/>
        <v>0.91440000000000021</v>
      </c>
      <c r="AB52" s="376">
        <f t="shared" si="20"/>
        <v>0.91440000000000021</v>
      </c>
      <c r="AC52" s="376">
        <f t="shared" si="20"/>
        <v>0.76800000000000002</v>
      </c>
      <c r="AD52" s="376">
        <f t="shared" si="20"/>
        <v>0.76800000000000002</v>
      </c>
      <c r="AE52" s="376">
        <f t="shared" si="20"/>
        <v>0.76800000000000002</v>
      </c>
      <c r="AF52" s="376">
        <f t="shared" si="20"/>
        <v>0.76800000000000002</v>
      </c>
      <c r="AG52" s="376">
        <f t="shared" si="20"/>
        <v>0.76800000000000002</v>
      </c>
      <c r="AH52" s="376">
        <f t="shared" si="20"/>
        <v>0.76800000000000002</v>
      </c>
      <c r="AI52" s="376">
        <f t="shared" si="20"/>
        <v>0.76800000000000002</v>
      </c>
      <c r="AJ52" s="376">
        <f t="shared" si="20"/>
        <v>0.76800000000000002</v>
      </c>
      <c r="AK52" s="376">
        <f t="shared" si="20"/>
        <v>0.48</v>
      </c>
      <c r="AL52" s="376">
        <f t="shared" si="20"/>
        <v>0.48</v>
      </c>
      <c r="AM52" s="376">
        <f t="shared" si="20"/>
        <v>0.48</v>
      </c>
    </row>
  </sheetData>
  <mergeCells count="73">
    <mergeCell ref="M2:N2"/>
    <mergeCell ref="B50:C50"/>
    <mergeCell ref="B51:C51"/>
    <mergeCell ref="AK41:AM41"/>
    <mergeCell ref="AN41:AN42"/>
    <mergeCell ref="B43:C43"/>
    <mergeCell ref="B44:C44"/>
    <mergeCell ref="B45:B49"/>
    <mergeCell ref="V41:X41"/>
    <mergeCell ref="Y41:AA41"/>
    <mergeCell ref="AB41:AD41"/>
    <mergeCell ref="AE41:AG41"/>
    <mergeCell ref="AH41:AJ41"/>
    <mergeCell ref="G41:I41"/>
    <mergeCell ref="J41:L41"/>
    <mergeCell ref="M41:O41"/>
    <mergeCell ref="P41:R41"/>
    <mergeCell ref="S41:U41"/>
    <mergeCell ref="B35:C35"/>
    <mergeCell ref="B41:C42"/>
    <mergeCell ref="D41:F41"/>
    <mergeCell ref="B32:C32"/>
    <mergeCell ref="B33:C33"/>
    <mergeCell ref="B34:C34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6:C8"/>
    <mergeCell ref="B9:C9"/>
    <mergeCell ref="B10:C10"/>
    <mergeCell ref="B11:C11"/>
    <mergeCell ref="B12:C12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4:C5"/>
    <mergeCell ref="D4:F4"/>
    <mergeCell ref="G4:I4"/>
    <mergeCell ref="J4:L4"/>
    <mergeCell ref="M4:O4"/>
    <mergeCell ref="G44:I44"/>
    <mergeCell ref="J44:L44"/>
    <mergeCell ref="M44:O44"/>
    <mergeCell ref="P44:R44"/>
    <mergeCell ref="S44:U44"/>
    <mergeCell ref="AK44:AM44"/>
    <mergeCell ref="V44:X44"/>
    <mergeCell ref="Y44:AA44"/>
    <mergeCell ref="AB44:AD44"/>
    <mergeCell ref="AE44:AG44"/>
    <mergeCell ref="AH44:AJ44"/>
  </mergeCells>
  <phoneticPr fontId="4"/>
  <pageMargins left="0.78740157480314965" right="0.78740157480314965" top="0.78740157480314965" bottom="0.78740157480314965" header="0.39370078740157483" footer="0.39370078740157483"/>
  <pageSetup paperSize="9" scale="50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37"/>
  <sheetViews>
    <sheetView zoomScale="75" zoomScaleNormal="75" zoomScaleSheetLayoutView="100" workbookViewId="0">
      <selection activeCell="O17" sqref="O17"/>
    </sheetView>
  </sheetViews>
  <sheetFormatPr defaultColWidth="9" defaultRowHeight="13" x14ac:dyDescent="0.2"/>
  <cols>
    <col min="1" max="1" width="1.6328125" style="1" customWidth="1"/>
    <col min="2" max="2" width="5" style="1" customWidth="1"/>
    <col min="3" max="3" width="22.453125" style="1" bestFit="1" customWidth="1"/>
    <col min="4" max="4" width="30" style="1" bestFit="1" customWidth="1"/>
    <col min="5" max="5" width="6.453125" style="1" bestFit="1" customWidth="1"/>
    <col min="6" max="6" width="6" style="1" bestFit="1" customWidth="1"/>
    <col min="7" max="7" width="17.6328125" style="1" customWidth="1"/>
    <col min="8" max="8" width="10.6328125" style="1" customWidth="1"/>
    <col min="9" max="9" width="17.6328125" style="1" customWidth="1"/>
    <col min="10" max="10" width="10.6328125" style="1" customWidth="1"/>
    <col min="11" max="11" width="15.08984375" style="24" bestFit="1" customWidth="1"/>
    <col min="12" max="12" width="17.6328125" style="1" customWidth="1"/>
    <col min="13" max="13" width="10.6328125" style="1" customWidth="1"/>
    <col min="14" max="14" width="17.6328125" style="1" customWidth="1"/>
    <col min="15" max="15" width="10.6328125" style="1" customWidth="1"/>
    <col min="16" max="16" width="19.81640625" style="1" bestFit="1" customWidth="1"/>
    <col min="17" max="16384" width="9" style="1"/>
  </cols>
  <sheetData>
    <row r="1" spans="2:16" ht="9.9" customHeight="1" x14ac:dyDescent="0.2"/>
    <row r="2" spans="2:16" ht="24.9" customHeight="1" thickBot="1" x14ac:dyDescent="0.25">
      <c r="B2" s="1" t="s">
        <v>355</v>
      </c>
      <c r="E2" s="25"/>
      <c r="F2" s="608"/>
      <c r="G2" s="609"/>
      <c r="H2" s="205" t="s">
        <v>194</v>
      </c>
      <c r="I2" s="180" t="str">
        <f>'１　対象経営の概要，２　前提条件'!F2</f>
        <v>青ネギ（土耕）専作</v>
      </c>
      <c r="J2" s="180"/>
      <c r="K2" s="205" t="s">
        <v>195</v>
      </c>
      <c r="L2" s="180" t="str">
        <f>'１　対象経営の概要，２　前提条件'!R2</f>
        <v>春～冬どり</v>
      </c>
      <c r="M2" s="26"/>
      <c r="P2" s="203"/>
    </row>
    <row r="3" spans="2:16" ht="20.149999999999999" customHeight="1" x14ac:dyDescent="0.2">
      <c r="B3" s="610" t="s">
        <v>69</v>
      </c>
      <c r="C3" s="603" t="s">
        <v>34</v>
      </c>
      <c r="D3" s="603" t="s">
        <v>101</v>
      </c>
      <c r="E3" s="612" t="s">
        <v>35</v>
      </c>
      <c r="F3" s="613"/>
      <c r="G3" s="204" t="s">
        <v>36</v>
      </c>
      <c r="H3" s="204" t="s">
        <v>103</v>
      </c>
      <c r="I3" s="204" t="s">
        <v>102</v>
      </c>
      <c r="J3" s="603" t="s">
        <v>75</v>
      </c>
      <c r="K3" s="27" t="s">
        <v>210</v>
      </c>
      <c r="L3" s="204" t="s">
        <v>37</v>
      </c>
      <c r="M3" s="204" t="s">
        <v>104</v>
      </c>
      <c r="N3" s="204" t="s">
        <v>38</v>
      </c>
      <c r="O3" s="204" t="s">
        <v>39</v>
      </c>
      <c r="P3" s="249" t="s">
        <v>40</v>
      </c>
    </row>
    <row r="4" spans="2:16" ht="20.149999999999999" customHeight="1" x14ac:dyDescent="0.2">
      <c r="B4" s="611"/>
      <c r="C4" s="604"/>
      <c r="D4" s="604"/>
      <c r="E4" s="4" t="s">
        <v>76</v>
      </c>
      <c r="F4" s="4" t="s">
        <v>7</v>
      </c>
      <c r="G4" s="5" t="s">
        <v>211</v>
      </c>
      <c r="H4" s="5" t="s">
        <v>212</v>
      </c>
      <c r="I4" s="5" t="s">
        <v>106</v>
      </c>
      <c r="J4" s="604"/>
      <c r="K4" s="6" t="s">
        <v>213</v>
      </c>
      <c r="L4" s="5" t="s">
        <v>372</v>
      </c>
      <c r="M4" s="5" t="s">
        <v>214</v>
      </c>
      <c r="N4" s="5" t="s">
        <v>373</v>
      </c>
      <c r="O4" s="5" t="s">
        <v>215</v>
      </c>
      <c r="P4" s="250" t="s">
        <v>374</v>
      </c>
    </row>
    <row r="5" spans="2:16" ht="20.149999999999999" customHeight="1" x14ac:dyDescent="0.2">
      <c r="B5" s="605" t="s">
        <v>149</v>
      </c>
      <c r="C5" s="273" t="s">
        <v>209</v>
      </c>
      <c r="D5" s="273" t="s">
        <v>275</v>
      </c>
      <c r="E5" s="273">
        <v>50</v>
      </c>
      <c r="F5" s="274" t="s">
        <v>267</v>
      </c>
      <c r="G5" s="206">
        <f>59400*E5</f>
        <v>2970000</v>
      </c>
      <c r="H5" s="207">
        <v>0</v>
      </c>
      <c r="I5" s="206">
        <f>G5*(1-H5)</f>
        <v>2970000</v>
      </c>
      <c r="J5" s="340">
        <f>'１　対象経営の概要，２　前提条件'!$N$7</f>
        <v>40</v>
      </c>
      <c r="K5" s="208">
        <f>25/'１　対象経営の概要，２　前提条件'!$N$7/2.5</f>
        <v>0.25</v>
      </c>
      <c r="L5" s="23">
        <f>I5*K5</f>
        <v>742500</v>
      </c>
      <c r="M5" s="31">
        <v>0</v>
      </c>
      <c r="N5" s="23">
        <f t="shared" ref="N5:N8" si="0">L5*M5/100</f>
        <v>0</v>
      </c>
      <c r="O5" s="23">
        <v>24</v>
      </c>
      <c r="P5" s="99">
        <f>IF(O5="","",(L5-N5)/O5)</f>
        <v>30937.5</v>
      </c>
    </row>
    <row r="6" spans="2:16" ht="20.149999999999999" customHeight="1" x14ac:dyDescent="0.2">
      <c r="B6" s="606"/>
      <c r="C6" s="273" t="s">
        <v>276</v>
      </c>
      <c r="D6" s="273"/>
      <c r="E6" s="273">
        <v>3</v>
      </c>
      <c r="F6" s="274" t="s">
        <v>277</v>
      </c>
      <c r="G6" s="206">
        <v>1800000</v>
      </c>
      <c r="H6" s="207">
        <v>0</v>
      </c>
      <c r="I6" s="206">
        <f t="shared" ref="I6" si="1">G6*(1-H6)</f>
        <v>1800000</v>
      </c>
      <c r="J6" s="340">
        <f>'１　対象経営の概要，２　前提条件'!$N$7</f>
        <v>40</v>
      </c>
      <c r="K6" s="208">
        <f>25/'１　対象経営の概要，２　前提条件'!$N$7/2.5</f>
        <v>0.25</v>
      </c>
      <c r="L6" s="23">
        <f t="shared" ref="L6:L7" si="2">I6*K6</f>
        <v>450000</v>
      </c>
      <c r="M6" s="31">
        <v>0</v>
      </c>
      <c r="N6" s="23">
        <f t="shared" si="0"/>
        <v>0</v>
      </c>
      <c r="O6" s="23">
        <v>7</v>
      </c>
      <c r="P6" s="99">
        <f t="shared" ref="P6:P8" si="3">IF(O6="","",(L6-N6)/O6)</f>
        <v>64285.714285714283</v>
      </c>
    </row>
    <row r="7" spans="2:16" ht="20.149999999999999" customHeight="1" x14ac:dyDescent="0.2">
      <c r="B7" s="606"/>
      <c r="C7" s="273" t="s">
        <v>265</v>
      </c>
      <c r="D7" s="273" t="s">
        <v>266</v>
      </c>
      <c r="E7" s="273">
        <f>'１　対象経営の概要，２　前提条件'!$N$7*100</f>
        <v>4000</v>
      </c>
      <c r="F7" s="274" t="s">
        <v>268</v>
      </c>
      <c r="G7" s="206">
        <f>6000000*E7/1000</f>
        <v>24000000</v>
      </c>
      <c r="H7" s="207">
        <v>0</v>
      </c>
      <c r="I7" s="206">
        <f>G7*(1-H7)</f>
        <v>24000000</v>
      </c>
      <c r="J7" s="340">
        <f>'１　対象経営の概要，２　前提条件'!$N$7</f>
        <v>40</v>
      </c>
      <c r="K7" s="208">
        <f>25/'１　対象経営の概要，２　前提条件'!$N$7/2.5</f>
        <v>0.25</v>
      </c>
      <c r="L7" s="23">
        <f t="shared" si="2"/>
        <v>6000000</v>
      </c>
      <c r="M7" s="31">
        <v>0</v>
      </c>
      <c r="N7" s="23">
        <f t="shared" si="0"/>
        <v>0</v>
      </c>
      <c r="O7" s="23">
        <v>10</v>
      </c>
      <c r="P7" s="99">
        <f t="shared" si="3"/>
        <v>600000</v>
      </c>
    </row>
    <row r="8" spans="2:16" ht="20.149999999999999" customHeight="1" x14ac:dyDescent="0.2">
      <c r="B8" s="606"/>
      <c r="C8" s="273" t="s">
        <v>298</v>
      </c>
      <c r="D8" s="273"/>
      <c r="E8" s="273">
        <f>'１　対象経営の概要，２　前提条件'!$N$7*100</f>
        <v>4000</v>
      </c>
      <c r="F8" s="274" t="s">
        <v>268</v>
      </c>
      <c r="G8" s="206">
        <f>300000*E8/1000</f>
        <v>1200000</v>
      </c>
      <c r="H8" s="207">
        <v>0</v>
      </c>
      <c r="I8" s="206">
        <f t="shared" ref="I8" si="4">G8*(1-H8)</f>
        <v>1200000</v>
      </c>
      <c r="J8" s="340">
        <f>'１　対象経営の概要，２　前提条件'!$N$7</f>
        <v>40</v>
      </c>
      <c r="K8" s="208">
        <f>25/'１　対象経営の概要，２　前提条件'!$N$7/2.5</f>
        <v>0.25</v>
      </c>
      <c r="L8" s="23">
        <f t="shared" ref="L8" si="5">I8*K8</f>
        <v>300000</v>
      </c>
      <c r="M8" s="31">
        <v>0</v>
      </c>
      <c r="N8" s="23">
        <f t="shared" si="0"/>
        <v>0</v>
      </c>
      <c r="O8" s="23">
        <v>7</v>
      </c>
      <c r="P8" s="99">
        <f t="shared" si="3"/>
        <v>42857.142857142855</v>
      </c>
    </row>
    <row r="9" spans="2:16" ht="20.149999999999999" customHeight="1" x14ac:dyDescent="0.2">
      <c r="B9" s="606"/>
      <c r="C9" s="206"/>
      <c r="D9" s="206"/>
      <c r="E9" s="209"/>
      <c r="F9" s="28"/>
      <c r="G9" s="206"/>
      <c r="H9" s="207"/>
      <c r="I9" s="206"/>
      <c r="J9" s="206"/>
      <c r="K9" s="208"/>
      <c r="L9" s="23"/>
      <c r="M9" s="31"/>
      <c r="N9" s="23"/>
      <c r="O9" s="23"/>
      <c r="P9" s="99"/>
    </row>
    <row r="10" spans="2:16" ht="20.149999999999999" customHeight="1" x14ac:dyDescent="0.2">
      <c r="B10" s="606"/>
      <c r="C10" s="206"/>
      <c r="D10" s="206"/>
      <c r="E10" s="209"/>
      <c r="F10" s="28"/>
      <c r="G10" s="206"/>
      <c r="H10" s="207"/>
      <c r="I10" s="206"/>
      <c r="J10" s="206"/>
      <c r="K10" s="208"/>
      <c r="L10" s="23"/>
      <c r="M10" s="31"/>
      <c r="N10" s="23"/>
      <c r="O10" s="23"/>
      <c r="P10" s="99"/>
    </row>
    <row r="11" spans="2:16" ht="20.149999999999999" customHeight="1" x14ac:dyDescent="0.2">
      <c r="B11" s="606"/>
      <c r="C11" s="23"/>
      <c r="D11" s="23"/>
      <c r="E11" s="23"/>
      <c r="F11" s="29"/>
      <c r="G11" s="23"/>
      <c r="H11" s="31"/>
      <c r="I11" s="23"/>
      <c r="J11" s="23"/>
      <c r="K11" s="30"/>
      <c r="L11" s="23"/>
      <c r="M11" s="31"/>
      <c r="N11" s="23"/>
      <c r="O11" s="23"/>
      <c r="P11" s="99"/>
    </row>
    <row r="12" spans="2:16" ht="20.149999999999999" customHeight="1" x14ac:dyDescent="0.2">
      <c r="B12" s="607"/>
      <c r="C12" s="32" t="s">
        <v>41</v>
      </c>
      <c r="D12" s="33"/>
      <c r="E12" s="33"/>
      <c r="F12" s="34"/>
      <c r="G12" s="33">
        <f>SUM(G5:G11)</f>
        <v>29970000</v>
      </c>
      <c r="H12" s="33"/>
      <c r="I12" s="33">
        <f>SUM(I5:I11)</f>
        <v>29970000</v>
      </c>
      <c r="J12" s="33"/>
      <c r="K12" s="35"/>
      <c r="L12" s="33">
        <f>SUM(L5:L11)</f>
        <v>7492500</v>
      </c>
      <c r="M12" s="33"/>
      <c r="N12" s="33"/>
      <c r="O12" s="33"/>
      <c r="P12" s="251">
        <f>SUM(P5:P11)</f>
        <v>738080.35714285716</v>
      </c>
    </row>
    <row r="13" spans="2:16" ht="20.149999999999999" customHeight="1" x14ac:dyDescent="0.2">
      <c r="B13" s="605" t="s">
        <v>150</v>
      </c>
      <c r="C13" s="273" t="s">
        <v>269</v>
      </c>
      <c r="D13" s="273" t="s">
        <v>270</v>
      </c>
      <c r="E13" s="206">
        <v>1</v>
      </c>
      <c r="F13" s="28" t="s">
        <v>43</v>
      </c>
      <c r="G13" s="206">
        <v>1594000</v>
      </c>
      <c r="H13" s="207">
        <v>0</v>
      </c>
      <c r="I13" s="206">
        <f t="shared" ref="I13:I16" si="6">G13*(1-H13)</f>
        <v>1594000</v>
      </c>
      <c r="J13" s="340">
        <f>'１　対象経営の概要，２　前提条件'!$N$7</f>
        <v>40</v>
      </c>
      <c r="K13" s="208">
        <f>25/'１　対象経営の概要，２　前提条件'!$N$7/2.5</f>
        <v>0.25</v>
      </c>
      <c r="L13" s="206">
        <f>I13*K13</f>
        <v>398500</v>
      </c>
      <c r="M13" s="31">
        <v>0</v>
      </c>
      <c r="N13" s="23">
        <f>L13*M13</f>
        <v>0</v>
      </c>
      <c r="O13" s="23">
        <v>7</v>
      </c>
      <c r="P13" s="99">
        <f>IF(O13="","",(L13-N13)/O13)</f>
        <v>56928.571428571428</v>
      </c>
    </row>
    <row r="14" spans="2:16" ht="20.149999999999999" customHeight="1" x14ac:dyDescent="0.2">
      <c r="B14" s="606"/>
      <c r="C14" s="273" t="s">
        <v>330</v>
      </c>
      <c r="D14" s="273"/>
      <c r="E14" s="206">
        <v>1</v>
      </c>
      <c r="F14" s="28" t="s">
        <v>43</v>
      </c>
      <c r="G14" s="206">
        <v>750000</v>
      </c>
      <c r="H14" s="207">
        <v>0</v>
      </c>
      <c r="I14" s="206">
        <f t="shared" ref="I14" si="7">G14*(1-H14)</f>
        <v>750000</v>
      </c>
      <c r="J14" s="340">
        <f>'１　対象経営の概要，２　前提条件'!$N$7</f>
        <v>40</v>
      </c>
      <c r="K14" s="208">
        <f>25/'１　対象経営の概要，２　前提条件'!$N$7/2.5</f>
        <v>0.25</v>
      </c>
      <c r="L14" s="206">
        <f t="shared" ref="L14" si="8">I14*K14</f>
        <v>187500</v>
      </c>
      <c r="M14" s="31">
        <v>0</v>
      </c>
      <c r="N14" s="23">
        <f t="shared" ref="N14" si="9">L14*M14</f>
        <v>0</v>
      </c>
      <c r="O14" s="23">
        <v>7</v>
      </c>
      <c r="P14" s="99">
        <f t="shared" ref="P14" si="10">IF(O14="","",(L14-N14)/O14)</f>
        <v>26785.714285714286</v>
      </c>
    </row>
    <row r="15" spans="2:16" ht="20.149999999999999" customHeight="1" x14ac:dyDescent="0.2">
      <c r="B15" s="606"/>
      <c r="C15" s="273" t="s">
        <v>318</v>
      </c>
      <c r="D15" s="273"/>
      <c r="E15" s="206">
        <v>1</v>
      </c>
      <c r="F15" s="28" t="s">
        <v>43</v>
      </c>
      <c r="G15" s="206">
        <v>285000</v>
      </c>
      <c r="H15" s="207">
        <v>0</v>
      </c>
      <c r="I15" s="206">
        <f t="shared" si="6"/>
        <v>285000</v>
      </c>
      <c r="J15" s="340">
        <f>'１　対象経営の概要，２　前提条件'!$N$7</f>
        <v>40</v>
      </c>
      <c r="K15" s="208">
        <f>25/'１　対象経営の概要，２　前提条件'!$N$7/2.5</f>
        <v>0.25</v>
      </c>
      <c r="L15" s="206">
        <f t="shared" ref="L15:L16" si="11">I15*K15</f>
        <v>71250</v>
      </c>
      <c r="M15" s="31">
        <v>0</v>
      </c>
      <c r="N15" s="23">
        <f t="shared" ref="N15:N18" si="12">L15*M15</f>
        <v>0</v>
      </c>
      <c r="O15" s="23">
        <v>7</v>
      </c>
      <c r="P15" s="99">
        <f t="shared" ref="P15:P29" si="13">IF(O15="","",(L15-N15)/O15)</f>
        <v>10178.571428571429</v>
      </c>
    </row>
    <row r="16" spans="2:16" ht="20.149999999999999" customHeight="1" x14ac:dyDescent="0.2">
      <c r="B16" s="606"/>
      <c r="C16" s="273" t="s">
        <v>271</v>
      </c>
      <c r="D16" s="273" t="s">
        <v>272</v>
      </c>
      <c r="E16" s="206">
        <v>1</v>
      </c>
      <c r="F16" s="28" t="s">
        <v>43</v>
      </c>
      <c r="G16" s="206">
        <v>270000</v>
      </c>
      <c r="H16" s="207">
        <v>0</v>
      </c>
      <c r="I16" s="206">
        <f t="shared" si="6"/>
        <v>270000</v>
      </c>
      <c r="J16" s="340">
        <f>'１　対象経営の概要，２　前提条件'!$N$7</f>
        <v>40</v>
      </c>
      <c r="K16" s="208">
        <f>25/'１　対象経営の概要，２　前提条件'!$N$7/2.5</f>
        <v>0.25</v>
      </c>
      <c r="L16" s="206">
        <f t="shared" si="11"/>
        <v>67500</v>
      </c>
      <c r="M16" s="31">
        <v>0</v>
      </c>
      <c r="N16" s="23">
        <f t="shared" ref="N16:N17" si="14">L16*M16</f>
        <v>0</v>
      </c>
      <c r="O16" s="23">
        <v>7</v>
      </c>
      <c r="P16" s="99">
        <f t="shared" ref="P16" si="15">IF(O16="","",(L16-N16)/O16)</f>
        <v>9642.8571428571431</v>
      </c>
    </row>
    <row r="17" spans="2:16" ht="20.149999999999999" customHeight="1" x14ac:dyDescent="0.2">
      <c r="B17" s="606"/>
      <c r="C17" s="273" t="s">
        <v>273</v>
      </c>
      <c r="D17" s="273" t="s">
        <v>274</v>
      </c>
      <c r="E17" s="206">
        <v>1</v>
      </c>
      <c r="F17" s="28" t="s">
        <v>279</v>
      </c>
      <c r="G17" s="206">
        <v>620000</v>
      </c>
      <c r="H17" s="207">
        <v>0</v>
      </c>
      <c r="I17" s="206">
        <f t="shared" ref="I17:I18" si="16">G17*(1-H17)</f>
        <v>620000</v>
      </c>
      <c r="J17" s="340">
        <f>'１　対象経営の概要，２　前提条件'!$N$7</f>
        <v>40</v>
      </c>
      <c r="K17" s="208">
        <f>25/'１　対象経営の概要，２　前提条件'!$N$7/2.5</f>
        <v>0.25</v>
      </c>
      <c r="L17" s="206">
        <f>I17*K17</f>
        <v>155000</v>
      </c>
      <c r="M17" s="31">
        <v>0</v>
      </c>
      <c r="N17" s="23">
        <f t="shared" si="14"/>
        <v>0</v>
      </c>
      <c r="O17" s="23">
        <v>7</v>
      </c>
      <c r="P17" s="99">
        <f>IF(O17="","",(L17-N17)/O17)</f>
        <v>22142.857142857141</v>
      </c>
    </row>
    <row r="18" spans="2:16" ht="20.149999999999999" customHeight="1" x14ac:dyDescent="0.2">
      <c r="B18" s="606"/>
      <c r="C18" s="206" t="s">
        <v>278</v>
      </c>
      <c r="D18" s="206"/>
      <c r="E18" s="206">
        <v>1</v>
      </c>
      <c r="F18" s="28" t="s">
        <v>279</v>
      </c>
      <c r="G18" s="206">
        <v>920000</v>
      </c>
      <c r="H18" s="207">
        <v>0</v>
      </c>
      <c r="I18" s="206">
        <f t="shared" si="16"/>
        <v>920000</v>
      </c>
      <c r="J18" s="340">
        <f>'１　対象経営の概要，２　前提条件'!$N$7</f>
        <v>40</v>
      </c>
      <c r="K18" s="208">
        <f>25/'１　対象経営の概要，２　前提条件'!$N$7/2.5</f>
        <v>0.25</v>
      </c>
      <c r="L18" s="206">
        <f>I18*K18</f>
        <v>230000</v>
      </c>
      <c r="M18" s="31">
        <v>0</v>
      </c>
      <c r="N18" s="23">
        <f t="shared" si="12"/>
        <v>0</v>
      </c>
      <c r="O18" s="23">
        <v>4</v>
      </c>
      <c r="P18" s="99">
        <f t="shared" si="13"/>
        <v>57500</v>
      </c>
    </row>
    <row r="19" spans="2:16" ht="20.149999999999999" customHeight="1" x14ac:dyDescent="0.2">
      <c r="B19" s="606"/>
      <c r="C19" s="206"/>
      <c r="D19" s="206"/>
      <c r="E19" s="206"/>
      <c r="F19" s="28"/>
      <c r="G19" s="206"/>
      <c r="H19" s="207"/>
      <c r="I19" s="206"/>
      <c r="J19" s="206"/>
      <c r="K19" s="208"/>
      <c r="L19" s="206"/>
      <c r="M19" s="31"/>
      <c r="N19" s="23"/>
      <c r="O19" s="23"/>
      <c r="P19" s="99" t="str">
        <f t="shared" si="13"/>
        <v/>
      </c>
    </row>
    <row r="20" spans="2:16" ht="20.149999999999999" customHeight="1" x14ac:dyDescent="0.2">
      <c r="B20" s="606"/>
      <c r="C20" s="206"/>
      <c r="D20" s="206"/>
      <c r="E20" s="206"/>
      <c r="F20" s="28"/>
      <c r="G20" s="206"/>
      <c r="H20" s="207"/>
      <c r="I20" s="206"/>
      <c r="J20" s="206"/>
      <c r="K20" s="208"/>
      <c r="L20" s="206"/>
      <c r="M20" s="31"/>
      <c r="N20" s="23"/>
      <c r="O20" s="23"/>
      <c r="P20" s="99" t="str">
        <f t="shared" si="13"/>
        <v/>
      </c>
    </row>
    <row r="21" spans="2:16" ht="20.149999999999999" customHeight="1" x14ac:dyDescent="0.2">
      <c r="B21" s="606"/>
      <c r="C21" s="273"/>
      <c r="D21" s="273"/>
      <c r="E21" s="206"/>
      <c r="F21" s="28"/>
      <c r="G21" s="206"/>
      <c r="H21" s="207"/>
      <c r="I21" s="206"/>
      <c r="J21" s="275"/>
      <c r="K21" s="208"/>
      <c r="L21" s="206"/>
      <c r="M21" s="31"/>
      <c r="N21" s="23"/>
      <c r="O21" s="23"/>
      <c r="P21" s="99" t="str">
        <f t="shared" si="13"/>
        <v/>
      </c>
    </row>
    <row r="22" spans="2:16" ht="20.149999999999999" customHeight="1" x14ac:dyDescent="0.2">
      <c r="B22" s="606"/>
      <c r="C22" s="273"/>
      <c r="D22" s="273"/>
      <c r="E22" s="206"/>
      <c r="F22" s="28"/>
      <c r="G22" s="206"/>
      <c r="H22" s="207"/>
      <c r="I22" s="206"/>
      <c r="J22" s="275"/>
      <c r="K22" s="208"/>
      <c r="L22" s="206"/>
      <c r="M22" s="31"/>
      <c r="N22" s="23"/>
      <c r="O22" s="23"/>
      <c r="P22" s="99" t="str">
        <f t="shared" si="13"/>
        <v/>
      </c>
    </row>
    <row r="23" spans="2:16" ht="20.149999999999999" customHeight="1" x14ac:dyDescent="0.2">
      <c r="B23" s="606"/>
      <c r="C23" s="206"/>
      <c r="D23" s="206"/>
      <c r="E23" s="206"/>
      <c r="F23" s="28"/>
      <c r="G23" s="206"/>
      <c r="H23" s="207"/>
      <c r="I23" s="206"/>
      <c r="J23" s="275"/>
      <c r="K23" s="208"/>
      <c r="L23" s="206"/>
      <c r="M23" s="31"/>
      <c r="N23" s="23"/>
      <c r="O23" s="23"/>
      <c r="P23" s="99" t="str">
        <f t="shared" si="13"/>
        <v/>
      </c>
    </row>
    <row r="24" spans="2:16" ht="20.149999999999999" customHeight="1" x14ac:dyDescent="0.2">
      <c r="B24" s="606"/>
      <c r="C24" s="206"/>
      <c r="D24" s="206"/>
      <c r="E24" s="206"/>
      <c r="F24" s="28"/>
      <c r="G24" s="206"/>
      <c r="H24" s="207"/>
      <c r="I24" s="206"/>
      <c r="J24" s="275"/>
      <c r="K24" s="208"/>
      <c r="L24" s="206"/>
      <c r="M24" s="31"/>
      <c r="N24" s="23"/>
      <c r="O24" s="23"/>
      <c r="P24" s="99" t="str">
        <f t="shared" si="13"/>
        <v/>
      </c>
    </row>
    <row r="25" spans="2:16" ht="20.149999999999999" customHeight="1" x14ac:dyDescent="0.2">
      <c r="B25" s="606"/>
      <c r="C25" s="206"/>
      <c r="D25" s="206"/>
      <c r="E25" s="206"/>
      <c r="F25" s="28"/>
      <c r="G25" s="206"/>
      <c r="H25" s="207"/>
      <c r="I25" s="206"/>
      <c r="J25" s="206"/>
      <c r="K25" s="208"/>
      <c r="L25" s="206"/>
      <c r="M25" s="31"/>
      <c r="N25" s="23"/>
      <c r="O25" s="23"/>
      <c r="P25" s="99" t="str">
        <f t="shared" si="13"/>
        <v/>
      </c>
    </row>
    <row r="26" spans="2:16" ht="20.149999999999999" customHeight="1" x14ac:dyDescent="0.2">
      <c r="B26" s="606"/>
      <c r="C26" s="206"/>
      <c r="D26" s="206"/>
      <c r="E26" s="206"/>
      <c r="F26" s="28"/>
      <c r="G26" s="206"/>
      <c r="H26" s="207"/>
      <c r="I26" s="206"/>
      <c r="J26" s="206"/>
      <c r="K26" s="208"/>
      <c r="L26" s="206"/>
      <c r="M26" s="31"/>
      <c r="N26" s="23"/>
      <c r="O26" s="23"/>
      <c r="P26" s="99" t="str">
        <f t="shared" si="13"/>
        <v/>
      </c>
    </row>
    <row r="27" spans="2:16" ht="20.149999999999999" customHeight="1" x14ac:dyDescent="0.2">
      <c r="B27" s="606"/>
      <c r="C27" s="206"/>
      <c r="D27" s="206"/>
      <c r="E27" s="206"/>
      <c r="F27" s="28"/>
      <c r="G27" s="206"/>
      <c r="H27" s="207"/>
      <c r="I27" s="206"/>
      <c r="J27" s="206"/>
      <c r="K27" s="208"/>
      <c r="L27" s="206"/>
      <c r="M27" s="31"/>
      <c r="N27" s="23"/>
      <c r="O27" s="23"/>
      <c r="P27" s="99" t="str">
        <f t="shared" si="13"/>
        <v/>
      </c>
    </row>
    <row r="28" spans="2:16" ht="20.149999999999999" customHeight="1" x14ac:dyDescent="0.2">
      <c r="B28" s="606"/>
      <c r="C28" s="206"/>
      <c r="D28" s="206"/>
      <c r="E28" s="206"/>
      <c r="F28" s="28"/>
      <c r="G28" s="206"/>
      <c r="H28" s="207"/>
      <c r="I28" s="206"/>
      <c r="J28" s="206"/>
      <c r="K28" s="208"/>
      <c r="L28" s="206"/>
      <c r="M28" s="31"/>
      <c r="N28" s="23"/>
      <c r="O28" s="23"/>
      <c r="P28" s="99" t="str">
        <f t="shared" si="13"/>
        <v/>
      </c>
    </row>
    <row r="29" spans="2:16" ht="20.149999999999999" customHeight="1" x14ac:dyDescent="0.2">
      <c r="B29" s="606"/>
      <c r="C29" s="206"/>
      <c r="D29" s="206"/>
      <c r="E29" s="206"/>
      <c r="F29" s="28"/>
      <c r="G29" s="206"/>
      <c r="H29" s="207"/>
      <c r="I29" s="206"/>
      <c r="J29" s="206"/>
      <c r="K29" s="208"/>
      <c r="L29" s="206"/>
      <c r="M29" s="31"/>
      <c r="N29" s="23"/>
      <c r="O29" s="23"/>
      <c r="P29" s="99" t="str">
        <f t="shared" si="13"/>
        <v/>
      </c>
    </row>
    <row r="30" spans="2:16" ht="20.149999999999999" customHeight="1" x14ac:dyDescent="0.2">
      <c r="B30" s="607"/>
      <c r="C30" s="210" t="s">
        <v>42</v>
      </c>
      <c r="D30" s="210"/>
      <c r="E30" s="210"/>
      <c r="F30" s="211"/>
      <c r="G30" s="210">
        <f>SUM(G13:G28)</f>
        <v>4439000</v>
      </c>
      <c r="H30" s="210"/>
      <c r="I30" s="210">
        <f>SUM(I13:I28)</f>
        <v>4439000</v>
      </c>
      <c r="J30" s="210"/>
      <c r="K30" s="212"/>
      <c r="L30" s="210">
        <f>SUM(L13:L28)</f>
        <v>1109750</v>
      </c>
      <c r="M30" s="33"/>
      <c r="N30" s="33"/>
      <c r="O30" s="33"/>
      <c r="P30" s="251">
        <f>SUM(P13:P28)</f>
        <v>183178.57142857142</v>
      </c>
    </row>
    <row r="31" spans="2:16" ht="20.149999999999999" customHeight="1" x14ac:dyDescent="0.2">
      <c r="B31" s="605" t="s">
        <v>105</v>
      </c>
      <c r="C31" s="206"/>
      <c r="D31" s="206"/>
      <c r="E31" s="206"/>
      <c r="F31" s="206"/>
      <c r="G31" s="206"/>
      <c r="H31" s="213"/>
      <c r="I31" s="206"/>
      <c r="J31" s="206"/>
      <c r="K31" s="208"/>
      <c r="L31" s="206"/>
      <c r="M31" s="36"/>
      <c r="N31" s="23"/>
      <c r="O31" s="23"/>
      <c r="P31" s="99" t="str">
        <f>IF(O31="","",(L31-N31)/O31)</f>
        <v/>
      </c>
    </row>
    <row r="32" spans="2:16" ht="20.149999999999999" customHeight="1" x14ac:dyDescent="0.2">
      <c r="B32" s="606"/>
      <c r="C32" s="206"/>
      <c r="D32" s="206"/>
      <c r="E32" s="206"/>
      <c r="F32" s="206"/>
      <c r="G32" s="206"/>
      <c r="H32" s="213"/>
      <c r="I32" s="206"/>
      <c r="J32" s="206"/>
      <c r="K32" s="208"/>
      <c r="L32" s="206"/>
      <c r="M32" s="36"/>
      <c r="N32" s="23"/>
      <c r="O32" s="23"/>
      <c r="P32" s="99" t="str">
        <f>IF(O32="","",(L32-N32)/O32)</f>
        <v/>
      </c>
    </row>
    <row r="33" spans="2:16" ht="20.149999999999999" customHeight="1" x14ac:dyDescent="0.2">
      <c r="B33" s="606"/>
      <c r="C33" s="23"/>
      <c r="D33" s="23"/>
      <c r="E33" s="23"/>
      <c r="F33" s="23"/>
      <c r="G33" s="23"/>
      <c r="H33" s="36"/>
      <c r="I33" s="23"/>
      <c r="J33" s="23"/>
      <c r="K33" s="30"/>
      <c r="L33" s="23"/>
      <c r="M33" s="36"/>
      <c r="N33" s="23"/>
      <c r="O33" s="23"/>
      <c r="P33" s="99" t="str">
        <f>IF(O33="","",(L33-N33)/O33)</f>
        <v/>
      </c>
    </row>
    <row r="34" spans="2:16" ht="20.149999999999999" customHeight="1" x14ac:dyDescent="0.2">
      <c r="B34" s="606"/>
      <c r="C34" s="23"/>
      <c r="D34" s="23"/>
      <c r="E34" s="23"/>
      <c r="F34" s="23"/>
      <c r="G34" s="23"/>
      <c r="H34" s="36"/>
      <c r="I34" s="23"/>
      <c r="J34" s="23"/>
      <c r="K34" s="30"/>
      <c r="L34" s="23"/>
      <c r="M34" s="36"/>
      <c r="N34" s="23"/>
      <c r="O34" s="23"/>
      <c r="P34" s="99" t="str">
        <f>IF(O34="","",(L34-N34)/O34)</f>
        <v/>
      </c>
    </row>
    <row r="35" spans="2:16" ht="20.149999999999999" customHeight="1" x14ac:dyDescent="0.2">
      <c r="B35" s="607"/>
      <c r="C35" s="37" t="s">
        <v>42</v>
      </c>
      <c r="D35" s="33"/>
      <c r="E35" s="33"/>
      <c r="F35" s="34"/>
      <c r="G35" s="33">
        <f>SUM(G31:G34)</f>
        <v>0</v>
      </c>
      <c r="H35" s="33"/>
      <c r="I35" s="33">
        <f>SUM(I31:I34)</f>
        <v>0</v>
      </c>
      <c r="J35" s="33"/>
      <c r="K35" s="35"/>
      <c r="L35" s="33">
        <f>SUM(L31:L34)</f>
        <v>0</v>
      </c>
      <c r="M35" s="33"/>
      <c r="N35" s="33"/>
      <c r="O35" s="33"/>
      <c r="P35" s="251">
        <f>SUM(P31:P34)</f>
        <v>0</v>
      </c>
    </row>
    <row r="36" spans="2:16" ht="20.149999999999999" customHeight="1" thickBot="1" x14ac:dyDescent="0.25">
      <c r="B36" s="38"/>
      <c r="C36" s="39" t="s">
        <v>216</v>
      </c>
      <c r="D36" s="40"/>
      <c r="E36" s="40"/>
      <c r="F36" s="41"/>
      <c r="G36" s="40">
        <f>G12+G30+G35</f>
        <v>34409000</v>
      </c>
      <c r="H36" s="40"/>
      <c r="I36" s="40">
        <f>I12+I30+I35</f>
        <v>34409000</v>
      </c>
      <c r="J36" s="40"/>
      <c r="K36" s="42"/>
      <c r="L36" s="40">
        <f>L12+L30+L35</f>
        <v>8602250</v>
      </c>
      <c r="M36" s="40"/>
      <c r="N36" s="40"/>
      <c r="O36" s="40"/>
      <c r="P36" s="245">
        <f>P12+P30+P35</f>
        <v>921258.92857142864</v>
      </c>
    </row>
    <row r="37" spans="2:16" ht="11.25" customHeight="1" x14ac:dyDescent="0.2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99"/>
  <sheetViews>
    <sheetView zoomScale="75" zoomScaleNormal="75" zoomScaleSheetLayoutView="100" workbookViewId="0">
      <selection activeCell="W28" sqref="W28"/>
    </sheetView>
  </sheetViews>
  <sheetFormatPr defaultColWidth="10.90625" defaultRowHeight="13" x14ac:dyDescent="0.2"/>
  <cols>
    <col min="1" max="1" width="1.6328125" style="2" customWidth="1"/>
    <col min="2" max="2" width="5.90625" style="2" customWidth="1"/>
    <col min="3" max="3" width="10.6328125" style="2" customWidth="1"/>
    <col min="4" max="4" width="12.36328125" style="2" customWidth="1"/>
    <col min="5" max="5" width="14.6328125" style="2" customWidth="1"/>
    <col min="6" max="7" width="15.90625" style="2" customWidth="1"/>
    <col min="8" max="8" width="10.90625" style="2"/>
    <col min="9" max="9" width="11.36328125" style="2" bestFit="1" customWidth="1"/>
    <col min="10" max="10" width="13.36328125" style="2" customWidth="1"/>
    <col min="11" max="11" width="7.08984375" style="2" customWidth="1"/>
    <col min="12" max="12" width="15.36328125" style="2" customWidth="1"/>
    <col min="13" max="13" width="9.36328125" style="2" bestFit="1" customWidth="1"/>
    <col min="14" max="14" width="10.90625" style="2"/>
    <col min="15" max="15" width="7.1796875" style="2" customWidth="1"/>
    <col min="16" max="16" width="9.6328125" style="2" customWidth="1"/>
    <col min="17" max="17" width="10.90625" style="2" customWidth="1"/>
    <col min="18" max="18" width="7.453125" style="2" customWidth="1"/>
    <col min="19" max="19" width="3.81640625" style="2" customWidth="1"/>
    <col min="20" max="16384" width="10.90625" style="2"/>
  </cols>
  <sheetData>
    <row r="1" spans="2:20" ht="9.9" customHeight="1" x14ac:dyDescent="0.2"/>
    <row r="2" spans="2:20" ht="24.9" customHeight="1" thickBot="1" x14ac:dyDescent="0.25">
      <c r="B2" s="2" t="s">
        <v>356</v>
      </c>
      <c r="H2" s="70" t="s">
        <v>194</v>
      </c>
      <c r="I2" s="2" t="str">
        <f>'１　対象経営の概要，２　前提条件'!F2</f>
        <v>青ネギ（土耕）専作</v>
      </c>
      <c r="K2" s="70" t="s">
        <v>195</v>
      </c>
      <c r="L2" s="2" t="str">
        <f>'１　対象経営の概要，２　前提条件'!R2</f>
        <v>春～冬どり</v>
      </c>
      <c r="Q2" s="3"/>
      <c r="R2" s="3"/>
    </row>
    <row r="3" spans="2:20" ht="18" customHeight="1" x14ac:dyDescent="0.2">
      <c r="B3" s="631" t="s">
        <v>17</v>
      </c>
      <c r="C3" s="632"/>
      <c r="D3" s="632"/>
      <c r="E3" s="633"/>
      <c r="F3" s="91" t="s">
        <v>18</v>
      </c>
      <c r="G3" s="72"/>
      <c r="H3" s="73" t="s">
        <v>19</v>
      </c>
      <c r="I3" s="71"/>
      <c r="J3" s="71"/>
      <c r="K3" s="634" t="s">
        <v>164</v>
      </c>
      <c r="L3" s="635"/>
      <c r="M3" s="635"/>
      <c r="N3" s="635"/>
      <c r="O3" s="635"/>
      <c r="P3" s="635"/>
      <c r="Q3" s="635"/>
      <c r="R3" s="635"/>
      <c r="S3" s="636"/>
    </row>
    <row r="4" spans="2:20" ht="18" customHeight="1" x14ac:dyDescent="0.2">
      <c r="B4" s="629" t="s">
        <v>20</v>
      </c>
      <c r="C4" s="630"/>
      <c r="D4" s="135" t="s">
        <v>159</v>
      </c>
      <c r="E4" s="138"/>
      <c r="F4" s="74">
        <f>R11</f>
        <v>3854982.8767123283</v>
      </c>
      <c r="G4" s="614" t="s">
        <v>366</v>
      </c>
      <c r="H4" s="615"/>
      <c r="I4" s="615"/>
      <c r="J4" s="616"/>
      <c r="K4" s="303" t="s">
        <v>217</v>
      </c>
      <c r="L4" s="304" t="s">
        <v>218</v>
      </c>
      <c r="M4" s="304" t="s">
        <v>21</v>
      </c>
      <c r="N4" s="304" t="s">
        <v>20</v>
      </c>
      <c r="O4" s="304" t="s">
        <v>217</v>
      </c>
      <c r="P4" s="304" t="s">
        <v>219</v>
      </c>
      <c r="Q4" s="304" t="s">
        <v>21</v>
      </c>
      <c r="R4" s="663" t="s">
        <v>20</v>
      </c>
      <c r="S4" s="664"/>
      <c r="T4" s="315"/>
    </row>
    <row r="5" spans="2:20" ht="18" customHeight="1" x14ac:dyDescent="0.2">
      <c r="B5" s="629"/>
      <c r="C5" s="630"/>
      <c r="D5" s="135" t="s">
        <v>70</v>
      </c>
      <c r="E5" s="138"/>
      <c r="F5" s="74">
        <v>0</v>
      </c>
      <c r="G5" s="122"/>
      <c r="H5" s="139"/>
      <c r="I5" s="139"/>
      <c r="J5" s="128"/>
      <c r="K5" s="305">
        <v>1</v>
      </c>
      <c r="L5" s="306">
        <f>$P$11*SUM('５　青ネギ（土耕）作業時間'!D14:F14)/'５　青ネギ（土耕）作業時間'!$AN$14</f>
        <v>0</v>
      </c>
      <c r="M5" s="306">
        <f>'９　青ネギ（土耕）単価算出基礎'!C11</f>
        <v>715.8</v>
      </c>
      <c r="N5" s="306">
        <f>L5*M5</f>
        <v>0</v>
      </c>
      <c r="O5" s="306">
        <v>7</v>
      </c>
      <c r="P5" s="306">
        <f>$P$11*SUM('５　青ネギ（土耕）作業時間'!V14:X14)/'５　青ネギ（土耕）作業時間'!$AN$14</f>
        <v>856.16438356164372</v>
      </c>
      <c r="Q5" s="306">
        <f>'９　青ネギ（土耕）単価算出基礎'!I11</f>
        <v>562.20000000000005</v>
      </c>
      <c r="R5" s="637">
        <f>P5*Q5</f>
        <v>481335.61643835611</v>
      </c>
      <c r="S5" s="638"/>
    </row>
    <row r="6" spans="2:20" ht="18" customHeight="1" x14ac:dyDescent="0.2">
      <c r="B6" s="639" t="s">
        <v>162</v>
      </c>
      <c r="C6" s="642" t="s">
        <v>241</v>
      </c>
      <c r="D6" s="74" t="s">
        <v>45</v>
      </c>
      <c r="E6" s="140"/>
      <c r="F6" s="74">
        <f>P16</f>
        <v>90000</v>
      </c>
      <c r="G6" s="122" t="s">
        <v>151</v>
      </c>
      <c r="H6" s="139"/>
      <c r="I6" s="139"/>
      <c r="J6" s="128"/>
      <c r="K6" s="305">
        <v>2</v>
      </c>
      <c r="L6" s="306">
        <f>$P$11*SUM('５　青ネギ（土耕）作業時間'!G14:I14)/'５　青ネギ（土耕）作業時間'!$AN$14</f>
        <v>0</v>
      </c>
      <c r="M6" s="306">
        <f>'９　青ネギ（土耕）単価算出基礎'!D11</f>
        <v>668.4</v>
      </c>
      <c r="N6" s="306">
        <f>L6*M6</f>
        <v>0</v>
      </c>
      <c r="O6" s="306">
        <v>8</v>
      </c>
      <c r="P6" s="306">
        <f>$P$11*SUM('５　青ネギ（土耕）作業時間'!Y14:AA14)/'５　青ネギ（土耕）作業時間'!$AN$14</f>
        <v>856.16438356164372</v>
      </c>
      <c r="Q6" s="306">
        <f>'９　青ネギ（土耕）単価算出基礎'!J11</f>
        <v>676.4</v>
      </c>
      <c r="R6" s="637">
        <f t="shared" ref="R6:R9" si="0">P6*Q6</f>
        <v>579109.58904109581</v>
      </c>
      <c r="S6" s="638"/>
    </row>
    <row r="7" spans="2:20" ht="18" customHeight="1" x14ac:dyDescent="0.2">
      <c r="B7" s="640"/>
      <c r="C7" s="643"/>
      <c r="D7" s="74" t="s">
        <v>46</v>
      </c>
      <c r="E7" s="140"/>
      <c r="F7" s="74">
        <f>P23</f>
        <v>99494.5</v>
      </c>
      <c r="G7" s="614" t="s">
        <v>389</v>
      </c>
      <c r="H7" s="615"/>
      <c r="I7" s="615"/>
      <c r="J7" s="616"/>
      <c r="K7" s="305">
        <v>3</v>
      </c>
      <c r="L7" s="306">
        <f>$P$11*SUM('５　青ネギ（土耕）作業時間'!J14:L14)/'５　青ネギ（土耕）作業時間'!$AN$14</f>
        <v>0</v>
      </c>
      <c r="M7" s="306">
        <f>'９　青ネギ（土耕）単価算出基礎'!E11</f>
        <v>472</v>
      </c>
      <c r="N7" s="306">
        <f t="shared" ref="N7:N10" si="1">L7*M7</f>
        <v>0</v>
      </c>
      <c r="O7" s="306">
        <v>9</v>
      </c>
      <c r="P7" s="306">
        <f>$P$11*SUM('５　青ネギ（土耕）作業時間'!AB14:AD14)/'５　青ネギ（土耕）作業時間'!$AN$14</f>
        <v>856.16438356164372</v>
      </c>
      <c r="Q7" s="306">
        <f>'９　青ネギ（土耕）単価算出基礎'!K11</f>
        <v>827.6</v>
      </c>
      <c r="R7" s="637">
        <f t="shared" si="0"/>
        <v>708561.64383561641</v>
      </c>
      <c r="S7" s="638"/>
    </row>
    <row r="8" spans="2:20" ht="18" customHeight="1" x14ac:dyDescent="0.2">
      <c r="B8" s="640"/>
      <c r="C8" s="643"/>
      <c r="D8" s="74" t="s">
        <v>47</v>
      </c>
      <c r="E8" s="140"/>
      <c r="F8" s="74">
        <f>P29</f>
        <v>89581.68</v>
      </c>
      <c r="G8" s="614" t="s">
        <v>390</v>
      </c>
      <c r="H8" s="615"/>
      <c r="I8" s="615"/>
      <c r="J8" s="616"/>
      <c r="K8" s="305">
        <v>4</v>
      </c>
      <c r="L8" s="306">
        <f>$P$11*SUM('５　青ネギ（土耕）作業時間'!M14:O14)/'５　青ネギ（土耕）作業時間'!$AN$14</f>
        <v>0</v>
      </c>
      <c r="M8" s="306">
        <f>'９　青ネギ（土耕）単価算出基礎'!F11</f>
        <v>377.6</v>
      </c>
      <c r="N8" s="306">
        <f t="shared" si="1"/>
        <v>0</v>
      </c>
      <c r="O8" s="306">
        <v>10</v>
      </c>
      <c r="P8" s="306">
        <f>$P$11*SUM('５　青ネギ（土耕）作業時間'!AE14:AG14)/'５　青ネギ（土耕）作業時間'!$AN$14</f>
        <v>856.16438356164372</v>
      </c>
      <c r="Q8" s="306">
        <f>'９　青ネギ（土耕）単価算出基礎'!L11</f>
        <v>674.6</v>
      </c>
      <c r="R8" s="637">
        <f t="shared" si="0"/>
        <v>577568.49315068487</v>
      </c>
      <c r="S8" s="638"/>
    </row>
    <row r="9" spans="2:20" ht="18" customHeight="1" x14ac:dyDescent="0.2">
      <c r="B9" s="640"/>
      <c r="C9" s="643"/>
      <c r="D9" s="74" t="s">
        <v>71</v>
      </c>
      <c r="E9" s="140"/>
      <c r="F9" s="74">
        <f>P38</f>
        <v>111017.44</v>
      </c>
      <c r="G9" s="614" t="s">
        <v>391</v>
      </c>
      <c r="H9" s="615"/>
      <c r="I9" s="615"/>
      <c r="J9" s="616"/>
      <c r="K9" s="305">
        <v>5</v>
      </c>
      <c r="L9" s="306">
        <f>$P$11*SUM('５　青ネギ（土耕）作業時間'!P14:R14)/'５　青ネギ（土耕）作業時間'!$AN$14</f>
        <v>256.84931506849313</v>
      </c>
      <c r="M9" s="306">
        <f>'９　青ネギ（土耕）単価算出基礎'!G11</f>
        <v>463.4</v>
      </c>
      <c r="N9" s="306">
        <f t="shared" si="1"/>
        <v>119023.97260273971</v>
      </c>
      <c r="O9" s="306">
        <v>11</v>
      </c>
      <c r="P9" s="306">
        <f>$P$11*SUM('５　青ネギ（土耕）作業時間'!AH14:AJ14)/'５　青ネギ（土耕）作業時間'!$AN$14</f>
        <v>856.16438356164372</v>
      </c>
      <c r="Q9" s="306">
        <f>'９　青ネギ（土耕）単価算出基礎'!M11</f>
        <v>578</v>
      </c>
      <c r="R9" s="637">
        <f t="shared" si="0"/>
        <v>494863.01369863009</v>
      </c>
      <c r="S9" s="638"/>
    </row>
    <row r="10" spans="2:20" ht="18" customHeight="1" x14ac:dyDescent="0.2">
      <c r="B10" s="640"/>
      <c r="C10" s="643"/>
      <c r="D10" s="74" t="s">
        <v>48</v>
      </c>
      <c r="E10" s="140"/>
      <c r="F10" s="74">
        <f>'８　青ネギ（土耕）算出基礎'!V20</f>
        <v>38000</v>
      </c>
      <c r="G10" s="617"/>
      <c r="H10" s="618"/>
      <c r="I10" s="618"/>
      <c r="J10" s="619"/>
      <c r="K10" s="305">
        <v>6</v>
      </c>
      <c r="L10" s="306">
        <f>$P$11*SUM('５　青ネギ（土耕）作業時間'!S14:U14)/'５　青ネギ（土耕）作業時間'!$AN$14</f>
        <v>856.16438356164372</v>
      </c>
      <c r="M10" s="306">
        <f>'９　青ネギ（土耕）単価算出基礎'!H11</f>
        <v>441</v>
      </c>
      <c r="N10" s="306">
        <f t="shared" si="1"/>
        <v>377568.49315068487</v>
      </c>
      <c r="O10" s="306">
        <v>12</v>
      </c>
      <c r="P10" s="306">
        <f>$P$11*SUM('５　青ネギ（土耕）作業時間'!AK14:AM14)/'５　青ネギ（土耕）作業時間'!$AN$14</f>
        <v>856.16438356164372</v>
      </c>
      <c r="Q10" s="306">
        <f>'９　青ネギ（土耕）単価算出基礎'!N11</f>
        <v>603.79999999999995</v>
      </c>
      <c r="R10" s="637">
        <f t="shared" ref="R10" si="2">P10*Q10</f>
        <v>516952.05479452043</v>
      </c>
      <c r="S10" s="638"/>
    </row>
    <row r="11" spans="2:20" ht="18" customHeight="1" thickBot="1" x14ac:dyDescent="0.25">
      <c r="B11" s="640"/>
      <c r="C11" s="643"/>
      <c r="D11" s="74" t="s">
        <v>4</v>
      </c>
      <c r="E11" s="140"/>
      <c r="F11" s="74">
        <f>'８　青ネギ（土耕）算出基礎'!V34</f>
        <v>8266.6666666666661</v>
      </c>
      <c r="G11" s="617"/>
      <c r="H11" s="618"/>
      <c r="I11" s="618"/>
      <c r="J11" s="619"/>
      <c r="K11" s="307"/>
      <c r="L11" s="75"/>
      <c r="M11" s="75"/>
      <c r="N11" s="306"/>
      <c r="O11" s="76" t="s">
        <v>22</v>
      </c>
      <c r="P11" s="77">
        <f>2500*2.5</f>
        <v>6250</v>
      </c>
      <c r="Q11" s="78">
        <f>AVERAGE(M5:M10,Q5:Q10)</f>
        <v>588.4</v>
      </c>
      <c r="R11" s="668">
        <f>SUM(N5:N10,R5:S10)</f>
        <v>3854982.8767123283</v>
      </c>
      <c r="S11" s="669"/>
    </row>
    <row r="12" spans="2:20" ht="18" customHeight="1" thickTop="1" x14ac:dyDescent="0.2">
      <c r="B12" s="640"/>
      <c r="C12" s="643"/>
      <c r="D12" s="74" t="s">
        <v>5</v>
      </c>
      <c r="E12" s="140"/>
      <c r="F12" s="74">
        <v>0</v>
      </c>
      <c r="G12" s="123"/>
      <c r="H12" s="128"/>
      <c r="I12" s="128"/>
      <c r="J12" s="128"/>
      <c r="K12" s="651" t="s">
        <v>163</v>
      </c>
      <c r="L12" s="137" t="s">
        <v>123</v>
      </c>
      <c r="M12" s="297" t="s">
        <v>7</v>
      </c>
      <c r="N12" s="215" t="s">
        <v>221</v>
      </c>
      <c r="O12" s="215" t="s">
        <v>21</v>
      </c>
      <c r="P12" s="215" t="s">
        <v>24</v>
      </c>
      <c r="Q12" s="670" t="s">
        <v>25</v>
      </c>
      <c r="R12" s="671"/>
      <c r="S12" s="672"/>
    </row>
    <row r="13" spans="2:20" ht="18" customHeight="1" x14ac:dyDescent="0.2">
      <c r="B13" s="640"/>
      <c r="C13" s="643"/>
      <c r="D13" s="648" t="s">
        <v>49</v>
      </c>
      <c r="E13" s="74" t="s">
        <v>149</v>
      </c>
      <c r="F13" s="74">
        <f>'６　固定資本装備と減価償却費'!L12*H13</f>
        <v>74925</v>
      </c>
      <c r="G13" s="342" t="s">
        <v>152</v>
      </c>
      <c r="H13" s="381">
        <v>0.01</v>
      </c>
      <c r="I13" s="618" t="s">
        <v>154</v>
      </c>
      <c r="J13" s="619"/>
      <c r="K13" s="652"/>
      <c r="L13" s="219" t="s">
        <v>365</v>
      </c>
      <c r="M13" s="348" t="s">
        <v>349</v>
      </c>
      <c r="N13" s="94">
        <v>10</v>
      </c>
      <c r="O13" s="94">
        <v>9000</v>
      </c>
      <c r="P13" s="94">
        <f>N13*O13</f>
        <v>90000</v>
      </c>
      <c r="Q13" s="665" t="s">
        <v>320</v>
      </c>
      <c r="R13" s="666"/>
      <c r="S13" s="667"/>
    </row>
    <row r="14" spans="2:20" ht="18" customHeight="1" x14ac:dyDescent="0.2">
      <c r="B14" s="640"/>
      <c r="C14" s="643"/>
      <c r="D14" s="649"/>
      <c r="E14" s="74" t="s">
        <v>150</v>
      </c>
      <c r="F14" s="74">
        <f>'６　固定資本装備と減価償却費'!L30*H14</f>
        <v>55487.5</v>
      </c>
      <c r="G14" s="342" t="s">
        <v>152</v>
      </c>
      <c r="H14" s="381">
        <v>0.05</v>
      </c>
      <c r="I14" s="618" t="s">
        <v>154</v>
      </c>
      <c r="J14" s="619"/>
      <c r="K14" s="652"/>
      <c r="L14" s="219"/>
      <c r="M14" s="136"/>
      <c r="N14" s="266"/>
      <c r="O14" s="94"/>
      <c r="P14" s="94"/>
      <c r="Q14" s="620"/>
      <c r="R14" s="621"/>
      <c r="S14" s="622"/>
    </row>
    <row r="15" spans="2:20" ht="18" customHeight="1" x14ac:dyDescent="0.2">
      <c r="B15" s="640"/>
      <c r="C15" s="643"/>
      <c r="D15" s="648" t="s">
        <v>72</v>
      </c>
      <c r="E15" s="74" t="s">
        <v>149</v>
      </c>
      <c r="F15" s="74">
        <f>'６　固定資本装備と減価償却費'!P12</f>
        <v>738080.35714285716</v>
      </c>
      <c r="G15" s="614" t="s">
        <v>154</v>
      </c>
      <c r="H15" s="615"/>
      <c r="I15" s="615"/>
      <c r="J15" s="616"/>
      <c r="K15" s="652"/>
      <c r="L15" s="219"/>
      <c r="M15" s="136"/>
      <c r="N15" s="266"/>
      <c r="O15" s="94"/>
      <c r="P15" s="94"/>
      <c r="Q15" s="665"/>
      <c r="R15" s="666"/>
      <c r="S15" s="667"/>
    </row>
    <row r="16" spans="2:20" ht="18" customHeight="1" thickBot="1" x14ac:dyDescent="0.25">
      <c r="B16" s="640"/>
      <c r="C16" s="643"/>
      <c r="D16" s="650"/>
      <c r="E16" s="74" t="s">
        <v>150</v>
      </c>
      <c r="F16" s="74">
        <f>'６　固定資本装備と減価償却費'!P30</f>
        <v>183178.57142857142</v>
      </c>
      <c r="G16" s="614" t="s">
        <v>154</v>
      </c>
      <c r="H16" s="615"/>
      <c r="I16" s="615"/>
      <c r="J16" s="616"/>
      <c r="K16" s="652"/>
      <c r="L16" s="80" t="s">
        <v>26</v>
      </c>
      <c r="M16" s="79"/>
      <c r="N16" s="80"/>
      <c r="O16" s="80"/>
      <c r="P16" s="80">
        <f>SUM(P13:P15)</f>
        <v>90000</v>
      </c>
      <c r="Q16" s="623"/>
      <c r="R16" s="624"/>
      <c r="S16" s="625"/>
    </row>
    <row r="17" spans="2:19" ht="18" customHeight="1" thickTop="1" x14ac:dyDescent="0.2">
      <c r="B17" s="640"/>
      <c r="C17" s="643"/>
      <c r="D17" s="649"/>
      <c r="E17" s="74" t="s">
        <v>50</v>
      </c>
      <c r="F17" s="74">
        <f>'６　固定資本装備と減価償却費'!P35</f>
        <v>0</v>
      </c>
      <c r="G17" s="614" t="s">
        <v>154</v>
      </c>
      <c r="H17" s="615"/>
      <c r="I17" s="615"/>
      <c r="J17" s="616"/>
      <c r="K17" s="652"/>
      <c r="L17" s="132" t="s">
        <v>124</v>
      </c>
      <c r="M17" s="133"/>
      <c r="N17" s="216" t="s">
        <v>221</v>
      </c>
      <c r="O17" s="216" t="s">
        <v>21</v>
      </c>
      <c r="P17" s="134" t="s">
        <v>24</v>
      </c>
      <c r="Q17" s="626" t="s">
        <v>25</v>
      </c>
      <c r="R17" s="627"/>
      <c r="S17" s="628"/>
    </row>
    <row r="18" spans="2:19" ht="18" customHeight="1" x14ac:dyDescent="0.2">
      <c r="B18" s="640"/>
      <c r="C18" s="643"/>
      <c r="D18" s="74" t="s">
        <v>51</v>
      </c>
      <c r="E18" s="140"/>
      <c r="F18" s="74">
        <v>0</v>
      </c>
      <c r="G18" s="123"/>
      <c r="H18" s="128"/>
      <c r="I18" s="81"/>
      <c r="J18" s="128"/>
      <c r="K18" s="652"/>
      <c r="L18" s="178" t="s">
        <v>130</v>
      </c>
      <c r="M18" s="136"/>
      <c r="N18" s="342" t="s">
        <v>252</v>
      </c>
      <c r="O18" s="131"/>
      <c r="P18" s="123">
        <f>'８　青ネギ（土耕）算出基礎'!G7</f>
        <v>40000</v>
      </c>
      <c r="Q18" s="623"/>
      <c r="R18" s="624"/>
      <c r="S18" s="625"/>
    </row>
    <row r="19" spans="2:19" ht="18" customHeight="1" x14ac:dyDescent="0.2">
      <c r="B19" s="640"/>
      <c r="C19" s="643"/>
      <c r="D19" s="74" t="s">
        <v>127</v>
      </c>
      <c r="E19" s="140"/>
      <c r="F19" s="74">
        <f>SUM(F6:F18)/99</f>
        <v>15030.623386243387</v>
      </c>
      <c r="G19" s="141" t="s">
        <v>165</v>
      </c>
      <c r="H19" s="146">
        <v>0.01</v>
      </c>
      <c r="I19" s="81"/>
      <c r="J19" s="218"/>
      <c r="K19" s="652"/>
      <c r="L19" s="178" t="s">
        <v>128</v>
      </c>
      <c r="M19" s="136"/>
      <c r="N19" s="342" t="s">
        <v>252</v>
      </c>
      <c r="O19" s="131"/>
      <c r="P19" s="123">
        <f>'８　青ネギ（土耕）算出基礎'!G11</f>
        <v>4968.0000000000009</v>
      </c>
      <c r="Q19" s="623"/>
      <c r="R19" s="624"/>
      <c r="S19" s="625"/>
    </row>
    <row r="20" spans="2:19" ht="18" customHeight="1" x14ac:dyDescent="0.2">
      <c r="B20" s="640"/>
      <c r="C20" s="644"/>
      <c r="D20" s="658" t="s">
        <v>158</v>
      </c>
      <c r="E20" s="659"/>
      <c r="F20" s="92">
        <f>SUM(F6:F19)</f>
        <v>1503062.3386243386</v>
      </c>
      <c r="G20" s="123"/>
      <c r="H20" s="81"/>
      <c r="I20" s="81"/>
      <c r="J20" s="218"/>
      <c r="K20" s="652"/>
      <c r="L20" s="123" t="s">
        <v>129</v>
      </c>
      <c r="M20" s="128"/>
      <c r="N20" s="342" t="s">
        <v>257</v>
      </c>
      <c r="O20" s="131"/>
      <c r="P20" s="123">
        <f>'８　青ネギ（土耕）算出基礎'!G16</f>
        <v>54526.5</v>
      </c>
      <c r="Q20" s="623"/>
      <c r="R20" s="624"/>
      <c r="S20" s="625"/>
    </row>
    <row r="21" spans="2:19" ht="18" customHeight="1" x14ac:dyDescent="0.2">
      <c r="B21" s="640"/>
      <c r="C21" s="645" t="s">
        <v>153</v>
      </c>
      <c r="D21" s="654" t="s">
        <v>52</v>
      </c>
      <c r="E21" s="15" t="s">
        <v>1</v>
      </c>
      <c r="F21" s="74">
        <f>P11/3*86</f>
        <v>179166.66666666669</v>
      </c>
      <c r="G21" s="135" t="s">
        <v>358</v>
      </c>
      <c r="H21" s="128"/>
      <c r="J21" s="128"/>
      <c r="K21" s="652"/>
      <c r="L21" s="123"/>
      <c r="M21" s="128"/>
      <c r="N21" s="342"/>
      <c r="O21" s="131"/>
      <c r="P21" s="123"/>
      <c r="Q21" s="623"/>
      <c r="R21" s="624"/>
      <c r="S21" s="625"/>
    </row>
    <row r="22" spans="2:19" ht="18" customHeight="1" x14ac:dyDescent="0.2">
      <c r="B22" s="640"/>
      <c r="C22" s="646"/>
      <c r="D22" s="554"/>
      <c r="E22" s="15" t="s">
        <v>2</v>
      </c>
      <c r="F22" s="93">
        <f>P11*20</f>
        <v>125000</v>
      </c>
      <c r="G22" s="135" t="s">
        <v>359</v>
      </c>
      <c r="H22" s="142"/>
      <c r="I22" s="142"/>
      <c r="J22" s="300"/>
      <c r="K22" s="652"/>
      <c r="L22" s="123"/>
      <c r="M22" s="128"/>
      <c r="N22" s="342"/>
      <c r="O22" s="123"/>
      <c r="P22" s="123"/>
      <c r="Q22" s="623"/>
      <c r="R22" s="624"/>
      <c r="S22" s="625"/>
    </row>
    <row r="23" spans="2:19" ht="18" customHeight="1" thickBot="1" x14ac:dyDescent="0.25">
      <c r="B23" s="640"/>
      <c r="C23" s="646"/>
      <c r="D23" s="655"/>
      <c r="E23" s="15" t="s">
        <v>6</v>
      </c>
      <c r="F23" s="74">
        <f>R11*0.115</f>
        <v>443323.03082191775</v>
      </c>
      <c r="G23" s="135" t="s">
        <v>360</v>
      </c>
      <c r="H23" s="81"/>
      <c r="I23" s="142"/>
      <c r="J23" s="218"/>
      <c r="K23" s="652"/>
      <c r="L23" s="80" t="s">
        <v>26</v>
      </c>
      <c r="M23" s="79"/>
      <c r="N23" s="80"/>
      <c r="O23" s="80"/>
      <c r="P23" s="80">
        <f>SUM(P18:P22)</f>
        <v>99494.5</v>
      </c>
      <c r="Q23" s="623"/>
      <c r="R23" s="624"/>
      <c r="S23" s="625"/>
    </row>
    <row r="24" spans="2:19" ht="18" customHeight="1" thickTop="1" x14ac:dyDescent="0.2">
      <c r="B24" s="640"/>
      <c r="C24" s="646"/>
      <c r="D24" s="15" t="s">
        <v>224</v>
      </c>
      <c r="E24" s="22"/>
      <c r="F24" s="93">
        <v>0</v>
      </c>
      <c r="G24" s="135"/>
      <c r="H24" s="143"/>
      <c r="I24" s="144"/>
      <c r="J24" s="301"/>
      <c r="K24" s="652"/>
      <c r="L24" s="123" t="s">
        <v>125</v>
      </c>
      <c r="M24" s="128"/>
      <c r="N24" s="130" t="s">
        <v>23</v>
      </c>
      <c r="O24" s="130" t="s">
        <v>21</v>
      </c>
      <c r="P24" s="130" t="s">
        <v>24</v>
      </c>
      <c r="Q24" s="626" t="s">
        <v>25</v>
      </c>
      <c r="R24" s="627"/>
      <c r="S24" s="628"/>
    </row>
    <row r="25" spans="2:19" ht="18" customHeight="1" x14ac:dyDescent="0.2">
      <c r="B25" s="640"/>
      <c r="C25" s="646"/>
      <c r="D25" s="15" t="s">
        <v>73</v>
      </c>
      <c r="E25" s="22"/>
      <c r="F25" s="93">
        <v>0</v>
      </c>
      <c r="G25" s="135"/>
      <c r="H25" s="145"/>
      <c r="I25" s="129"/>
      <c r="J25" s="145"/>
      <c r="K25" s="652"/>
      <c r="L25" s="123" t="s">
        <v>27</v>
      </c>
      <c r="M25" s="128"/>
      <c r="N25" s="342" t="s">
        <v>262</v>
      </c>
      <c r="O25" s="123"/>
      <c r="P25" s="123">
        <f>'８　青ネギ（土耕）算出基礎'!G38</f>
        <v>31462.560000000001</v>
      </c>
      <c r="Q25" s="623"/>
      <c r="R25" s="624"/>
      <c r="S25" s="625"/>
    </row>
    <row r="26" spans="2:19" ht="18" customHeight="1" x14ac:dyDescent="0.2">
      <c r="B26" s="640"/>
      <c r="C26" s="646"/>
      <c r="D26" s="15" t="s">
        <v>96</v>
      </c>
      <c r="E26" s="16"/>
      <c r="F26" s="93">
        <f>'８　青ネギ（土耕）算出基礎'!V57</f>
        <v>35150</v>
      </c>
      <c r="G26" s="614"/>
      <c r="H26" s="615"/>
      <c r="I26" s="615"/>
      <c r="J26" s="616"/>
      <c r="K26" s="652"/>
      <c r="L26" s="123" t="s">
        <v>28</v>
      </c>
      <c r="M26" s="128"/>
      <c r="N26" s="342" t="s">
        <v>304</v>
      </c>
      <c r="O26" s="123"/>
      <c r="P26" s="123">
        <f>'８　青ネギ（土耕）算出基礎'!G49</f>
        <v>53080.92</v>
      </c>
      <c r="Q26" s="623"/>
      <c r="R26" s="624"/>
      <c r="S26" s="625"/>
    </row>
    <row r="27" spans="2:19" ht="18" customHeight="1" x14ac:dyDescent="0.2">
      <c r="B27" s="640"/>
      <c r="C27" s="646"/>
      <c r="D27" s="15" t="s">
        <v>74</v>
      </c>
      <c r="E27" s="16"/>
      <c r="F27" s="93">
        <v>0</v>
      </c>
      <c r="G27" s="123"/>
      <c r="H27" s="145"/>
      <c r="I27" s="129"/>
      <c r="J27" s="301"/>
      <c r="K27" s="652"/>
      <c r="L27" s="123" t="s">
        <v>29</v>
      </c>
      <c r="M27" s="128"/>
      <c r="N27" s="342" t="s">
        <v>252</v>
      </c>
      <c r="O27" s="123"/>
      <c r="P27" s="123">
        <f>'８　青ネギ（土耕）算出基礎'!G53</f>
        <v>5038.2000000000007</v>
      </c>
      <c r="Q27" s="623"/>
      <c r="R27" s="624"/>
      <c r="S27" s="625"/>
    </row>
    <row r="28" spans="2:19" ht="18" customHeight="1" x14ac:dyDescent="0.2">
      <c r="B28" s="640"/>
      <c r="C28" s="646"/>
      <c r="D28" s="15" t="s">
        <v>53</v>
      </c>
      <c r="E28" s="16"/>
      <c r="F28" s="93">
        <f>'８　青ネギ（土耕）算出基礎'!N59+(F4*0.3*0.08)</f>
        <v>100858.08904109588</v>
      </c>
      <c r="G28" s="614"/>
      <c r="H28" s="615"/>
      <c r="I28" s="615"/>
      <c r="J28" s="616"/>
      <c r="K28" s="652"/>
      <c r="L28" s="123"/>
      <c r="M28" s="128"/>
      <c r="N28" s="342"/>
      <c r="O28" s="123"/>
      <c r="P28" s="123"/>
      <c r="Q28" s="623"/>
      <c r="R28" s="624"/>
      <c r="S28" s="625"/>
    </row>
    <row r="29" spans="2:19" ht="18" customHeight="1" thickBot="1" x14ac:dyDescent="0.25">
      <c r="B29" s="640"/>
      <c r="C29" s="646"/>
      <c r="D29" s="15" t="s">
        <v>225</v>
      </c>
      <c r="E29" s="22"/>
      <c r="F29" s="93">
        <f>SUM(F21:F28)/99</f>
        <v>8924.2200659563678</v>
      </c>
      <c r="G29" s="243" t="s">
        <v>242</v>
      </c>
      <c r="H29" s="146">
        <v>0.01</v>
      </c>
      <c r="I29" s="129"/>
      <c r="J29" s="301"/>
      <c r="K29" s="652"/>
      <c r="L29" s="80" t="s">
        <v>26</v>
      </c>
      <c r="M29" s="79"/>
      <c r="N29" s="80"/>
      <c r="O29" s="80"/>
      <c r="P29" s="80">
        <f>SUM(P25:P28)</f>
        <v>89581.68</v>
      </c>
      <c r="Q29" s="623"/>
      <c r="R29" s="624"/>
      <c r="S29" s="625"/>
    </row>
    <row r="30" spans="2:19" ht="18" customHeight="1" thickTop="1" thickBot="1" x14ac:dyDescent="0.25">
      <c r="B30" s="641"/>
      <c r="C30" s="647"/>
      <c r="D30" s="656" t="s">
        <v>157</v>
      </c>
      <c r="E30" s="657"/>
      <c r="F30" s="124">
        <f>SUM(F21:F29)</f>
        <v>892422.00659563672</v>
      </c>
      <c r="G30" s="125"/>
      <c r="H30" s="126"/>
      <c r="I30" s="127"/>
      <c r="J30" s="302"/>
      <c r="K30" s="652"/>
      <c r="L30" s="123" t="s">
        <v>126</v>
      </c>
      <c r="M30" s="128"/>
      <c r="N30" s="130" t="s">
        <v>23</v>
      </c>
      <c r="O30" s="130" t="s">
        <v>21</v>
      </c>
      <c r="P30" s="130" t="s">
        <v>24</v>
      </c>
      <c r="Q30" s="626" t="s">
        <v>25</v>
      </c>
      <c r="R30" s="627"/>
      <c r="S30" s="628"/>
    </row>
    <row r="31" spans="2:19" ht="18" customHeight="1" x14ac:dyDescent="0.2">
      <c r="B31" s="86"/>
      <c r="C31" s="82"/>
      <c r="D31" s="82"/>
      <c r="E31" s="82"/>
      <c r="F31" s="82"/>
      <c r="G31" s="82"/>
      <c r="H31" s="82"/>
      <c r="I31" s="82"/>
      <c r="J31" s="82"/>
      <c r="K31" s="652"/>
      <c r="L31" s="123" t="s">
        <v>116</v>
      </c>
      <c r="M31" s="128"/>
      <c r="N31" s="342" t="s">
        <v>305</v>
      </c>
      <c r="O31" s="131"/>
      <c r="P31" s="123">
        <f>'８　青ネギ（土耕）算出基礎'!N10</f>
        <v>12705</v>
      </c>
      <c r="Q31" s="620"/>
      <c r="R31" s="621"/>
      <c r="S31" s="622"/>
    </row>
    <row r="32" spans="2:19" ht="18" customHeight="1" x14ac:dyDescent="0.2">
      <c r="B32"/>
      <c r="C32" s="88"/>
      <c r="D32"/>
      <c r="E32"/>
      <c r="F32" s="87"/>
      <c r="G32" s="87"/>
      <c r="H32" s="87"/>
      <c r="I32" s="82"/>
      <c r="J32" s="82"/>
      <c r="K32" s="652"/>
      <c r="L32" s="123" t="s">
        <v>117</v>
      </c>
      <c r="M32" s="128"/>
      <c r="N32" s="342" t="s">
        <v>258</v>
      </c>
      <c r="O32" s="131"/>
      <c r="P32" s="123">
        <f>'８　青ネギ（土耕）算出基礎'!N17</f>
        <v>67122</v>
      </c>
      <c r="Q32" s="620"/>
      <c r="R32" s="621"/>
      <c r="S32" s="622"/>
    </row>
    <row r="33" spans="1:23" ht="18" customHeight="1" x14ac:dyDescent="0.2">
      <c r="K33" s="652"/>
      <c r="L33" s="123" t="s">
        <v>119</v>
      </c>
      <c r="M33" s="128"/>
      <c r="N33" s="343"/>
      <c r="O33" s="131"/>
      <c r="P33" s="123">
        <f>SUM(P31:P32)*R33</f>
        <v>23948.1</v>
      </c>
      <c r="Q33" s="178" t="s">
        <v>118</v>
      </c>
      <c r="R33" s="308">
        <v>0.3</v>
      </c>
      <c r="S33" s="309"/>
    </row>
    <row r="34" spans="1:23" ht="18" customHeight="1" x14ac:dyDescent="0.2">
      <c r="K34" s="652"/>
      <c r="L34" s="123" t="s">
        <v>120</v>
      </c>
      <c r="M34" s="128"/>
      <c r="N34" s="342"/>
      <c r="O34" s="131"/>
      <c r="P34" s="123">
        <f>'８　青ネギ（土耕）算出基礎'!N21</f>
        <v>0</v>
      </c>
      <c r="Q34" s="623"/>
      <c r="R34" s="624"/>
      <c r="S34" s="625"/>
    </row>
    <row r="35" spans="1:23" ht="18" customHeight="1" x14ac:dyDescent="0.2">
      <c r="K35" s="652"/>
      <c r="L35" s="123" t="s">
        <v>121</v>
      </c>
      <c r="M35" s="128"/>
      <c r="N35" s="342"/>
      <c r="O35" s="131"/>
      <c r="P35" s="123">
        <f>'８　青ネギ（土耕）算出基礎'!N25</f>
        <v>0</v>
      </c>
      <c r="Q35" s="623"/>
      <c r="R35" s="624"/>
      <c r="S35" s="625"/>
    </row>
    <row r="36" spans="1:23" ht="18" customHeight="1" x14ac:dyDescent="0.2">
      <c r="K36" s="652"/>
      <c r="L36" s="123" t="s">
        <v>222</v>
      </c>
      <c r="M36" s="128"/>
      <c r="N36" s="342"/>
      <c r="O36" s="131"/>
      <c r="P36" s="123">
        <f>'８　青ネギ（土耕）算出基礎'!N29</f>
        <v>0</v>
      </c>
      <c r="Q36" s="178"/>
      <c r="R36" s="218"/>
      <c r="S36" s="310"/>
    </row>
    <row r="37" spans="1:23" ht="18" customHeight="1" x14ac:dyDescent="0.2">
      <c r="K37" s="652"/>
      <c r="L37" s="123" t="s">
        <v>122</v>
      </c>
      <c r="M37" s="128"/>
      <c r="N37" s="342" t="s">
        <v>363</v>
      </c>
      <c r="O37" s="131"/>
      <c r="P37" s="123">
        <f>'８　青ネギ（土耕）算出基礎'!N33/10</f>
        <v>7242.3399999999992</v>
      </c>
      <c r="Q37" s="623"/>
      <c r="R37" s="624"/>
      <c r="S37" s="625"/>
    </row>
    <row r="38" spans="1:23" s="82" customFormat="1" ht="18" customHeight="1" thickBo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653"/>
      <c r="L38" s="311" t="s">
        <v>26</v>
      </c>
      <c r="M38" s="312"/>
      <c r="N38" s="311"/>
      <c r="O38" s="311"/>
      <c r="P38" s="311">
        <f>SUM(P31:P37)</f>
        <v>111017.44</v>
      </c>
      <c r="Q38" s="660"/>
      <c r="R38" s="661"/>
      <c r="S38" s="662"/>
    </row>
    <row r="39" spans="1:23" s="82" customFormat="1" ht="18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23" s="82" customFormat="1" ht="18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T40" s="2"/>
      <c r="U40" s="2"/>
      <c r="V40" s="2"/>
      <c r="W40" s="2"/>
    </row>
    <row r="41" spans="1:23" s="82" customFormat="1" ht="18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T41" s="83"/>
      <c r="U41" s="84"/>
      <c r="V41" s="85"/>
      <c r="W41" s="83"/>
    </row>
    <row r="42" spans="1:23" s="82" customFormat="1" ht="18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T42" s="2"/>
      <c r="U42" s="2"/>
      <c r="V42" s="2"/>
      <c r="W42" s="2"/>
    </row>
    <row r="43" spans="1:23" s="82" customFormat="1" ht="18" customHeight="1" x14ac:dyDescent="0.2">
      <c r="B43" s="2"/>
      <c r="C43" s="2"/>
      <c r="D43" s="2"/>
      <c r="E43" s="2"/>
      <c r="F43" s="2"/>
      <c r="G43" s="2"/>
      <c r="H43" s="2"/>
      <c r="I43" s="2"/>
      <c r="J43" s="2"/>
      <c r="T43" s="70"/>
      <c r="V43" s="2"/>
      <c r="W43" s="83"/>
    </row>
    <row r="44" spans="1:23" s="82" customFormat="1" ht="18" customHeight="1" x14ac:dyDescent="0.2">
      <c r="B44" s="2"/>
      <c r="C44" s="2"/>
      <c r="D44" s="2"/>
      <c r="E44" s="2"/>
      <c r="F44" s="2"/>
      <c r="G44" s="2"/>
      <c r="H44" s="2"/>
      <c r="I44" s="2"/>
      <c r="J44" s="2"/>
      <c r="T44" s="70"/>
      <c r="V44" s="2"/>
      <c r="W44" s="83"/>
    </row>
    <row r="45" spans="1:23" s="82" customFormat="1" ht="18" customHeight="1" x14ac:dyDescent="0.2">
      <c r="B45" s="2"/>
      <c r="C45" s="2"/>
      <c r="D45" s="2"/>
      <c r="E45" s="2"/>
      <c r="F45" s="2"/>
      <c r="G45" s="2"/>
      <c r="H45" s="2"/>
      <c r="I45" s="2"/>
      <c r="J45" s="2"/>
      <c r="T45" s="2"/>
      <c r="U45" s="2"/>
      <c r="V45" s="84"/>
      <c r="W45" s="2"/>
    </row>
    <row r="46" spans="1:23" s="82" customFormat="1" x14ac:dyDescent="0.2">
      <c r="B46" s="2"/>
      <c r="C46" s="2"/>
      <c r="D46" s="2"/>
      <c r="E46" s="2"/>
      <c r="F46" s="2"/>
      <c r="G46" s="2"/>
      <c r="H46" s="2"/>
      <c r="I46" s="2"/>
      <c r="J46" s="2"/>
      <c r="T46" s="70"/>
      <c r="U46" s="2"/>
      <c r="V46" s="2"/>
      <c r="W46" s="83"/>
    </row>
    <row r="47" spans="1:23" s="82" customFormat="1" x14ac:dyDescent="0.2">
      <c r="B47" s="2"/>
      <c r="C47" s="2"/>
      <c r="D47" s="2"/>
      <c r="E47" s="2"/>
      <c r="F47" s="2"/>
      <c r="G47" s="2"/>
      <c r="H47" s="2"/>
      <c r="I47" s="2"/>
      <c r="J47" s="2"/>
      <c r="T47" s="70"/>
      <c r="U47" s="2"/>
      <c r="V47" s="2"/>
      <c r="W47" s="83"/>
    </row>
    <row r="48" spans="1:23" s="82" customFormat="1" x14ac:dyDescent="0.2">
      <c r="B48" s="2"/>
      <c r="C48" s="2"/>
      <c r="D48" s="2"/>
      <c r="E48" s="2"/>
      <c r="F48" s="2"/>
      <c r="G48" s="2"/>
      <c r="H48" s="2"/>
      <c r="I48" s="2"/>
      <c r="J48" s="2"/>
      <c r="T48" s="70"/>
      <c r="U48" s="2"/>
      <c r="V48" s="2"/>
      <c r="W48" s="83"/>
    </row>
    <row r="49" spans="2:23" s="82" customFormat="1" x14ac:dyDescent="0.2">
      <c r="B49" s="2"/>
      <c r="C49" s="2"/>
      <c r="D49" s="2"/>
      <c r="E49" s="2"/>
      <c r="F49" s="2"/>
      <c r="G49" s="2"/>
      <c r="H49" s="2"/>
      <c r="I49" s="2"/>
      <c r="J49" s="2"/>
      <c r="T49" s="70"/>
      <c r="U49" s="2"/>
      <c r="V49" s="2"/>
      <c r="W49" s="83"/>
    </row>
    <row r="50" spans="2:23" s="82" customFormat="1" x14ac:dyDescent="0.2">
      <c r="B50" s="2"/>
      <c r="C50" s="2"/>
      <c r="D50" s="2"/>
      <c r="E50" s="2"/>
      <c r="F50" s="2"/>
      <c r="G50" s="2"/>
      <c r="H50" s="2"/>
      <c r="I50" s="2"/>
      <c r="J50" s="2"/>
      <c r="T50" s="70"/>
      <c r="U50" s="70"/>
      <c r="V50" s="70"/>
      <c r="W50" s="2"/>
    </row>
    <row r="51" spans="2:23" s="82" customFormat="1" ht="13.5" customHeight="1" x14ac:dyDescent="0.2">
      <c r="B51" s="2"/>
      <c r="C51" s="2"/>
      <c r="D51" s="2"/>
      <c r="E51" s="2"/>
      <c r="F51" s="2"/>
      <c r="G51" s="2"/>
      <c r="H51" s="2"/>
      <c r="I51" s="2"/>
      <c r="J51" s="2"/>
      <c r="T51" s="2"/>
      <c r="U51" s="2"/>
      <c r="V51" s="2"/>
      <c r="W51" s="84"/>
    </row>
    <row r="52" spans="2:23" s="82" customFormat="1" x14ac:dyDescent="0.2">
      <c r="B52" s="2"/>
      <c r="C52" s="2"/>
      <c r="D52" s="2"/>
      <c r="E52" s="2"/>
      <c r="F52" s="2"/>
      <c r="G52" s="2"/>
      <c r="H52" s="2"/>
      <c r="I52" s="2"/>
      <c r="J52" s="2"/>
      <c r="T52" s="83"/>
      <c r="U52" s="2"/>
      <c r="V52" s="84"/>
      <c r="W52" s="83"/>
    </row>
    <row r="53" spans="2:23" s="82" customFormat="1" x14ac:dyDescent="0.2">
      <c r="B53" s="2"/>
      <c r="C53" s="2"/>
      <c r="D53" s="2"/>
      <c r="E53" s="2"/>
      <c r="F53" s="2"/>
      <c r="G53" s="2"/>
      <c r="H53" s="2"/>
      <c r="I53" s="2"/>
      <c r="J53" s="2"/>
      <c r="T53" s="2"/>
      <c r="U53" s="2"/>
      <c r="V53" s="2"/>
      <c r="W53" s="2"/>
    </row>
    <row r="54" spans="2:23" s="82" customFormat="1" ht="13.5" customHeight="1" x14ac:dyDescent="0.2">
      <c r="B54" s="2"/>
      <c r="C54" s="2"/>
      <c r="D54" s="2"/>
      <c r="E54" s="2"/>
      <c r="F54" s="2"/>
      <c r="G54" s="2"/>
      <c r="H54" s="2"/>
      <c r="I54" s="2"/>
      <c r="J54" s="2"/>
      <c r="T54" s="70"/>
      <c r="U54" s="2"/>
      <c r="V54" s="70"/>
      <c r="W54" s="83"/>
    </row>
    <row r="55" spans="2:23" s="82" customFormat="1" x14ac:dyDescent="0.2">
      <c r="B55" s="2"/>
      <c r="C55" s="2"/>
      <c r="D55" s="2"/>
      <c r="E55" s="2"/>
      <c r="F55" s="2"/>
      <c r="G55" s="2"/>
      <c r="H55" s="2"/>
      <c r="I55" s="2"/>
      <c r="J55" s="2"/>
      <c r="T55" s="89"/>
      <c r="U55" s="2"/>
      <c r="V55" s="2"/>
      <c r="W55" s="83"/>
    </row>
    <row r="56" spans="2:23" s="82" customFormat="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T56" s="2"/>
      <c r="U56" s="70"/>
      <c r="V56" s="2"/>
      <c r="W56" s="2"/>
    </row>
    <row r="57" spans="2:23" s="82" customForma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23" s="82" customFormat="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23" s="82" customFormat="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23" s="82" customForma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23" s="82" customForma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23" s="82" customForma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23" s="82" customFormat="1" ht="13.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23" s="82" customFormat="1" ht="13.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s="82" customForma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s="82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s="82" customFormat="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s="82" customFormat="1" ht="13.5" customHeight="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s="82" customFormat="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s="82" customFormat="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s="82" customFormat="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s="82" customFormat="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s="82" customFormat="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s="82" customFormat="1" ht="13.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s="82" customForma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s="82" customForma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s="82" customFormat="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s="82" customFormat="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s="82" customFormat="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s="82" customFormat="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s="82" customFormat="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s="82" customFormat="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s="82" customForma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s="82" customForma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s="82" customFormat="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s="82" customFormat="1" ht="13.5" customHeight="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s="82" customFormat="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s="82" customForma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s="82" customFormat="1" ht="13.5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s="82" customForma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s="82" customForma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s="82" customForma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s="82" customForma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s="82" customForma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">
      <c r="A95" s="82"/>
    </row>
    <row r="96" spans="1:19" x14ac:dyDescent="0.2">
      <c r="A96" s="82"/>
    </row>
    <row r="97" spans="1:1" x14ac:dyDescent="0.2">
      <c r="A97" s="82"/>
    </row>
    <row r="98" spans="1:1" x14ac:dyDescent="0.2">
      <c r="A98" s="82"/>
    </row>
    <row r="99" spans="1:1" x14ac:dyDescent="0.2">
      <c r="A99" s="82"/>
    </row>
  </sheetData>
  <mergeCells count="58">
    <mergeCell ref="Q13:S13"/>
    <mergeCell ref="Q18:S18"/>
    <mergeCell ref="Q19:S19"/>
    <mergeCell ref="Q20:S20"/>
    <mergeCell ref="R10:S10"/>
    <mergeCell ref="R8:S8"/>
    <mergeCell ref="R9:S9"/>
    <mergeCell ref="R4:S4"/>
    <mergeCell ref="R5:S5"/>
    <mergeCell ref="Q37:S37"/>
    <mergeCell ref="Q21:S21"/>
    <mergeCell ref="Q22:S22"/>
    <mergeCell ref="Q27:S27"/>
    <mergeCell ref="Q17:S17"/>
    <mergeCell ref="Q15:S15"/>
    <mergeCell ref="Q16:S16"/>
    <mergeCell ref="R11:S11"/>
    <mergeCell ref="Q12:S12"/>
    <mergeCell ref="Q28:S28"/>
    <mergeCell ref="Q29:S29"/>
    <mergeCell ref="Q30:S30"/>
    <mergeCell ref="B4:C5"/>
    <mergeCell ref="B3:E3"/>
    <mergeCell ref="K3:S3"/>
    <mergeCell ref="R6:S6"/>
    <mergeCell ref="R7:S7"/>
    <mergeCell ref="B6:B30"/>
    <mergeCell ref="C6:C20"/>
    <mergeCell ref="C21:C30"/>
    <mergeCell ref="D13:D14"/>
    <mergeCell ref="D15:D17"/>
    <mergeCell ref="K12:K38"/>
    <mergeCell ref="Q14:S14"/>
    <mergeCell ref="D21:D23"/>
    <mergeCell ref="D30:E30"/>
    <mergeCell ref="D20:E20"/>
    <mergeCell ref="Q38:S38"/>
    <mergeCell ref="Q31:S31"/>
    <mergeCell ref="Q32:S32"/>
    <mergeCell ref="Q34:S34"/>
    <mergeCell ref="Q35:S35"/>
    <mergeCell ref="Q23:S23"/>
    <mergeCell ref="Q24:S24"/>
    <mergeCell ref="Q25:S25"/>
    <mergeCell ref="Q26:S26"/>
    <mergeCell ref="G26:J26"/>
    <mergeCell ref="G28:J28"/>
    <mergeCell ref="G4:J4"/>
    <mergeCell ref="G7:J7"/>
    <mergeCell ref="G8:J8"/>
    <mergeCell ref="G9:J9"/>
    <mergeCell ref="G15:J15"/>
    <mergeCell ref="G16:J16"/>
    <mergeCell ref="G10:J10"/>
    <mergeCell ref="I13:J13"/>
    <mergeCell ref="I14:J14"/>
    <mergeCell ref="G11:J11"/>
    <mergeCell ref="G17:J17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Y84"/>
  <sheetViews>
    <sheetView showZeros="0" zoomScale="75" zoomScaleNormal="75" zoomScaleSheetLayoutView="100" workbookViewId="0"/>
  </sheetViews>
  <sheetFormatPr defaultRowHeight="13" x14ac:dyDescent="0.2"/>
  <cols>
    <col min="1" max="1" width="1.6328125" style="1" customWidth="1"/>
    <col min="2" max="2" width="3.6328125" style="1" customWidth="1"/>
    <col min="3" max="3" width="15.6328125" style="1" customWidth="1"/>
    <col min="4" max="7" width="8.6328125" style="1" customWidth="1"/>
    <col min="8" max="8" width="1.6328125" style="1" customWidth="1"/>
    <col min="9" max="9" width="3.6328125" style="1" customWidth="1"/>
    <col min="10" max="10" width="15.6328125" style="1" customWidth="1"/>
    <col min="11" max="14" width="8.6328125" style="1" customWidth="1"/>
    <col min="15" max="15" width="3.453125" style="1" customWidth="1"/>
    <col min="16" max="16" width="15.6328125" style="90" customWidth="1"/>
    <col min="17" max="17" width="8.6328125" style="1" customWidth="1"/>
    <col min="18" max="18" width="8.6328125" style="24" customWidth="1"/>
    <col min="19" max="21" width="8.6328125" style="1" customWidth="1"/>
    <col min="22" max="22" width="10.6328125" style="24" customWidth="1"/>
    <col min="23" max="245" width="9" style="1"/>
    <col min="246" max="246" width="1.36328125" style="1" customWidth="1"/>
    <col min="247" max="247" width="3.453125" style="1" customWidth="1"/>
    <col min="248" max="248" width="22.08984375" style="1" customWidth="1"/>
    <col min="249" max="249" width="9.81640625" style="1" customWidth="1"/>
    <col min="250" max="250" width="7.36328125" style="1" customWidth="1"/>
    <col min="251" max="251" width="9" style="1"/>
    <col min="252" max="252" width="9.1796875" style="1" customWidth="1"/>
    <col min="253" max="253" width="3.453125" style="1" customWidth="1"/>
    <col min="254" max="255" width="12.6328125" style="1" customWidth="1"/>
    <col min="256" max="256" width="9" style="1"/>
    <col min="257" max="257" width="7.81640625" style="1" customWidth="1"/>
    <col min="258" max="258" width="13.08984375" style="1" customWidth="1"/>
    <col min="259" max="259" width="6.08984375" style="1" customWidth="1"/>
    <col min="260" max="260" width="9.81640625" style="1" customWidth="1"/>
    <col min="261" max="261" width="1.36328125" style="1" customWidth="1"/>
    <col min="262" max="501" width="9" style="1"/>
    <col min="502" max="502" width="1.36328125" style="1" customWidth="1"/>
    <col min="503" max="503" width="3.453125" style="1" customWidth="1"/>
    <col min="504" max="504" width="22.08984375" style="1" customWidth="1"/>
    <col min="505" max="505" width="9.81640625" style="1" customWidth="1"/>
    <col min="506" max="506" width="7.36328125" style="1" customWidth="1"/>
    <col min="507" max="507" width="9" style="1"/>
    <col min="508" max="508" width="9.1796875" style="1" customWidth="1"/>
    <col min="509" max="509" width="3.453125" style="1" customWidth="1"/>
    <col min="510" max="511" width="12.6328125" style="1" customWidth="1"/>
    <col min="512" max="512" width="9" style="1"/>
    <col min="513" max="513" width="7.81640625" style="1" customWidth="1"/>
    <col min="514" max="514" width="13.08984375" style="1" customWidth="1"/>
    <col min="515" max="515" width="6.08984375" style="1" customWidth="1"/>
    <col min="516" max="516" width="9.81640625" style="1" customWidth="1"/>
    <col min="517" max="517" width="1.36328125" style="1" customWidth="1"/>
    <col min="518" max="757" width="9" style="1"/>
    <col min="758" max="758" width="1.36328125" style="1" customWidth="1"/>
    <col min="759" max="759" width="3.453125" style="1" customWidth="1"/>
    <col min="760" max="760" width="22.08984375" style="1" customWidth="1"/>
    <col min="761" max="761" width="9.81640625" style="1" customWidth="1"/>
    <col min="762" max="762" width="7.36328125" style="1" customWidth="1"/>
    <col min="763" max="763" width="9" style="1"/>
    <col min="764" max="764" width="9.1796875" style="1" customWidth="1"/>
    <col min="765" max="765" width="3.453125" style="1" customWidth="1"/>
    <col min="766" max="767" width="12.6328125" style="1" customWidth="1"/>
    <col min="768" max="768" width="9" style="1"/>
    <col min="769" max="769" width="7.81640625" style="1" customWidth="1"/>
    <col min="770" max="770" width="13.08984375" style="1" customWidth="1"/>
    <col min="771" max="771" width="6.08984375" style="1" customWidth="1"/>
    <col min="772" max="772" width="9.81640625" style="1" customWidth="1"/>
    <col min="773" max="773" width="1.36328125" style="1" customWidth="1"/>
    <col min="774" max="1013" width="9" style="1"/>
    <col min="1014" max="1014" width="1.36328125" style="1" customWidth="1"/>
    <col min="1015" max="1015" width="3.453125" style="1" customWidth="1"/>
    <col min="1016" max="1016" width="22.08984375" style="1" customWidth="1"/>
    <col min="1017" max="1017" width="9.81640625" style="1" customWidth="1"/>
    <col min="1018" max="1018" width="7.36328125" style="1" customWidth="1"/>
    <col min="1019" max="1019" width="9" style="1"/>
    <col min="1020" max="1020" width="9.1796875" style="1" customWidth="1"/>
    <col min="1021" max="1021" width="3.453125" style="1" customWidth="1"/>
    <col min="1022" max="1023" width="12.6328125" style="1" customWidth="1"/>
    <col min="1024" max="1024" width="9" style="1"/>
    <col min="1025" max="1025" width="7.81640625" style="1" customWidth="1"/>
    <col min="1026" max="1026" width="13.08984375" style="1" customWidth="1"/>
    <col min="1027" max="1027" width="6.08984375" style="1" customWidth="1"/>
    <col min="1028" max="1028" width="9.81640625" style="1" customWidth="1"/>
    <col min="1029" max="1029" width="1.36328125" style="1" customWidth="1"/>
    <col min="1030" max="1269" width="9" style="1"/>
    <col min="1270" max="1270" width="1.36328125" style="1" customWidth="1"/>
    <col min="1271" max="1271" width="3.453125" style="1" customWidth="1"/>
    <col min="1272" max="1272" width="22.08984375" style="1" customWidth="1"/>
    <col min="1273" max="1273" width="9.81640625" style="1" customWidth="1"/>
    <col min="1274" max="1274" width="7.36328125" style="1" customWidth="1"/>
    <col min="1275" max="1275" width="9" style="1"/>
    <col min="1276" max="1276" width="9.1796875" style="1" customWidth="1"/>
    <col min="1277" max="1277" width="3.453125" style="1" customWidth="1"/>
    <col min="1278" max="1279" width="12.6328125" style="1" customWidth="1"/>
    <col min="1280" max="1280" width="9" style="1"/>
    <col min="1281" max="1281" width="7.81640625" style="1" customWidth="1"/>
    <col min="1282" max="1282" width="13.08984375" style="1" customWidth="1"/>
    <col min="1283" max="1283" width="6.08984375" style="1" customWidth="1"/>
    <col min="1284" max="1284" width="9.81640625" style="1" customWidth="1"/>
    <col min="1285" max="1285" width="1.36328125" style="1" customWidth="1"/>
    <col min="1286" max="1525" width="9" style="1"/>
    <col min="1526" max="1526" width="1.36328125" style="1" customWidth="1"/>
    <col min="1527" max="1527" width="3.453125" style="1" customWidth="1"/>
    <col min="1528" max="1528" width="22.08984375" style="1" customWidth="1"/>
    <col min="1529" max="1529" width="9.81640625" style="1" customWidth="1"/>
    <col min="1530" max="1530" width="7.36328125" style="1" customWidth="1"/>
    <col min="1531" max="1531" width="9" style="1"/>
    <col min="1532" max="1532" width="9.1796875" style="1" customWidth="1"/>
    <col min="1533" max="1533" width="3.453125" style="1" customWidth="1"/>
    <col min="1534" max="1535" width="12.6328125" style="1" customWidth="1"/>
    <col min="1536" max="1536" width="9" style="1"/>
    <col min="1537" max="1537" width="7.81640625" style="1" customWidth="1"/>
    <col min="1538" max="1538" width="13.08984375" style="1" customWidth="1"/>
    <col min="1539" max="1539" width="6.08984375" style="1" customWidth="1"/>
    <col min="1540" max="1540" width="9.81640625" style="1" customWidth="1"/>
    <col min="1541" max="1541" width="1.36328125" style="1" customWidth="1"/>
    <col min="1542" max="1781" width="9" style="1"/>
    <col min="1782" max="1782" width="1.36328125" style="1" customWidth="1"/>
    <col min="1783" max="1783" width="3.453125" style="1" customWidth="1"/>
    <col min="1784" max="1784" width="22.08984375" style="1" customWidth="1"/>
    <col min="1785" max="1785" width="9.81640625" style="1" customWidth="1"/>
    <col min="1786" max="1786" width="7.36328125" style="1" customWidth="1"/>
    <col min="1787" max="1787" width="9" style="1"/>
    <col min="1788" max="1788" width="9.1796875" style="1" customWidth="1"/>
    <col min="1789" max="1789" width="3.453125" style="1" customWidth="1"/>
    <col min="1790" max="1791" width="12.6328125" style="1" customWidth="1"/>
    <col min="1792" max="1792" width="9" style="1"/>
    <col min="1793" max="1793" width="7.81640625" style="1" customWidth="1"/>
    <col min="1794" max="1794" width="13.08984375" style="1" customWidth="1"/>
    <col min="1795" max="1795" width="6.08984375" style="1" customWidth="1"/>
    <col min="1796" max="1796" width="9.81640625" style="1" customWidth="1"/>
    <col min="1797" max="1797" width="1.36328125" style="1" customWidth="1"/>
    <col min="1798" max="2037" width="9" style="1"/>
    <col min="2038" max="2038" width="1.36328125" style="1" customWidth="1"/>
    <col min="2039" max="2039" width="3.453125" style="1" customWidth="1"/>
    <col min="2040" max="2040" width="22.08984375" style="1" customWidth="1"/>
    <col min="2041" max="2041" width="9.81640625" style="1" customWidth="1"/>
    <col min="2042" max="2042" width="7.36328125" style="1" customWidth="1"/>
    <col min="2043" max="2043" width="9" style="1"/>
    <col min="2044" max="2044" width="9.1796875" style="1" customWidth="1"/>
    <col min="2045" max="2045" width="3.453125" style="1" customWidth="1"/>
    <col min="2046" max="2047" width="12.6328125" style="1" customWidth="1"/>
    <col min="2048" max="2048" width="9" style="1"/>
    <col min="2049" max="2049" width="7.81640625" style="1" customWidth="1"/>
    <col min="2050" max="2050" width="13.08984375" style="1" customWidth="1"/>
    <col min="2051" max="2051" width="6.08984375" style="1" customWidth="1"/>
    <col min="2052" max="2052" width="9.81640625" style="1" customWidth="1"/>
    <col min="2053" max="2053" width="1.36328125" style="1" customWidth="1"/>
    <col min="2054" max="2293" width="9" style="1"/>
    <col min="2294" max="2294" width="1.36328125" style="1" customWidth="1"/>
    <col min="2295" max="2295" width="3.453125" style="1" customWidth="1"/>
    <col min="2296" max="2296" width="22.08984375" style="1" customWidth="1"/>
    <col min="2297" max="2297" width="9.81640625" style="1" customWidth="1"/>
    <col min="2298" max="2298" width="7.36328125" style="1" customWidth="1"/>
    <col min="2299" max="2299" width="9" style="1"/>
    <col min="2300" max="2300" width="9.1796875" style="1" customWidth="1"/>
    <col min="2301" max="2301" width="3.453125" style="1" customWidth="1"/>
    <col min="2302" max="2303" width="12.6328125" style="1" customWidth="1"/>
    <col min="2304" max="2304" width="9" style="1"/>
    <col min="2305" max="2305" width="7.81640625" style="1" customWidth="1"/>
    <col min="2306" max="2306" width="13.08984375" style="1" customWidth="1"/>
    <col min="2307" max="2307" width="6.08984375" style="1" customWidth="1"/>
    <col min="2308" max="2308" width="9.81640625" style="1" customWidth="1"/>
    <col min="2309" max="2309" width="1.36328125" style="1" customWidth="1"/>
    <col min="2310" max="2549" width="9" style="1"/>
    <col min="2550" max="2550" width="1.36328125" style="1" customWidth="1"/>
    <col min="2551" max="2551" width="3.453125" style="1" customWidth="1"/>
    <col min="2552" max="2552" width="22.08984375" style="1" customWidth="1"/>
    <col min="2553" max="2553" width="9.81640625" style="1" customWidth="1"/>
    <col min="2554" max="2554" width="7.36328125" style="1" customWidth="1"/>
    <col min="2555" max="2555" width="9" style="1"/>
    <col min="2556" max="2556" width="9.1796875" style="1" customWidth="1"/>
    <col min="2557" max="2557" width="3.453125" style="1" customWidth="1"/>
    <col min="2558" max="2559" width="12.6328125" style="1" customWidth="1"/>
    <col min="2560" max="2560" width="9" style="1"/>
    <col min="2561" max="2561" width="7.81640625" style="1" customWidth="1"/>
    <col min="2562" max="2562" width="13.08984375" style="1" customWidth="1"/>
    <col min="2563" max="2563" width="6.08984375" style="1" customWidth="1"/>
    <col min="2564" max="2564" width="9.81640625" style="1" customWidth="1"/>
    <col min="2565" max="2565" width="1.36328125" style="1" customWidth="1"/>
    <col min="2566" max="2805" width="9" style="1"/>
    <col min="2806" max="2806" width="1.36328125" style="1" customWidth="1"/>
    <col min="2807" max="2807" width="3.453125" style="1" customWidth="1"/>
    <col min="2808" max="2808" width="22.08984375" style="1" customWidth="1"/>
    <col min="2809" max="2809" width="9.81640625" style="1" customWidth="1"/>
    <col min="2810" max="2810" width="7.36328125" style="1" customWidth="1"/>
    <col min="2811" max="2811" width="9" style="1"/>
    <col min="2812" max="2812" width="9.1796875" style="1" customWidth="1"/>
    <col min="2813" max="2813" width="3.453125" style="1" customWidth="1"/>
    <col min="2814" max="2815" width="12.6328125" style="1" customWidth="1"/>
    <col min="2816" max="2816" width="9" style="1"/>
    <col min="2817" max="2817" width="7.81640625" style="1" customWidth="1"/>
    <col min="2818" max="2818" width="13.08984375" style="1" customWidth="1"/>
    <col min="2819" max="2819" width="6.08984375" style="1" customWidth="1"/>
    <col min="2820" max="2820" width="9.81640625" style="1" customWidth="1"/>
    <col min="2821" max="2821" width="1.36328125" style="1" customWidth="1"/>
    <col min="2822" max="3061" width="9" style="1"/>
    <col min="3062" max="3062" width="1.36328125" style="1" customWidth="1"/>
    <col min="3063" max="3063" width="3.453125" style="1" customWidth="1"/>
    <col min="3064" max="3064" width="22.08984375" style="1" customWidth="1"/>
    <col min="3065" max="3065" width="9.81640625" style="1" customWidth="1"/>
    <col min="3066" max="3066" width="7.36328125" style="1" customWidth="1"/>
    <col min="3067" max="3067" width="9" style="1"/>
    <col min="3068" max="3068" width="9.1796875" style="1" customWidth="1"/>
    <col min="3069" max="3069" width="3.453125" style="1" customWidth="1"/>
    <col min="3070" max="3071" width="12.6328125" style="1" customWidth="1"/>
    <col min="3072" max="3072" width="9" style="1"/>
    <col min="3073" max="3073" width="7.81640625" style="1" customWidth="1"/>
    <col min="3074" max="3074" width="13.08984375" style="1" customWidth="1"/>
    <col min="3075" max="3075" width="6.08984375" style="1" customWidth="1"/>
    <col min="3076" max="3076" width="9.81640625" style="1" customWidth="1"/>
    <col min="3077" max="3077" width="1.36328125" style="1" customWidth="1"/>
    <col min="3078" max="3317" width="9" style="1"/>
    <col min="3318" max="3318" width="1.36328125" style="1" customWidth="1"/>
    <col min="3319" max="3319" width="3.453125" style="1" customWidth="1"/>
    <col min="3320" max="3320" width="22.08984375" style="1" customWidth="1"/>
    <col min="3321" max="3321" width="9.81640625" style="1" customWidth="1"/>
    <col min="3322" max="3322" width="7.36328125" style="1" customWidth="1"/>
    <col min="3323" max="3323" width="9" style="1"/>
    <col min="3324" max="3324" width="9.1796875" style="1" customWidth="1"/>
    <col min="3325" max="3325" width="3.453125" style="1" customWidth="1"/>
    <col min="3326" max="3327" width="12.6328125" style="1" customWidth="1"/>
    <col min="3328" max="3328" width="9" style="1"/>
    <col min="3329" max="3329" width="7.81640625" style="1" customWidth="1"/>
    <col min="3330" max="3330" width="13.08984375" style="1" customWidth="1"/>
    <col min="3331" max="3331" width="6.08984375" style="1" customWidth="1"/>
    <col min="3332" max="3332" width="9.81640625" style="1" customWidth="1"/>
    <col min="3333" max="3333" width="1.36328125" style="1" customWidth="1"/>
    <col min="3334" max="3573" width="9" style="1"/>
    <col min="3574" max="3574" width="1.36328125" style="1" customWidth="1"/>
    <col min="3575" max="3575" width="3.453125" style="1" customWidth="1"/>
    <col min="3576" max="3576" width="22.08984375" style="1" customWidth="1"/>
    <col min="3577" max="3577" width="9.81640625" style="1" customWidth="1"/>
    <col min="3578" max="3578" width="7.36328125" style="1" customWidth="1"/>
    <col min="3579" max="3579" width="9" style="1"/>
    <col min="3580" max="3580" width="9.1796875" style="1" customWidth="1"/>
    <col min="3581" max="3581" width="3.453125" style="1" customWidth="1"/>
    <col min="3582" max="3583" width="12.6328125" style="1" customWidth="1"/>
    <col min="3584" max="3584" width="9" style="1"/>
    <col min="3585" max="3585" width="7.81640625" style="1" customWidth="1"/>
    <col min="3586" max="3586" width="13.08984375" style="1" customWidth="1"/>
    <col min="3587" max="3587" width="6.08984375" style="1" customWidth="1"/>
    <col min="3588" max="3588" width="9.81640625" style="1" customWidth="1"/>
    <col min="3589" max="3589" width="1.36328125" style="1" customWidth="1"/>
    <col min="3590" max="3829" width="9" style="1"/>
    <col min="3830" max="3830" width="1.36328125" style="1" customWidth="1"/>
    <col min="3831" max="3831" width="3.453125" style="1" customWidth="1"/>
    <col min="3832" max="3832" width="22.08984375" style="1" customWidth="1"/>
    <col min="3833" max="3833" width="9.81640625" style="1" customWidth="1"/>
    <col min="3834" max="3834" width="7.36328125" style="1" customWidth="1"/>
    <col min="3835" max="3835" width="9" style="1"/>
    <col min="3836" max="3836" width="9.1796875" style="1" customWidth="1"/>
    <col min="3837" max="3837" width="3.453125" style="1" customWidth="1"/>
    <col min="3838" max="3839" width="12.6328125" style="1" customWidth="1"/>
    <col min="3840" max="3840" width="9" style="1"/>
    <col min="3841" max="3841" width="7.81640625" style="1" customWidth="1"/>
    <col min="3842" max="3842" width="13.08984375" style="1" customWidth="1"/>
    <col min="3843" max="3843" width="6.08984375" style="1" customWidth="1"/>
    <col min="3844" max="3844" width="9.81640625" style="1" customWidth="1"/>
    <col min="3845" max="3845" width="1.36328125" style="1" customWidth="1"/>
    <col min="3846" max="4085" width="9" style="1"/>
    <col min="4086" max="4086" width="1.36328125" style="1" customWidth="1"/>
    <col min="4087" max="4087" width="3.453125" style="1" customWidth="1"/>
    <col min="4088" max="4088" width="22.08984375" style="1" customWidth="1"/>
    <col min="4089" max="4089" width="9.81640625" style="1" customWidth="1"/>
    <col min="4090" max="4090" width="7.36328125" style="1" customWidth="1"/>
    <col min="4091" max="4091" width="9" style="1"/>
    <col min="4092" max="4092" width="9.1796875" style="1" customWidth="1"/>
    <col min="4093" max="4093" width="3.453125" style="1" customWidth="1"/>
    <col min="4094" max="4095" width="12.6328125" style="1" customWidth="1"/>
    <col min="4096" max="4096" width="9" style="1"/>
    <col min="4097" max="4097" width="7.81640625" style="1" customWidth="1"/>
    <col min="4098" max="4098" width="13.08984375" style="1" customWidth="1"/>
    <col min="4099" max="4099" width="6.08984375" style="1" customWidth="1"/>
    <col min="4100" max="4100" width="9.81640625" style="1" customWidth="1"/>
    <col min="4101" max="4101" width="1.36328125" style="1" customWidth="1"/>
    <col min="4102" max="4341" width="9" style="1"/>
    <col min="4342" max="4342" width="1.36328125" style="1" customWidth="1"/>
    <col min="4343" max="4343" width="3.453125" style="1" customWidth="1"/>
    <col min="4344" max="4344" width="22.08984375" style="1" customWidth="1"/>
    <col min="4345" max="4345" width="9.81640625" style="1" customWidth="1"/>
    <col min="4346" max="4346" width="7.36328125" style="1" customWidth="1"/>
    <col min="4347" max="4347" width="9" style="1"/>
    <col min="4348" max="4348" width="9.1796875" style="1" customWidth="1"/>
    <col min="4349" max="4349" width="3.453125" style="1" customWidth="1"/>
    <col min="4350" max="4351" width="12.6328125" style="1" customWidth="1"/>
    <col min="4352" max="4352" width="9" style="1"/>
    <col min="4353" max="4353" width="7.81640625" style="1" customWidth="1"/>
    <col min="4354" max="4354" width="13.08984375" style="1" customWidth="1"/>
    <col min="4355" max="4355" width="6.08984375" style="1" customWidth="1"/>
    <col min="4356" max="4356" width="9.81640625" style="1" customWidth="1"/>
    <col min="4357" max="4357" width="1.36328125" style="1" customWidth="1"/>
    <col min="4358" max="4597" width="9" style="1"/>
    <col min="4598" max="4598" width="1.36328125" style="1" customWidth="1"/>
    <col min="4599" max="4599" width="3.453125" style="1" customWidth="1"/>
    <col min="4600" max="4600" width="22.08984375" style="1" customWidth="1"/>
    <col min="4601" max="4601" width="9.81640625" style="1" customWidth="1"/>
    <col min="4602" max="4602" width="7.36328125" style="1" customWidth="1"/>
    <col min="4603" max="4603" width="9" style="1"/>
    <col min="4604" max="4604" width="9.1796875" style="1" customWidth="1"/>
    <col min="4605" max="4605" width="3.453125" style="1" customWidth="1"/>
    <col min="4606" max="4607" width="12.6328125" style="1" customWidth="1"/>
    <col min="4608" max="4608" width="9" style="1"/>
    <col min="4609" max="4609" width="7.81640625" style="1" customWidth="1"/>
    <col min="4610" max="4610" width="13.08984375" style="1" customWidth="1"/>
    <col min="4611" max="4611" width="6.08984375" style="1" customWidth="1"/>
    <col min="4612" max="4612" width="9.81640625" style="1" customWidth="1"/>
    <col min="4613" max="4613" width="1.36328125" style="1" customWidth="1"/>
    <col min="4614" max="4853" width="9" style="1"/>
    <col min="4854" max="4854" width="1.36328125" style="1" customWidth="1"/>
    <col min="4855" max="4855" width="3.453125" style="1" customWidth="1"/>
    <col min="4856" max="4856" width="22.08984375" style="1" customWidth="1"/>
    <col min="4857" max="4857" width="9.81640625" style="1" customWidth="1"/>
    <col min="4858" max="4858" width="7.36328125" style="1" customWidth="1"/>
    <col min="4859" max="4859" width="9" style="1"/>
    <col min="4860" max="4860" width="9.1796875" style="1" customWidth="1"/>
    <col min="4861" max="4861" width="3.453125" style="1" customWidth="1"/>
    <col min="4862" max="4863" width="12.6328125" style="1" customWidth="1"/>
    <col min="4864" max="4864" width="9" style="1"/>
    <col min="4865" max="4865" width="7.81640625" style="1" customWidth="1"/>
    <col min="4866" max="4866" width="13.08984375" style="1" customWidth="1"/>
    <col min="4867" max="4867" width="6.08984375" style="1" customWidth="1"/>
    <col min="4868" max="4868" width="9.81640625" style="1" customWidth="1"/>
    <col min="4869" max="4869" width="1.36328125" style="1" customWidth="1"/>
    <col min="4870" max="5109" width="9" style="1"/>
    <col min="5110" max="5110" width="1.36328125" style="1" customWidth="1"/>
    <col min="5111" max="5111" width="3.453125" style="1" customWidth="1"/>
    <col min="5112" max="5112" width="22.08984375" style="1" customWidth="1"/>
    <col min="5113" max="5113" width="9.81640625" style="1" customWidth="1"/>
    <col min="5114" max="5114" width="7.36328125" style="1" customWidth="1"/>
    <col min="5115" max="5115" width="9" style="1"/>
    <col min="5116" max="5116" width="9.1796875" style="1" customWidth="1"/>
    <col min="5117" max="5117" width="3.453125" style="1" customWidth="1"/>
    <col min="5118" max="5119" width="12.6328125" style="1" customWidth="1"/>
    <col min="5120" max="5120" width="9" style="1"/>
    <col min="5121" max="5121" width="7.81640625" style="1" customWidth="1"/>
    <col min="5122" max="5122" width="13.08984375" style="1" customWidth="1"/>
    <col min="5123" max="5123" width="6.08984375" style="1" customWidth="1"/>
    <col min="5124" max="5124" width="9.81640625" style="1" customWidth="1"/>
    <col min="5125" max="5125" width="1.36328125" style="1" customWidth="1"/>
    <col min="5126" max="5365" width="9" style="1"/>
    <col min="5366" max="5366" width="1.36328125" style="1" customWidth="1"/>
    <col min="5367" max="5367" width="3.453125" style="1" customWidth="1"/>
    <col min="5368" max="5368" width="22.08984375" style="1" customWidth="1"/>
    <col min="5369" max="5369" width="9.81640625" style="1" customWidth="1"/>
    <col min="5370" max="5370" width="7.36328125" style="1" customWidth="1"/>
    <col min="5371" max="5371" width="9" style="1"/>
    <col min="5372" max="5372" width="9.1796875" style="1" customWidth="1"/>
    <col min="5373" max="5373" width="3.453125" style="1" customWidth="1"/>
    <col min="5374" max="5375" width="12.6328125" style="1" customWidth="1"/>
    <col min="5376" max="5376" width="9" style="1"/>
    <col min="5377" max="5377" width="7.81640625" style="1" customWidth="1"/>
    <col min="5378" max="5378" width="13.08984375" style="1" customWidth="1"/>
    <col min="5379" max="5379" width="6.08984375" style="1" customWidth="1"/>
    <col min="5380" max="5380" width="9.81640625" style="1" customWidth="1"/>
    <col min="5381" max="5381" width="1.36328125" style="1" customWidth="1"/>
    <col min="5382" max="5621" width="9" style="1"/>
    <col min="5622" max="5622" width="1.36328125" style="1" customWidth="1"/>
    <col min="5623" max="5623" width="3.453125" style="1" customWidth="1"/>
    <col min="5624" max="5624" width="22.08984375" style="1" customWidth="1"/>
    <col min="5625" max="5625" width="9.81640625" style="1" customWidth="1"/>
    <col min="5626" max="5626" width="7.36328125" style="1" customWidth="1"/>
    <col min="5627" max="5627" width="9" style="1"/>
    <col min="5628" max="5628" width="9.1796875" style="1" customWidth="1"/>
    <col min="5629" max="5629" width="3.453125" style="1" customWidth="1"/>
    <col min="5630" max="5631" width="12.6328125" style="1" customWidth="1"/>
    <col min="5632" max="5632" width="9" style="1"/>
    <col min="5633" max="5633" width="7.81640625" style="1" customWidth="1"/>
    <col min="5634" max="5634" width="13.08984375" style="1" customWidth="1"/>
    <col min="5635" max="5635" width="6.08984375" style="1" customWidth="1"/>
    <col min="5636" max="5636" width="9.81640625" style="1" customWidth="1"/>
    <col min="5637" max="5637" width="1.36328125" style="1" customWidth="1"/>
    <col min="5638" max="5877" width="9" style="1"/>
    <col min="5878" max="5878" width="1.36328125" style="1" customWidth="1"/>
    <col min="5879" max="5879" width="3.453125" style="1" customWidth="1"/>
    <col min="5880" max="5880" width="22.08984375" style="1" customWidth="1"/>
    <col min="5881" max="5881" width="9.81640625" style="1" customWidth="1"/>
    <col min="5882" max="5882" width="7.36328125" style="1" customWidth="1"/>
    <col min="5883" max="5883" width="9" style="1"/>
    <col min="5884" max="5884" width="9.1796875" style="1" customWidth="1"/>
    <col min="5885" max="5885" width="3.453125" style="1" customWidth="1"/>
    <col min="5886" max="5887" width="12.6328125" style="1" customWidth="1"/>
    <col min="5888" max="5888" width="9" style="1"/>
    <col min="5889" max="5889" width="7.81640625" style="1" customWidth="1"/>
    <col min="5890" max="5890" width="13.08984375" style="1" customWidth="1"/>
    <col min="5891" max="5891" width="6.08984375" style="1" customWidth="1"/>
    <col min="5892" max="5892" width="9.81640625" style="1" customWidth="1"/>
    <col min="5893" max="5893" width="1.36328125" style="1" customWidth="1"/>
    <col min="5894" max="6133" width="9" style="1"/>
    <col min="6134" max="6134" width="1.36328125" style="1" customWidth="1"/>
    <col min="6135" max="6135" width="3.453125" style="1" customWidth="1"/>
    <col min="6136" max="6136" width="22.08984375" style="1" customWidth="1"/>
    <col min="6137" max="6137" width="9.81640625" style="1" customWidth="1"/>
    <col min="6138" max="6138" width="7.36328125" style="1" customWidth="1"/>
    <col min="6139" max="6139" width="9" style="1"/>
    <col min="6140" max="6140" width="9.1796875" style="1" customWidth="1"/>
    <col min="6141" max="6141" width="3.453125" style="1" customWidth="1"/>
    <col min="6142" max="6143" width="12.6328125" style="1" customWidth="1"/>
    <col min="6144" max="6144" width="9" style="1"/>
    <col min="6145" max="6145" width="7.81640625" style="1" customWidth="1"/>
    <col min="6146" max="6146" width="13.08984375" style="1" customWidth="1"/>
    <col min="6147" max="6147" width="6.08984375" style="1" customWidth="1"/>
    <col min="6148" max="6148" width="9.81640625" style="1" customWidth="1"/>
    <col min="6149" max="6149" width="1.36328125" style="1" customWidth="1"/>
    <col min="6150" max="6389" width="9" style="1"/>
    <col min="6390" max="6390" width="1.36328125" style="1" customWidth="1"/>
    <col min="6391" max="6391" width="3.453125" style="1" customWidth="1"/>
    <col min="6392" max="6392" width="22.08984375" style="1" customWidth="1"/>
    <col min="6393" max="6393" width="9.81640625" style="1" customWidth="1"/>
    <col min="6394" max="6394" width="7.36328125" style="1" customWidth="1"/>
    <col min="6395" max="6395" width="9" style="1"/>
    <col min="6396" max="6396" width="9.1796875" style="1" customWidth="1"/>
    <col min="6397" max="6397" width="3.453125" style="1" customWidth="1"/>
    <col min="6398" max="6399" width="12.6328125" style="1" customWidth="1"/>
    <col min="6400" max="6400" width="9" style="1"/>
    <col min="6401" max="6401" width="7.81640625" style="1" customWidth="1"/>
    <col min="6402" max="6402" width="13.08984375" style="1" customWidth="1"/>
    <col min="6403" max="6403" width="6.08984375" style="1" customWidth="1"/>
    <col min="6404" max="6404" width="9.81640625" style="1" customWidth="1"/>
    <col min="6405" max="6405" width="1.36328125" style="1" customWidth="1"/>
    <col min="6406" max="6645" width="9" style="1"/>
    <col min="6646" max="6646" width="1.36328125" style="1" customWidth="1"/>
    <col min="6647" max="6647" width="3.453125" style="1" customWidth="1"/>
    <col min="6648" max="6648" width="22.08984375" style="1" customWidth="1"/>
    <col min="6649" max="6649" width="9.81640625" style="1" customWidth="1"/>
    <col min="6650" max="6650" width="7.36328125" style="1" customWidth="1"/>
    <col min="6651" max="6651" width="9" style="1"/>
    <col min="6652" max="6652" width="9.1796875" style="1" customWidth="1"/>
    <col min="6653" max="6653" width="3.453125" style="1" customWidth="1"/>
    <col min="6654" max="6655" width="12.6328125" style="1" customWidth="1"/>
    <col min="6656" max="6656" width="9" style="1"/>
    <col min="6657" max="6657" width="7.81640625" style="1" customWidth="1"/>
    <col min="6658" max="6658" width="13.08984375" style="1" customWidth="1"/>
    <col min="6659" max="6659" width="6.08984375" style="1" customWidth="1"/>
    <col min="6660" max="6660" width="9.81640625" style="1" customWidth="1"/>
    <col min="6661" max="6661" width="1.36328125" style="1" customWidth="1"/>
    <col min="6662" max="6901" width="9" style="1"/>
    <col min="6902" max="6902" width="1.36328125" style="1" customWidth="1"/>
    <col min="6903" max="6903" width="3.453125" style="1" customWidth="1"/>
    <col min="6904" max="6904" width="22.08984375" style="1" customWidth="1"/>
    <col min="6905" max="6905" width="9.81640625" style="1" customWidth="1"/>
    <col min="6906" max="6906" width="7.36328125" style="1" customWidth="1"/>
    <col min="6907" max="6907" width="9" style="1"/>
    <col min="6908" max="6908" width="9.1796875" style="1" customWidth="1"/>
    <col min="6909" max="6909" width="3.453125" style="1" customWidth="1"/>
    <col min="6910" max="6911" width="12.6328125" style="1" customWidth="1"/>
    <col min="6912" max="6912" width="9" style="1"/>
    <col min="6913" max="6913" width="7.81640625" style="1" customWidth="1"/>
    <col min="6914" max="6914" width="13.08984375" style="1" customWidth="1"/>
    <col min="6915" max="6915" width="6.08984375" style="1" customWidth="1"/>
    <col min="6916" max="6916" width="9.81640625" style="1" customWidth="1"/>
    <col min="6917" max="6917" width="1.36328125" style="1" customWidth="1"/>
    <col min="6918" max="7157" width="9" style="1"/>
    <col min="7158" max="7158" width="1.36328125" style="1" customWidth="1"/>
    <col min="7159" max="7159" width="3.453125" style="1" customWidth="1"/>
    <col min="7160" max="7160" width="22.08984375" style="1" customWidth="1"/>
    <col min="7161" max="7161" width="9.81640625" style="1" customWidth="1"/>
    <col min="7162" max="7162" width="7.36328125" style="1" customWidth="1"/>
    <col min="7163" max="7163" width="9" style="1"/>
    <col min="7164" max="7164" width="9.1796875" style="1" customWidth="1"/>
    <col min="7165" max="7165" width="3.453125" style="1" customWidth="1"/>
    <col min="7166" max="7167" width="12.6328125" style="1" customWidth="1"/>
    <col min="7168" max="7168" width="9" style="1"/>
    <col min="7169" max="7169" width="7.81640625" style="1" customWidth="1"/>
    <col min="7170" max="7170" width="13.08984375" style="1" customWidth="1"/>
    <col min="7171" max="7171" width="6.08984375" style="1" customWidth="1"/>
    <col min="7172" max="7172" width="9.81640625" style="1" customWidth="1"/>
    <col min="7173" max="7173" width="1.36328125" style="1" customWidth="1"/>
    <col min="7174" max="7413" width="9" style="1"/>
    <col min="7414" max="7414" width="1.36328125" style="1" customWidth="1"/>
    <col min="7415" max="7415" width="3.453125" style="1" customWidth="1"/>
    <col min="7416" max="7416" width="22.08984375" style="1" customWidth="1"/>
    <col min="7417" max="7417" width="9.81640625" style="1" customWidth="1"/>
    <col min="7418" max="7418" width="7.36328125" style="1" customWidth="1"/>
    <col min="7419" max="7419" width="9" style="1"/>
    <col min="7420" max="7420" width="9.1796875" style="1" customWidth="1"/>
    <col min="7421" max="7421" width="3.453125" style="1" customWidth="1"/>
    <col min="7422" max="7423" width="12.6328125" style="1" customWidth="1"/>
    <col min="7424" max="7424" width="9" style="1"/>
    <col min="7425" max="7425" width="7.81640625" style="1" customWidth="1"/>
    <col min="7426" max="7426" width="13.08984375" style="1" customWidth="1"/>
    <col min="7427" max="7427" width="6.08984375" style="1" customWidth="1"/>
    <col min="7428" max="7428" width="9.81640625" style="1" customWidth="1"/>
    <col min="7429" max="7429" width="1.36328125" style="1" customWidth="1"/>
    <col min="7430" max="7669" width="9" style="1"/>
    <col min="7670" max="7670" width="1.36328125" style="1" customWidth="1"/>
    <col min="7671" max="7671" width="3.453125" style="1" customWidth="1"/>
    <col min="7672" max="7672" width="22.08984375" style="1" customWidth="1"/>
    <col min="7673" max="7673" width="9.81640625" style="1" customWidth="1"/>
    <col min="7674" max="7674" width="7.36328125" style="1" customWidth="1"/>
    <col min="7675" max="7675" width="9" style="1"/>
    <col min="7676" max="7676" width="9.1796875" style="1" customWidth="1"/>
    <col min="7677" max="7677" width="3.453125" style="1" customWidth="1"/>
    <col min="7678" max="7679" width="12.6328125" style="1" customWidth="1"/>
    <col min="7680" max="7680" width="9" style="1"/>
    <col min="7681" max="7681" width="7.81640625" style="1" customWidth="1"/>
    <col min="7682" max="7682" width="13.08984375" style="1" customWidth="1"/>
    <col min="7683" max="7683" width="6.08984375" style="1" customWidth="1"/>
    <col min="7684" max="7684" width="9.81640625" style="1" customWidth="1"/>
    <col min="7685" max="7685" width="1.36328125" style="1" customWidth="1"/>
    <col min="7686" max="7925" width="9" style="1"/>
    <col min="7926" max="7926" width="1.36328125" style="1" customWidth="1"/>
    <col min="7927" max="7927" width="3.453125" style="1" customWidth="1"/>
    <col min="7928" max="7928" width="22.08984375" style="1" customWidth="1"/>
    <col min="7929" max="7929" width="9.81640625" style="1" customWidth="1"/>
    <col min="7930" max="7930" width="7.36328125" style="1" customWidth="1"/>
    <col min="7931" max="7931" width="9" style="1"/>
    <col min="7932" max="7932" width="9.1796875" style="1" customWidth="1"/>
    <col min="7933" max="7933" width="3.453125" style="1" customWidth="1"/>
    <col min="7934" max="7935" width="12.6328125" style="1" customWidth="1"/>
    <col min="7936" max="7936" width="9" style="1"/>
    <col min="7937" max="7937" width="7.81640625" style="1" customWidth="1"/>
    <col min="7938" max="7938" width="13.08984375" style="1" customWidth="1"/>
    <col min="7939" max="7939" width="6.08984375" style="1" customWidth="1"/>
    <col min="7940" max="7940" width="9.81640625" style="1" customWidth="1"/>
    <col min="7941" max="7941" width="1.36328125" style="1" customWidth="1"/>
    <col min="7942" max="8181" width="9" style="1"/>
    <col min="8182" max="8182" width="1.36328125" style="1" customWidth="1"/>
    <col min="8183" max="8183" width="3.453125" style="1" customWidth="1"/>
    <col min="8184" max="8184" width="22.08984375" style="1" customWidth="1"/>
    <col min="8185" max="8185" width="9.81640625" style="1" customWidth="1"/>
    <col min="8186" max="8186" width="7.36328125" style="1" customWidth="1"/>
    <col min="8187" max="8187" width="9" style="1"/>
    <col min="8188" max="8188" width="9.1796875" style="1" customWidth="1"/>
    <col min="8189" max="8189" width="3.453125" style="1" customWidth="1"/>
    <col min="8190" max="8191" width="12.6328125" style="1" customWidth="1"/>
    <col min="8192" max="8192" width="9" style="1"/>
    <col min="8193" max="8193" width="7.81640625" style="1" customWidth="1"/>
    <col min="8194" max="8194" width="13.08984375" style="1" customWidth="1"/>
    <col min="8195" max="8195" width="6.08984375" style="1" customWidth="1"/>
    <col min="8196" max="8196" width="9.81640625" style="1" customWidth="1"/>
    <col min="8197" max="8197" width="1.36328125" style="1" customWidth="1"/>
    <col min="8198" max="8437" width="9" style="1"/>
    <col min="8438" max="8438" width="1.36328125" style="1" customWidth="1"/>
    <col min="8439" max="8439" width="3.453125" style="1" customWidth="1"/>
    <col min="8440" max="8440" width="22.08984375" style="1" customWidth="1"/>
    <col min="8441" max="8441" width="9.81640625" style="1" customWidth="1"/>
    <col min="8442" max="8442" width="7.36328125" style="1" customWidth="1"/>
    <col min="8443" max="8443" width="9" style="1"/>
    <col min="8444" max="8444" width="9.1796875" style="1" customWidth="1"/>
    <col min="8445" max="8445" width="3.453125" style="1" customWidth="1"/>
    <col min="8446" max="8447" width="12.6328125" style="1" customWidth="1"/>
    <col min="8448" max="8448" width="9" style="1"/>
    <col min="8449" max="8449" width="7.81640625" style="1" customWidth="1"/>
    <col min="8450" max="8450" width="13.08984375" style="1" customWidth="1"/>
    <col min="8451" max="8451" width="6.08984375" style="1" customWidth="1"/>
    <col min="8452" max="8452" width="9.81640625" style="1" customWidth="1"/>
    <col min="8453" max="8453" width="1.36328125" style="1" customWidth="1"/>
    <col min="8454" max="8693" width="9" style="1"/>
    <col min="8694" max="8694" width="1.36328125" style="1" customWidth="1"/>
    <col min="8695" max="8695" width="3.453125" style="1" customWidth="1"/>
    <col min="8696" max="8696" width="22.08984375" style="1" customWidth="1"/>
    <col min="8697" max="8697" width="9.81640625" style="1" customWidth="1"/>
    <col min="8698" max="8698" width="7.36328125" style="1" customWidth="1"/>
    <col min="8699" max="8699" width="9" style="1"/>
    <col min="8700" max="8700" width="9.1796875" style="1" customWidth="1"/>
    <col min="8701" max="8701" width="3.453125" style="1" customWidth="1"/>
    <col min="8702" max="8703" width="12.6328125" style="1" customWidth="1"/>
    <col min="8704" max="8704" width="9" style="1"/>
    <col min="8705" max="8705" width="7.81640625" style="1" customWidth="1"/>
    <col min="8706" max="8706" width="13.08984375" style="1" customWidth="1"/>
    <col min="8707" max="8707" width="6.08984375" style="1" customWidth="1"/>
    <col min="8708" max="8708" width="9.81640625" style="1" customWidth="1"/>
    <col min="8709" max="8709" width="1.36328125" style="1" customWidth="1"/>
    <col min="8710" max="8949" width="9" style="1"/>
    <col min="8950" max="8950" width="1.36328125" style="1" customWidth="1"/>
    <col min="8951" max="8951" width="3.453125" style="1" customWidth="1"/>
    <col min="8952" max="8952" width="22.08984375" style="1" customWidth="1"/>
    <col min="8953" max="8953" width="9.81640625" style="1" customWidth="1"/>
    <col min="8954" max="8954" width="7.36328125" style="1" customWidth="1"/>
    <col min="8955" max="8955" width="9" style="1"/>
    <col min="8956" max="8956" width="9.1796875" style="1" customWidth="1"/>
    <col min="8957" max="8957" width="3.453125" style="1" customWidth="1"/>
    <col min="8958" max="8959" width="12.6328125" style="1" customWidth="1"/>
    <col min="8960" max="8960" width="9" style="1"/>
    <col min="8961" max="8961" width="7.81640625" style="1" customWidth="1"/>
    <col min="8962" max="8962" width="13.08984375" style="1" customWidth="1"/>
    <col min="8963" max="8963" width="6.08984375" style="1" customWidth="1"/>
    <col min="8964" max="8964" width="9.81640625" style="1" customWidth="1"/>
    <col min="8965" max="8965" width="1.36328125" style="1" customWidth="1"/>
    <col min="8966" max="9205" width="9" style="1"/>
    <col min="9206" max="9206" width="1.36328125" style="1" customWidth="1"/>
    <col min="9207" max="9207" width="3.453125" style="1" customWidth="1"/>
    <col min="9208" max="9208" width="22.08984375" style="1" customWidth="1"/>
    <col min="9209" max="9209" width="9.81640625" style="1" customWidth="1"/>
    <col min="9210" max="9210" width="7.36328125" style="1" customWidth="1"/>
    <col min="9211" max="9211" width="9" style="1"/>
    <col min="9212" max="9212" width="9.1796875" style="1" customWidth="1"/>
    <col min="9213" max="9213" width="3.453125" style="1" customWidth="1"/>
    <col min="9214" max="9215" width="12.6328125" style="1" customWidth="1"/>
    <col min="9216" max="9216" width="9" style="1"/>
    <col min="9217" max="9217" width="7.81640625" style="1" customWidth="1"/>
    <col min="9218" max="9218" width="13.08984375" style="1" customWidth="1"/>
    <col min="9219" max="9219" width="6.08984375" style="1" customWidth="1"/>
    <col min="9220" max="9220" width="9.81640625" style="1" customWidth="1"/>
    <col min="9221" max="9221" width="1.36328125" style="1" customWidth="1"/>
    <col min="9222" max="9461" width="9" style="1"/>
    <col min="9462" max="9462" width="1.36328125" style="1" customWidth="1"/>
    <col min="9463" max="9463" width="3.453125" style="1" customWidth="1"/>
    <col min="9464" max="9464" width="22.08984375" style="1" customWidth="1"/>
    <col min="9465" max="9465" width="9.81640625" style="1" customWidth="1"/>
    <col min="9466" max="9466" width="7.36328125" style="1" customWidth="1"/>
    <col min="9467" max="9467" width="9" style="1"/>
    <col min="9468" max="9468" width="9.1796875" style="1" customWidth="1"/>
    <col min="9469" max="9469" width="3.453125" style="1" customWidth="1"/>
    <col min="9470" max="9471" width="12.6328125" style="1" customWidth="1"/>
    <col min="9472" max="9472" width="9" style="1"/>
    <col min="9473" max="9473" width="7.81640625" style="1" customWidth="1"/>
    <col min="9474" max="9474" width="13.08984375" style="1" customWidth="1"/>
    <col min="9475" max="9475" width="6.08984375" style="1" customWidth="1"/>
    <col min="9476" max="9476" width="9.81640625" style="1" customWidth="1"/>
    <col min="9477" max="9477" width="1.36328125" style="1" customWidth="1"/>
    <col min="9478" max="9717" width="9" style="1"/>
    <col min="9718" max="9718" width="1.36328125" style="1" customWidth="1"/>
    <col min="9719" max="9719" width="3.453125" style="1" customWidth="1"/>
    <col min="9720" max="9720" width="22.08984375" style="1" customWidth="1"/>
    <col min="9721" max="9721" width="9.81640625" style="1" customWidth="1"/>
    <col min="9722" max="9722" width="7.36328125" style="1" customWidth="1"/>
    <col min="9723" max="9723" width="9" style="1"/>
    <col min="9724" max="9724" width="9.1796875" style="1" customWidth="1"/>
    <col min="9725" max="9725" width="3.453125" style="1" customWidth="1"/>
    <col min="9726" max="9727" width="12.6328125" style="1" customWidth="1"/>
    <col min="9728" max="9728" width="9" style="1"/>
    <col min="9729" max="9729" width="7.81640625" style="1" customWidth="1"/>
    <col min="9730" max="9730" width="13.08984375" style="1" customWidth="1"/>
    <col min="9731" max="9731" width="6.08984375" style="1" customWidth="1"/>
    <col min="9732" max="9732" width="9.81640625" style="1" customWidth="1"/>
    <col min="9733" max="9733" width="1.36328125" style="1" customWidth="1"/>
    <col min="9734" max="9973" width="9" style="1"/>
    <col min="9974" max="9974" width="1.36328125" style="1" customWidth="1"/>
    <col min="9975" max="9975" width="3.453125" style="1" customWidth="1"/>
    <col min="9976" max="9976" width="22.08984375" style="1" customWidth="1"/>
    <col min="9977" max="9977" width="9.81640625" style="1" customWidth="1"/>
    <col min="9978" max="9978" width="7.36328125" style="1" customWidth="1"/>
    <col min="9979" max="9979" width="9" style="1"/>
    <col min="9980" max="9980" width="9.1796875" style="1" customWidth="1"/>
    <col min="9981" max="9981" width="3.453125" style="1" customWidth="1"/>
    <col min="9982" max="9983" width="12.6328125" style="1" customWidth="1"/>
    <col min="9984" max="9984" width="9" style="1"/>
    <col min="9985" max="9985" width="7.81640625" style="1" customWidth="1"/>
    <col min="9986" max="9986" width="13.08984375" style="1" customWidth="1"/>
    <col min="9987" max="9987" width="6.08984375" style="1" customWidth="1"/>
    <col min="9988" max="9988" width="9.81640625" style="1" customWidth="1"/>
    <col min="9989" max="9989" width="1.36328125" style="1" customWidth="1"/>
    <col min="9990" max="10229" width="9" style="1"/>
    <col min="10230" max="10230" width="1.36328125" style="1" customWidth="1"/>
    <col min="10231" max="10231" width="3.453125" style="1" customWidth="1"/>
    <col min="10232" max="10232" width="22.08984375" style="1" customWidth="1"/>
    <col min="10233" max="10233" width="9.81640625" style="1" customWidth="1"/>
    <col min="10234" max="10234" width="7.36328125" style="1" customWidth="1"/>
    <col min="10235" max="10235" width="9" style="1"/>
    <col min="10236" max="10236" width="9.1796875" style="1" customWidth="1"/>
    <col min="10237" max="10237" width="3.453125" style="1" customWidth="1"/>
    <col min="10238" max="10239" width="12.6328125" style="1" customWidth="1"/>
    <col min="10240" max="10240" width="9" style="1"/>
    <col min="10241" max="10241" width="7.81640625" style="1" customWidth="1"/>
    <col min="10242" max="10242" width="13.08984375" style="1" customWidth="1"/>
    <col min="10243" max="10243" width="6.08984375" style="1" customWidth="1"/>
    <col min="10244" max="10244" width="9.81640625" style="1" customWidth="1"/>
    <col min="10245" max="10245" width="1.36328125" style="1" customWidth="1"/>
    <col min="10246" max="10485" width="9" style="1"/>
    <col min="10486" max="10486" width="1.36328125" style="1" customWidth="1"/>
    <col min="10487" max="10487" width="3.453125" style="1" customWidth="1"/>
    <col min="10488" max="10488" width="22.08984375" style="1" customWidth="1"/>
    <col min="10489" max="10489" width="9.81640625" style="1" customWidth="1"/>
    <col min="10490" max="10490" width="7.36328125" style="1" customWidth="1"/>
    <col min="10491" max="10491" width="9" style="1"/>
    <col min="10492" max="10492" width="9.1796875" style="1" customWidth="1"/>
    <col min="10493" max="10493" width="3.453125" style="1" customWidth="1"/>
    <col min="10494" max="10495" width="12.6328125" style="1" customWidth="1"/>
    <col min="10496" max="10496" width="9" style="1"/>
    <col min="10497" max="10497" width="7.81640625" style="1" customWidth="1"/>
    <col min="10498" max="10498" width="13.08984375" style="1" customWidth="1"/>
    <col min="10499" max="10499" width="6.08984375" style="1" customWidth="1"/>
    <col min="10500" max="10500" width="9.81640625" style="1" customWidth="1"/>
    <col min="10501" max="10501" width="1.36328125" style="1" customWidth="1"/>
    <col min="10502" max="10741" width="9" style="1"/>
    <col min="10742" max="10742" width="1.36328125" style="1" customWidth="1"/>
    <col min="10743" max="10743" width="3.453125" style="1" customWidth="1"/>
    <col min="10744" max="10744" width="22.08984375" style="1" customWidth="1"/>
    <col min="10745" max="10745" width="9.81640625" style="1" customWidth="1"/>
    <col min="10746" max="10746" width="7.36328125" style="1" customWidth="1"/>
    <col min="10747" max="10747" width="9" style="1"/>
    <col min="10748" max="10748" width="9.1796875" style="1" customWidth="1"/>
    <col min="10749" max="10749" width="3.453125" style="1" customWidth="1"/>
    <col min="10750" max="10751" width="12.6328125" style="1" customWidth="1"/>
    <col min="10752" max="10752" width="9" style="1"/>
    <col min="10753" max="10753" width="7.81640625" style="1" customWidth="1"/>
    <col min="10754" max="10754" width="13.08984375" style="1" customWidth="1"/>
    <col min="10755" max="10755" width="6.08984375" style="1" customWidth="1"/>
    <col min="10756" max="10756" width="9.81640625" style="1" customWidth="1"/>
    <col min="10757" max="10757" width="1.36328125" style="1" customWidth="1"/>
    <col min="10758" max="10997" width="9" style="1"/>
    <col min="10998" max="10998" width="1.36328125" style="1" customWidth="1"/>
    <col min="10999" max="10999" width="3.453125" style="1" customWidth="1"/>
    <col min="11000" max="11000" width="22.08984375" style="1" customWidth="1"/>
    <col min="11001" max="11001" width="9.81640625" style="1" customWidth="1"/>
    <col min="11002" max="11002" width="7.36328125" style="1" customWidth="1"/>
    <col min="11003" max="11003" width="9" style="1"/>
    <col min="11004" max="11004" width="9.1796875" style="1" customWidth="1"/>
    <col min="11005" max="11005" width="3.453125" style="1" customWidth="1"/>
    <col min="11006" max="11007" width="12.6328125" style="1" customWidth="1"/>
    <col min="11008" max="11008" width="9" style="1"/>
    <col min="11009" max="11009" width="7.81640625" style="1" customWidth="1"/>
    <col min="11010" max="11010" width="13.08984375" style="1" customWidth="1"/>
    <col min="11011" max="11011" width="6.08984375" style="1" customWidth="1"/>
    <col min="11012" max="11012" width="9.81640625" style="1" customWidth="1"/>
    <col min="11013" max="11013" width="1.36328125" style="1" customWidth="1"/>
    <col min="11014" max="11253" width="9" style="1"/>
    <col min="11254" max="11254" width="1.36328125" style="1" customWidth="1"/>
    <col min="11255" max="11255" width="3.453125" style="1" customWidth="1"/>
    <col min="11256" max="11256" width="22.08984375" style="1" customWidth="1"/>
    <col min="11257" max="11257" width="9.81640625" style="1" customWidth="1"/>
    <col min="11258" max="11258" width="7.36328125" style="1" customWidth="1"/>
    <col min="11259" max="11259" width="9" style="1"/>
    <col min="11260" max="11260" width="9.1796875" style="1" customWidth="1"/>
    <col min="11261" max="11261" width="3.453125" style="1" customWidth="1"/>
    <col min="11262" max="11263" width="12.6328125" style="1" customWidth="1"/>
    <col min="11264" max="11264" width="9" style="1"/>
    <col min="11265" max="11265" width="7.81640625" style="1" customWidth="1"/>
    <col min="11266" max="11266" width="13.08984375" style="1" customWidth="1"/>
    <col min="11267" max="11267" width="6.08984375" style="1" customWidth="1"/>
    <col min="11268" max="11268" width="9.81640625" style="1" customWidth="1"/>
    <col min="11269" max="11269" width="1.36328125" style="1" customWidth="1"/>
    <col min="11270" max="11509" width="9" style="1"/>
    <col min="11510" max="11510" width="1.36328125" style="1" customWidth="1"/>
    <col min="11511" max="11511" width="3.453125" style="1" customWidth="1"/>
    <col min="11512" max="11512" width="22.08984375" style="1" customWidth="1"/>
    <col min="11513" max="11513" width="9.81640625" style="1" customWidth="1"/>
    <col min="11514" max="11514" width="7.36328125" style="1" customWidth="1"/>
    <col min="11515" max="11515" width="9" style="1"/>
    <col min="11516" max="11516" width="9.1796875" style="1" customWidth="1"/>
    <col min="11517" max="11517" width="3.453125" style="1" customWidth="1"/>
    <col min="11518" max="11519" width="12.6328125" style="1" customWidth="1"/>
    <col min="11520" max="11520" width="9" style="1"/>
    <col min="11521" max="11521" width="7.81640625" style="1" customWidth="1"/>
    <col min="11522" max="11522" width="13.08984375" style="1" customWidth="1"/>
    <col min="11523" max="11523" width="6.08984375" style="1" customWidth="1"/>
    <col min="11524" max="11524" width="9.81640625" style="1" customWidth="1"/>
    <col min="11525" max="11525" width="1.36328125" style="1" customWidth="1"/>
    <col min="11526" max="11765" width="9" style="1"/>
    <col min="11766" max="11766" width="1.36328125" style="1" customWidth="1"/>
    <col min="11767" max="11767" width="3.453125" style="1" customWidth="1"/>
    <col min="11768" max="11768" width="22.08984375" style="1" customWidth="1"/>
    <col min="11769" max="11769" width="9.81640625" style="1" customWidth="1"/>
    <col min="11770" max="11770" width="7.36328125" style="1" customWidth="1"/>
    <col min="11771" max="11771" width="9" style="1"/>
    <col min="11772" max="11772" width="9.1796875" style="1" customWidth="1"/>
    <col min="11773" max="11773" width="3.453125" style="1" customWidth="1"/>
    <col min="11774" max="11775" width="12.6328125" style="1" customWidth="1"/>
    <col min="11776" max="11776" width="9" style="1"/>
    <col min="11777" max="11777" width="7.81640625" style="1" customWidth="1"/>
    <col min="11778" max="11778" width="13.08984375" style="1" customWidth="1"/>
    <col min="11779" max="11779" width="6.08984375" style="1" customWidth="1"/>
    <col min="11780" max="11780" width="9.81640625" style="1" customWidth="1"/>
    <col min="11781" max="11781" width="1.36328125" style="1" customWidth="1"/>
    <col min="11782" max="12021" width="9" style="1"/>
    <col min="12022" max="12022" width="1.36328125" style="1" customWidth="1"/>
    <col min="12023" max="12023" width="3.453125" style="1" customWidth="1"/>
    <col min="12024" max="12024" width="22.08984375" style="1" customWidth="1"/>
    <col min="12025" max="12025" width="9.81640625" style="1" customWidth="1"/>
    <col min="12026" max="12026" width="7.36328125" style="1" customWidth="1"/>
    <col min="12027" max="12027" width="9" style="1"/>
    <col min="12028" max="12028" width="9.1796875" style="1" customWidth="1"/>
    <col min="12029" max="12029" width="3.453125" style="1" customWidth="1"/>
    <col min="12030" max="12031" width="12.6328125" style="1" customWidth="1"/>
    <col min="12032" max="12032" width="9" style="1"/>
    <col min="12033" max="12033" width="7.81640625" style="1" customWidth="1"/>
    <col min="12034" max="12034" width="13.08984375" style="1" customWidth="1"/>
    <col min="12035" max="12035" width="6.08984375" style="1" customWidth="1"/>
    <col min="12036" max="12036" width="9.81640625" style="1" customWidth="1"/>
    <col min="12037" max="12037" width="1.36328125" style="1" customWidth="1"/>
    <col min="12038" max="12277" width="9" style="1"/>
    <col min="12278" max="12278" width="1.36328125" style="1" customWidth="1"/>
    <col min="12279" max="12279" width="3.453125" style="1" customWidth="1"/>
    <col min="12280" max="12280" width="22.08984375" style="1" customWidth="1"/>
    <col min="12281" max="12281" width="9.81640625" style="1" customWidth="1"/>
    <col min="12282" max="12282" width="7.36328125" style="1" customWidth="1"/>
    <col min="12283" max="12283" width="9" style="1"/>
    <col min="12284" max="12284" width="9.1796875" style="1" customWidth="1"/>
    <col min="12285" max="12285" width="3.453125" style="1" customWidth="1"/>
    <col min="12286" max="12287" width="12.6328125" style="1" customWidth="1"/>
    <col min="12288" max="12288" width="9" style="1"/>
    <col min="12289" max="12289" width="7.81640625" style="1" customWidth="1"/>
    <col min="12290" max="12290" width="13.08984375" style="1" customWidth="1"/>
    <col min="12291" max="12291" width="6.08984375" style="1" customWidth="1"/>
    <col min="12292" max="12292" width="9.81640625" style="1" customWidth="1"/>
    <col min="12293" max="12293" width="1.36328125" style="1" customWidth="1"/>
    <col min="12294" max="12533" width="9" style="1"/>
    <col min="12534" max="12534" width="1.36328125" style="1" customWidth="1"/>
    <col min="12535" max="12535" width="3.453125" style="1" customWidth="1"/>
    <col min="12536" max="12536" width="22.08984375" style="1" customWidth="1"/>
    <col min="12537" max="12537" width="9.81640625" style="1" customWidth="1"/>
    <col min="12538" max="12538" width="7.36328125" style="1" customWidth="1"/>
    <col min="12539" max="12539" width="9" style="1"/>
    <col min="12540" max="12540" width="9.1796875" style="1" customWidth="1"/>
    <col min="12541" max="12541" width="3.453125" style="1" customWidth="1"/>
    <col min="12542" max="12543" width="12.6328125" style="1" customWidth="1"/>
    <col min="12544" max="12544" width="9" style="1"/>
    <col min="12545" max="12545" width="7.81640625" style="1" customWidth="1"/>
    <col min="12546" max="12546" width="13.08984375" style="1" customWidth="1"/>
    <col min="12547" max="12547" width="6.08984375" style="1" customWidth="1"/>
    <col min="12548" max="12548" width="9.81640625" style="1" customWidth="1"/>
    <col min="12549" max="12549" width="1.36328125" style="1" customWidth="1"/>
    <col min="12550" max="12789" width="9" style="1"/>
    <col min="12790" max="12790" width="1.36328125" style="1" customWidth="1"/>
    <col min="12791" max="12791" width="3.453125" style="1" customWidth="1"/>
    <col min="12792" max="12792" width="22.08984375" style="1" customWidth="1"/>
    <col min="12793" max="12793" width="9.81640625" style="1" customWidth="1"/>
    <col min="12794" max="12794" width="7.36328125" style="1" customWidth="1"/>
    <col min="12795" max="12795" width="9" style="1"/>
    <col min="12796" max="12796" width="9.1796875" style="1" customWidth="1"/>
    <col min="12797" max="12797" width="3.453125" style="1" customWidth="1"/>
    <col min="12798" max="12799" width="12.6328125" style="1" customWidth="1"/>
    <col min="12800" max="12800" width="9" style="1"/>
    <col min="12801" max="12801" width="7.81640625" style="1" customWidth="1"/>
    <col min="12802" max="12802" width="13.08984375" style="1" customWidth="1"/>
    <col min="12803" max="12803" width="6.08984375" style="1" customWidth="1"/>
    <col min="12804" max="12804" width="9.81640625" style="1" customWidth="1"/>
    <col min="12805" max="12805" width="1.36328125" style="1" customWidth="1"/>
    <col min="12806" max="13045" width="9" style="1"/>
    <col min="13046" max="13046" width="1.36328125" style="1" customWidth="1"/>
    <col min="13047" max="13047" width="3.453125" style="1" customWidth="1"/>
    <col min="13048" max="13048" width="22.08984375" style="1" customWidth="1"/>
    <col min="13049" max="13049" width="9.81640625" style="1" customWidth="1"/>
    <col min="13050" max="13050" width="7.36328125" style="1" customWidth="1"/>
    <col min="13051" max="13051" width="9" style="1"/>
    <col min="13052" max="13052" width="9.1796875" style="1" customWidth="1"/>
    <col min="13053" max="13053" width="3.453125" style="1" customWidth="1"/>
    <col min="13054" max="13055" width="12.6328125" style="1" customWidth="1"/>
    <col min="13056" max="13056" width="9" style="1"/>
    <col min="13057" max="13057" width="7.81640625" style="1" customWidth="1"/>
    <col min="13058" max="13058" width="13.08984375" style="1" customWidth="1"/>
    <col min="13059" max="13059" width="6.08984375" style="1" customWidth="1"/>
    <col min="13060" max="13060" width="9.81640625" style="1" customWidth="1"/>
    <col min="13061" max="13061" width="1.36328125" style="1" customWidth="1"/>
    <col min="13062" max="13301" width="9" style="1"/>
    <col min="13302" max="13302" width="1.36328125" style="1" customWidth="1"/>
    <col min="13303" max="13303" width="3.453125" style="1" customWidth="1"/>
    <col min="13304" max="13304" width="22.08984375" style="1" customWidth="1"/>
    <col min="13305" max="13305" width="9.81640625" style="1" customWidth="1"/>
    <col min="13306" max="13306" width="7.36328125" style="1" customWidth="1"/>
    <col min="13307" max="13307" width="9" style="1"/>
    <col min="13308" max="13308" width="9.1796875" style="1" customWidth="1"/>
    <col min="13309" max="13309" width="3.453125" style="1" customWidth="1"/>
    <col min="13310" max="13311" width="12.6328125" style="1" customWidth="1"/>
    <col min="13312" max="13312" width="9" style="1"/>
    <col min="13313" max="13313" width="7.81640625" style="1" customWidth="1"/>
    <col min="13314" max="13314" width="13.08984375" style="1" customWidth="1"/>
    <col min="13315" max="13315" width="6.08984375" style="1" customWidth="1"/>
    <col min="13316" max="13316" width="9.81640625" style="1" customWidth="1"/>
    <col min="13317" max="13317" width="1.36328125" style="1" customWidth="1"/>
    <col min="13318" max="13557" width="9" style="1"/>
    <col min="13558" max="13558" width="1.36328125" style="1" customWidth="1"/>
    <col min="13559" max="13559" width="3.453125" style="1" customWidth="1"/>
    <col min="13560" max="13560" width="22.08984375" style="1" customWidth="1"/>
    <col min="13561" max="13561" width="9.81640625" style="1" customWidth="1"/>
    <col min="13562" max="13562" width="7.36328125" style="1" customWidth="1"/>
    <col min="13563" max="13563" width="9" style="1"/>
    <col min="13564" max="13564" width="9.1796875" style="1" customWidth="1"/>
    <col min="13565" max="13565" width="3.453125" style="1" customWidth="1"/>
    <col min="13566" max="13567" width="12.6328125" style="1" customWidth="1"/>
    <col min="13568" max="13568" width="9" style="1"/>
    <col min="13569" max="13569" width="7.81640625" style="1" customWidth="1"/>
    <col min="13570" max="13570" width="13.08984375" style="1" customWidth="1"/>
    <col min="13571" max="13571" width="6.08984375" style="1" customWidth="1"/>
    <col min="13572" max="13572" width="9.81640625" style="1" customWidth="1"/>
    <col min="13573" max="13573" width="1.36328125" style="1" customWidth="1"/>
    <col min="13574" max="13813" width="9" style="1"/>
    <col min="13814" max="13814" width="1.36328125" style="1" customWidth="1"/>
    <col min="13815" max="13815" width="3.453125" style="1" customWidth="1"/>
    <col min="13816" max="13816" width="22.08984375" style="1" customWidth="1"/>
    <col min="13817" max="13817" width="9.81640625" style="1" customWidth="1"/>
    <col min="13818" max="13818" width="7.36328125" style="1" customWidth="1"/>
    <col min="13819" max="13819" width="9" style="1"/>
    <col min="13820" max="13820" width="9.1796875" style="1" customWidth="1"/>
    <col min="13821" max="13821" width="3.453125" style="1" customWidth="1"/>
    <col min="13822" max="13823" width="12.6328125" style="1" customWidth="1"/>
    <col min="13824" max="13824" width="9" style="1"/>
    <col min="13825" max="13825" width="7.81640625" style="1" customWidth="1"/>
    <col min="13826" max="13826" width="13.08984375" style="1" customWidth="1"/>
    <col min="13827" max="13827" width="6.08984375" style="1" customWidth="1"/>
    <col min="13828" max="13828" width="9.81640625" style="1" customWidth="1"/>
    <col min="13829" max="13829" width="1.36328125" style="1" customWidth="1"/>
    <col min="13830" max="14069" width="9" style="1"/>
    <col min="14070" max="14070" width="1.36328125" style="1" customWidth="1"/>
    <col min="14071" max="14071" width="3.453125" style="1" customWidth="1"/>
    <col min="14072" max="14072" width="22.08984375" style="1" customWidth="1"/>
    <col min="14073" max="14073" width="9.81640625" style="1" customWidth="1"/>
    <col min="14074" max="14074" width="7.36328125" style="1" customWidth="1"/>
    <col min="14075" max="14075" width="9" style="1"/>
    <col min="14076" max="14076" width="9.1796875" style="1" customWidth="1"/>
    <col min="14077" max="14077" width="3.453125" style="1" customWidth="1"/>
    <col min="14078" max="14079" width="12.6328125" style="1" customWidth="1"/>
    <col min="14080" max="14080" width="9" style="1"/>
    <col min="14081" max="14081" width="7.81640625" style="1" customWidth="1"/>
    <col min="14082" max="14082" width="13.08984375" style="1" customWidth="1"/>
    <col min="14083" max="14083" width="6.08984375" style="1" customWidth="1"/>
    <col min="14084" max="14084" width="9.81640625" style="1" customWidth="1"/>
    <col min="14085" max="14085" width="1.36328125" style="1" customWidth="1"/>
    <col min="14086" max="14325" width="9" style="1"/>
    <col min="14326" max="14326" width="1.36328125" style="1" customWidth="1"/>
    <col min="14327" max="14327" width="3.453125" style="1" customWidth="1"/>
    <col min="14328" max="14328" width="22.08984375" style="1" customWidth="1"/>
    <col min="14329" max="14329" width="9.81640625" style="1" customWidth="1"/>
    <col min="14330" max="14330" width="7.36328125" style="1" customWidth="1"/>
    <col min="14331" max="14331" width="9" style="1"/>
    <col min="14332" max="14332" width="9.1796875" style="1" customWidth="1"/>
    <col min="14333" max="14333" width="3.453125" style="1" customWidth="1"/>
    <col min="14334" max="14335" width="12.6328125" style="1" customWidth="1"/>
    <col min="14336" max="14336" width="9" style="1"/>
    <col min="14337" max="14337" width="7.81640625" style="1" customWidth="1"/>
    <col min="14338" max="14338" width="13.08984375" style="1" customWidth="1"/>
    <col min="14339" max="14339" width="6.08984375" style="1" customWidth="1"/>
    <col min="14340" max="14340" width="9.81640625" style="1" customWidth="1"/>
    <col min="14341" max="14341" width="1.36328125" style="1" customWidth="1"/>
    <col min="14342" max="14581" width="9" style="1"/>
    <col min="14582" max="14582" width="1.36328125" style="1" customWidth="1"/>
    <col min="14583" max="14583" width="3.453125" style="1" customWidth="1"/>
    <col min="14584" max="14584" width="22.08984375" style="1" customWidth="1"/>
    <col min="14585" max="14585" width="9.81640625" style="1" customWidth="1"/>
    <col min="14586" max="14586" width="7.36328125" style="1" customWidth="1"/>
    <col min="14587" max="14587" width="9" style="1"/>
    <col min="14588" max="14588" width="9.1796875" style="1" customWidth="1"/>
    <col min="14589" max="14589" width="3.453125" style="1" customWidth="1"/>
    <col min="14590" max="14591" width="12.6328125" style="1" customWidth="1"/>
    <col min="14592" max="14592" width="9" style="1"/>
    <col min="14593" max="14593" width="7.81640625" style="1" customWidth="1"/>
    <col min="14594" max="14594" width="13.08984375" style="1" customWidth="1"/>
    <col min="14595" max="14595" width="6.08984375" style="1" customWidth="1"/>
    <col min="14596" max="14596" width="9.81640625" style="1" customWidth="1"/>
    <col min="14597" max="14597" width="1.36328125" style="1" customWidth="1"/>
    <col min="14598" max="14837" width="9" style="1"/>
    <col min="14838" max="14838" width="1.36328125" style="1" customWidth="1"/>
    <col min="14839" max="14839" width="3.453125" style="1" customWidth="1"/>
    <col min="14840" max="14840" width="22.08984375" style="1" customWidth="1"/>
    <col min="14841" max="14841" width="9.81640625" style="1" customWidth="1"/>
    <col min="14842" max="14842" width="7.36328125" style="1" customWidth="1"/>
    <col min="14843" max="14843" width="9" style="1"/>
    <col min="14844" max="14844" width="9.1796875" style="1" customWidth="1"/>
    <col min="14845" max="14845" width="3.453125" style="1" customWidth="1"/>
    <col min="14846" max="14847" width="12.6328125" style="1" customWidth="1"/>
    <col min="14848" max="14848" width="9" style="1"/>
    <col min="14849" max="14849" width="7.81640625" style="1" customWidth="1"/>
    <col min="14850" max="14850" width="13.08984375" style="1" customWidth="1"/>
    <col min="14851" max="14851" width="6.08984375" style="1" customWidth="1"/>
    <col min="14852" max="14852" width="9.81640625" style="1" customWidth="1"/>
    <col min="14853" max="14853" width="1.36328125" style="1" customWidth="1"/>
    <col min="14854" max="15093" width="9" style="1"/>
    <col min="15094" max="15094" width="1.36328125" style="1" customWidth="1"/>
    <col min="15095" max="15095" width="3.453125" style="1" customWidth="1"/>
    <col min="15096" max="15096" width="22.08984375" style="1" customWidth="1"/>
    <col min="15097" max="15097" width="9.81640625" style="1" customWidth="1"/>
    <col min="15098" max="15098" width="7.36328125" style="1" customWidth="1"/>
    <col min="15099" max="15099" width="9" style="1"/>
    <col min="15100" max="15100" width="9.1796875" style="1" customWidth="1"/>
    <col min="15101" max="15101" width="3.453125" style="1" customWidth="1"/>
    <col min="15102" max="15103" width="12.6328125" style="1" customWidth="1"/>
    <col min="15104" max="15104" width="9" style="1"/>
    <col min="15105" max="15105" width="7.81640625" style="1" customWidth="1"/>
    <col min="15106" max="15106" width="13.08984375" style="1" customWidth="1"/>
    <col min="15107" max="15107" width="6.08984375" style="1" customWidth="1"/>
    <col min="15108" max="15108" width="9.81640625" style="1" customWidth="1"/>
    <col min="15109" max="15109" width="1.36328125" style="1" customWidth="1"/>
    <col min="15110" max="15349" width="9" style="1"/>
    <col min="15350" max="15350" width="1.36328125" style="1" customWidth="1"/>
    <col min="15351" max="15351" width="3.453125" style="1" customWidth="1"/>
    <col min="15352" max="15352" width="22.08984375" style="1" customWidth="1"/>
    <col min="15353" max="15353" width="9.81640625" style="1" customWidth="1"/>
    <col min="15354" max="15354" width="7.36328125" style="1" customWidth="1"/>
    <col min="15355" max="15355" width="9" style="1"/>
    <col min="15356" max="15356" width="9.1796875" style="1" customWidth="1"/>
    <col min="15357" max="15357" width="3.453125" style="1" customWidth="1"/>
    <col min="15358" max="15359" width="12.6328125" style="1" customWidth="1"/>
    <col min="15360" max="15360" width="9" style="1"/>
    <col min="15361" max="15361" width="7.81640625" style="1" customWidth="1"/>
    <col min="15362" max="15362" width="13.08984375" style="1" customWidth="1"/>
    <col min="15363" max="15363" width="6.08984375" style="1" customWidth="1"/>
    <col min="15364" max="15364" width="9.81640625" style="1" customWidth="1"/>
    <col min="15365" max="15365" width="1.36328125" style="1" customWidth="1"/>
    <col min="15366" max="15605" width="9" style="1"/>
    <col min="15606" max="15606" width="1.36328125" style="1" customWidth="1"/>
    <col min="15607" max="15607" width="3.453125" style="1" customWidth="1"/>
    <col min="15608" max="15608" width="22.08984375" style="1" customWidth="1"/>
    <col min="15609" max="15609" width="9.81640625" style="1" customWidth="1"/>
    <col min="15610" max="15610" width="7.36328125" style="1" customWidth="1"/>
    <col min="15611" max="15611" width="9" style="1"/>
    <col min="15612" max="15612" width="9.1796875" style="1" customWidth="1"/>
    <col min="15613" max="15613" width="3.453125" style="1" customWidth="1"/>
    <col min="15614" max="15615" width="12.6328125" style="1" customWidth="1"/>
    <col min="15616" max="15616" width="9" style="1"/>
    <col min="15617" max="15617" width="7.81640625" style="1" customWidth="1"/>
    <col min="15618" max="15618" width="13.08984375" style="1" customWidth="1"/>
    <col min="15619" max="15619" width="6.08984375" style="1" customWidth="1"/>
    <col min="15620" max="15620" width="9.81640625" style="1" customWidth="1"/>
    <col min="15621" max="15621" width="1.36328125" style="1" customWidth="1"/>
    <col min="15622" max="15861" width="9" style="1"/>
    <col min="15862" max="15862" width="1.36328125" style="1" customWidth="1"/>
    <col min="15863" max="15863" width="3.453125" style="1" customWidth="1"/>
    <col min="15864" max="15864" width="22.08984375" style="1" customWidth="1"/>
    <col min="15865" max="15865" width="9.81640625" style="1" customWidth="1"/>
    <col min="15866" max="15866" width="7.36328125" style="1" customWidth="1"/>
    <col min="15867" max="15867" width="9" style="1"/>
    <col min="15868" max="15868" width="9.1796875" style="1" customWidth="1"/>
    <col min="15869" max="15869" width="3.453125" style="1" customWidth="1"/>
    <col min="15870" max="15871" width="12.6328125" style="1" customWidth="1"/>
    <col min="15872" max="15872" width="9" style="1"/>
    <col min="15873" max="15873" width="7.81640625" style="1" customWidth="1"/>
    <col min="15874" max="15874" width="13.08984375" style="1" customWidth="1"/>
    <col min="15875" max="15875" width="6.08984375" style="1" customWidth="1"/>
    <col min="15876" max="15876" width="9.81640625" style="1" customWidth="1"/>
    <col min="15877" max="15877" width="1.36328125" style="1" customWidth="1"/>
    <col min="15878" max="16117" width="9" style="1"/>
    <col min="16118" max="16118" width="1.36328125" style="1" customWidth="1"/>
    <col min="16119" max="16119" width="3.453125" style="1" customWidth="1"/>
    <col min="16120" max="16120" width="22.08984375" style="1" customWidth="1"/>
    <col min="16121" max="16121" width="9.81640625" style="1" customWidth="1"/>
    <col min="16122" max="16122" width="7.36328125" style="1" customWidth="1"/>
    <col min="16123" max="16123" width="9" style="1"/>
    <col min="16124" max="16124" width="9.1796875" style="1" customWidth="1"/>
    <col min="16125" max="16125" width="3.453125" style="1" customWidth="1"/>
    <col min="16126" max="16127" width="12.6328125" style="1" customWidth="1"/>
    <col min="16128" max="16128" width="9" style="1"/>
    <col min="16129" max="16129" width="7.81640625" style="1" customWidth="1"/>
    <col min="16130" max="16130" width="13.08984375" style="1" customWidth="1"/>
    <col min="16131" max="16131" width="6.08984375" style="1" customWidth="1"/>
    <col min="16132" max="16132" width="9.81640625" style="1" customWidth="1"/>
    <col min="16133" max="16133" width="1.36328125" style="1" customWidth="1"/>
    <col min="16134" max="16384" width="9" style="1"/>
  </cols>
  <sheetData>
    <row r="1" spans="2:25" ht="9.9" customHeight="1" x14ac:dyDescent="0.2"/>
    <row r="2" spans="2:25" ht="24.9" customHeight="1" x14ac:dyDescent="0.2">
      <c r="B2" s="1" t="s">
        <v>354</v>
      </c>
      <c r="C2" s="25"/>
      <c r="F2" s="25"/>
      <c r="G2" s="2"/>
      <c r="H2" s="2"/>
      <c r="I2" s="2"/>
      <c r="J2" s="2"/>
      <c r="K2" s="2"/>
      <c r="L2" s="2"/>
      <c r="M2" s="2"/>
      <c r="N2" s="2"/>
    </row>
    <row r="3" spans="2:25" ht="15" customHeight="1" thickBot="1" x14ac:dyDescent="0.25">
      <c r="B3" s="1" t="s">
        <v>160</v>
      </c>
      <c r="I3" s="1" t="s">
        <v>161</v>
      </c>
      <c r="P3" s="1" t="s">
        <v>181</v>
      </c>
    </row>
    <row r="4" spans="2:25" ht="15" customHeight="1" x14ac:dyDescent="0.2">
      <c r="B4" s="159" t="s">
        <v>69</v>
      </c>
      <c r="C4" s="109" t="s">
        <v>136</v>
      </c>
      <c r="D4" s="109" t="s">
        <v>108</v>
      </c>
      <c r="E4" s="109" t="s">
        <v>109</v>
      </c>
      <c r="F4" s="109" t="s">
        <v>21</v>
      </c>
      <c r="G4" s="97" t="s">
        <v>110</v>
      </c>
      <c r="H4" s="110"/>
      <c r="I4" s="729" t="s">
        <v>69</v>
      </c>
      <c r="J4" s="725" t="s">
        <v>139</v>
      </c>
      <c r="K4" s="288" t="s">
        <v>292</v>
      </c>
      <c r="L4" s="288" t="s">
        <v>111</v>
      </c>
      <c r="M4" s="725" t="s">
        <v>21</v>
      </c>
      <c r="N4" s="727" t="s">
        <v>110</v>
      </c>
      <c r="P4" s="160" t="s">
        <v>142</v>
      </c>
      <c r="Q4" s="161" t="s">
        <v>143</v>
      </c>
      <c r="R4" s="161" t="s">
        <v>144</v>
      </c>
      <c r="S4" s="161" t="s">
        <v>145</v>
      </c>
      <c r="T4" s="731" t="s">
        <v>146</v>
      </c>
      <c r="U4" s="633"/>
      <c r="V4" s="162" t="s">
        <v>147</v>
      </c>
    </row>
    <row r="5" spans="2:25" ht="15" customHeight="1" x14ac:dyDescent="0.2">
      <c r="B5" s="605" t="s">
        <v>130</v>
      </c>
      <c r="C5" s="23" t="s">
        <v>400</v>
      </c>
      <c r="D5" s="23">
        <f>10</f>
        <v>10</v>
      </c>
      <c r="E5" s="29" t="s">
        <v>134</v>
      </c>
      <c r="F5" s="23">
        <v>4000</v>
      </c>
      <c r="G5" s="98">
        <f t="shared" ref="G5:G6" si="0">D5*F5</f>
        <v>40000</v>
      </c>
      <c r="H5" s="90"/>
      <c r="I5" s="730"/>
      <c r="J5" s="726"/>
      <c r="K5" s="112" t="s">
        <v>112</v>
      </c>
      <c r="L5" s="112" t="s">
        <v>361</v>
      </c>
      <c r="M5" s="726"/>
      <c r="N5" s="728"/>
      <c r="P5" s="163" t="s">
        <v>301</v>
      </c>
      <c r="Q5" s="95">
        <v>1900</v>
      </c>
      <c r="R5" s="121" t="s">
        <v>78</v>
      </c>
      <c r="S5" s="95">
        <v>100</v>
      </c>
      <c r="T5" s="700">
        <v>5</v>
      </c>
      <c r="U5" s="701"/>
      <c r="V5" s="116">
        <f>Q5*S5/T5</f>
        <v>38000</v>
      </c>
    </row>
    <row r="6" spans="2:25" ht="15" customHeight="1" x14ac:dyDescent="0.2">
      <c r="B6" s="606"/>
      <c r="C6" s="23"/>
      <c r="D6" s="23"/>
      <c r="E6" s="29"/>
      <c r="F6" s="23"/>
      <c r="G6" s="99">
        <f t="shared" si="0"/>
        <v>0</v>
      </c>
      <c r="H6" s="90"/>
      <c r="I6" s="694" t="s">
        <v>138</v>
      </c>
      <c r="J6" s="220" t="s">
        <v>291</v>
      </c>
      <c r="K6" s="265">
        <f>3*2.5</f>
        <v>7.5</v>
      </c>
      <c r="L6" s="265">
        <v>3</v>
      </c>
      <c r="M6" s="265">
        <v>84.7</v>
      </c>
      <c r="N6" s="289">
        <f>+K6*L6*M6</f>
        <v>1905.75</v>
      </c>
      <c r="P6" s="163"/>
      <c r="Q6" s="95"/>
      <c r="R6" s="121"/>
      <c r="S6" s="95"/>
      <c r="T6" s="700"/>
      <c r="U6" s="701"/>
      <c r="V6" s="116"/>
    </row>
    <row r="7" spans="2:25" ht="15" customHeight="1" thickBot="1" x14ac:dyDescent="0.25">
      <c r="B7" s="691"/>
      <c r="C7" s="100" t="s">
        <v>113</v>
      </c>
      <c r="D7" s="100"/>
      <c r="E7" s="100"/>
      <c r="F7" s="100"/>
      <c r="G7" s="101">
        <f>SUM(G5:G6)</f>
        <v>40000</v>
      </c>
      <c r="H7" s="90"/>
      <c r="I7" s="695"/>
      <c r="J7" s="220" t="s">
        <v>253</v>
      </c>
      <c r="K7" s="265">
        <f>10*2.5</f>
        <v>25</v>
      </c>
      <c r="L7" s="265">
        <v>3</v>
      </c>
      <c r="M7" s="265">
        <v>84.7</v>
      </c>
      <c r="N7" s="289">
        <f t="shared" ref="N7:N8" si="1">+K7*L7*M7</f>
        <v>6352.5</v>
      </c>
      <c r="P7" s="163"/>
      <c r="Q7" s="95"/>
      <c r="R7" s="121"/>
      <c r="S7" s="95"/>
      <c r="T7" s="700"/>
      <c r="U7" s="701"/>
      <c r="V7" s="116"/>
    </row>
    <row r="8" spans="2:25" ht="15" customHeight="1" thickTop="1" x14ac:dyDescent="0.2">
      <c r="B8" s="692" t="s">
        <v>128</v>
      </c>
      <c r="C8" s="23" t="s">
        <v>401</v>
      </c>
      <c r="D8" s="23">
        <f>200</f>
        <v>200</v>
      </c>
      <c r="E8" s="29" t="s">
        <v>296</v>
      </c>
      <c r="F8" s="23">
        <f>460/20*1.08</f>
        <v>24.840000000000003</v>
      </c>
      <c r="G8" s="99">
        <f>D8*F8</f>
        <v>4968.0000000000009</v>
      </c>
      <c r="H8" s="90"/>
      <c r="I8" s="695"/>
      <c r="J8" s="220" t="s">
        <v>357</v>
      </c>
      <c r="K8" s="265">
        <f>7*2.5</f>
        <v>17.5</v>
      </c>
      <c r="L8" s="265">
        <v>3</v>
      </c>
      <c r="M8" s="265">
        <v>84.7</v>
      </c>
      <c r="N8" s="289">
        <f t="shared" si="1"/>
        <v>4446.75</v>
      </c>
      <c r="P8" s="163"/>
      <c r="Q8" s="95"/>
      <c r="R8" s="121"/>
      <c r="S8" s="95"/>
      <c r="T8" s="700"/>
      <c r="U8" s="701"/>
      <c r="V8" s="116"/>
    </row>
    <row r="9" spans="2:25" ht="15" customHeight="1" x14ac:dyDescent="0.2">
      <c r="B9" s="606"/>
      <c r="C9" s="23"/>
      <c r="D9" s="23"/>
      <c r="E9" s="29"/>
      <c r="F9" s="254"/>
      <c r="G9" s="99"/>
      <c r="H9" s="90"/>
      <c r="I9" s="695"/>
      <c r="J9" s="220"/>
      <c r="K9" s="265"/>
      <c r="L9" s="265"/>
      <c r="M9" s="265"/>
      <c r="N9" s="289">
        <f t="shared" ref="N9" si="2">K9*L9*M9</f>
        <v>0</v>
      </c>
      <c r="P9" s="163"/>
      <c r="Q9" s="95"/>
      <c r="R9" s="121"/>
      <c r="S9" s="95"/>
      <c r="T9" s="700"/>
      <c r="U9" s="701"/>
      <c r="V9" s="116"/>
    </row>
    <row r="10" spans="2:25" ht="15" customHeight="1" thickBot="1" x14ac:dyDescent="0.25">
      <c r="B10" s="606"/>
      <c r="C10" s="23"/>
      <c r="D10" s="23"/>
      <c r="E10" s="29"/>
      <c r="F10" s="254"/>
      <c r="G10" s="99">
        <f>D10*F10</f>
        <v>0</v>
      </c>
      <c r="H10" s="90"/>
      <c r="I10" s="696"/>
      <c r="J10" s="164" t="s">
        <v>185</v>
      </c>
      <c r="K10" s="113">
        <f t="shared" ref="K10:L10" si="3">SUM(K6:K9)</f>
        <v>50</v>
      </c>
      <c r="L10" s="113">
        <f t="shared" si="3"/>
        <v>9</v>
      </c>
      <c r="M10" s="113"/>
      <c r="N10" s="290">
        <f>SUM(N6:N9)</f>
        <v>12705</v>
      </c>
      <c r="P10" s="163"/>
      <c r="Q10" s="95"/>
      <c r="R10" s="121"/>
      <c r="S10" s="95"/>
      <c r="T10" s="700"/>
      <c r="U10" s="701"/>
      <c r="V10" s="116"/>
    </row>
    <row r="11" spans="2:25" ht="15" customHeight="1" thickTop="1" thickBot="1" x14ac:dyDescent="0.25">
      <c r="B11" s="691"/>
      <c r="C11" s="102" t="s">
        <v>114</v>
      </c>
      <c r="D11" s="103"/>
      <c r="E11" s="103"/>
      <c r="F11" s="255"/>
      <c r="G11" s="104">
        <f>SUM(G8:G10)</f>
        <v>4968.0000000000009</v>
      </c>
      <c r="H11" s="90"/>
      <c r="I11" s="697" t="s">
        <v>186</v>
      </c>
      <c r="J11" s="220" t="s">
        <v>254</v>
      </c>
      <c r="K11" s="265">
        <f>35.5*2.5</f>
        <v>88.75</v>
      </c>
      <c r="L11" s="265">
        <v>1</v>
      </c>
      <c r="M11" s="265">
        <v>158.4</v>
      </c>
      <c r="N11" s="289">
        <f>+K11*L11*M11</f>
        <v>14058</v>
      </c>
      <c r="P11" s="163"/>
      <c r="Q11" s="95"/>
      <c r="R11" s="121"/>
      <c r="S11" s="95"/>
      <c r="T11" s="700"/>
      <c r="U11" s="701"/>
      <c r="V11" s="116"/>
    </row>
    <row r="12" spans="2:25" ht="15" customHeight="1" thickTop="1" x14ac:dyDescent="0.2">
      <c r="B12" s="692" t="s">
        <v>129</v>
      </c>
      <c r="C12" s="23" t="s">
        <v>393</v>
      </c>
      <c r="D12" s="23">
        <f>6*2.5/0.12</f>
        <v>125</v>
      </c>
      <c r="E12" s="29" t="s">
        <v>296</v>
      </c>
      <c r="F12" s="23">
        <f>2450/20*1.08</f>
        <v>132.30000000000001</v>
      </c>
      <c r="G12" s="99">
        <f>D12*F12</f>
        <v>16537.5</v>
      </c>
      <c r="H12" s="90"/>
      <c r="I12" s="695"/>
      <c r="J12" s="220" t="s">
        <v>256</v>
      </c>
      <c r="K12" s="265">
        <f>22.3*2.5</f>
        <v>55.75</v>
      </c>
      <c r="L12" s="265">
        <v>2</v>
      </c>
      <c r="M12" s="265">
        <v>158.4</v>
      </c>
      <c r="N12" s="289">
        <f t="shared" ref="N12:N14" si="4">+K12*L12*M12</f>
        <v>17661.600000000002</v>
      </c>
      <c r="P12" s="163"/>
      <c r="Q12" s="95"/>
      <c r="R12" s="121"/>
      <c r="S12" s="95"/>
      <c r="T12" s="700"/>
      <c r="U12" s="701"/>
      <c r="V12" s="116"/>
      <c r="X12" s="373" t="s">
        <v>344</v>
      </c>
      <c r="Y12" s="374" t="s">
        <v>345</v>
      </c>
    </row>
    <row r="13" spans="2:25" ht="15" customHeight="1" x14ac:dyDescent="0.2">
      <c r="B13" s="606"/>
      <c r="C13" s="23" t="s">
        <v>394</v>
      </c>
      <c r="D13" s="23">
        <f>14*2.5/0.1</f>
        <v>350</v>
      </c>
      <c r="E13" s="29" t="s">
        <v>296</v>
      </c>
      <c r="F13" s="23">
        <f>2010/20*1.08</f>
        <v>108.54</v>
      </c>
      <c r="G13" s="99">
        <f>D13*F13</f>
        <v>37989</v>
      </c>
      <c r="H13" s="90"/>
      <c r="I13" s="695"/>
      <c r="J13" s="220" t="s">
        <v>255</v>
      </c>
      <c r="K13" s="265">
        <f>2*2.5</f>
        <v>5</v>
      </c>
      <c r="L13" s="265">
        <v>1</v>
      </c>
      <c r="M13" s="265">
        <v>158.4</v>
      </c>
      <c r="N13" s="289">
        <f t="shared" si="4"/>
        <v>792</v>
      </c>
      <c r="P13" s="163"/>
      <c r="Q13" s="95"/>
      <c r="R13" s="121"/>
      <c r="S13" s="95"/>
      <c r="T13" s="700"/>
      <c r="U13" s="701"/>
      <c r="V13" s="116"/>
      <c r="X13" s="373" t="s">
        <v>297</v>
      </c>
      <c r="Y13" s="374" t="s">
        <v>343</v>
      </c>
    </row>
    <row r="14" spans="2:25" ht="15" customHeight="1" x14ac:dyDescent="0.2">
      <c r="B14" s="606"/>
      <c r="C14" s="23"/>
      <c r="D14" s="23"/>
      <c r="E14" s="29"/>
      <c r="F14" s="23"/>
      <c r="G14" s="99">
        <f>D14*F14</f>
        <v>0</v>
      </c>
      <c r="H14" s="90"/>
      <c r="I14" s="695"/>
      <c r="J14" s="220" t="s">
        <v>293</v>
      </c>
      <c r="K14" s="265">
        <f>87.4*2.5</f>
        <v>218.5</v>
      </c>
      <c r="L14" s="265">
        <v>1</v>
      </c>
      <c r="M14" s="265">
        <v>158.4</v>
      </c>
      <c r="N14" s="289">
        <f t="shared" si="4"/>
        <v>34610.400000000001</v>
      </c>
      <c r="P14" s="163"/>
      <c r="Q14" s="95"/>
      <c r="R14" s="121"/>
      <c r="S14" s="95"/>
      <c r="T14" s="700"/>
      <c r="U14" s="701"/>
      <c r="V14" s="116"/>
    </row>
    <row r="15" spans="2:25" ht="15" customHeight="1" x14ac:dyDescent="0.2">
      <c r="B15" s="606"/>
      <c r="C15" s="23"/>
      <c r="D15" s="23"/>
      <c r="E15" s="23"/>
      <c r="F15" s="23"/>
      <c r="G15" s="99">
        <f t="shared" ref="G15" si="5">D15*F15</f>
        <v>0</v>
      </c>
      <c r="H15" s="90"/>
      <c r="I15" s="695"/>
      <c r="J15" s="220"/>
      <c r="K15" s="265"/>
      <c r="L15" s="265"/>
      <c r="M15" s="265"/>
      <c r="N15" s="289">
        <f t="shared" ref="N15:N16" si="6">K15*L15*M15</f>
        <v>0</v>
      </c>
      <c r="P15" s="163"/>
      <c r="Q15" s="95"/>
      <c r="R15" s="121"/>
      <c r="S15" s="95"/>
      <c r="T15" s="700"/>
      <c r="U15" s="701"/>
      <c r="V15" s="116"/>
    </row>
    <row r="16" spans="2:25" ht="15" customHeight="1" thickBot="1" x14ac:dyDescent="0.25">
      <c r="B16" s="691"/>
      <c r="C16" s="102" t="s">
        <v>114</v>
      </c>
      <c r="D16" s="103"/>
      <c r="E16" s="103"/>
      <c r="F16" s="103"/>
      <c r="G16" s="104">
        <f>SUM(G12:G15)</f>
        <v>54526.5</v>
      </c>
      <c r="H16" s="90"/>
      <c r="I16" s="695"/>
      <c r="J16" s="263"/>
      <c r="K16" s="264"/>
      <c r="L16" s="264"/>
      <c r="M16" s="264"/>
      <c r="N16" s="291">
        <f t="shared" si="6"/>
        <v>0</v>
      </c>
      <c r="P16" s="163"/>
      <c r="Q16" s="95"/>
      <c r="R16" s="121"/>
      <c r="S16" s="95"/>
      <c r="T16" s="700"/>
      <c r="U16" s="701"/>
      <c r="V16" s="116"/>
    </row>
    <row r="17" spans="2:25" ht="15" customHeight="1" thickTop="1" thickBot="1" x14ac:dyDescent="0.25">
      <c r="B17" s="692" t="s">
        <v>131</v>
      </c>
      <c r="C17" s="23"/>
      <c r="D17" s="23"/>
      <c r="E17" s="29"/>
      <c r="F17" s="23"/>
      <c r="G17" s="99">
        <f t="shared" ref="G17" si="7">D17*F17</f>
        <v>0</v>
      </c>
      <c r="H17" s="90"/>
      <c r="I17" s="696"/>
      <c r="J17" s="164" t="s">
        <v>185</v>
      </c>
      <c r="K17" s="113">
        <f>SUM(K11:K16)</f>
        <v>368</v>
      </c>
      <c r="L17" s="113">
        <f>SUM(L11:L16)</f>
        <v>5</v>
      </c>
      <c r="M17" s="113"/>
      <c r="N17" s="313">
        <f>SUM(N11:N16)</f>
        <v>67122</v>
      </c>
      <c r="P17" s="163"/>
      <c r="Q17" s="95"/>
      <c r="R17" s="121"/>
      <c r="S17" s="95"/>
      <c r="T17" s="700"/>
      <c r="U17" s="701"/>
      <c r="V17" s="116"/>
    </row>
    <row r="18" spans="2:25" ht="15" customHeight="1" thickTop="1" x14ac:dyDescent="0.2">
      <c r="B18" s="606"/>
      <c r="C18" s="23"/>
      <c r="D18" s="23"/>
      <c r="E18" s="29"/>
      <c r="F18" s="23"/>
      <c r="G18" s="99">
        <f>D18*F18</f>
        <v>0</v>
      </c>
      <c r="H18" s="90"/>
      <c r="I18" s="697" t="s">
        <v>140</v>
      </c>
      <c r="J18" s="220"/>
      <c r="K18" s="265"/>
      <c r="L18" s="265"/>
      <c r="M18" s="265"/>
      <c r="N18" s="289"/>
      <c r="P18" s="163"/>
      <c r="Q18" s="95"/>
      <c r="R18" s="121"/>
      <c r="S18" s="95"/>
      <c r="T18" s="700"/>
      <c r="U18" s="701"/>
      <c r="V18" s="116"/>
    </row>
    <row r="19" spans="2:25" ht="15" customHeight="1" x14ac:dyDescent="0.2">
      <c r="B19" s="606"/>
      <c r="C19" s="23"/>
      <c r="D19" s="23"/>
      <c r="E19" s="23"/>
      <c r="F19" s="23"/>
      <c r="G19" s="99">
        <f t="shared" ref="G19" si="8">D19*F19</f>
        <v>0</v>
      </c>
      <c r="H19" s="90"/>
      <c r="I19" s="695"/>
      <c r="J19" s="220"/>
      <c r="K19" s="265"/>
      <c r="L19" s="265"/>
      <c r="M19" s="265"/>
      <c r="N19" s="289">
        <f t="shared" ref="N19:N20" si="9">K19*L19*M19</f>
        <v>0</v>
      </c>
      <c r="P19" s="163"/>
      <c r="Q19" s="95"/>
      <c r="R19" s="121"/>
      <c r="S19" s="95"/>
      <c r="T19" s="700"/>
      <c r="U19" s="701"/>
      <c r="V19" s="116"/>
    </row>
    <row r="20" spans="2:25" ht="15" customHeight="1" thickBot="1" x14ac:dyDescent="0.25">
      <c r="B20" s="691"/>
      <c r="C20" s="102" t="s">
        <v>114</v>
      </c>
      <c r="D20" s="103"/>
      <c r="E20" s="103"/>
      <c r="F20" s="103"/>
      <c r="G20" s="104">
        <f>SUM(G17:G19)</f>
        <v>0</v>
      </c>
      <c r="H20" s="90"/>
      <c r="I20" s="695"/>
      <c r="J20" s="220"/>
      <c r="K20" s="265"/>
      <c r="L20" s="265"/>
      <c r="M20" s="265"/>
      <c r="N20" s="289">
        <f t="shared" si="9"/>
        <v>0</v>
      </c>
      <c r="P20" s="117" t="s">
        <v>26</v>
      </c>
      <c r="Q20" s="118"/>
      <c r="R20" s="118"/>
      <c r="S20" s="118"/>
      <c r="T20" s="713"/>
      <c r="U20" s="714"/>
      <c r="V20" s="119">
        <f>SUM(V5:V19)</f>
        <v>38000</v>
      </c>
    </row>
    <row r="21" spans="2:25" ht="15" customHeight="1" thickTop="1" thickBot="1" x14ac:dyDescent="0.25">
      <c r="B21" s="692" t="s">
        <v>132</v>
      </c>
      <c r="C21" s="23"/>
      <c r="D21" s="23"/>
      <c r="E21" s="29"/>
      <c r="F21" s="23"/>
      <c r="G21" s="99">
        <f>D21*F21</f>
        <v>0</v>
      </c>
      <c r="H21" s="90"/>
      <c r="I21" s="696"/>
      <c r="J21" s="164" t="s">
        <v>187</v>
      </c>
      <c r="K21" s="113">
        <f>SUM(K18:K20)</f>
        <v>0</v>
      </c>
      <c r="L21" s="114">
        <f>SUM(L18:L20)</f>
        <v>0</v>
      </c>
      <c r="M21" s="115"/>
      <c r="N21" s="290">
        <f>SUM(N18:N20)</f>
        <v>0</v>
      </c>
    </row>
    <row r="22" spans="2:25" ht="15" customHeight="1" thickTop="1" thickBot="1" x14ac:dyDescent="0.25">
      <c r="B22" s="606"/>
      <c r="C22" s="23"/>
      <c r="D22" s="23"/>
      <c r="E22" s="29"/>
      <c r="F22" s="23"/>
      <c r="G22" s="99">
        <f>D22*F22</f>
        <v>0</v>
      </c>
      <c r="H22" s="90"/>
      <c r="I22" s="697" t="s">
        <v>141</v>
      </c>
      <c r="J22" s="220"/>
      <c r="K22" s="265"/>
      <c r="L22" s="265"/>
      <c r="M22" s="265"/>
      <c r="N22" s="289"/>
      <c r="P22" s="1" t="s">
        <v>182</v>
      </c>
    </row>
    <row r="23" spans="2:25" ht="15" customHeight="1" x14ac:dyDescent="0.2">
      <c r="B23" s="606"/>
      <c r="C23" s="23"/>
      <c r="D23" s="23"/>
      <c r="E23" s="29"/>
      <c r="F23" s="23"/>
      <c r="G23" s="99">
        <f>D23*F23</f>
        <v>0</v>
      </c>
      <c r="H23" s="90"/>
      <c r="I23" s="695"/>
      <c r="J23" s="220"/>
      <c r="K23" s="265"/>
      <c r="L23" s="265"/>
      <c r="M23" s="265"/>
      <c r="N23" s="289">
        <f t="shared" ref="N23:N24" si="10">K23*L23*M23</f>
        <v>0</v>
      </c>
      <c r="P23" s="160" t="s">
        <v>148</v>
      </c>
      <c r="Q23" s="161" t="s">
        <v>143</v>
      </c>
      <c r="R23" s="161" t="s">
        <v>144</v>
      </c>
      <c r="S23" s="161" t="s">
        <v>188</v>
      </c>
      <c r="T23" s="161" t="s">
        <v>146</v>
      </c>
      <c r="U23" s="91" t="s">
        <v>220</v>
      </c>
      <c r="V23" s="162" t="s">
        <v>147</v>
      </c>
    </row>
    <row r="24" spans="2:25" ht="15" customHeight="1" thickBot="1" x14ac:dyDescent="0.25">
      <c r="B24" s="693"/>
      <c r="C24" s="105" t="s">
        <v>115</v>
      </c>
      <c r="D24" s="106"/>
      <c r="E24" s="106"/>
      <c r="F24" s="111"/>
      <c r="G24" s="107">
        <f>SUM(G21:G23)</f>
        <v>0</v>
      </c>
      <c r="I24" s="695"/>
      <c r="J24" s="220"/>
      <c r="K24" s="265"/>
      <c r="L24" s="265"/>
      <c r="M24" s="265"/>
      <c r="N24" s="289">
        <f t="shared" si="10"/>
        <v>0</v>
      </c>
      <c r="P24" s="163" t="s">
        <v>321</v>
      </c>
      <c r="Q24" s="95">
        <v>1</v>
      </c>
      <c r="R24" s="121" t="s">
        <v>77</v>
      </c>
      <c r="S24" s="95">
        <v>53000</v>
      </c>
      <c r="T24" s="95">
        <v>5</v>
      </c>
      <c r="U24" s="267">
        <f>'１　対象経営の概要，２　前提条件'!$N$7</f>
        <v>40</v>
      </c>
      <c r="V24" s="116">
        <f>+Q24*S24/T24/U24*10</f>
        <v>2650</v>
      </c>
    </row>
    <row r="25" spans="2:25" ht="15" customHeight="1" thickBot="1" x14ac:dyDescent="0.25">
      <c r="H25" s="26"/>
      <c r="I25" s="696"/>
      <c r="J25" s="164" t="s">
        <v>187</v>
      </c>
      <c r="K25" s="113">
        <f>SUM(K22:K24)</f>
        <v>0</v>
      </c>
      <c r="L25" s="114">
        <f>SUM(L22:L24)</f>
        <v>0</v>
      </c>
      <c r="M25" s="115"/>
      <c r="N25" s="290">
        <f>SUM(N22:N24)</f>
        <v>0</v>
      </c>
      <c r="P25" s="163" t="s">
        <v>322</v>
      </c>
      <c r="Q25" s="95">
        <v>1</v>
      </c>
      <c r="R25" s="121" t="s">
        <v>77</v>
      </c>
      <c r="S25" s="95">
        <v>90000</v>
      </c>
      <c r="T25" s="95">
        <v>5</v>
      </c>
      <c r="U25" s="267">
        <f>'１　対象経営の概要，２　前提条件'!$N$7</f>
        <v>40</v>
      </c>
      <c r="V25" s="116">
        <f t="shared" ref="V25:V27" si="11">+Q25*S25/T25/U25*10</f>
        <v>4500</v>
      </c>
    </row>
    <row r="26" spans="2:25" ht="15" customHeight="1" thickTop="1" thickBot="1" x14ac:dyDescent="0.25">
      <c r="B26" s="1" t="s">
        <v>189</v>
      </c>
      <c r="D26" s="25"/>
      <c r="F26" s="25"/>
      <c r="G26" s="26"/>
      <c r="H26" s="110"/>
      <c r="I26" s="697" t="s">
        <v>223</v>
      </c>
      <c r="J26" s="220"/>
      <c r="K26" s="265"/>
      <c r="L26" s="265"/>
      <c r="M26" s="265"/>
      <c r="N26" s="289"/>
      <c r="P26" s="163" t="s">
        <v>250</v>
      </c>
      <c r="Q26" s="95">
        <v>3</v>
      </c>
      <c r="R26" s="121" t="s">
        <v>362</v>
      </c>
      <c r="S26" s="95">
        <v>1500</v>
      </c>
      <c r="T26" s="95">
        <v>3</v>
      </c>
      <c r="U26" s="267">
        <f>'１　対象経営の概要，２　前提条件'!$N$7</f>
        <v>40</v>
      </c>
      <c r="V26" s="116">
        <f>+Q26*S26/T26/U26*10</f>
        <v>375</v>
      </c>
      <c r="Y26" s="344"/>
    </row>
    <row r="27" spans="2:25" ht="15" customHeight="1" x14ac:dyDescent="0.2">
      <c r="B27" s="159" t="s">
        <v>69</v>
      </c>
      <c r="C27" s="109" t="s">
        <v>107</v>
      </c>
      <c r="D27" s="109" t="s">
        <v>108</v>
      </c>
      <c r="E27" s="109" t="s">
        <v>109</v>
      </c>
      <c r="F27" s="109" t="s">
        <v>21</v>
      </c>
      <c r="G27" s="97" t="s">
        <v>110</v>
      </c>
      <c r="H27" s="90"/>
      <c r="I27" s="695"/>
      <c r="J27" s="220"/>
      <c r="K27" s="265"/>
      <c r="L27" s="265"/>
      <c r="M27" s="265"/>
      <c r="N27" s="289">
        <f t="shared" ref="N27:N28" si="12">K27*L27*M27</f>
        <v>0</v>
      </c>
      <c r="P27" s="163" t="s">
        <v>251</v>
      </c>
      <c r="Q27" s="95">
        <v>1</v>
      </c>
      <c r="R27" s="121" t="s">
        <v>362</v>
      </c>
      <c r="S27" s="95">
        <v>8900</v>
      </c>
      <c r="T27" s="95">
        <v>3</v>
      </c>
      <c r="U27" s="267">
        <f>'１　対象経営の概要，２　前提条件'!$N$7</f>
        <v>40</v>
      </c>
      <c r="V27" s="116">
        <f t="shared" si="11"/>
        <v>741.66666666666652</v>
      </c>
    </row>
    <row r="28" spans="2:25" ht="15" customHeight="1" x14ac:dyDescent="0.2">
      <c r="B28" s="605" t="s">
        <v>27</v>
      </c>
      <c r="C28" s="23" t="s">
        <v>395</v>
      </c>
      <c r="D28" s="23">
        <f>1</f>
        <v>1</v>
      </c>
      <c r="E28" s="29" t="s">
        <v>299</v>
      </c>
      <c r="F28" s="23">
        <f>7705*1.08</f>
        <v>8321.4000000000015</v>
      </c>
      <c r="G28" s="98">
        <f>D28*F28</f>
        <v>8321.4000000000015</v>
      </c>
      <c r="H28" s="90"/>
      <c r="I28" s="695"/>
      <c r="J28" s="220"/>
      <c r="K28" s="265"/>
      <c r="L28" s="265"/>
      <c r="M28" s="265"/>
      <c r="N28" s="289">
        <f t="shared" si="12"/>
        <v>0</v>
      </c>
      <c r="P28" s="163"/>
      <c r="Q28" s="95"/>
      <c r="R28" s="121"/>
      <c r="S28" s="95"/>
      <c r="T28" s="95"/>
      <c r="U28" s="219"/>
      <c r="V28" s="116"/>
    </row>
    <row r="29" spans="2:25" ht="15" customHeight="1" thickBot="1" x14ac:dyDescent="0.25">
      <c r="B29" s="606"/>
      <c r="C29" s="23" t="s">
        <v>396</v>
      </c>
      <c r="D29" s="23">
        <f>2</f>
        <v>2</v>
      </c>
      <c r="E29" s="29" t="s">
        <v>287</v>
      </c>
      <c r="F29" s="23">
        <f>1629*1.08</f>
        <v>1759.3200000000002</v>
      </c>
      <c r="G29" s="99">
        <f>D29*F29</f>
        <v>3518.6400000000003</v>
      </c>
      <c r="H29" s="90"/>
      <c r="I29" s="696"/>
      <c r="J29" s="164" t="s">
        <v>185</v>
      </c>
      <c r="K29" s="113">
        <f>SUM(K26:K28)</f>
        <v>0</v>
      </c>
      <c r="L29" s="114">
        <f>SUM(L26:L28)</f>
        <v>0</v>
      </c>
      <c r="M29" s="115"/>
      <c r="N29" s="290">
        <f>SUM(N26:N28)</f>
        <v>0</v>
      </c>
      <c r="O29" s="24"/>
      <c r="P29" s="163"/>
      <c r="Q29" s="95"/>
      <c r="R29" s="121"/>
      <c r="S29" s="95"/>
      <c r="T29" s="95"/>
      <c r="U29" s="267"/>
      <c r="V29" s="116"/>
    </row>
    <row r="30" spans="2:25" ht="15" customHeight="1" thickTop="1" x14ac:dyDescent="0.2">
      <c r="B30" s="606"/>
      <c r="C30" s="23" t="s">
        <v>397</v>
      </c>
      <c r="D30" s="23">
        <f>1</f>
        <v>1</v>
      </c>
      <c r="E30" s="29" t="s">
        <v>300</v>
      </c>
      <c r="F30" s="263">
        <f>18169*1.08</f>
        <v>19622.52</v>
      </c>
      <c r="G30" s="99">
        <f>D30*F30</f>
        <v>19622.52</v>
      </c>
      <c r="H30" s="90"/>
      <c r="I30" s="697" t="s">
        <v>137</v>
      </c>
      <c r="J30" s="220" t="s">
        <v>294</v>
      </c>
      <c r="K30" s="265">
        <f>312.2*2.5</f>
        <v>780.5</v>
      </c>
      <c r="L30" s="265">
        <v>2.2000000000000002</v>
      </c>
      <c r="M30" s="265">
        <v>14</v>
      </c>
      <c r="N30" s="289">
        <f>+K30*L30*M30</f>
        <v>24039.4</v>
      </c>
      <c r="P30" s="163"/>
      <c r="Q30" s="95"/>
      <c r="R30" s="121"/>
      <c r="S30" s="95"/>
      <c r="T30" s="95"/>
      <c r="U30" s="267"/>
      <c r="V30" s="116"/>
    </row>
    <row r="31" spans="2:25" ht="15" customHeight="1" x14ac:dyDescent="0.2">
      <c r="B31" s="606"/>
      <c r="D31" s="51"/>
      <c r="E31" s="29"/>
      <c r="F31" s="267"/>
      <c r="G31" s="269"/>
      <c r="H31" s="90"/>
      <c r="I31" s="695"/>
      <c r="J31" s="220" t="s">
        <v>295</v>
      </c>
      <c r="K31" s="265">
        <f>5760*2.5</f>
        <v>14400</v>
      </c>
      <c r="L31" s="169">
        <v>0.24</v>
      </c>
      <c r="M31" s="265">
        <v>14</v>
      </c>
      <c r="N31" s="289">
        <f>+K31*L31*M31</f>
        <v>48384</v>
      </c>
      <c r="P31" s="163"/>
      <c r="Q31" s="95"/>
      <c r="R31" s="121"/>
      <c r="S31" s="95"/>
      <c r="T31" s="95"/>
      <c r="U31" s="96"/>
      <c r="V31" s="116"/>
    </row>
    <row r="32" spans="2:25" ht="15" customHeight="1" x14ac:dyDescent="0.2">
      <c r="B32" s="702"/>
      <c r="C32" s="108"/>
      <c r="D32" s="268"/>
      <c r="E32" s="29"/>
      <c r="F32" s="220"/>
      <c r="G32" s="99">
        <f t="shared" ref="G32:G37" si="13">D32*F32</f>
        <v>0</v>
      </c>
      <c r="H32" s="90"/>
      <c r="I32" s="695"/>
      <c r="J32" s="220"/>
      <c r="K32" s="265"/>
      <c r="L32" s="265"/>
      <c r="M32" s="265"/>
      <c r="N32" s="289">
        <f t="shared" ref="N32" si="14">K32*L32*M32</f>
        <v>0</v>
      </c>
      <c r="P32" s="163"/>
      <c r="Q32" s="95"/>
      <c r="R32" s="121"/>
      <c r="S32" s="95"/>
      <c r="T32" s="95"/>
      <c r="U32" s="96"/>
      <c r="V32" s="116"/>
    </row>
    <row r="33" spans="2:22" ht="15" customHeight="1" thickBot="1" x14ac:dyDescent="0.25">
      <c r="B33" s="606"/>
      <c r="C33" s="220"/>
      <c r="D33" s="220"/>
      <c r="E33" s="29"/>
      <c r="F33" s="220"/>
      <c r="G33" s="99">
        <f t="shared" si="13"/>
        <v>0</v>
      </c>
      <c r="H33" s="90"/>
      <c r="I33" s="712"/>
      <c r="J33" s="292" t="s">
        <v>190</v>
      </c>
      <c r="K33" s="293">
        <f>SUM(K30:K32)</f>
        <v>15180.5</v>
      </c>
      <c r="L33" s="294">
        <f>SUM(L30:L32)</f>
        <v>2.4400000000000004</v>
      </c>
      <c r="M33" s="295"/>
      <c r="N33" s="296">
        <f>SUM(N30:N32)</f>
        <v>72423.399999999994</v>
      </c>
      <c r="P33" s="163"/>
      <c r="Q33" s="95"/>
      <c r="R33" s="121"/>
      <c r="S33" s="95"/>
      <c r="T33" s="95"/>
      <c r="U33" s="96"/>
      <c r="V33" s="116"/>
    </row>
    <row r="34" spans="2:22" ht="15" customHeight="1" thickBot="1" x14ac:dyDescent="0.25">
      <c r="B34" s="606"/>
      <c r="C34" s="23"/>
      <c r="D34" s="23"/>
      <c r="E34" s="29"/>
      <c r="F34" s="23"/>
      <c r="G34" s="99">
        <f t="shared" si="13"/>
        <v>0</v>
      </c>
      <c r="H34" s="90"/>
      <c r="I34" s="90"/>
      <c r="J34" s="90"/>
      <c r="K34" s="90"/>
      <c r="L34" s="90"/>
      <c r="M34" s="90"/>
      <c r="N34" s="90"/>
      <c r="P34" s="165" t="s">
        <v>172</v>
      </c>
      <c r="Q34" s="118"/>
      <c r="R34" s="118"/>
      <c r="S34" s="118"/>
      <c r="T34" s="118"/>
      <c r="U34" s="120"/>
      <c r="V34" s="119">
        <f>SUM(V24:V33)</f>
        <v>8266.6666666666661</v>
      </c>
    </row>
    <row r="35" spans="2:22" ht="15" customHeight="1" thickBot="1" x14ac:dyDescent="0.25">
      <c r="B35" s="606"/>
      <c r="C35" s="23"/>
      <c r="D35" s="23"/>
      <c r="E35" s="29"/>
      <c r="F35" s="23"/>
      <c r="G35" s="99">
        <f t="shared" si="13"/>
        <v>0</v>
      </c>
      <c r="H35" s="90"/>
      <c r="I35" s="338" t="s">
        <v>180</v>
      </c>
      <c r="J35" s="82"/>
      <c r="K35" s="82"/>
      <c r="L35" s="82"/>
      <c r="M35" s="82"/>
    </row>
    <row r="36" spans="2:22" ht="15" customHeight="1" thickBot="1" x14ac:dyDescent="0.25">
      <c r="B36" s="606"/>
      <c r="C36" s="23"/>
      <c r="D36" s="23"/>
      <c r="E36" s="29"/>
      <c r="F36" s="23"/>
      <c r="G36" s="99">
        <f t="shared" si="13"/>
        <v>0</v>
      </c>
      <c r="H36" s="90"/>
      <c r="I36" s="147" t="s">
        <v>167</v>
      </c>
      <c r="J36" s="365" t="s">
        <v>3</v>
      </c>
      <c r="K36" s="703" t="s">
        <v>168</v>
      </c>
      <c r="L36" s="704"/>
      <c r="M36" s="366" t="s">
        <v>220</v>
      </c>
      <c r="N36" s="367" t="s">
        <v>191</v>
      </c>
      <c r="P36" s="338" t="s">
        <v>173</v>
      </c>
      <c r="Q36" s="82"/>
      <c r="R36" s="82"/>
      <c r="S36" s="82"/>
      <c r="T36" s="82"/>
    </row>
    <row r="37" spans="2:22" ht="15" customHeight="1" x14ac:dyDescent="0.2">
      <c r="B37" s="606"/>
      <c r="C37" s="23"/>
      <c r="D37" s="23"/>
      <c r="E37" s="29"/>
      <c r="F37" s="23"/>
      <c r="G37" s="99">
        <f t="shared" si="13"/>
        <v>0</v>
      </c>
      <c r="H37" s="90"/>
      <c r="I37" s="676" t="s">
        <v>0</v>
      </c>
      <c r="J37" s="108" t="s">
        <v>302</v>
      </c>
      <c r="K37" s="675">
        <f>'６　固定資本装備と減価償却費'!I5</f>
        <v>2970000</v>
      </c>
      <c r="L37" s="675"/>
      <c r="M37" s="267">
        <v>40</v>
      </c>
      <c r="N37" s="154">
        <f>+K37*0.3*0.014/M37*10</f>
        <v>3118.5</v>
      </c>
      <c r="P37" s="147" t="s">
        <v>166</v>
      </c>
      <c r="Q37" s="705" t="s">
        <v>174</v>
      </c>
      <c r="R37" s="705"/>
      <c r="S37" s="153" t="s">
        <v>177</v>
      </c>
      <c r="T37" s="153" t="s">
        <v>176</v>
      </c>
      <c r="U37" s="214" t="s">
        <v>220</v>
      </c>
      <c r="V37" s="166" t="s">
        <v>191</v>
      </c>
    </row>
    <row r="38" spans="2:22" ht="15" customHeight="1" thickBot="1" x14ac:dyDescent="0.25">
      <c r="B38" s="691"/>
      <c r="C38" s="100" t="s">
        <v>113</v>
      </c>
      <c r="D38" s="100"/>
      <c r="E38" s="100"/>
      <c r="F38" s="299"/>
      <c r="G38" s="101">
        <f>SUM(G28:G37)</f>
        <v>31462.560000000001</v>
      </c>
      <c r="H38" s="90"/>
      <c r="I38" s="677"/>
      <c r="J38" s="108" t="s">
        <v>338</v>
      </c>
      <c r="K38" s="675">
        <f>1400*67/10</f>
        <v>9380</v>
      </c>
      <c r="L38" s="675"/>
      <c r="M38" s="267">
        <v>40</v>
      </c>
      <c r="N38" s="154">
        <f>K38/M38*10</f>
        <v>2345</v>
      </c>
      <c r="P38" s="723" t="s">
        <v>175</v>
      </c>
      <c r="Q38" s="151" t="s">
        <v>179</v>
      </c>
      <c r="R38" s="169" t="s">
        <v>353</v>
      </c>
      <c r="S38" s="352">
        <f>V38*U38/10</f>
        <v>100000</v>
      </c>
      <c r="T38" s="353">
        <v>1</v>
      </c>
      <c r="U38" s="349">
        <v>40</v>
      </c>
      <c r="V38" s="354">
        <v>25000</v>
      </c>
    </row>
    <row r="39" spans="2:22" ht="15" customHeight="1" thickTop="1" x14ac:dyDescent="0.2">
      <c r="B39" s="692" t="s">
        <v>133</v>
      </c>
      <c r="C39" s="90" t="s">
        <v>398</v>
      </c>
      <c r="D39" s="23">
        <f>2</f>
        <v>2</v>
      </c>
      <c r="E39" s="257" t="s">
        <v>288</v>
      </c>
      <c r="F39" s="298">
        <f>5220*1.08</f>
        <v>5637.6</v>
      </c>
      <c r="G39" s="259">
        <f>D39*F39</f>
        <v>11275.2</v>
      </c>
      <c r="H39" s="90"/>
      <c r="I39" s="677"/>
      <c r="J39" s="108"/>
      <c r="K39" s="675"/>
      <c r="L39" s="675"/>
      <c r="M39" s="267"/>
      <c r="N39" s="154"/>
      <c r="P39" s="721"/>
      <c r="Q39" s="151"/>
      <c r="R39" s="169"/>
      <c r="S39" s="151"/>
      <c r="T39" s="170"/>
      <c r="U39" s="151"/>
      <c r="V39" s="154"/>
    </row>
    <row r="40" spans="2:22" ht="15" customHeight="1" x14ac:dyDescent="0.2">
      <c r="B40" s="606"/>
      <c r="C40" s="256" t="s">
        <v>396</v>
      </c>
      <c r="D40" s="23">
        <f>1</f>
        <v>1</v>
      </c>
      <c r="E40" s="29" t="s">
        <v>299</v>
      </c>
      <c r="F40" s="220">
        <f>11101*1.08</f>
        <v>11989.08</v>
      </c>
      <c r="G40" s="260">
        <f>D40*F40</f>
        <v>11989.08</v>
      </c>
      <c r="H40" s="90"/>
      <c r="I40" s="677"/>
      <c r="J40" s="108"/>
      <c r="K40" s="675"/>
      <c r="L40" s="675"/>
      <c r="M40" s="267"/>
      <c r="N40" s="154"/>
      <c r="P40" s="721"/>
      <c r="Q40" s="151"/>
      <c r="R40" s="169"/>
      <c r="S40" s="151"/>
      <c r="T40" s="170"/>
      <c r="U40" s="151"/>
      <c r="V40" s="154"/>
    </row>
    <row r="41" spans="2:22" ht="15" customHeight="1" x14ac:dyDescent="0.2">
      <c r="B41" s="606"/>
      <c r="C41" s="23" t="s">
        <v>205</v>
      </c>
      <c r="D41" s="23">
        <f>6</f>
        <v>6</v>
      </c>
      <c r="E41" s="29" t="s">
        <v>289</v>
      </c>
      <c r="F41" s="220">
        <f>3076*1.08</f>
        <v>3322.0800000000004</v>
      </c>
      <c r="G41" s="262">
        <f>D41*F41</f>
        <v>19932.480000000003</v>
      </c>
      <c r="H41" s="90"/>
      <c r="I41" s="677"/>
      <c r="J41" s="108"/>
      <c r="K41" s="675"/>
      <c r="L41" s="675"/>
      <c r="M41" s="267"/>
      <c r="N41" s="154"/>
      <c r="P41" s="721"/>
      <c r="Q41" s="151"/>
      <c r="R41" s="169"/>
      <c r="S41" s="151"/>
      <c r="T41" s="170"/>
      <c r="U41" s="267"/>
      <c r="V41" s="154"/>
    </row>
    <row r="42" spans="2:22" ht="15" customHeight="1" x14ac:dyDescent="0.2">
      <c r="B42" s="606"/>
      <c r="C42" s="220" t="s">
        <v>399</v>
      </c>
      <c r="D42" s="220">
        <f>2</f>
        <v>2</v>
      </c>
      <c r="E42" s="29" t="s">
        <v>286</v>
      </c>
      <c r="F42" s="220">
        <f>4576*1.08</f>
        <v>4942.08</v>
      </c>
      <c r="G42" s="262">
        <f>D42*F42</f>
        <v>9884.16</v>
      </c>
      <c r="H42" s="90"/>
      <c r="I42" s="677"/>
      <c r="J42" s="108"/>
      <c r="K42" s="675"/>
      <c r="L42" s="675"/>
      <c r="M42" s="267"/>
      <c r="N42" s="154"/>
      <c r="P42" s="721"/>
      <c r="Q42" s="151"/>
      <c r="R42" s="169"/>
      <c r="S42" s="151"/>
      <c r="T42" s="170"/>
      <c r="U42" s="151"/>
      <c r="V42" s="154"/>
    </row>
    <row r="43" spans="2:22" ht="15" customHeight="1" x14ac:dyDescent="0.2">
      <c r="B43" s="606"/>
      <c r="C43" s="220"/>
      <c r="D43" s="191"/>
      <c r="E43" s="29"/>
      <c r="F43" s="220"/>
      <c r="G43" s="261"/>
      <c r="H43" s="90"/>
      <c r="I43" s="677"/>
      <c r="K43" s="363"/>
      <c r="L43" s="364"/>
      <c r="N43" s="154"/>
      <c r="P43" s="721"/>
      <c r="Q43" s="151"/>
      <c r="R43" s="169"/>
      <c r="S43" s="151"/>
      <c r="T43" s="170"/>
      <c r="U43" s="151"/>
      <c r="V43" s="154"/>
    </row>
    <row r="44" spans="2:22" ht="15" customHeight="1" thickBot="1" x14ac:dyDescent="0.25">
      <c r="B44" s="606"/>
      <c r="C44" s="23"/>
      <c r="D44" s="23"/>
      <c r="E44" s="29"/>
      <c r="F44" s="23"/>
      <c r="G44" s="258"/>
      <c r="H44" s="90"/>
      <c r="I44" s="678"/>
      <c r="J44" s="148" t="s">
        <v>114</v>
      </c>
      <c r="K44" s="679"/>
      <c r="L44" s="680"/>
      <c r="M44" s="149"/>
      <c r="N44" s="152">
        <f>SUM(N37:N42)</f>
        <v>5463.5</v>
      </c>
      <c r="P44" s="724"/>
      <c r="Q44" s="155" t="s">
        <v>178</v>
      </c>
      <c r="R44" s="156"/>
      <c r="S44" s="156"/>
      <c r="T44" s="156"/>
      <c r="U44" s="156"/>
      <c r="V44" s="157">
        <f>SUM(V38:V43)</f>
        <v>25000</v>
      </c>
    </row>
    <row r="45" spans="2:22" ht="15" customHeight="1" thickTop="1" x14ac:dyDescent="0.2">
      <c r="B45" s="606"/>
      <c r="C45" s="23"/>
      <c r="D45" s="23"/>
      <c r="E45" s="29"/>
      <c r="F45" s="23"/>
      <c r="G45" s="99"/>
      <c r="H45" s="90"/>
      <c r="I45" s="685" t="s">
        <v>169</v>
      </c>
      <c r="J45" s="150" t="s">
        <v>183</v>
      </c>
      <c r="K45" s="699">
        <v>4100</v>
      </c>
      <c r="L45" s="699"/>
      <c r="M45" s="362">
        <v>40</v>
      </c>
      <c r="N45" s="167">
        <f>K45/M45*10</f>
        <v>1025</v>
      </c>
      <c r="P45" s="720" t="s">
        <v>184</v>
      </c>
      <c r="Q45" s="717" t="s">
        <v>192</v>
      </c>
      <c r="R45" s="171" t="s">
        <v>183</v>
      </c>
      <c r="S45" s="151">
        <v>15600</v>
      </c>
      <c r="T45" s="170">
        <v>1</v>
      </c>
      <c r="U45" s="267">
        <v>40</v>
      </c>
      <c r="V45" s="154">
        <f>+S45*T45/U45*10</f>
        <v>3900</v>
      </c>
    </row>
    <row r="46" spans="2:22" ht="15" customHeight="1" x14ac:dyDescent="0.2">
      <c r="B46" s="606"/>
      <c r="C46" s="23"/>
      <c r="D46" s="23"/>
      <c r="E46" s="23"/>
      <c r="F46" s="23"/>
      <c r="G46" s="99">
        <f t="shared" ref="G46:G47" si="15">D46*F46</f>
        <v>0</v>
      </c>
      <c r="H46" s="90"/>
      <c r="I46" s="686"/>
      <c r="J46" s="151"/>
      <c r="K46" s="675"/>
      <c r="L46" s="675"/>
      <c r="M46" s="267"/>
      <c r="N46" s="154"/>
      <c r="P46" s="721"/>
      <c r="Q46" s="718"/>
      <c r="R46" s="171"/>
      <c r="S46" s="151"/>
      <c r="T46" s="170"/>
      <c r="U46" s="151"/>
      <c r="V46" s="154"/>
    </row>
    <row r="47" spans="2:22" ht="15" customHeight="1" x14ac:dyDescent="0.2">
      <c r="B47" s="606"/>
      <c r="C47" s="23"/>
      <c r="D47" s="23"/>
      <c r="E47" s="23"/>
      <c r="F47" s="23"/>
      <c r="G47" s="99">
        <f t="shared" si="15"/>
        <v>0</v>
      </c>
      <c r="H47" s="90"/>
      <c r="I47" s="686"/>
      <c r="J47" s="108"/>
      <c r="K47" s="675"/>
      <c r="L47" s="675"/>
      <c r="M47" s="267"/>
      <c r="N47" s="154"/>
      <c r="P47" s="721"/>
      <c r="Q47" s="718"/>
      <c r="R47" s="171"/>
      <c r="S47" s="151"/>
      <c r="T47" s="151"/>
      <c r="U47" s="108"/>
      <c r="V47" s="172"/>
    </row>
    <row r="48" spans="2:22" ht="15" customHeight="1" thickBot="1" x14ac:dyDescent="0.25">
      <c r="B48" s="606"/>
      <c r="C48" s="23"/>
      <c r="D48" s="23"/>
      <c r="E48" s="23"/>
      <c r="F48" s="23"/>
      <c r="G48" s="99">
        <f t="shared" ref="G48:G52" si="16">D48*F48</f>
        <v>0</v>
      </c>
      <c r="H48" s="90"/>
      <c r="I48" s="698"/>
      <c r="J48" s="148" t="s">
        <v>114</v>
      </c>
      <c r="K48" s="679"/>
      <c r="L48" s="680"/>
      <c r="M48" s="149"/>
      <c r="N48" s="152">
        <f>SUM(N45:N47)</f>
        <v>1025</v>
      </c>
      <c r="P48" s="721"/>
      <c r="Q48" s="718"/>
      <c r="R48" s="171"/>
      <c r="S48" s="151"/>
      <c r="T48" s="170"/>
      <c r="U48" s="267"/>
      <c r="V48" s="154"/>
    </row>
    <row r="49" spans="2:22" ht="15" customHeight="1" thickTop="1" thickBot="1" x14ac:dyDescent="0.25">
      <c r="B49" s="691"/>
      <c r="C49" s="102" t="s">
        <v>114</v>
      </c>
      <c r="D49" s="103"/>
      <c r="E49" s="103"/>
      <c r="F49" s="103"/>
      <c r="G49" s="104">
        <f>SUM(G39:G48)</f>
        <v>53080.92</v>
      </c>
      <c r="H49" s="90"/>
      <c r="I49" s="685" t="s">
        <v>170</v>
      </c>
      <c r="J49" s="151"/>
      <c r="K49" s="675"/>
      <c r="L49" s="675"/>
      <c r="M49" s="362"/>
      <c r="N49" s="167"/>
      <c r="P49" s="721"/>
      <c r="Q49" s="719"/>
      <c r="R49" s="171"/>
      <c r="S49" s="151"/>
      <c r="T49" s="151"/>
      <c r="U49" s="108"/>
      <c r="V49" s="172"/>
    </row>
    <row r="50" spans="2:22" ht="15" customHeight="1" thickTop="1" thickBot="1" x14ac:dyDescent="0.25">
      <c r="B50" s="692" t="s">
        <v>29</v>
      </c>
      <c r="C50" s="23" t="s">
        <v>395</v>
      </c>
      <c r="D50" s="23">
        <f>3</f>
        <v>3</v>
      </c>
      <c r="E50" s="29" t="s">
        <v>290</v>
      </c>
      <c r="F50" s="23">
        <f>1555*1.08</f>
        <v>1679.4</v>
      </c>
      <c r="G50" s="99">
        <f t="shared" si="16"/>
        <v>5038.2000000000007</v>
      </c>
      <c r="H50" s="90"/>
      <c r="I50" s="686"/>
      <c r="K50" s="683"/>
      <c r="L50" s="684"/>
      <c r="M50" s="267"/>
      <c r="N50" s="154"/>
      <c r="P50" s="721"/>
      <c r="Q50" s="155" t="s">
        <v>178</v>
      </c>
      <c r="R50" s="156"/>
      <c r="S50" s="156"/>
      <c r="T50" s="156"/>
      <c r="U50" s="156"/>
      <c r="V50" s="157">
        <f>SUM(V45:V49)</f>
        <v>3900</v>
      </c>
    </row>
    <row r="51" spans="2:22" ht="15" customHeight="1" thickTop="1" x14ac:dyDescent="0.2">
      <c r="B51" s="606"/>
      <c r="C51" s="23"/>
      <c r="D51" s="23"/>
      <c r="E51" s="23"/>
      <c r="F51" s="23"/>
      <c r="G51" s="99">
        <f t="shared" si="16"/>
        <v>0</v>
      </c>
      <c r="H51" s="90"/>
      <c r="I51" s="686"/>
      <c r="J51" s="108"/>
      <c r="K51" s="675"/>
      <c r="L51" s="675"/>
      <c r="M51" s="267"/>
      <c r="N51" s="154"/>
      <c r="P51" s="721"/>
      <c r="Q51" s="717" t="s">
        <v>193</v>
      </c>
      <c r="R51" s="171" t="s">
        <v>183</v>
      </c>
      <c r="S51" s="151">
        <v>25000</v>
      </c>
      <c r="T51" s="170">
        <v>1</v>
      </c>
      <c r="U51" s="267">
        <v>40</v>
      </c>
      <c r="V51" s="154">
        <f>+S51*T51/U51*10</f>
        <v>6250</v>
      </c>
    </row>
    <row r="52" spans="2:22" ht="15" customHeight="1" thickBot="1" x14ac:dyDescent="0.25">
      <c r="B52" s="606"/>
      <c r="C52" s="23"/>
      <c r="D52" s="23"/>
      <c r="E52" s="23"/>
      <c r="F52" s="23"/>
      <c r="G52" s="99">
        <f t="shared" si="16"/>
        <v>0</v>
      </c>
      <c r="H52" s="90"/>
      <c r="I52" s="698"/>
      <c r="J52" s="148" t="s">
        <v>114</v>
      </c>
      <c r="K52" s="679"/>
      <c r="L52" s="680"/>
      <c r="M52" s="149"/>
      <c r="N52" s="152">
        <f>SUM(N49:N51)</f>
        <v>0</v>
      </c>
      <c r="P52" s="721"/>
      <c r="Q52" s="718"/>
      <c r="R52" s="171"/>
      <c r="S52" s="151"/>
      <c r="T52" s="170"/>
      <c r="U52" s="151"/>
      <c r="V52" s="154"/>
    </row>
    <row r="53" spans="2:22" ht="14" thickTop="1" thickBot="1" x14ac:dyDescent="0.25">
      <c r="B53" s="691"/>
      <c r="C53" s="102" t="s">
        <v>114</v>
      </c>
      <c r="D53" s="103"/>
      <c r="E53" s="103"/>
      <c r="F53" s="103"/>
      <c r="G53" s="104">
        <f>SUM(G50:G52)</f>
        <v>5038.2000000000007</v>
      </c>
      <c r="I53" s="685" t="s">
        <v>171</v>
      </c>
      <c r="J53" s="150" t="s">
        <v>260</v>
      </c>
      <c r="K53" s="687">
        <v>5000</v>
      </c>
      <c r="L53" s="688"/>
      <c r="M53" s="349">
        <v>40</v>
      </c>
      <c r="N53" s="350">
        <f>+K53/M53*10</f>
        <v>1250</v>
      </c>
      <c r="P53" s="721"/>
      <c r="Q53" s="718"/>
      <c r="R53" s="171"/>
      <c r="S53" s="151"/>
      <c r="T53" s="151"/>
      <c r="U53" s="108"/>
      <c r="V53" s="172"/>
    </row>
    <row r="54" spans="2:22" ht="13.5" thickTop="1" x14ac:dyDescent="0.2">
      <c r="B54" s="692" t="s">
        <v>135</v>
      </c>
      <c r="C54" s="23"/>
      <c r="D54" s="23"/>
      <c r="E54" s="29"/>
      <c r="F54" s="23"/>
      <c r="G54" s="99">
        <f>D54*F54</f>
        <v>0</v>
      </c>
      <c r="I54" s="686"/>
      <c r="J54" s="151" t="s">
        <v>261</v>
      </c>
      <c r="K54" s="706">
        <v>2400</v>
      </c>
      <c r="L54" s="707"/>
      <c r="M54" s="349">
        <v>40</v>
      </c>
      <c r="N54" s="351">
        <f>+K54/M54*10</f>
        <v>600</v>
      </c>
      <c r="P54" s="721"/>
      <c r="Q54" s="718"/>
      <c r="R54" s="171"/>
      <c r="S54" s="151"/>
      <c r="T54" s="170"/>
      <c r="U54" s="267"/>
      <c r="V54" s="154"/>
    </row>
    <row r="55" spans="2:22" x14ac:dyDescent="0.2">
      <c r="B55" s="606"/>
      <c r="C55" s="23"/>
      <c r="D55" s="23"/>
      <c r="E55" s="29"/>
      <c r="F55" s="23"/>
      <c r="G55" s="99">
        <f>D55*F55</f>
        <v>0</v>
      </c>
      <c r="I55" s="686"/>
      <c r="J55" s="151"/>
      <c r="K55" s="708"/>
      <c r="L55" s="709"/>
      <c r="M55" s="158"/>
      <c r="N55" s="154"/>
      <c r="P55" s="721"/>
      <c r="Q55" s="719"/>
      <c r="R55" s="171"/>
      <c r="S55" s="151"/>
      <c r="T55" s="151"/>
      <c r="U55" s="108"/>
      <c r="V55" s="172"/>
    </row>
    <row r="56" spans="2:22" x14ac:dyDescent="0.2">
      <c r="B56" s="606"/>
      <c r="C56" s="23"/>
      <c r="D56" s="23"/>
      <c r="E56" s="29"/>
      <c r="F56" s="23"/>
      <c r="G56" s="99">
        <f>D56*F56</f>
        <v>0</v>
      </c>
      <c r="I56" s="686"/>
      <c r="J56" s="267"/>
      <c r="K56" s="710"/>
      <c r="L56" s="711"/>
      <c r="M56" s="158"/>
      <c r="N56" s="154"/>
      <c r="P56" s="722"/>
      <c r="Q56" s="175" t="s">
        <v>178</v>
      </c>
      <c r="R56" s="176"/>
      <c r="S56" s="176"/>
      <c r="T56" s="176"/>
      <c r="U56" s="176"/>
      <c r="V56" s="177">
        <f>SUM(V51:V55)</f>
        <v>6250</v>
      </c>
    </row>
    <row r="57" spans="2:22" ht="13.5" thickBot="1" x14ac:dyDescent="0.25">
      <c r="B57" s="693"/>
      <c r="C57" s="105" t="s">
        <v>115</v>
      </c>
      <c r="D57" s="106"/>
      <c r="E57" s="106"/>
      <c r="F57" s="106"/>
      <c r="G57" s="107">
        <f>SUM(G54:G56)</f>
        <v>0</v>
      </c>
      <c r="I57" s="686"/>
      <c r="J57" s="151"/>
      <c r="K57" s="708"/>
      <c r="L57" s="709"/>
      <c r="M57" s="158"/>
      <c r="N57" s="168"/>
      <c r="P57" s="715" t="s">
        <v>172</v>
      </c>
      <c r="Q57" s="716"/>
      <c r="R57" s="173"/>
      <c r="S57" s="173"/>
      <c r="T57" s="173"/>
      <c r="U57" s="173"/>
      <c r="V57" s="174">
        <f>SUM(V44,V50,V56)</f>
        <v>35150</v>
      </c>
    </row>
    <row r="58" spans="2:22" x14ac:dyDescent="0.2">
      <c r="I58" s="676"/>
      <c r="J58" s="368" t="s">
        <v>114</v>
      </c>
      <c r="K58" s="689"/>
      <c r="L58" s="690"/>
      <c r="M58" s="369"/>
      <c r="N58" s="370">
        <f>SUM(N53:N57)</f>
        <v>1850</v>
      </c>
      <c r="V58" s="1"/>
    </row>
    <row r="59" spans="2:22" ht="13.5" thickBot="1" x14ac:dyDescent="0.25">
      <c r="I59" s="673" t="s">
        <v>172</v>
      </c>
      <c r="J59" s="674"/>
      <c r="K59" s="681"/>
      <c r="L59" s="682"/>
      <c r="M59" s="371"/>
      <c r="N59" s="372">
        <f>SUM(N44,N48,N52,N58)</f>
        <v>8338.5</v>
      </c>
    </row>
    <row r="83" spans="2:6" x14ac:dyDescent="0.2">
      <c r="B83" s="110"/>
      <c r="C83" s="90"/>
      <c r="D83" s="90"/>
      <c r="E83" s="90"/>
      <c r="F83" s="90"/>
    </row>
    <row r="84" spans="2:6" x14ac:dyDescent="0.2">
      <c r="B84" s="110"/>
      <c r="C84" s="90"/>
      <c r="D84" s="90"/>
      <c r="E84" s="90"/>
      <c r="F84" s="90"/>
    </row>
  </sheetData>
  <mergeCells count="70">
    <mergeCell ref="T6:U6"/>
    <mergeCell ref="T7:U7"/>
    <mergeCell ref="T8:U8"/>
    <mergeCell ref="T9:U9"/>
    <mergeCell ref="T10:U10"/>
    <mergeCell ref="M4:M5"/>
    <mergeCell ref="N4:N5"/>
    <mergeCell ref="J4:J5"/>
    <mergeCell ref="I4:I5"/>
    <mergeCell ref="T4:U4"/>
    <mergeCell ref="T5:U5"/>
    <mergeCell ref="P57:Q57"/>
    <mergeCell ref="Q45:Q49"/>
    <mergeCell ref="Q51:Q55"/>
    <mergeCell ref="P45:P56"/>
    <mergeCell ref="P38:P44"/>
    <mergeCell ref="T14:U14"/>
    <mergeCell ref="T15:U15"/>
    <mergeCell ref="T18:U18"/>
    <mergeCell ref="T19:U19"/>
    <mergeCell ref="T20:U20"/>
    <mergeCell ref="T16:U16"/>
    <mergeCell ref="T17:U17"/>
    <mergeCell ref="T13:U13"/>
    <mergeCell ref="T11:U11"/>
    <mergeCell ref="T12:U12"/>
    <mergeCell ref="B54:B57"/>
    <mergeCell ref="B50:B53"/>
    <mergeCell ref="B28:B38"/>
    <mergeCell ref="B39:B49"/>
    <mergeCell ref="K36:L36"/>
    <mergeCell ref="Q37:R37"/>
    <mergeCell ref="K54:L54"/>
    <mergeCell ref="K55:L55"/>
    <mergeCell ref="K56:L56"/>
    <mergeCell ref="K57:L57"/>
    <mergeCell ref="I18:I21"/>
    <mergeCell ref="I22:I25"/>
    <mergeCell ref="I30:I33"/>
    <mergeCell ref="I6:I10"/>
    <mergeCell ref="I26:I29"/>
    <mergeCell ref="I45:I48"/>
    <mergeCell ref="I49:I52"/>
    <mergeCell ref="K45:L45"/>
    <mergeCell ref="K46:L46"/>
    <mergeCell ref="I11:I17"/>
    <mergeCell ref="K52:L52"/>
    <mergeCell ref="K49:L49"/>
    <mergeCell ref="K51:L51"/>
    <mergeCell ref="B5:B7"/>
    <mergeCell ref="B8:B11"/>
    <mergeCell ref="B12:B16"/>
    <mergeCell ref="B21:B24"/>
    <mergeCell ref="B17:B20"/>
    <mergeCell ref="I59:J59"/>
    <mergeCell ref="K38:L38"/>
    <mergeCell ref="K39:L39"/>
    <mergeCell ref="K40:L40"/>
    <mergeCell ref="I37:I44"/>
    <mergeCell ref="K44:L44"/>
    <mergeCell ref="K47:L47"/>
    <mergeCell ref="K48:L48"/>
    <mergeCell ref="K59:L59"/>
    <mergeCell ref="K50:L50"/>
    <mergeCell ref="K37:L37"/>
    <mergeCell ref="K41:L41"/>
    <mergeCell ref="K42:L42"/>
    <mergeCell ref="I53:I58"/>
    <mergeCell ref="K53:L53"/>
    <mergeCell ref="K58:L58"/>
  </mergeCells>
  <phoneticPr fontId="4"/>
  <pageMargins left="0.78740157480314965" right="0.78740157480314965" top="0.6" bottom="0.42" header="0.39370078740157483" footer="0.39370078740157483"/>
  <pageSetup paperSize="9" scale="62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O11"/>
  <sheetViews>
    <sheetView zoomScale="75" zoomScaleNormal="75" zoomScaleSheetLayoutView="100" workbookViewId="0">
      <selection activeCell="L27" sqref="L27"/>
    </sheetView>
  </sheetViews>
  <sheetFormatPr defaultColWidth="9" defaultRowHeight="13" x14ac:dyDescent="0.2"/>
  <cols>
    <col min="1" max="1" width="1.6328125" style="1" customWidth="1"/>
    <col min="2" max="2" width="18" style="1" customWidth="1"/>
    <col min="3" max="15" width="6.08984375" style="1" customWidth="1"/>
    <col min="16" max="16384" width="9" style="1"/>
  </cols>
  <sheetData>
    <row r="1" spans="2:15" ht="9.9" customHeight="1" x14ac:dyDescent="0.2"/>
    <row r="2" spans="2:15" ht="24.9" customHeight="1" x14ac:dyDescent="0.2">
      <c r="B2" s="1" t="s">
        <v>329</v>
      </c>
    </row>
    <row r="3" spans="2:15" ht="20.149999999999999" customHeight="1" x14ac:dyDescent="0.2">
      <c r="D3" s="70" t="s">
        <v>194</v>
      </c>
      <c r="E3" s="2" t="str">
        <f>'１　対象経営の概要，２　前提条件'!F2</f>
        <v>青ネギ（土耕）専作</v>
      </c>
      <c r="F3" s="2"/>
      <c r="H3" s="70" t="s">
        <v>195</v>
      </c>
      <c r="I3" s="2" t="str">
        <f>'１　対象経営の概要，２　前提条件'!R2</f>
        <v>春～冬どり</v>
      </c>
    </row>
    <row r="4" spans="2:15" ht="20.149999999999999" customHeight="1" thickBot="1" x14ac:dyDescent="0.25">
      <c r="B4" s="1" t="s">
        <v>206</v>
      </c>
      <c r="C4" s="1" t="s">
        <v>244</v>
      </c>
    </row>
    <row r="5" spans="2:15" ht="20.149999999999999" customHeight="1" x14ac:dyDescent="0.2">
      <c r="B5" s="244" t="s">
        <v>243</v>
      </c>
      <c r="C5" s="247">
        <v>1</v>
      </c>
      <c r="D5" s="247">
        <v>2</v>
      </c>
      <c r="E5" s="247">
        <v>3</v>
      </c>
      <c r="F5" s="247">
        <v>4</v>
      </c>
      <c r="G5" s="247">
        <v>5</v>
      </c>
      <c r="H5" s="247">
        <v>6</v>
      </c>
      <c r="I5" s="247">
        <v>7</v>
      </c>
      <c r="J5" s="247">
        <v>8</v>
      </c>
      <c r="K5" s="247">
        <v>9</v>
      </c>
      <c r="L5" s="247">
        <v>10</v>
      </c>
      <c r="M5" s="247">
        <v>11</v>
      </c>
      <c r="N5" s="247">
        <v>12</v>
      </c>
      <c r="O5" s="97" t="s">
        <v>207</v>
      </c>
    </row>
    <row r="6" spans="2:15" ht="20.149999999999999" customHeight="1" x14ac:dyDescent="0.2">
      <c r="B6" s="248" t="s">
        <v>245</v>
      </c>
      <c r="C6" s="206">
        <v>577</v>
      </c>
      <c r="D6" s="206">
        <v>571</v>
      </c>
      <c r="E6" s="206">
        <v>480</v>
      </c>
      <c r="F6" s="206">
        <v>286</v>
      </c>
      <c r="G6" s="206">
        <v>369</v>
      </c>
      <c r="H6" s="206">
        <v>364</v>
      </c>
      <c r="I6" s="206">
        <v>499</v>
      </c>
      <c r="J6" s="206">
        <v>637</v>
      </c>
      <c r="K6" s="206">
        <v>844</v>
      </c>
      <c r="L6" s="206">
        <v>613</v>
      </c>
      <c r="M6" s="206">
        <v>573</v>
      </c>
      <c r="N6" s="206">
        <v>716</v>
      </c>
      <c r="O6" s="98">
        <f t="shared" ref="O6:O9" si="0">AVERAGE(C6:N6)</f>
        <v>544.08333333333337</v>
      </c>
    </row>
    <row r="7" spans="2:15" ht="20.149999999999999" customHeight="1" x14ac:dyDescent="0.2">
      <c r="B7" s="248" t="s">
        <v>246</v>
      </c>
      <c r="C7" s="206">
        <v>925</v>
      </c>
      <c r="D7" s="206">
        <v>793</v>
      </c>
      <c r="E7" s="206">
        <v>535</v>
      </c>
      <c r="F7" s="206">
        <v>431</v>
      </c>
      <c r="G7" s="206">
        <v>511</v>
      </c>
      <c r="H7" s="206">
        <v>435</v>
      </c>
      <c r="I7" s="206">
        <v>653</v>
      </c>
      <c r="J7" s="206">
        <v>800</v>
      </c>
      <c r="K7" s="206">
        <v>691</v>
      </c>
      <c r="L7" s="206">
        <v>554</v>
      </c>
      <c r="M7" s="206">
        <v>482</v>
      </c>
      <c r="N7" s="206">
        <v>587</v>
      </c>
      <c r="O7" s="98">
        <f t="shared" si="0"/>
        <v>616.41666666666663</v>
      </c>
    </row>
    <row r="8" spans="2:15" ht="20.149999999999999" customHeight="1" x14ac:dyDescent="0.2">
      <c r="B8" s="248" t="s">
        <v>247</v>
      </c>
      <c r="C8" s="206">
        <v>641</v>
      </c>
      <c r="D8" s="206">
        <v>523</v>
      </c>
      <c r="E8" s="206">
        <v>385</v>
      </c>
      <c r="F8" s="206">
        <v>423</v>
      </c>
      <c r="G8" s="206">
        <v>576</v>
      </c>
      <c r="H8" s="206">
        <v>483</v>
      </c>
      <c r="I8" s="206">
        <v>386</v>
      </c>
      <c r="J8" s="206">
        <v>639</v>
      </c>
      <c r="K8" s="206">
        <v>708</v>
      </c>
      <c r="L8" s="206">
        <v>523</v>
      </c>
      <c r="M8" s="206">
        <v>708</v>
      </c>
      <c r="N8" s="206">
        <v>650</v>
      </c>
      <c r="O8" s="98">
        <f t="shared" si="0"/>
        <v>553.75</v>
      </c>
    </row>
    <row r="9" spans="2:15" ht="20.149999999999999" customHeight="1" x14ac:dyDescent="0.2">
      <c r="B9" s="248" t="s">
        <v>248</v>
      </c>
      <c r="C9" s="206">
        <v>671</v>
      </c>
      <c r="D9" s="206">
        <v>594</v>
      </c>
      <c r="E9" s="206">
        <v>487</v>
      </c>
      <c r="F9" s="206">
        <v>406</v>
      </c>
      <c r="G9" s="206">
        <v>494</v>
      </c>
      <c r="H9" s="206">
        <v>466</v>
      </c>
      <c r="I9" s="206">
        <v>714</v>
      </c>
      <c r="J9" s="206">
        <v>624</v>
      </c>
      <c r="K9" s="206">
        <v>805</v>
      </c>
      <c r="L9" s="206">
        <v>706</v>
      </c>
      <c r="M9" s="206">
        <v>458</v>
      </c>
      <c r="N9" s="206">
        <v>602</v>
      </c>
      <c r="O9" s="98">
        <f t="shared" si="0"/>
        <v>585.58333333333337</v>
      </c>
    </row>
    <row r="10" spans="2:15" ht="20.149999999999999" customHeight="1" x14ac:dyDescent="0.2">
      <c r="B10" s="248" t="s">
        <v>249</v>
      </c>
      <c r="C10" s="206">
        <v>765</v>
      </c>
      <c r="D10" s="206">
        <v>861</v>
      </c>
      <c r="E10" s="206">
        <v>473</v>
      </c>
      <c r="F10" s="206">
        <v>342</v>
      </c>
      <c r="G10" s="206">
        <v>367</v>
      </c>
      <c r="H10" s="206">
        <v>457</v>
      </c>
      <c r="I10" s="206">
        <v>559</v>
      </c>
      <c r="J10" s="206">
        <v>682</v>
      </c>
      <c r="K10" s="206">
        <v>1090</v>
      </c>
      <c r="L10" s="206">
        <v>977</v>
      </c>
      <c r="M10" s="206">
        <v>669</v>
      </c>
      <c r="N10" s="206">
        <v>464</v>
      </c>
      <c r="O10" s="287">
        <f>AVERAGE(C10:N10)</f>
        <v>642.16666666666663</v>
      </c>
    </row>
    <row r="11" spans="2:15" ht="20.149999999999999" customHeight="1" thickBot="1" x14ac:dyDescent="0.25">
      <c r="B11" s="246" t="s">
        <v>208</v>
      </c>
      <c r="C11" s="40">
        <f>AVERAGE(C6:C10)</f>
        <v>715.8</v>
      </c>
      <c r="D11" s="40">
        <f t="shared" ref="D11" si="1">AVERAGE(D6:D10)</f>
        <v>668.4</v>
      </c>
      <c r="E11" s="40">
        <f t="shared" ref="E11" si="2">AVERAGE(E6:E10)</f>
        <v>472</v>
      </c>
      <c r="F11" s="40">
        <f t="shared" ref="F11" si="3">AVERAGE(F6:F10)</f>
        <v>377.6</v>
      </c>
      <c r="G11" s="40">
        <f t="shared" ref="G11" si="4">AVERAGE(G6:G10)</f>
        <v>463.4</v>
      </c>
      <c r="H11" s="40">
        <f t="shared" ref="H11" si="5">AVERAGE(H6:H10)</f>
        <v>441</v>
      </c>
      <c r="I11" s="40">
        <f t="shared" ref="I11" si="6">AVERAGE(I6:I10)</f>
        <v>562.20000000000005</v>
      </c>
      <c r="J11" s="40">
        <f t="shared" ref="J11" si="7">AVERAGE(J6:J10)</f>
        <v>676.4</v>
      </c>
      <c r="K11" s="40">
        <f t="shared" ref="K11" si="8">AVERAGE(K6:K10)</f>
        <v>827.6</v>
      </c>
      <c r="L11" s="40">
        <f t="shared" ref="L11" si="9">AVERAGE(L6:L10)</f>
        <v>674.6</v>
      </c>
      <c r="M11" s="40">
        <f t="shared" ref="M11" si="10">AVERAGE(M6:M10)</f>
        <v>578</v>
      </c>
      <c r="N11" s="40">
        <f t="shared" ref="N11" si="11">AVERAGE(N6:N10)</f>
        <v>603.79999999999995</v>
      </c>
      <c r="O11" s="245">
        <f>AVERAGE(O6:O10)</f>
        <v>588.4</v>
      </c>
    </row>
  </sheetData>
  <phoneticPr fontId="4"/>
  <pageMargins left="0.78740157480314965" right="0.78740157480314965" top="0.78740157480314965" bottom="0.78740157480314965" header="0.39370078740157483" footer="0.39370078740157483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１　対象経営の概要，２　前提条件</vt:lpstr>
      <vt:lpstr>３　青ネギ（土耕）標準技術</vt:lpstr>
      <vt:lpstr>４　経営収支</vt:lpstr>
      <vt:lpstr>５　青ネギ（土耕）作業時間</vt:lpstr>
      <vt:lpstr>６　固定資本装備と減価償却費</vt:lpstr>
      <vt:lpstr>７　青ネギ（土耕）部門収支</vt:lpstr>
      <vt:lpstr>８　青ネギ（土耕）算出基礎</vt:lpstr>
      <vt:lpstr>９　青ネギ（土耕）単価算出基礎</vt:lpstr>
      <vt:lpstr>'３　青ネギ（土耕）標準技術'!Print_Area</vt:lpstr>
      <vt:lpstr>'４　経営収支'!Print_Area</vt:lpstr>
      <vt:lpstr>'５　青ネギ（土耕）作業時間'!Print_Area</vt:lpstr>
      <vt:lpstr>'６　固定資本装備と減価償却費'!Print_Area</vt:lpstr>
      <vt:lpstr>'７　青ネギ（土耕）部門収支'!Print_Area</vt:lpstr>
      <vt:lpstr>'８　青ネギ（土耕）算出基礎'!Print_Area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原田 真輔</cp:lastModifiedBy>
  <cp:lastPrinted>2025-05-16T05:48:22Z</cp:lastPrinted>
  <dcterms:created xsi:type="dcterms:W3CDTF">2005-02-26T02:20:11Z</dcterms:created>
  <dcterms:modified xsi:type="dcterms:W3CDTF">2025-05-16T06:03:14Z</dcterms:modified>
</cp:coreProperties>
</file>