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60農業技術課\486_R4経営技術グループ\1110経営指標\"/>
    </mc:Choice>
  </mc:AlternateContent>
  <bookViews>
    <workbookView xWindow="0" yWindow="0" windowWidth="17930" windowHeight="7910" tabRatio="850"/>
  </bookViews>
  <sheets>
    <sheet name="１　対象経営の概要，２　前提条件" sheetId="19" r:id="rId1"/>
    <sheet name="３－１　水稲（早期コシヒカリ）標準技術" sheetId="64" r:id="rId2"/>
    <sheet name="３－２　水稲（恋の予感）標準技術" sheetId="24" r:id="rId3"/>
    <sheet name="３－３　水稲（加工米，恋の予感）標準技術" sheetId="54" r:id="rId4"/>
    <sheet name="３－４　イチジク標準技術" sheetId="65" r:id="rId5"/>
    <sheet name="４　経営収支" sheetId="22" r:id="rId6"/>
    <sheet name="５－１　水稲（早期コシヒカリ）作業時間" sheetId="27" r:id="rId7"/>
    <sheet name="５－２　水稲（恋の予感）作業時間" sheetId="28" r:id="rId8"/>
    <sheet name="５－３　水稲（加工用米，恋の予感）作業時間" sheetId="44" r:id="rId9"/>
    <sheet name="５－4　イチジク作業時間" sheetId="72" r:id="rId10"/>
    <sheet name="６　固定資本装備と減価償却費" sheetId="23" r:id="rId11"/>
    <sheet name="７－１　水稲部門（早期コシヒカリ）収支" sheetId="35" r:id="rId12"/>
    <sheet name="７－２　水稲部門（恋の予感）収支 " sheetId="45" r:id="rId13"/>
    <sheet name="７－３　水稲部門（加工用，恋の予感）収支" sheetId="37" r:id="rId14"/>
    <sheet name="７－4　イチジク部門収支" sheetId="67" r:id="rId15"/>
    <sheet name="８－１　水稲算出基礎（早期コシヒカリ）" sheetId="36" r:id="rId16"/>
    <sheet name="８－２　水稲算出基礎（恋の予感） " sheetId="59" r:id="rId17"/>
    <sheet name="８－３　水稲算出基礎（加工用米，恋の予感）" sheetId="60" r:id="rId18"/>
    <sheet name="８－4　イチジク算出基礎" sheetId="68" r:id="rId19"/>
    <sheet name="イチジク肥料" sheetId="69" state="hidden" r:id="rId20"/>
    <sheet name="イチジク農薬" sheetId="70" state="hidden" r:id="rId21"/>
    <sheet name="９　イチジク単価算出基礎" sheetId="71" r:id="rId22"/>
    <sheet name="（参考）水稲資本装備" sheetId="30" r:id="rId23"/>
    <sheet name="（参考）イチジク資本装備" sheetId="66" r:id="rId24"/>
  </sheets>
  <definedNames>
    <definedName name="_1__123Graph_Aｸﾞﾗﾌ_1" localSheetId="16" hidden="1">#REF!</definedName>
    <definedName name="_1__123Graph_Aｸﾞﾗﾌ_1" localSheetId="17" hidden="1">#REF!</definedName>
    <definedName name="_1__123Graph_Aｸﾞﾗﾌ_1" hidden="1">#REF!</definedName>
    <definedName name="_2__123Graph_Bｸﾞﾗﾌ_1" localSheetId="16" hidden="1">#REF!</definedName>
    <definedName name="_2__123Graph_Bｸﾞﾗﾌ_1" localSheetId="17" hidden="1">#REF!</definedName>
    <definedName name="_2__123Graph_Bｸﾞﾗﾌ_1" hidden="1">#REF!</definedName>
    <definedName name="_3__123Graph_Cｸﾞﾗﾌ_1" localSheetId="16" hidden="1">#REF!</definedName>
    <definedName name="_3__123Graph_Cｸﾞﾗﾌ_1" localSheetId="17" hidden="1">#REF!</definedName>
    <definedName name="_3__123Graph_Cｸﾞﾗﾌ_1" hidden="1">#REF!</definedName>
    <definedName name="_4__123Graph_Dｸﾞﾗﾌ_1" localSheetId="16" hidden="1">#REF!</definedName>
    <definedName name="_4__123Graph_Dｸﾞﾗﾌ_1" localSheetId="17" hidden="1">#REF!</definedName>
    <definedName name="_4__123Graph_Dｸﾞﾗﾌ_1" hidden="1">#REF!</definedName>
    <definedName name="_5__123Graph_Eｸﾞﾗﾌ_1" localSheetId="16" hidden="1">#REF!</definedName>
    <definedName name="_5__123Graph_Eｸﾞﾗﾌ_1" localSheetId="17" hidden="1">#REF!</definedName>
    <definedName name="_5__123Graph_Eｸﾞﾗﾌ_1" hidden="1">#REF!</definedName>
    <definedName name="_6__123Graph_Fｸﾞﾗﾌ_1" localSheetId="16" hidden="1">#REF!</definedName>
    <definedName name="_6__123Graph_Fｸﾞﾗﾌ_1" localSheetId="17" hidden="1">#REF!</definedName>
    <definedName name="_6__123Graph_Fｸﾞﾗﾌ_1" hidden="1">#REF!</definedName>
    <definedName name="_a1" localSheetId="3" hidden="1">#REF!</definedName>
    <definedName name="_a1" localSheetId="8" hidden="1">#REF!</definedName>
    <definedName name="_a1" localSheetId="12" hidden="1">#REF!</definedName>
    <definedName name="_a1" localSheetId="16" hidden="1">#REF!</definedName>
    <definedName name="_a1" localSheetId="17" hidden="1">#REF!</definedName>
    <definedName name="_a1" localSheetId="20" hidden="1">#REF!</definedName>
    <definedName name="_a1" localSheetId="19" hidden="1">#REF!</definedName>
    <definedName name="_a1" hidden="1">#REF!</definedName>
    <definedName name="_a2" localSheetId="3" hidden="1">#REF!</definedName>
    <definedName name="_a2" localSheetId="8" hidden="1">#REF!</definedName>
    <definedName name="_a2" localSheetId="12" hidden="1">#REF!</definedName>
    <definedName name="_a2" localSheetId="16" hidden="1">#REF!</definedName>
    <definedName name="_a2" localSheetId="17" hidden="1">#REF!</definedName>
    <definedName name="_a2" hidden="1">#REF!</definedName>
    <definedName name="_a3" localSheetId="3" hidden="1">#REF!</definedName>
    <definedName name="_a3" localSheetId="8" hidden="1">#REF!</definedName>
    <definedName name="_a3" localSheetId="12" hidden="1">#REF!</definedName>
    <definedName name="_a3" localSheetId="16" hidden="1">#REF!</definedName>
    <definedName name="_a3" localSheetId="17" hidden="1">#REF!</definedName>
    <definedName name="_a3" hidden="1">#REF!</definedName>
    <definedName name="_a4" localSheetId="3" hidden="1">#REF!</definedName>
    <definedName name="_a4" localSheetId="8" hidden="1">#REF!</definedName>
    <definedName name="_a4" localSheetId="12" hidden="1">#REF!</definedName>
    <definedName name="_a4" localSheetId="16" hidden="1">#REF!</definedName>
    <definedName name="_a4" localSheetId="17" hidden="1">#REF!</definedName>
    <definedName name="_a4" hidden="1">#REF!</definedName>
    <definedName name="_a5" localSheetId="3" hidden="1">#REF!</definedName>
    <definedName name="_a5" localSheetId="8" hidden="1">#REF!</definedName>
    <definedName name="_a5" localSheetId="12" hidden="1">#REF!</definedName>
    <definedName name="_a5" localSheetId="16" hidden="1">#REF!</definedName>
    <definedName name="_a5" localSheetId="17" hidden="1">#REF!</definedName>
    <definedName name="_a5" hidden="1">#REF!</definedName>
    <definedName name="_a6" localSheetId="3" hidden="1">#REF!</definedName>
    <definedName name="_a6" localSheetId="8" hidden="1">#REF!</definedName>
    <definedName name="_a6" localSheetId="12" hidden="1">#REF!</definedName>
    <definedName name="_a6" localSheetId="16" hidden="1">#REF!</definedName>
    <definedName name="_a6" localSheetId="17" hidden="1">#REF!</definedName>
    <definedName name="_a6" hidden="1">#REF!</definedName>
    <definedName name="_a7" localSheetId="3" hidden="1">#REF!</definedName>
    <definedName name="_a7" localSheetId="8" hidden="1">#REF!</definedName>
    <definedName name="_a7" localSheetId="12" hidden="1">#REF!</definedName>
    <definedName name="_a7" localSheetId="16" hidden="1">#REF!</definedName>
    <definedName name="_a7" localSheetId="17" hidden="1">#REF!</definedName>
    <definedName name="_a7" hidden="1">#REF!</definedName>
    <definedName name="aaa" localSheetId="3" hidden="1">#REF!</definedName>
    <definedName name="aaa" localSheetId="8" hidden="1">#REF!</definedName>
    <definedName name="aaa" localSheetId="12" hidden="1">#REF!</definedName>
    <definedName name="aaa" localSheetId="16" hidden="1">#REF!</definedName>
    <definedName name="aaa" localSheetId="17" hidden="1">#REF!</definedName>
    <definedName name="aaa" hidden="1">#REF!</definedName>
    <definedName name="bbb" localSheetId="3" hidden="1">#REF!</definedName>
    <definedName name="bbb" localSheetId="8" hidden="1">#REF!</definedName>
    <definedName name="bbb" localSheetId="12" hidden="1">#REF!</definedName>
    <definedName name="bbb" localSheetId="16" hidden="1">#REF!</definedName>
    <definedName name="bbb" localSheetId="17" hidden="1">#REF!</definedName>
    <definedName name="bbb" hidden="1">#REF!</definedName>
    <definedName name="ccc" localSheetId="3" hidden="1">#REF!</definedName>
    <definedName name="ccc" localSheetId="8" hidden="1">#REF!</definedName>
    <definedName name="ccc" localSheetId="12" hidden="1">#REF!</definedName>
    <definedName name="ccc" localSheetId="16" hidden="1">#REF!</definedName>
    <definedName name="ccc" localSheetId="17" hidden="1">#REF!</definedName>
    <definedName name="ccc" hidden="1">#REF!</definedName>
    <definedName name="ddd" localSheetId="3" hidden="1">#REF!</definedName>
    <definedName name="ddd" localSheetId="8" hidden="1">#REF!</definedName>
    <definedName name="ddd" localSheetId="12" hidden="1">#REF!</definedName>
    <definedName name="ddd" localSheetId="16" hidden="1">#REF!</definedName>
    <definedName name="ddd" localSheetId="17" hidden="1">#REF!</definedName>
    <definedName name="ddd" hidden="1">#REF!</definedName>
    <definedName name="eee" localSheetId="3" hidden="1">#REF!</definedName>
    <definedName name="eee" localSheetId="8" hidden="1">#REF!</definedName>
    <definedName name="eee" localSheetId="12" hidden="1">#REF!</definedName>
    <definedName name="eee" localSheetId="16" hidden="1">#REF!</definedName>
    <definedName name="eee" localSheetId="17" hidden="1">#REF!</definedName>
    <definedName name="eee" hidden="1">#REF!</definedName>
    <definedName name="fff" localSheetId="3" hidden="1">#REF!</definedName>
    <definedName name="fff" localSheetId="8" hidden="1">#REF!</definedName>
    <definedName name="fff" localSheetId="12" hidden="1">#REF!</definedName>
    <definedName name="fff" localSheetId="16" hidden="1">#REF!</definedName>
    <definedName name="fff" localSheetId="17" hidden="1">#REF!</definedName>
    <definedName name="fff" hidden="1">#REF!</definedName>
    <definedName name="ggg" localSheetId="3" hidden="1">#REF!</definedName>
    <definedName name="ggg" localSheetId="8" hidden="1">#REF!</definedName>
    <definedName name="ggg" localSheetId="12" hidden="1">#REF!</definedName>
    <definedName name="ggg" localSheetId="16" hidden="1">#REF!</definedName>
    <definedName name="ggg" localSheetId="17" hidden="1">#REF!</definedName>
    <definedName name="ggg" hidden="1">#REF!</definedName>
    <definedName name="hhh" localSheetId="3" hidden="1">#REF!</definedName>
    <definedName name="hhh" localSheetId="8" hidden="1">#REF!</definedName>
    <definedName name="hhh" localSheetId="12" hidden="1">#REF!</definedName>
    <definedName name="hhh" localSheetId="16" hidden="1">#REF!</definedName>
    <definedName name="hhh" localSheetId="17" hidden="1">#REF!</definedName>
    <definedName name="hhh" hidden="1">#REF!</definedName>
    <definedName name="_xlnm.Print_Area" localSheetId="23">'（参考）イチジク資本装備'!$1:$21</definedName>
    <definedName name="_xlnm.Print_Area" localSheetId="22">'（参考）水稲資本装備'!$A$1:$P$32</definedName>
    <definedName name="_xlnm.Print_Area" localSheetId="0">'１　対象経営の概要，２　前提条件'!$B$1:$AP$38</definedName>
    <definedName name="_xlnm.Print_Area" localSheetId="1">'３－１　水稲（早期コシヒカリ）標準技術'!$B$1:$M$11</definedName>
    <definedName name="_xlnm.Print_Area" localSheetId="2">'３－２　水稲（恋の予感）標準技術'!$B$1:$M$11</definedName>
    <definedName name="_xlnm.Print_Area" localSheetId="3">'３－３　水稲（加工米，恋の予感）標準技術'!$B$1:$M$11</definedName>
    <definedName name="_xlnm.Print_Area" localSheetId="5">'４　経営収支'!$B$1:$K$50</definedName>
    <definedName name="_xlnm.Print_Area" localSheetId="6">'５－１　水稲（早期コシヒカリ）作業時間'!$A$1:$AM$22</definedName>
    <definedName name="_xlnm.Print_Area" localSheetId="7">'５－２　水稲（恋の予感）作業時間'!$A$1:$AM$22</definedName>
    <definedName name="_xlnm.Print_Area" localSheetId="8">'５－３　水稲（加工用米，恋の予感）作業時間'!$A$1:$AM$22</definedName>
    <definedName name="_xlnm.Print_Area" localSheetId="9">'５－4　イチジク作業時間'!$A$1:$AM$17</definedName>
    <definedName name="_xlnm.Print_Area" localSheetId="10">'６　固定資本装備と減価償却費'!$B$1:$P$39</definedName>
    <definedName name="_xlnm.Print_Area" localSheetId="11">'７－１　水稲部門（早期コシヒカリ）収支'!$A$1:$S$45</definedName>
    <definedName name="_xlnm.Print_Area" localSheetId="12">'７－２　水稲部門（恋の予感）収支 '!$A$1:$S$45</definedName>
    <definedName name="_xlnm.Print_Area" localSheetId="13">'７－３　水稲部門（加工用，恋の予感）収支'!$A$1:$S$45</definedName>
    <definedName name="_xlnm.Print_Area" localSheetId="14">'７－4　イチジク部門収支'!$A$1:$S$44</definedName>
    <definedName name="_xlnm.Print_Area" localSheetId="15">'８－１　水稲算出基礎（早期コシヒカリ）'!$B$2:$V$57</definedName>
    <definedName name="_xlnm.Print_Area" localSheetId="16">'８－２　水稲算出基礎（恋の予感） '!$B$2:$V$57</definedName>
    <definedName name="_xlnm.Print_Area" localSheetId="17">'８－３　水稲算出基礎（加工用米，恋の予感）'!$B$2:$V$57</definedName>
    <definedName name="_xlnm.Print_Area" localSheetId="20">イチジク農薬!$A$1:$I$26</definedName>
    <definedName name="_xlnm.Print_Area" localSheetId="19">イチジク肥料!$A$1:$L$10</definedName>
    <definedName name="simizu" localSheetId="3" hidden="1">#REF!</definedName>
    <definedName name="simizu" localSheetId="8" hidden="1">#REF!</definedName>
    <definedName name="simizu" localSheetId="12" hidden="1">#REF!</definedName>
    <definedName name="simizu" localSheetId="16" hidden="1">#REF!</definedName>
    <definedName name="simizu" localSheetId="17" hidden="1">#REF!</definedName>
    <definedName name="simizu" localSheetId="20" hidden="1">#REF!</definedName>
    <definedName name="simizu" localSheetId="19" hidden="1">#REF!</definedName>
    <definedName name="simizu" hidden="1">#REF!</definedName>
    <definedName name="新" localSheetId="3" hidden="1">#REF!</definedName>
    <definedName name="新" localSheetId="16" hidden="1">#REF!</definedName>
    <definedName name="新" localSheetId="17" hidden="1">#REF!</definedName>
    <definedName name="新" hidden="1">#REF!</definedName>
  </definedNames>
  <calcPr calcId="152511"/>
</workbook>
</file>

<file path=xl/calcChain.xml><?xml version="1.0" encoding="utf-8"?>
<calcChain xmlns="http://schemas.openxmlformats.org/spreadsheetml/2006/main">
  <c r="P26" i="67" l="1"/>
  <c r="P20" i="67"/>
  <c r="P19" i="67"/>
  <c r="I45" i="22" l="1"/>
  <c r="I46" i="22"/>
  <c r="I47" i="22"/>
  <c r="I48" i="22"/>
  <c r="I31" i="22"/>
  <c r="I33" i="22"/>
  <c r="I34" i="22"/>
  <c r="I35" i="22"/>
  <c r="I36" i="22"/>
  <c r="I37" i="22"/>
  <c r="I39" i="22"/>
  <c r="I41" i="22"/>
  <c r="I14" i="22"/>
  <c r="I20" i="22"/>
  <c r="I6" i="22"/>
  <c r="H45" i="22"/>
  <c r="H46" i="22"/>
  <c r="H47" i="22"/>
  <c r="H48" i="22"/>
  <c r="H31" i="22"/>
  <c r="H33" i="22"/>
  <c r="H34" i="22"/>
  <c r="H35" i="22"/>
  <c r="H36" i="22"/>
  <c r="H37" i="22"/>
  <c r="H39" i="22"/>
  <c r="H41" i="22"/>
  <c r="H14" i="22"/>
  <c r="H20" i="22"/>
  <c r="H6" i="22"/>
  <c r="L5" i="37"/>
  <c r="N10" i="19" l="1"/>
  <c r="F15" i="19"/>
  <c r="F14" i="19"/>
  <c r="V51" i="68" l="1"/>
  <c r="V45" i="68"/>
  <c r="N51" i="68"/>
  <c r="N43" i="68"/>
  <c r="V48" i="59"/>
  <c r="K24" i="30" l="1"/>
  <c r="N44" i="60" l="1"/>
  <c r="N44" i="59"/>
  <c r="N44" i="36"/>
  <c r="N7" i="68" l="1"/>
  <c r="L7" i="68"/>
  <c r="K7" i="68"/>
  <c r="N47" i="60"/>
  <c r="N43" i="60"/>
  <c r="N47" i="59"/>
  <c r="N43" i="59"/>
  <c r="N47" i="36"/>
  <c r="N43" i="36"/>
  <c r="K12" i="66" l="1"/>
  <c r="K30" i="23" s="1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6" i="30"/>
  <c r="K7" i="30"/>
  <c r="K5" i="30"/>
  <c r="I34" i="23" l="1"/>
  <c r="L34" i="23" s="1"/>
  <c r="AL16" i="72" l="1"/>
  <c r="AK16" i="72"/>
  <c r="AJ16" i="72"/>
  <c r="AK17" i="72" s="1"/>
  <c r="AI16" i="72"/>
  <c r="AH16" i="72"/>
  <c r="AG16" i="72"/>
  <c r="AH17" i="72" s="1"/>
  <c r="AF16" i="72"/>
  <c r="AE16" i="72"/>
  <c r="AD16" i="72"/>
  <c r="AC16" i="72"/>
  <c r="AB16" i="72"/>
  <c r="AA16" i="72"/>
  <c r="Z16" i="72"/>
  <c r="Y16" i="72"/>
  <c r="X16" i="72"/>
  <c r="Y17" i="72" s="1"/>
  <c r="W16" i="72"/>
  <c r="V16" i="72"/>
  <c r="U16" i="72"/>
  <c r="T16" i="72"/>
  <c r="S16" i="72"/>
  <c r="R16" i="72"/>
  <c r="Q16" i="72"/>
  <c r="P16" i="72"/>
  <c r="O16" i="72"/>
  <c r="N16" i="72"/>
  <c r="M16" i="72"/>
  <c r="L16" i="72"/>
  <c r="M17" i="72" s="1"/>
  <c r="K16" i="72"/>
  <c r="J16" i="72"/>
  <c r="I16" i="72"/>
  <c r="J17" i="72" s="1"/>
  <c r="H16" i="72"/>
  <c r="G16" i="72"/>
  <c r="F16" i="72"/>
  <c r="E16" i="72"/>
  <c r="D16" i="72"/>
  <c r="C16" i="72"/>
  <c r="AM15" i="72"/>
  <c r="AM14" i="72"/>
  <c r="AM13" i="72"/>
  <c r="AM12" i="72"/>
  <c r="AM11" i="72"/>
  <c r="AM10" i="72"/>
  <c r="AM9" i="72"/>
  <c r="AM8" i="72"/>
  <c r="AM7" i="72"/>
  <c r="V17" i="72" l="1"/>
  <c r="AM17" i="72"/>
  <c r="F19" i="67" s="1"/>
  <c r="D17" i="72"/>
  <c r="G17" i="72"/>
  <c r="P17" i="72"/>
  <c r="S17" i="72"/>
  <c r="AB17" i="72"/>
  <c r="AE17" i="72"/>
  <c r="AM16" i="72"/>
  <c r="J49" i="22" l="1"/>
  <c r="J33" i="22"/>
  <c r="J34" i="22"/>
  <c r="J35" i="22"/>
  <c r="J36" i="22"/>
  <c r="J37" i="22"/>
  <c r="J39" i="22"/>
  <c r="J20" i="22"/>
  <c r="J21" i="22"/>
  <c r="J22" i="22"/>
  <c r="J23" i="22"/>
  <c r="J24" i="22"/>
  <c r="J25" i="22"/>
  <c r="J26" i="22"/>
  <c r="J14" i="22"/>
  <c r="O32" i="67"/>
  <c r="O30" i="67"/>
  <c r="F50" i="68"/>
  <c r="G46" i="68"/>
  <c r="G45" i="68"/>
  <c r="F40" i="68" l="1"/>
  <c r="D13" i="68"/>
  <c r="D14" i="68"/>
  <c r="D12" i="68"/>
  <c r="F8" i="68"/>
  <c r="D9" i="68"/>
  <c r="D8" i="68"/>
  <c r="F5" i="68"/>
  <c r="D5" i="68"/>
  <c r="C5" i="68"/>
  <c r="G31" i="23" l="1"/>
  <c r="I31" i="23" s="1"/>
  <c r="L31" i="23" s="1"/>
  <c r="N31" i="23" s="1"/>
  <c r="P31" i="23" s="1"/>
  <c r="E31" i="23"/>
  <c r="F31" i="23"/>
  <c r="D31" i="23"/>
  <c r="C31" i="23"/>
  <c r="E11" i="23"/>
  <c r="F11" i="23"/>
  <c r="G11" i="23"/>
  <c r="F10" i="23"/>
  <c r="G10" i="23"/>
  <c r="E10" i="23"/>
  <c r="D11" i="23"/>
  <c r="D10" i="23"/>
  <c r="C11" i="23"/>
  <c r="C10" i="23"/>
  <c r="O8" i="71"/>
  <c r="O7" i="71"/>
  <c r="O6" i="71"/>
  <c r="I24" i="70"/>
  <c r="I23" i="70"/>
  <c r="I22" i="70"/>
  <c r="I25" i="70" s="1"/>
  <c r="G18" i="70"/>
  <c r="G14" i="70"/>
  <c r="D44" i="68" s="1"/>
  <c r="G44" i="68" s="1"/>
  <c r="F14" i="70"/>
  <c r="F44" i="68" s="1"/>
  <c r="G13" i="70"/>
  <c r="F13" i="70"/>
  <c r="F43" i="68" s="1"/>
  <c r="G12" i="70"/>
  <c r="D42" i="68" s="1"/>
  <c r="F12" i="70"/>
  <c r="G11" i="70"/>
  <c r="D41" i="68" s="1"/>
  <c r="F11" i="70"/>
  <c r="I10" i="70"/>
  <c r="G10" i="70"/>
  <c r="D40" i="68" s="1"/>
  <c r="G9" i="70"/>
  <c r="D39" i="68" s="1"/>
  <c r="F9" i="70"/>
  <c r="G7" i="70"/>
  <c r="D32" i="68" s="1"/>
  <c r="F7" i="70"/>
  <c r="G6" i="70"/>
  <c r="D31" i="68" s="1"/>
  <c r="F6" i="70"/>
  <c r="I5" i="70"/>
  <c r="G5" i="70"/>
  <c r="D30" i="68" s="1"/>
  <c r="F5" i="70"/>
  <c r="F30" i="68" s="1"/>
  <c r="G4" i="70"/>
  <c r="F4" i="70"/>
  <c r="F29" i="68" s="1"/>
  <c r="G3" i="70"/>
  <c r="D28" i="68" s="1"/>
  <c r="F3" i="70"/>
  <c r="K9" i="69"/>
  <c r="I9" i="69"/>
  <c r="H9" i="69"/>
  <c r="G9" i="69"/>
  <c r="L8" i="69"/>
  <c r="K8" i="69"/>
  <c r="F13" i="68" s="1"/>
  <c r="I8" i="69"/>
  <c r="G8" i="69"/>
  <c r="K7" i="69"/>
  <c r="F12" i="68" s="1"/>
  <c r="G12" i="68" s="1"/>
  <c r="I7" i="69"/>
  <c r="H7" i="69"/>
  <c r="G7" i="69"/>
  <c r="K6" i="69"/>
  <c r="I6" i="69"/>
  <c r="H6" i="69"/>
  <c r="G6" i="69"/>
  <c r="L5" i="69"/>
  <c r="I5" i="69"/>
  <c r="H5" i="69"/>
  <c r="G5" i="69"/>
  <c r="L4" i="69"/>
  <c r="G57" i="68"/>
  <c r="G52" i="68"/>
  <c r="V56" i="68"/>
  <c r="N56" i="68"/>
  <c r="G51" i="68"/>
  <c r="N50" i="68"/>
  <c r="G48" i="68"/>
  <c r="G47" i="68"/>
  <c r="N46" i="68"/>
  <c r="V50" i="68"/>
  <c r="V44" i="68"/>
  <c r="G40" i="68"/>
  <c r="G37" i="68"/>
  <c r="G36" i="68"/>
  <c r="N35" i="68"/>
  <c r="N42" i="68" s="1"/>
  <c r="G35" i="68"/>
  <c r="G34" i="68"/>
  <c r="G33" i="68"/>
  <c r="V32" i="68"/>
  <c r="V31" i="68"/>
  <c r="L31" i="68"/>
  <c r="K31" i="68"/>
  <c r="V30" i="68"/>
  <c r="N30" i="68"/>
  <c r="G30" i="68"/>
  <c r="V29" i="68"/>
  <c r="N29" i="68"/>
  <c r="N31" i="68" s="1"/>
  <c r="V28" i="68"/>
  <c r="V27" i="68"/>
  <c r="L27" i="68"/>
  <c r="K27" i="68"/>
  <c r="V26" i="68"/>
  <c r="N26" i="68"/>
  <c r="N27" i="68" s="1"/>
  <c r="V25" i="68"/>
  <c r="N25" i="68"/>
  <c r="V24" i="68"/>
  <c r="V23" i="68"/>
  <c r="L23" i="68"/>
  <c r="K23" i="68"/>
  <c r="G23" i="68"/>
  <c r="V22" i="68"/>
  <c r="N22" i="68"/>
  <c r="G22" i="68"/>
  <c r="V21" i="68"/>
  <c r="N21" i="68"/>
  <c r="G21" i="68"/>
  <c r="V20" i="68"/>
  <c r="V19" i="68"/>
  <c r="L19" i="68"/>
  <c r="K19" i="68"/>
  <c r="G19" i="68"/>
  <c r="V18" i="68"/>
  <c r="N18" i="68"/>
  <c r="G18" i="68"/>
  <c r="N17" i="68"/>
  <c r="G17" i="68"/>
  <c r="G20" i="68" s="1"/>
  <c r="G24" i="68" s="1"/>
  <c r="N16" i="68"/>
  <c r="N19" i="68" s="1"/>
  <c r="P32" i="67" s="1"/>
  <c r="L15" i="68"/>
  <c r="K15" i="68"/>
  <c r="G15" i="68"/>
  <c r="N14" i="68"/>
  <c r="N13" i="68"/>
  <c r="G13" i="68"/>
  <c r="N12" i="68"/>
  <c r="N11" i="68"/>
  <c r="N10" i="68"/>
  <c r="G10" i="68"/>
  <c r="N9" i="68"/>
  <c r="N8" i="68"/>
  <c r="G8" i="68"/>
  <c r="V7" i="68"/>
  <c r="V6" i="68"/>
  <c r="G6" i="68"/>
  <c r="V5" i="68"/>
  <c r="G5" i="68"/>
  <c r="G7" i="68" s="1"/>
  <c r="P16" i="67" s="1"/>
  <c r="F44" i="67"/>
  <c r="P14" i="67"/>
  <c r="F5" i="67" s="1"/>
  <c r="J8" i="22" s="1"/>
  <c r="Q10" i="67"/>
  <c r="P10" i="67"/>
  <c r="F27" i="67" s="1"/>
  <c r="J31" i="22" s="1"/>
  <c r="N6" i="67"/>
  <c r="N5" i="67"/>
  <c r="N4" i="67"/>
  <c r="G20" i="66"/>
  <c r="P19" i="66"/>
  <c r="P18" i="66"/>
  <c r="P17" i="66"/>
  <c r="I16" i="66"/>
  <c r="G15" i="66"/>
  <c r="I12" i="66"/>
  <c r="L12" i="66" s="1"/>
  <c r="I11" i="66"/>
  <c r="L11" i="66" s="1"/>
  <c r="G10" i="66"/>
  <c r="P9" i="66"/>
  <c r="N9" i="66"/>
  <c r="I6" i="66"/>
  <c r="L6" i="66" s="1"/>
  <c r="I5" i="66"/>
  <c r="L5" i="66" s="1"/>
  <c r="G31" i="68" l="1"/>
  <c r="I14" i="70"/>
  <c r="I3" i="70"/>
  <c r="F28" i="68"/>
  <c r="G28" i="68" s="1"/>
  <c r="G38" i="68" s="1"/>
  <c r="P23" i="67" s="1"/>
  <c r="P27" i="67" s="1"/>
  <c r="F7" i="67" s="1"/>
  <c r="J10" i="22" s="1"/>
  <c r="I18" i="70"/>
  <c r="I21" i="70" s="1"/>
  <c r="D50" i="68"/>
  <c r="G50" i="68" s="1"/>
  <c r="G53" i="68" s="1"/>
  <c r="P25" i="67" s="1"/>
  <c r="L9" i="69"/>
  <c r="F14" i="68"/>
  <c r="G14" i="68" s="1"/>
  <c r="I11" i="70"/>
  <c r="F41" i="68"/>
  <c r="G41" i="68" s="1"/>
  <c r="G49" i="68" s="1"/>
  <c r="P24" i="67" s="1"/>
  <c r="I7" i="70"/>
  <c r="F32" i="68"/>
  <c r="G32" i="68" s="1"/>
  <c r="V14" i="68"/>
  <c r="F9" i="67" s="1"/>
  <c r="J12" i="22" s="1"/>
  <c r="L6" i="69"/>
  <c r="L10" i="69" s="1"/>
  <c r="F9" i="68"/>
  <c r="G9" i="68" s="1"/>
  <c r="V34" i="68"/>
  <c r="F10" i="67" s="1"/>
  <c r="J13" i="22" s="1"/>
  <c r="N23" i="68"/>
  <c r="G10" i="69"/>
  <c r="I4" i="70"/>
  <c r="I8" i="70" s="1"/>
  <c r="D29" i="68"/>
  <c r="G29" i="68" s="1"/>
  <c r="I9" i="70"/>
  <c r="I17" i="70" s="1"/>
  <c r="F39" i="68"/>
  <c r="G39" i="68" s="1"/>
  <c r="N15" i="68"/>
  <c r="P30" i="67" s="1"/>
  <c r="P31" i="67" s="1"/>
  <c r="P36" i="67" s="1"/>
  <c r="F8" i="67" s="1"/>
  <c r="J11" i="22" s="1"/>
  <c r="I6" i="70"/>
  <c r="F31" i="68"/>
  <c r="I12" i="70"/>
  <c r="F42" i="68"/>
  <c r="G42" i="68" s="1"/>
  <c r="H10" i="69"/>
  <c r="I13" i="70"/>
  <c r="D43" i="68"/>
  <c r="G43" i="68" s="1"/>
  <c r="L7" i="69"/>
  <c r="O9" i="71"/>
  <c r="I10" i="69"/>
  <c r="G16" i="68"/>
  <c r="P18" i="67" s="1"/>
  <c r="G21" i="66"/>
  <c r="I20" i="66"/>
  <c r="I15" i="66"/>
  <c r="N57" i="68"/>
  <c r="F36" i="67" s="1"/>
  <c r="J40" i="22" s="1"/>
  <c r="V57" i="68"/>
  <c r="F34" i="67" s="1"/>
  <c r="J38" i="22" s="1"/>
  <c r="G11" i="68"/>
  <c r="P17" i="67" s="1"/>
  <c r="P21" i="67" s="1"/>
  <c r="F6" i="67" s="1"/>
  <c r="J9" i="22" s="1"/>
  <c r="R10" i="67"/>
  <c r="F26" i="67"/>
  <c r="J30" i="22" s="1"/>
  <c r="N6" i="66"/>
  <c r="P6" i="66" s="1"/>
  <c r="N12" i="66"/>
  <c r="P12" i="66" s="1"/>
  <c r="L10" i="66"/>
  <c r="F12" i="67" s="1"/>
  <c r="J15" i="22" s="1"/>
  <c r="N5" i="66"/>
  <c r="P5" i="66" s="1"/>
  <c r="N11" i="66"/>
  <c r="P11" i="66" s="1"/>
  <c r="I10" i="66"/>
  <c r="L16" i="66"/>
  <c r="I26" i="70" l="1"/>
  <c r="P10" i="66"/>
  <c r="F14" i="67" s="1"/>
  <c r="J17" i="22" s="1"/>
  <c r="I21" i="66"/>
  <c r="F28" i="67"/>
  <c r="J32" i="22" s="1"/>
  <c r="F3" i="67"/>
  <c r="J5" i="22" s="1"/>
  <c r="J7" i="22" s="1"/>
  <c r="P15" i="66"/>
  <c r="F15" i="67" s="1"/>
  <c r="J18" i="22" s="1"/>
  <c r="L15" i="66"/>
  <c r="F13" i="67" s="1"/>
  <c r="L20" i="66"/>
  <c r="N16" i="66"/>
  <c r="P16" i="66" s="1"/>
  <c r="P20" i="66" s="1"/>
  <c r="F16" i="67" s="1"/>
  <c r="J19" i="22" s="1"/>
  <c r="F37" i="67" l="1"/>
  <c r="F38" i="67" s="1"/>
  <c r="J16" i="22"/>
  <c r="F24" i="67"/>
  <c r="J27" i="22" s="1"/>
  <c r="L21" i="66"/>
  <c r="P21" i="66"/>
  <c r="J41" i="22" l="1"/>
  <c r="J42" i="22" s="1"/>
  <c r="F25" i="67"/>
  <c r="F45" i="67" s="1"/>
  <c r="J28" i="22"/>
  <c r="J29" i="22" s="1"/>
  <c r="J43" i="22" s="1"/>
  <c r="J50" i="22" s="1"/>
  <c r="N55" i="36"/>
  <c r="N55" i="60"/>
  <c r="N55" i="59"/>
  <c r="G15" i="30" l="1"/>
  <c r="I24" i="30" l="1"/>
  <c r="I23" i="30"/>
  <c r="V51" i="36"/>
  <c r="V51" i="59"/>
  <c r="V45" i="36"/>
  <c r="AP22" i="27"/>
  <c r="AQ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AB22" i="27" s="1"/>
  <c r="Z21" i="27"/>
  <c r="Y21" i="27"/>
  <c r="X21" i="27"/>
  <c r="W21" i="27"/>
  <c r="V21" i="27"/>
  <c r="U21" i="27"/>
  <c r="T21" i="27"/>
  <c r="S21" i="27"/>
  <c r="R21" i="27"/>
  <c r="Q21" i="27"/>
  <c r="P21" i="27"/>
  <c r="O21" i="27"/>
  <c r="P22" i="27" s="1"/>
  <c r="N21" i="27"/>
  <c r="M21" i="27"/>
  <c r="L21" i="27"/>
  <c r="K21" i="27"/>
  <c r="J21" i="27"/>
  <c r="I21" i="27"/>
  <c r="H21" i="27"/>
  <c r="G21" i="27"/>
  <c r="F21" i="27"/>
  <c r="E21" i="27"/>
  <c r="D21" i="27"/>
  <c r="C21" i="27"/>
  <c r="AQ20" i="27"/>
  <c r="AM20" i="27"/>
  <c r="AM19" i="27"/>
  <c r="AM17" i="27"/>
  <c r="AM16" i="27"/>
  <c r="AM15" i="27"/>
  <c r="AM14" i="27"/>
  <c r="AM13" i="27"/>
  <c r="AM12" i="27"/>
  <c r="AM11" i="27"/>
  <c r="AO22" i="27"/>
  <c r="AM10" i="27"/>
  <c r="AM9" i="27"/>
  <c r="AM8" i="27"/>
  <c r="AP22" i="28"/>
  <c r="AQ21" i="28"/>
  <c r="AL21" i="28"/>
  <c r="AK21" i="28"/>
  <c r="AJ21" i="28"/>
  <c r="AK22" i="28" s="1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M22" i="28" s="1"/>
  <c r="K21" i="28"/>
  <c r="J21" i="28"/>
  <c r="I21" i="28"/>
  <c r="H21" i="28"/>
  <c r="G21" i="28"/>
  <c r="F21" i="28"/>
  <c r="E21" i="28"/>
  <c r="D21" i="28"/>
  <c r="C21" i="28"/>
  <c r="AQ20" i="28"/>
  <c r="AM20" i="28"/>
  <c r="AM19" i="28"/>
  <c r="AM17" i="28"/>
  <c r="AM16" i="28"/>
  <c r="AM15" i="28"/>
  <c r="AM14" i="28"/>
  <c r="AM13" i="28"/>
  <c r="AM12" i="28"/>
  <c r="AM11" i="28"/>
  <c r="AO22" i="28"/>
  <c r="AM10" i="28"/>
  <c r="AM9" i="28"/>
  <c r="AM8" i="28"/>
  <c r="Y22" i="28" l="1"/>
  <c r="V22" i="27"/>
  <c r="AH22" i="27"/>
  <c r="J22" i="27"/>
  <c r="Y22" i="27"/>
  <c r="AK22" i="27"/>
  <c r="AM22" i="28"/>
  <c r="G22" i="28"/>
  <c r="S22" i="28"/>
  <c r="AE22" i="28"/>
  <c r="D22" i="28"/>
  <c r="J22" i="28"/>
  <c r="P22" i="28"/>
  <c r="V22" i="28"/>
  <c r="AB22" i="28"/>
  <c r="AH22" i="28"/>
  <c r="AM21" i="27"/>
  <c r="M22" i="27"/>
  <c r="AM22" i="27"/>
  <c r="G22" i="27"/>
  <c r="S22" i="27"/>
  <c r="AE22" i="27"/>
  <c r="AQ22" i="27"/>
  <c r="D22" i="27"/>
  <c r="AM21" i="28"/>
  <c r="AQ22" i="28"/>
  <c r="F20" i="45"/>
  <c r="H22" i="22" s="1"/>
  <c r="F19" i="45"/>
  <c r="H21" i="22" s="1"/>
  <c r="AQ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AQ20" i="44"/>
  <c r="AM20" i="44"/>
  <c r="AM19" i="44"/>
  <c r="AM17" i="44"/>
  <c r="AM16" i="44"/>
  <c r="AM15" i="44"/>
  <c r="AM14" i="44"/>
  <c r="AM13" i="44"/>
  <c r="AM12" i="44"/>
  <c r="AM11" i="44"/>
  <c r="AO22" i="44"/>
  <c r="F19" i="37" s="1"/>
  <c r="I21" i="22" s="1"/>
  <c r="AM10" i="44"/>
  <c r="AM9" i="44"/>
  <c r="AM8" i="44"/>
  <c r="G48" i="22"/>
  <c r="G47" i="22"/>
  <c r="G46" i="22"/>
  <c r="G45" i="22"/>
  <c r="G41" i="22"/>
  <c r="G39" i="22"/>
  <c r="G31" i="22"/>
  <c r="G20" i="22"/>
  <c r="G14" i="22"/>
  <c r="G6" i="22"/>
  <c r="S22" i="44" l="1"/>
  <c r="G22" i="44"/>
  <c r="AE22" i="44"/>
  <c r="M22" i="44"/>
  <c r="Y22" i="44"/>
  <c r="AK22" i="44"/>
  <c r="D22" i="44"/>
  <c r="J22" i="44"/>
  <c r="P22" i="44"/>
  <c r="V22" i="44"/>
  <c r="AH22" i="44"/>
  <c r="AM21" i="44"/>
  <c r="AB22" i="44"/>
  <c r="AM22" i="44"/>
  <c r="AQ22" i="44"/>
  <c r="AP22" i="44"/>
  <c r="F20" i="37" s="1"/>
  <c r="I22" i="22" s="1"/>
  <c r="H4" i="22" l="1"/>
  <c r="F13" i="19"/>
  <c r="G21" i="30"/>
  <c r="J7" i="30" l="1"/>
  <c r="J5" i="30"/>
  <c r="J6" i="30"/>
  <c r="J16" i="30"/>
  <c r="J20" i="30"/>
  <c r="J24" i="30"/>
  <c r="J13" i="30"/>
  <c r="J18" i="30"/>
  <c r="J11" i="30"/>
  <c r="J19" i="30"/>
  <c r="J23" i="30"/>
  <c r="J17" i="30"/>
  <c r="J21" i="30"/>
  <c r="J14" i="30"/>
  <c r="J10" i="30"/>
  <c r="J22" i="30"/>
  <c r="J15" i="30"/>
  <c r="J12" i="30"/>
  <c r="I4" i="22"/>
  <c r="F20" i="35"/>
  <c r="G22" i="22" s="1"/>
  <c r="I30" i="23" l="1"/>
  <c r="I22" i="30"/>
  <c r="I21" i="30"/>
  <c r="I15" i="30"/>
  <c r="G14" i="30"/>
  <c r="I14" i="30" s="1"/>
  <c r="G29" i="23" l="1"/>
  <c r="I29" i="23" s="1"/>
  <c r="F29" i="23"/>
  <c r="E29" i="23"/>
  <c r="G28" i="23"/>
  <c r="I28" i="23" s="1"/>
  <c r="F28" i="23"/>
  <c r="E28" i="23"/>
  <c r="G27" i="23"/>
  <c r="F27" i="23"/>
  <c r="E27" i="23"/>
  <c r="C29" i="23"/>
  <c r="C28" i="23"/>
  <c r="C27" i="23"/>
  <c r="F26" i="23"/>
  <c r="E26" i="23"/>
  <c r="D26" i="23"/>
  <c r="F25" i="23"/>
  <c r="E25" i="23"/>
  <c r="D25" i="23"/>
  <c r="C26" i="23"/>
  <c r="C25" i="23"/>
  <c r="G24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G20" i="23"/>
  <c r="F20" i="23"/>
  <c r="E20" i="23"/>
  <c r="F19" i="23"/>
  <c r="E19" i="23"/>
  <c r="D19" i="23"/>
  <c r="F18" i="23"/>
  <c r="E18" i="23"/>
  <c r="C18" i="23"/>
  <c r="D18" i="23"/>
  <c r="F17" i="23"/>
  <c r="E17" i="23"/>
  <c r="F16" i="23"/>
  <c r="E16" i="23"/>
  <c r="G19" i="30"/>
  <c r="G20" i="30"/>
  <c r="G18" i="30"/>
  <c r="I18" i="30" s="1"/>
  <c r="I24" i="23" l="1"/>
  <c r="G23" i="23"/>
  <c r="I23" i="23" s="1"/>
  <c r="I20" i="30"/>
  <c r="G22" i="23"/>
  <c r="I22" i="23" s="1"/>
  <c r="I19" i="30"/>
  <c r="I20" i="23"/>
  <c r="I27" i="23"/>
  <c r="G17" i="30"/>
  <c r="G10" i="30"/>
  <c r="G11" i="30"/>
  <c r="I11" i="30" l="1"/>
  <c r="G17" i="23"/>
  <c r="I17" i="23" s="1"/>
  <c r="G16" i="23"/>
  <c r="I16" i="23" s="1"/>
  <c r="I10" i="30"/>
  <c r="G26" i="23"/>
  <c r="I26" i="23" s="1"/>
  <c r="I17" i="30"/>
  <c r="G13" i="30"/>
  <c r="G12" i="30"/>
  <c r="I12" i="30" l="1"/>
  <c r="G18" i="23"/>
  <c r="I18" i="23" s="1"/>
  <c r="G19" i="23"/>
  <c r="I19" i="23" s="1"/>
  <c r="I13" i="30"/>
  <c r="G16" i="30"/>
  <c r="G21" i="23"/>
  <c r="I21" i="23" s="1"/>
  <c r="G25" i="23" l="1"/>
  <c r="I25" i="23" s="1"/>
  <c r="I16" i="30"/>
  <c r="J38" i="60"/>
  <c r="J37" i="60"/>
  <c r="J36" i="60"/>
  <c r="J38" i="59"/>
  <c r="J37" i="59"/>
  <c r="J36" i="59"/>
  <c r="J38" i="36"/>
  <c r="J37" i="36"/>
  <c r="K5" i="23" l="1"/>
  <c r="K9" i="23" l="1"/>
  <c r="K8" i="23"/>
  <c r="G7" i="30"/>
  <c r="D21" i="60"/>
  <c r="P8" i="30" l="1"/>
  <c r="Z4" i="30"/>
  <c r="Y4" i="30"/>
  <c r="X4" i="30"/>
  <c r="W4" i="30"/>
  <c r="V4" i="30"/>
  <c r="U4" i="30"/>
  <c r="T4" i="30"/>
  <c r="S4" i="30"/>
  <c r="F40" i="37"/>
  <c r="I44" i="22" s="1"/>
  <c r="F40" i="45"/>
  <c r="H44" i="22" s="1"/>
  <c r="H49" i="22" s="1"/>
  <c r="F40" i="35"/>
  <c r="G44" i="22" s="1"/>
  <c r="G49" i="22" s="1"/>
  <c r="F23" i="37"/>
  <c r="I25" i="22" s="1"/>
  <c r="F22" i="37"/>
  <c r="I24" i="22" s="1"/>
  <c r="F23" i="45"/>
  <c r="H25" i="22" s="1"/>
  <c r="F22" i="45"/>
  <c r="H24" i="22" s="1"/>
  <c r="F23" i="35"/>
  <c r="G25" i="22" s="1"/>
  <c r="F22" i="35"/>
  <c r="G24" i="22" s="1"/>
  <c r="F24" i="37"/>
  <c r="I26" i="22" s="1"/>
  <c r="F24" i="35"/>
  <c r="G26" i="22" s="1"/>
  <c r="F24" i="45"/>
  <c r="H26" i="22" s="1"/>
  <c r="R4" i="30" l="1"/>
  <c r="F21" i="37" l="1"/>
  <c r="I23" i="22" s="1"/>
  <c r="F19" i="35"/>
  <c r="G21" i="22" s="1"/>
  <c r="G6" i="30"/>
  <c r="G5" i="30"/>
  <c r="F21" i="35" l="1"/>
  <c r="G23" i="22" s="1"/>
  <c r="F21" i="45"/>
  <c r="H23" i="22" s="1"/>
  <c r="D54" i="60"/>
  <c r="G56" i="60"/>
  <c r="F55" i="60"/>
  <c r="G55" i="60" s="1"/>
  <c r="F54" i="60"/>
  <c r="G52" i="60"/>
  <c r="G51" i="60"/>
  <c r="F50" i="60"/>
  <c r="G50" i="60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G53" i="60" l="1"/>
  <c r="P26" i="37" s="1"/>
  <c r="G53" i="59"/>
  <c r="P26" i="45" s="1"/>
  <c r="I49" i="22"/>
  <c r="J19" i="23"/>
  <c r="J16" i="23"/>
  <c r="J23" i="23"/>
  <c r="J26" i="23"/>
  <c r="J17" i="23"/>
  <c r="J25" i="23"/>
  <c r="J24" i="23"/>
  <c r="J29" i="23"/>
  <c r="J28" i="23"/>
  <c r="J21" i="23"/>
  <c r="J22" i="23"/>
  <c r="N7" i="19"/>
  <c r="M51" i="36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J18" i="23" l="1"/>
  <c r="J20" i="23"/>
  <c r="J27" i="23"/>
  <c r="M52" i="59"/>
  <c r="N52" i="59" s="1"/>
  <c r="M37" i="59"/>
  <c r="M51" i="60"/>
  <c r="N51" i="60" s="1"/>
  <c r="M38" i="60"/>
  <c r="M36" i="60"/>
  <c r="M51" i="59"/>
  <c r="N51" i="59" s="1"/>
  <c r="M36" i="36"/>
  <c r="N54" i="60"/>
  <c r="N50" i="60"/>
  <c r="M53" i="59"/>
  <c r="N53" i="59" s="1"/>
  <c r="N50" i="59"/>
  <c r="M53" i="36"/>
  <c r="M53" i="60"/>
  <c r="N53" i="60" s="1"/>
  <c r="N46" i="60"/>
  <c r="M36" i="59"/>
  <c r="M37" i="36"/>
  <c r="M52" i="36"/>
  <c r="M52" i="60"/>
  <c r="N52" i="60" s="1"/>
  <c r="N46" i="59"/>
  <c r="M38" i="36"/>
  <c r="M37" i="60"/>
  <c r="N54" i="59"/>
  <c r="M38" i="59"/>
  <c r="K21" i="23"/>
  <c r="K24" i="23"/>
  <c r="D20" i="23"/>
  <c r="C20" i="23"/>
  <c r="D17" i="23"/>
  <c r="C17" i="23"/>
  <c r="D16" i="23"/>
  <c r="C16" i="23"/>
  <c r="G9" i="23"/>
  <c r="G8" i="23"/>
  <c r="G5" i="23"/>
  <c r="E9" i="23"/>
  <c r="E8" i="23"/>
  <c r="E5" i="23"/>
  <c r="D9" i="23"/>
  <c r="D8" i="23"/>
  <c r="D5" i="23"/>
  <c r="C9" i="23"/>
  <c r="I7" i="30"/>
  <c r="C8" i="23"/>
  <c r="C5" i="23"/>
  <c r="F29" i="36"/>
  <c r="K38" i="60" l="1"/>
  <c r="N38" i="60" s="1"/>
  <c r="K38" i="36"/>
  <c r="N38" i="36" s="1"/>
  <c r="K38" i="59"/>
  <c r="N38" i="59" s="1"/>
  <c r="G29" i="36"/>
  <c r="D21" i="59"/>
  <c r="D54" i="36"/>
  <c r="F12" i="59"/>
  <c r="G12" i="59" s="1"/>
  <c r="V54" i="60"/>
  <c r="V51" i="60"/>
  <c r="V48" i="60"/>
  <c r="V45" i="60"/>
  <c r="V40" i="60"/>
  <c r="S39" i="60"/>
  <c r="V39" i="60" s="1"/>
  <c r="V38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G12" i="60"/>
  <c r="N11" i="60"/>
  <c r="G10" i="60"/>
  <c r="N10" i="60"/>
  <c r="N9" i="60"/>
  <c r="G9" i="60"/>
  <c r="N8" i="60"/>
  <c r="G8" i="60"/>
  <c r="L7" i="60"/>
  <c r="L12" i="60" s="1"/>
  <c r="N6" i="60"/>
  <c r="K12" i="60"/>
  <c r="G6" i="60"/>
  <c r="V21" i="60"/>
  <c r="F10" i="37" s="1"/>
  <c r="I12" i="22" s="1"/>
  <c r="G5" i="60"/>
  <c r="V54" i="59"/>
  <c r="V45" i="59"/>
  <c r="V50" i="59" s="1"/>
  <c r="V40" i="59"/>
  <c r="S39" i="59"/>
  <c r="V39" i="59" s="1"/>
  <c r="V38" i="59"/>
  <c r="K32" i="59"/>
  <c r="L32" i="59"/>
  <c r="N31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N11" i="59"/>
  <c r="G10" i="59"/>
  <c r="N10" i="59"/>
  <c r="N9" i="59"/>
  <c r="G9" i="59"/>
  <c r="N8" i="59"/>
  <c r="G8" i="59"/>
  <c r="L7" i="59"/>
  <c r="L12" i="59" s="1"/>
  <c r="N6" i="59"/>
  <c r="G6" i="59"/>
  <c r="V21" i="59"/>
  <c r="F10" i="45" s="1"/>
  <c r="H12" i="22" s="1"/>
  <c r="G5" i="59"/>
  <c r="V56" i="60" l="1"/>
  <c r="N7" i="59"/>
  <c r="G20" i="60"/>
  <c r="P20" i="37" s="1"/>
  <c r="V34" i="60"/>
  <c r="F11" i="37" s="1"/>
  <c r="I13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H13" i="22" s="1"/>
  <c r="G7" i="59"/>
  <c r="P17" i="45" s="1"/>
  <c r="G11" i="59"/>
  <c r="P18" i="45" s="1"/>
  <c r="G20" i="59"/>
  <c r="P20" i="45" s="1"/>
  <c r="V44" i="59"/>
  <c r="V56" i="59"/>
  <c r="N32" i="59"/>
  <c r="P36" i="45" s="1"/>
  <c r="G16" i="60"/>
  <c r="P19" i="37" s="1"/>
  <c r="G16" i="59"/>
  <c r="P19" i="45" s="1"/>
  <c r="K32" i="60"/>
  <c r="N13" i="60"/>
  <c r="N16" i="60" s="1"/>
  <c r="P31" i="37" s="1"/>
  <c r="N7" i="60"/>
  <c r="N12" i="60" s="1"/>
  <c r="P30" i="37" s="1"/>
  <c r="N12" i="59"/>
  <c r="P30" i="45" s="1"/>
  <c r="K12" i="59"/>
  <c r="N13" i="59"/>
  <c r="N16" i="59" s="1"/>
  <c r="P31" i="45" s="1"/>
  <c r="N21" i="59"/>
  <c r="N24" i="59" s="1"/>
  <c r="P34" i="45" s="1"/>
  <c r="V57" i="60" l="1"/>
  <c r="F35" i="37" s="1"/>
  <c r="I38" i="22" s="1"/>
  <c r="V57" i="59"/>
  <c r="F35" i="45" s="1"/>
  <c r="H38" i="22" s="1"/>
  <c r="S39" i="36" l="1"/>
  <c r="K27" i="23" l="1"/>
  <c r="K23" i="23"/>
  <c r="L23" i="23" s="1"/>
  <c r="K22" i="23"/>
  <c r="K26" i="23"/>
  <c r="L26" i="23" s="1"/>
  <c r="K25" i="23"/>
  <c r="K20" i="23"/>
  <c r="K17" i="23"/>
  <c r="I5" i="30"/>
  <c r="J36" i="36"/>
  <c r="N26" i="23" l="1"/>
  <c r="P26" i="23" s="1"/>
  <c r="N23" i="23"/>
  <c r="P23" i="23" s="1"/>
  <c r="K29" i="23"/>
  <c r="L29" i="23" s="1"/>
  <c r="L28" i="23"/>
  <c r="K36" i="60"/>
  <c r="N36" i="60" s="1"/>
  <c r="K36" i="59"/>
  <c r="N36" i="59" s="1"/>
  <c r="L16" i="30"/>
  <c r="N16" i="30" s="1"/>
  <c r="P16" i="30" s="1"/>
  <c r="K36" i="36"/>
  <c r="N36" i="36" s="1"/>
  <c r="N29" i="23" l="1"/>
  <c r="P29" i="23" s="1"/>
  <c r="N28" i="23"/>
  <c r="P28" i="23" s="1"/>
  <c r="F50" i="36"/>
  <c r="F55" i="36"/>
  <c r="F54" i="36"/>
  <c r="F40" i="36"/>
  <c r="F30" i="36"/>
  <c r="G30" i="36" s="1"/>
  <c r="F39" i="36"/>
  <c r="G39" i="36" s="1"/>
  <c r="F12" i="36" l="1"/>
  <c r="F28" i="36"/>
  <c r="G28" i="36" s="1"/>
  <c r="L16" i="36" l="1"/>
  <c r="N14" i="36"/>
  <c r="N15" i="36"/>
  <c r="L7" i="36" l="1"/>
  <c r="L12" i="36" s="1"/>
  <c r="G55" i="36"/>
  <c r="G54" i="36"/>
  <c r="N11" i="36" l="1"/>
  <c r="L14" i="30" l="1"/>
  <c r="N14" i="30" s="1"/>
  <c r="K19" i="23"/>
  <c r="L19" i="23" s="1"/>
  <c r="K18" i="23"/>
  <c r="N19" i="23" l="1"/>
  <c r="P19" i="23" s="1"/>
  <c r="L15" i="30"/>
  <c r="P14" i="30"/>
  <c r="L12" i="30"/>
  <c r="N12" i="30" s="1"/>
  <c r="P12" i="30" s="1"/>
  <c r="L13" i="30"/>
  <c r="N13" i="30" s="1"/>
  <c r="P13" i="30" s="1"/>
  <c r="N15" i="30" l="1"/>
  <c r="P15" i="30" s="1"/>
  <c r="K16" i="23"/>
  <c r="N10" i="36" l="1"/>
  <c r="F45" i="45" l="1"/>
  <c r="P13" i="45"/>
  <c r="P11" i="45"/>
  <c r="P15" i="45" l="1"/>
  <c r="F6" i="45" s="1"/>
  <c r="H8" i="22" s="1"/>
  <c r="F20" i="22"/>
  <c r="F14" i="22"/>
  <c r="F6" i="22"/>
  <c r="F29" i="45"/>
  <c r="H32" i="22" s="1"/>
  <c r="F27" i="45"/>
  <c r="H30" i="22" s="1"/>
  <c r="N5" i="45"/>
  <c r="K12" i="36"/>
  <c r="N13" i="36"/>
  <c r="N16" i="36" s="1"/>
  <c r="K16" i="36"/>
  <c r="R11" i="45" l="1"/>
  <c r="F4" i="45" s="1"/>
  <c r="G42" i="36"/>
  <c r="G46" i="36"/>
  <c r="G47" i="36"/>
  <c r="G32" i="36"/>
  <c r="G38" i="36" s="1"/>
  <c r="P24" i="35" s="1"/>
  <c r="L28" i="36"/>
  <c r="K28" i="36"/>
  <c r="N27" i="36"/>
  <c r="N26" i="36"/>
  <c r="N25" i="36"/>
  <c r="N30" i="36"/>
  <c r="N18" i="36"/>
  <c r="H5" i="22" l="1"/>
  <c r="H7" i="22" s="1"/>
  <c r="Q11" i="45"/>
  <c r="N28" i="36"/>
  <c r="F39" i="22"/>
  <c r="F48" i="22"/>
  <c r="F47" i="22"/>
  <c r="F46" i="22"/>
  <c r="F23" i="22"/>
  <c r="F24" i="22"/>
  <c r="P13" i="37"/>
  <c r="P11" i="37"/>
  <c r="N5" i="37"/>
  <c r="V54" i="36"/>
  <c r="V48" i="36"/>
  <c r="V40" i="36"/>
  <c r="V39" i="36"/>
  <c r="V38" i="36"/>
  <c r="G19" i="36"/>
  <c r="G18" i="36"/>
  <c r="N53" i="36"/>
  <c r="N54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G56" i="36"/>
  <c r="G52" i="36"/>
  <c r="G51" i="36"/>
  <c r="G50" i="36"/>
  <c r="G48" i="36"/>
  <c r="G41" i="36"/>
  <c r="G40" i="36"/>
  <c r="P13" i="35"/>
  <c r="N5" i="35"/>
  <c r="L19" i="30"/>
  <c r="L18" i="30"/>
  <c r="L7" i="30"/>
  <c r="I6" i="30"/>
  <c r="G31" i="30"/>
  <c r="P30" i="30"/>
  <c r="P29" i="30"/>
  <c r="P28" i="30"/>
  <c r="G26" i="30"/>
  <c r="L24" i="30"/>
  <c r="L23" i="30"/>
  <c r="L21" i="30"/>
  <c r="N21" i="30" s="1"/>
  <c r="L20" i="30"/>
  <c r="N20" i="30" s="1"/>
  <c r="G9" i="30"/>
  <c r="L5" i="30"/>
  <c r="P13" i="23"/>
  <c r="P14" i="23"/>
  <c r="G38" i="23"/>
  <c r="L37" i="23"/>
  <c r="L36" i="23"/>
  <c r="L35" i="23"/>
  <c r="G33" i="23"/>
  <c r="L30" i="23"/>
  <c r="L25" i="23"/>
  <c r="L17" i="23"/>
  <c r="G15" i="23"/>
  <c r="L24" i="23"/>
  <c r="L14" i="23"/>
  <c r="L13" i="23"/>
  <c r="I11" i="23"/>
  <c r="L11" i="23" s="1"/>
  <c r="I10" i="23"/>
  <c r="L10" i="23" s="1"/>
  <c r="I9" i="23"/>
  <c r="L9" i="23" s="1"/>
  <c r="I8" i="23"/>
  <c r="I5" i="23"/>
  <c r="L5" i="23" s="1"/>
  <c r="N17" i="23" l="1"/>
  <c r="P17" i="23" s="1"/>
  <c r="N25" i="23"/>
  <c r="P25" i="23" s="1"/>
  <c r="N30" i="23"/>
  <c r="P30" i="23" s="1"/>
  <c r="N24" i="23"/>
  <c r="P24" i="23" s="1"/>
  <c r="L16" i="23"/>
  <c r="N16" i="23" s="1"/>
  <c r="L22" i="23"/>
  <c r="L27" i="23"/>
  <c r="L21" i="23"/>
  <c r="L18" i="23"/>
  <c r="L20" i="23"/>
  <c r="L6" i="30"/>
  <c r="L9" i="30" s="1"/>
  <c r="K37" i="59"/>
  <c r="N37" i="59" s="1"/>
  <c r="N42" i="59" s="1"/>
  <c r="K37" i="60"/>
  <c r="N37" i="60" s="1"/>
  <c r="N42" i="60" s="1"/>
  <c r="K37" i="36"/>
  <c r="N37" i="36" s="1"/>
  <c r="N42" i="36" s="1"/>
  <c r="P21" i="30"/>
  <c r="P20" i="30"/>
  <c r="F29" i="37"/>
  <c r="I32" i="22" s="1"/>
  <c r="F27" i="37"/>
  <c r="I30" i="22" s="1"/>
  <c r="P15" i="37"/>
  <c r="F6" i="37" s="1"/>
  <c r="I8" i="22" s="1"/>
  <c r="F29" i="35"/>
  <c r="G32" i="22" s="1"/>
  <c r="F27" i="35"/>
  <c r="G30" i="22" s="1"/>
  <c r="L11" i="30"/>
  <c r="N52" i="36"/>
  <c r="N56" i="59"/>
  <c r="N56" i="60"/>
  <c r="N51" i="36"/>
  <c r="F44" i="22"/>
  <c r="F25" i="22"/>
  <c r="F26" i="22"/>
  <c r="F31" i="22"/>
  <c r="F22" i="22"/>
  <c r="F21" i="22"/>
  <c r="F6" i="35"/>
  <c r="G8" i="22" s="1"/>
  <c r="P15" i="35"/>
  <c r="G49" i="36"/>
  <c r="P25" i="35" s="1"/>
  <c r="I15" i="23"/>
  <c r="L7" i="23"/>
  <c r="L8" i="23"/>
  <c r="L6" i="23"/>
  <c r="P6" i="23" s="1"/>
  <c r="N12" i="36"/>
  <c r="P35" i="35"/>
  <c r="I31" i="30"/>
  <c r="R11" i="37"/>
  <c r="Q11" i="37" s="1"/>
  <c r="F45" i="37"/>
  <c r="I38" i="23"/>
  <c r="G39" i="23"/>
  <c r="V50" i="36"/>
  <c r="G20" i="36"/>
  <c r="P20" i="35" s="1"/>
  <c r="V56" i="36"/>
  <c r="V44" i="36"/>
  <c r="N50" i="36"/>
  <c r="N46" i="36"/>
  <c r="R11" i="35"/>
  <c r="F4" i="35" s="1"/>
  <c r="G5" i="22" s="1"/>
  <c r="V34" i="36"/>
  <c r="N32" i="36"/>
  <c r="N20" i="36"/>
  <c r="N24" i="36"/>
  <c r="G7" i="36"/>
  <c r="G11" i="36"/>
  <c r="G16" i="36"/>
  <c r="G24" i="36"/>
  <c r="P21" i="35" s="1"/>
  <c r="G53" i="36"/>
  <c r="V21" i="36"/>
  <c r="G57" i="36"/>
  <c r="L17" i="30"/>
  <c r="L22" i="30"/>
  <c r="N24" i="30"/>
  <c r="P24" i="30" s="1"/>
  <c r="N18" i="30"/>
  <c r="P18" i="30" s="1"/>
  <c r="N19" i="30"/>
  <c r="P19" i="30" s="1"/>
  <c r="I26" i="30"/>
  <c r="G32" i="30"/>
  <c r="I9" i="30"/>
  <c r="N7" i="30"/>
  <c r="P7" i="30" s="1"/>
  <c r="N23" i="30"/>
  <c r="P23" i="30" s="1"/>
  <c r="N5" i="30"/>
  <c r="P5" i="30" s="1"/>
  <c r="L10" i="30"/>
  <c r="P37" i="23"/>
  <c r="P36" i="23"/>
  <c r="P35" i="23"/>
  <c r="I33" i="23"/>
  <c r="N6" i="30" l="1"/>
  <c r="P6" i="30" s="1"/>
  <c r="P9" i="30" s="1"/>
  <c r="N18" i="23"/>
  <c r="P18" i="23" s="1"/>
  <c r="N22" i="23"/>
  <c r="P22" i="23" s="1"/>
  <c r="N56" i="36"/>
  <c r="N57" i="36" s="1"/>
  <c r="F37" i="35" s="1"/>
  <c r="G40" i="22" s="1"/>
  <c r="N27" i="23"/>
  <c r="P27" i="23" s="1"/>
  <c r="N57" i="60"/>
  <c r="F37" i="37" s="1"/>
  <c r="I40" i="22" s="1"/>
  <c r="N21" i="23"/>
  <c r="P21" i="23" s="1"/>
  <c r="N20" i="23"/>
  <c r="P20" i="23" s="1"/>
  <c r="N57" i="59"/>
  <c r="F37" i="45" s="1"/>
  <c r="P25" i="30"/>
  <c r="N22" i="30"/>
  <c r="P22" i="30" s="1"/>
  <c r="F45" i="22"/>
  <c r="N17" i="30"/>
  <c r="P17" i="30" s="1"/>
  <c r="F4" i="37"/>
  <c r="I5" i="22" s="1"/>
  <c r="F13" i="37"/>
  <c r="I15" i="22" s="1"/>
  <c r="I39" i="23"/>
  <c r="P34" i="35"/>
  <c r="P31" i="35"/>
  <c r="P33" i="35"/>
  <c r="P17" i="35"/>
  <c r="P36" i="35"/>
  <c r="P30" i="35"/>
  <c r="F11" i="35"/>
  <c r="F10" i="35"/>
  <c r="P27" i="35"/>
  <c r="P26" i="35"/>
  <c r="P18" i="35"/>
  <c r="P19" i="35"/>
  <c r="F13" i="35"/>
  <c r="G15" i="22" s="1"/>
  <c r="F13" i="45"/>
  <c r="H15" i="22" s="1"/>
  <c r="P32" i="37"/>
  <c r="P37" i="37" s="1"/>
  <c r="F9" i="37" s="1"/>
  <c r="I11" i="22" s="1"/>
  <c r="P22" i="37"/>
  <c r="F7" i="37" s="1"/>
  <c r="I9" i="22" s="1"/>
  <c r="P28" i="37"/>
  <c r="F8" i="37" s="1"/>
  <c r="I10" i="22" s="1"/>
  <c r="N34" i="23"/>
  <c r="L38" i="23"/>
  <c r="V57" i="36"/>
  <c r="F35" i="35" s="1"/>
  <c r="G38" i="22" s="1"/>
  <c r="Q11" i="35"/>
  <c r="I32" i="30"/>
  <c r="L26" i="30"/>
  <c r="N10" i="30"/>
  <c r="P10" i="30" s="1"/>
  <c r="L31" i="30"/>
  <c r="P27" i="30"/>
  <c r="P31" i="30" s="1"/>
  <c r="N11" i="30"/>
  <c r="P11" i="30" s="1"/>
  <c r="P16" i="23"/>
  <c r="N5" i="23"/>
  <c r="P5" i="23" s="1"/>
  <c r="N11" i="23"/>
  <c r="P11" i="23" s="1"/>
  <c r="N10" i="23"/>
  <c r="P10" i="23" s="1"/>
  <c r="N9" i="23"/>
  <c r="P9" i="23" s="1"/>
  <c r="N8" i="23"/>
  <c r="P8" i="23" s="1"/>
  <c r="P7" i="23"/>
  <c r="L33" i="23"/>
  <c r="L15" i="23"/>
  <c r="H40" i="22" l="1"/>
  <c r="H42" i="22" s="1"/>
  <c r="G12" i="22"/>
  <c r="F12" i="22" s="1"/>
  <c r="G13" i="22"/>
  <c r="F13" i="22" s="1"/>
  <c r="I42" i="22"/>
  <c r="F38" i="22"/>
  <c r="F17" i="37"/>
  <c r="I19" i="22" s="1"/>
  <c r="F30" i="22"/>
  <c r="F32" i="22"/>
  <c r="F14" i="37"/>
  <c r="I16" i="22" s="1"/>
  <c r="I7" i="22"/>
  <c r="F15" i="37"/>
  <c r="I17" i="22" s="1"/>
  <c r="P32" i="35"/>
  <c r="P37" i="35" s="1"/>
  <c r="F9" i="35" s="1"/>
  <c r="G11" i="22" s="1"/>
  <c r="P32" i="45"/>
  <c r="P37" i="45" s="1"/>
  <c r="F9" i="45" s="1"/>
  <c r="H11" i="22" s="1"/>
  <c r="F17" i="35"/>
  <c r="G19" i="22" s="1"/>
  <c r="F17" i="45"/>
  <c r="H19" i="22" s="1"/>
  <c r="P22" i="45"/>
  <c r="F7" i="45" s="1"/>
  <c r="H9" i="22" s="1"/>
  <c r="P22" i="35"/>
  <c r="F7" i="35" s="1"/>
  <c r="G9" i="22" s="1"/>
  <c r="F15" i="35"/>
  <c r="G17" i="22" s="1"/>
  <c r="F15" i="45"/>
  <c r="H17" i="22" s="1"/>
  <c r="F14" i="45"/>
  <c r="H16" i="22" s="1"/>
  <c r="F39" i="37"/>
  <c r="L32" i="30"/>
  <c r="F14" i="35"/>
  <c r="G16" i="22" s="1"/>
  <c r="L39" i="23"/>
  <c r="P26" i="30"/>
  <c r="P34" i="23"/>
  <c r="P38" i="23" s="1"/>
  <c r="F11" i="22" l="1"/>
  <c r="F9" i="22"/>
  <c r="F40" i="22"/>
  <c r="F8" i="22"/>
  <c r="F15" i="22"/>
  <c r="F19" i="22"/>
  <c r="F16" i="37"/>
  <c r="F16" i="22"/>
  <c r="F5" i="22"/>
  <c r="F7" i="22" s="1"/>
  <c r="F39" i="45"/>
  <c r="F16" i="45"/>
  <c r="H18" i="22" s="1"/>
  <c r="P32" i="30"/>
  <c r="F16" i="35"/>
  <c r="G18" i="22" s="1"/>
  <c r="F39" i="35"/>
  <c r="P15" i="23"/>
  <c r="P33" i="23"/>
  <c r="G7" i="22"/>
  <c r="F25" i="37" l="1"/>
  <c r="I27" i="22" s="1"/>
  <c r="I18" i="22"/>
  <c r="F17" i="22"/>
  <c r="P39" i="23"/>
  <c r="F26" i="37" l="1"/>
  <c r="F49" i="37" s="1"/>
  <c r="F18" i="22"/>
  <c r="I28" i="22"/>
  <c r="I29" i="22" s="1"/>
  <c r="I43" i="22" s="1"/>
  <c r="I50" i="22" s="1"/>
  <c r="P28" i="45" l="1"/>
  <c r="F8" i="45" s="1"/>
  <c r="H10" i="22" s="1"/>
  <c r="P28" i="35"/>
  <c r="F8" i="35" s="1"/>
  <c r="G10" i="22" l="1"/>
  <c r="F10" i="22" s="1"/>
  <c r="F25" i="35"/>
  <c r="G27" i="22" s="1"/>
  <c r="F25" i="45"/>
  <c r="H27" i="22" s="1"/>
  <c r="F26" i="45" l="1"/>
  <c r="F49" i="45" s="1"/>
  <c r="H28" i="22"/>
  <c r="H29" i="22" s="1"/>
  <c r="H43" i="22" s="1"/>
  <c r="H50" i="22" s="1"/>
  <c r="F26" i="35"/>
  <c r="F49" i="35" s="1"/>
  <c r="G4" i="22"/>
  <c r="F27" i="22" l="1"/>
  <c r="F28" i="22" s="1"/>
  <c r="F29" i="22" s="1"/>
  <c r="G28" i="22"/>
  <c r="F49" i="22"/>
  <c r="G42" i="22"/>
  <c r="G29" i="22" l="1"/>
  <c r="G43" i="22" l="1"/>
  <c r="G50" i="22" s="1"/>
  <c r="F50" i="22" l="1"/>
  <c r="F43" i="22"/>
  <c r="F42" i="22"/>
</calcChain>
</file>

<file path=xl/sharedStrings.xml><?xml version="1.0" encoding="utf-8"?>
<sst xmlns="http://schemas.openxmlformats.org/spreadsheetml/2006/main" count="2199" uniqueCount="770">
  <si>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</si>
  <si>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</si>
  <si>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</si>
  <si>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</si>
  <si>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</si>
  <si>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</si>
  <si>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</si>
  <si>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</si>
  <si>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</si>
  <si>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</si>
  <si>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</si>
  <si>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</si>
  <si>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</si>
  <si>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</si>
  <si>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</si>
  <si>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</si>
  <si>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</si>
  <si>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</si>
  <si>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</si>
  <si>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</si>
  <si>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</si>
  <si>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</si>
  <si>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</si>
  <si>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</si>
  <si>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</si>
  <si>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</si>
  <si>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</si>
  <si>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</si>
  <si>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</si>
  <si>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</si>
  <si>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</si>
  <si>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</si>
  <si>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</si>
  <si>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</si>
  <si>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</si>
  <si>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</si>
  <si>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</si>
  <si>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</si>
  <si>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</si>
  <si>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</si>
  <si>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</si>
  <si>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</si>
  <si>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</si>
  <si>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</si>
  <si>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</si>
  <si>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</si>
  <si>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</si>
  <si>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</si>
  <si>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</si>
  <si>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</si>
  <si>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</si>
  <si>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</si>
  <si>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</si>
  <si>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</si>
  <si>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</si>
  <si>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</si>
  <si>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</si>
  <si>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</si>
  <si>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</si>
  <si>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</si>
  <si>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</si>
  <si>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</si>
  <si>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</si>
  <si>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</si>
  <si>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</si>
  <si>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</si>
  <si>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</si>
  <si>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</si>
  <si>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</si>
  <si>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</si>
  <si>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</si>
  <si>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</si>
  <si>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</si>
  <si>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</si>
  <si>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</si>
  <si>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</si>
  <si>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</si>
  <si>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</si>
  <si>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</si>
  <si>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</si>
  <si>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</si>
  <si>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</si>
  <si>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</si>
  <si>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</si>
  <si>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</si>
  <si>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</si>
  <si>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</si>
  <si>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</si>
  <si>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</si>
  <si>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</si>
  <si>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</si>
  <si>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</si>
  <si>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</si>
  <si>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</si>
  <si>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</si>
  <si>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</si>
  <si>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</si>
  <si>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</si>
  <si>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</si>
  <si>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</si>
  <si>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</si>
  <si>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</si>
  <si>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</si>
  <si>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</si>
  <si>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</si>
  <si>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</si>
  <si>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</si>
  <si>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</si>
  <si>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</si>
  <si>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</si>
  <si>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</si>
  <si>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</si>
  <si>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</si>
  <si>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</si>
  <si>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</si>
  <si>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</si>
  <si>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</si>
  <si>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</si>
  <si>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</si>
  <si>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</si>
  <si>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</si>
  <si>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</si>
  <si>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</si>
  <si>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</si>
  <si>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</si>
  <si>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</si>
  <si>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</si>
  <si>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</si>
  <si>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</si>
  <si>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</si>
  <si>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</si>
  <si>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</si>
  <si>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</si>
  <si>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</si>
  <si>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</si>
  <si>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</si>
  <si>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</si>
  <si>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</si>
  <si>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</si>
  <si>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</si>
  <si>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</si>
  <si>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</si>
  <si>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</si>
  <si>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</si>
  <si>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</si>
  <si>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</si>
  <si>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</si>
  <si>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</si>
  <si>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</si>
  <si>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</si>
  <si>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</si>
  <si>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</si>
  <si>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</si>
  <si>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</si>
  <si>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</si>
  <si>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</si>
  <si>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</si>
  <si>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</si>
  <si>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</si>
  <si>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</si>
  <si>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</si>
  <si>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</si>
  <si>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</si>
  <si>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</si>
  <si>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</si>
  <si>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</si>
  <si>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</si>
  <si>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</si>
  <si>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</si>
  <si>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</si>
  <si>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</si>
  <si>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</si>
  <si>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</si>
  <si>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　　合　　計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</si>
  <si>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</si>
  <si>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</si>
  <si>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</si>
  <si>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</si>
  <si>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</si>
  <si>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</si>
  <si>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</si>
  <si>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</si>
  <si>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</si>
  <si>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</si>
  <si>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</si>
  <si>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</si>
  <si>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</si>
  <si>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</si>
  <si>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</si>
  <si>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</si>
  <si>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</si>
  <si>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</si>
  <si>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</si>
  <si>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</si>
  <si>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</si>
  <si>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</si>
  <si>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</si>
  <si>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</si>
  <si>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</si>
  <si>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</si>
  <si>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</si>
  <si>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</si>
  <si>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</si>
  <si>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</si>
  <si>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</si>
  <si>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</si>
  <si>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</si>
  <si>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</si>
  <si>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</si>
  <si>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</si>
  <si>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</si>
  <si>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</si>
  <si>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</si>
  <si>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</si>
  <si>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</si>
  <si>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</si>
  <si>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</si>
  <si>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</si>
  <si>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※４　経営収支に記載</t>
    <rPh sb="3" eb="5">
      <t>ケイエイ</t>
    </rPh>
    <rPh sb="5" eb="7">
      <t>シュウシ</t>
    </rPh>
    <rPh sb="8" eb="10">
      <t>キサイ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</si>
  <si>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</si>
  <si>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</si>
  <si>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</si>
  <si>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</si>
  <si>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</si>
  <si>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</si>
  <si>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</si>
  <si>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</si>
  <si>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</si>
  <si>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</si>
  <si>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</si>
  <si>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</si>
  <si>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</si>
  <si>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</si>
  <si>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</si>
  <si>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</si>
  <si>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</si>
  <si>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</si>
  <si>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</si>
  <si>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</si>
  <si>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</si>
  <si>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</si>
  <si>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</si>
  <si>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</si>
  <si>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</si>
  <si>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</si>
  <si>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</si>
  <si>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</si>
  <si>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</si>
  <si>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</si>
  <si>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</si>
  <si>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</si>
  <si>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</si>
  <si>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</si>
  <si>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</si>
  <si>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</si>
  <si>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</si>
  <si>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</si>
  <si>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</si>
  <si>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</si>
  <si>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</si>
  <si>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</si>
  <si>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</si>
  <si>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</si>
  <si>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</si>
  <si>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</si>
  <si>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</si>
  <si>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</si>
  <si>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</si>
  <si>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</si>
  <si>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</si>
  <si>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</si>
  <si>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</si>
  <si>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</si>
  <si>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</si>
  <si>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</si>
  <si>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4"/>
  </si>
  <si>
    <t>（参考）　固定資本装備と減価償却費（水稲，1ha当たり・1年当たり）</t>
    <rPh sb="1" eb="3">
      <t>サンコウ</t>
    </rPh>
    <rPh sb="18" eb="20">
      <t>スイトウ</t>
    </rPh>
    <rPh sb="24" eb="25">
      <t>ア</t>
    </rPh>
    <rPh sb="29" eb="30">
      <t>ネン</t>
    </rPh>
    <rPh sb="30" eb="31">
      <t>ア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</si>
  <si>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</si>
  <si>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</si>
  <si>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</si>
  <si>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</si>
  <si>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</si>
  <si>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</si>
  <si>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</si>
  <si>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</si>
  <si>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</si>
  <si>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</si>
  <si>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</si>
  <si>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</si>
  <si>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平均</t>
  </si>
  <si>
    <t>平　　均</t>
  </si>
  <si>
    <t>大豆</t>
    <rPh sb="0" eb="2">
      <t>ダイズ</t>
    </rPh>
    <phoneticPr fontId="3"/>
  </si>
  <si>
    <t>麦</t>
    <rPh sb="0" eb="1">
      <t>ムギ</t>
    </rPh>
    <phoneticPr fontId="3"/>
  </si>
  <si>
    <t>育苗ハウス</t>
    <rPh sb="0" eb="2">
      <t>イクビョウ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</si>
  <si>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</si>
  <si>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</si>
  <si>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</si>
  <si>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</si>
  <si>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１種類</t>
    <phoneticPr fontId="4"/>
  </si>
  <si>
    <t>フレコン</t>
    <phoneticPr fontId="4"/>
  </si>
  <si>
    <t>トラクター</t>
    <phoneticPr fontId="4"/>
  </si>
  <si>
    <t>台</t>
    <rPh sb="0" eb="1">
      <t>ダイ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</si>
  <si>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</si>
  <si>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</si>
  <si>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</si>
  <si>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</si>
  <si>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育苗培土</t>
    <rPh sb="0" eb="2">
      <t>イクビョウ</t>
    </rPh>
    <rPh sb="2" eb="4">
      <t>バイド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</si>
  <si>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</si>
  <si>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</si>
  <si>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</si>
  <si>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</si>
  <si>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㎏</t>
    <phoneticPr fontId="4"/>
  </si>
  <si>
    <t>ℓ・kw／時</t>
    <rPh sb="5" eb="6">
      <t>ジ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</si>
  <si>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</si>
  <si>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ｍｌ</t>
  </si>
  <si>
    <t>ﾌｫｰｸﾘﾌﾄ</t>
  </si>
  <si>
    <t>乾燥調製施設</t>
  </si>
  <si>
    <t>農機具庫</t>
    <rPh sb="3" eb="4">
      <t>コ</t>
    </rPh>
    <phoneticPr fontId="4"/>
  </si>
  <si>
    <t>農機具共済</t>
    <rPh sb="0" eb="3">
      <t>ノウキグ</t>
    </rPh>
    <rPh sb="3" eb="5">
      <t>キョウサイ</t>
    </rPh>
    <phoneticPr fontId="4"/>
  </si>
  <si>
    <t>建物共済</t>
    <rPh sb="0" eb="2">
      <t>タテモノ</t>
    </rPh>
    <rPh sb="2" eb="4">
      <t>キョウサイ</t>
    </rPh>
    <phoneticPr fontId="4"/>
  </si>
  <si>
    <t>トラクター，田植機，コンバインの３種6台100万円補償で試算</t>
    <rPh sb="6" eb="8">
      <t>タウエ</t>
    </rPh>
    <rPh sb="8" eb="9">
      <t>キ</t>
    </rPh>
    <rPh sb="17" eb="18">
      <t>シュ</t>
    </rPh>
    <rPh sb="19" eb="20">
      <t>ダイ</t>
    </rPh>
    <rPh sb="23" eb="25">
      <t>マンエン</t>
    </rPh>
    <rPh sb="25" eb="27">
      <t>ホショウ</t>
    </rPh>
    <rPh sb="28" eb="30">
      <t>シサン</t>
    </rPh>
    <phoneticPr fontId="4"/>
  </si>
  <si>
    <t>施設２件300万円補償＠19.1円/万円</t>
    <rPh sb="0" eb="2">
      <t>シセツ</t>
    </rPh>
    <rPh sb="3" eb="4">
      <t>ケン</t>
    </rPh>
    <rPh sb="7" eb="9">
      <t>マンエン</t>
    </rPh>
    <rPh sb="9" eb="11">
      <t>ホショウ</t>
    </rPh>
    <rPh sb="16" eb="17">
      <t>エン</t>
    </rPh>
    <rPh sb="18" eb="19">
      <t>マン</t>
    </rPh>
    <rPh sb="19" eb="20">
      <t>エン</t>
    </rPh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</si>
  <si>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</si>
  <si>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</si>
  <si>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</si>
  <si>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</si>
  <si>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</si>
  <si>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</si>
  <si>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</si>
  <si>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</si>
  <si>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</si>
  <si>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</si>
  <si>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46psキャビン付（ﾛｰﾀﾘｰ）</t>
    <phoneticPr fontId="4"/>
  </si>
  <si>
    <t>32ｐｓ（ﾛｰﾀﾘｰ）</t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</si>
  <si>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</si>
  <si>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</si>
  <si>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</si>
  <si>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</si>
  <si>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</si>
  <si>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</si>
  <si>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</si>
  <si>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</si>
  <si>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  <phoneticPr fontId="3"/>
  </si>
  <si>
    <t>営業利益</t>
    <rPh sb="0" eb="2">
      <t>エイギョウ</t>
    </rPh>
    <rPh sb="2" eb="4">
      <t>リエキ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</si>
  <si>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</si>
  <si>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</si>
  <si>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</si>
  <si>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</si>
  <si>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</si>
  <si>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</si>
  <si>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</si>
  <si>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</si>
  <si>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</si>
  <si>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</si>
  <si>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米の直接支払交付金</t>
    <rPh sb="0" eb="1">
      <t>コメ</t>
    </rPh>
    <rPh sb="2" eb="4">
      <t>チョクセツ</t>
    </rPh>
    <rPh sb="4" eb="6">
      <t>シハライ</t>
    </rPh>
    <rPh sb="6" eb="9">
      <t>コウフキン</t>
    </rPh>
    <phoneticPr fontId="4"/>
  </si>
  <si>
    <t>直接支払</t>
    <rPh sb="0" eb="2">
      <t>チョクセツ</t>
    </rPh>
    <rPh sb="2" eb="4">
      <t>シハライ</t>
    </rPh>
    <phoneticPr fontId="4"/>
  </si>
  <si>
    <t>込み</t>
    <rPh sb="0" eb="1">
      <t>コ</t>
    </rPh>
    <phoneticPr fontId="4"/>
  </si>
  <si>
    <t>部門面積</t>
    <rPh sb="0" eb="2">
      <t>ブモン</t>
    </rPh>
    <rPh sb="2" eb="4">
      <t>メンセキ</t>
    </rPh>
    <phoneticPr fontId="4"/>
  </si>
  <si>
    <t>倒伏しやすい品種</t>
    <rPh sb="0" eb="2">
      <t>トウフク</t>
    </rPh>
    <rPh sb="6" eb="8">
      <t>ヒンシュ</t>
    </rPh>
    <phoneticPr fontId="4"/>
  </si>
  <si>
    <t>倒伏しにくい品種</t>
    <rPh sb="0" eb="2">
      <t>トウフク</t>
    </rPh>
    <rPh sb="6" eb="8">
      <t>ヒンシュ</t>
    </rPh>
    <phoneticPr fontId="4"/>
  </si>
  <si>
    <t>加工多収</t>
    <rPh sb="0" eb="2">
      <t>カコウ</t>
    </rPh>
    <rPh sb="2" eb="4">
      <t>タシュウ</t>
    </rPh>
    <phoneticPr fontId="4"/>
  </si>
  <si>
    <t>米粉飼料</t>
    <rPh sb="0" eb="1">
      <t>コメ</t>
    </rPh>
    <rPh sb="1" eb="2">
      <t>コ</t>
    </rPh>
    <rPh sb="2" eb="4">
      <t>シリョウ</t>
    </rPh>
    <phoneticPr fontId="4"/>
  </si>
  <si>
    <t>ＷＣＳ</t>
    <phoneticPr fontId="4"/>
  </si>
  <si>
    <t>大豆</t>
    <rPh sb="0" eb="2">
      <t>ダイズ</t>
    </rPh>
    <phoneticPr fontId="4"/>
  </si>
  <si>
    <t>麦</t>
    <rPh sb="0" eb="1">
      <t>ムギ</t>
    </rPh>
    <phoneticPr fontId="4"/>
  </si>
  <si>
    <t>○○</t>
    <phoneticPr fontId="4"/>
  </si>
  <si>
    <t>１ha当り償却額</t>
    <rPh sb="3" eb="4">
      <t>アタ</t>
    </rPh>
    <rPh sb="5" eb="8">
      <t>ショウキャクガク</t>
    </rPh>
    <phoneticPr fontId="4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</si>
  <si>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</si>
  <si>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早期コシヒカリ</t>
    <rPh sb="0" eb="2">
      <t>ソウキ</t>
    </rPh>
    <phoneticPr fontId="4"/>
  </si>
  <si>
    <t>恋の予感</t>
    <rPh sb="0" eb="1">
      <t>コイ</t>
    </rPh>
    <rPh sb="2" eb="4">
      <t>ヨカン</t>
    </rPh>
    <phoneticPr fontId="4"/>
  </si>
  <si>
    <t>全品種</t>
    <rPh sb="0" eb="1">
      <t>ゼン</t>
    </rPh>
    <rPh sb="1" eb="3">
      <t>ヒンシュ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</si>
  <si>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</si>
  <si>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</si>
  <si>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</si>
  <si>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</si>
  <si>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</si>
  <si>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</si>
  <si>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</si>
  <si>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土づくり肥料等を散布して耕起する。
入水後代かきする。</t>
    <rPh sb="0" eb="1">
      <t>ツチ</t>
    </rPh>
    <rPh sb="4" eb="6">
      <t>ヒリョウ</t>
    </rPh>
    <rPh sb="6" eb="7">
      <t>トウ</t>
    </rPh>
    <rPh sb="8" eb="10">
      <t>サンプ</t>
    </rPh>
    <rPh sb="12" eb="14">
      <t>コウキ</t>
    </rPh>
    <rPh sb="18" eb="20">
      <t>ニュウスイ</t>
    </rPh>
    <rPh sb="20" eb="21">
      <t>ゴ</t>
    </rPh>
    <rPh sb="21" eb="22">
      <t>シロ</t>
    </rPh>
    <phoneticPr fontId="4"/>
  </si>
  <si>
    <t>田植機（肥料、箱施用剤、除草剤散布機付）で移植する。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</si>
  <si>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雑草が多い場合は、水稲生育期に除草剤を散布する。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</si>
  <si>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</si>
  <si>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</si>
  <si>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</si>
  <si>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コンバイン
乾燥機
籾摺り
石抜き
色彩選別機</t>
    <rPh sb="6" eb="9">
      <t>カンソウキ</t>
    </rPh>
    <phoneticPr fontId="4"/>
  </si>
  <si>
    <t>・適正な水管理
・使用薬量を均一に散布</t>
    <rPh sb="1" eb="3">
      <t>テキセイ</t>
    </rPh>
    <rPh sb="4" eb="5">
      <t>ミズ</t>
    </rPh>
    <rPh sb="5" eb="7">
      <t>カンリ</t>
    </rPh>
    <rPh sb="9" eb="11">
      <t>シヨウ</t>
    </rPh>
    <rPh sb="11" eb="12">
      <t>ヤク</t>
    </rPh>
    <rPh sb="12" eb="13">
      <t>リョウ</t>
    </rPh>
    <rPh sb="14" eb="16">
      <t>キンイツ</t>
    </rPh>
    <rPh sb="17" eb="19">
      <t>サンプ</t>
    </rPh>
    <phoneticPr fontId="4"/>
  </si>
  <si>
    <t>・間断かんがい、中干しの実施
・適期落水の実施</t>
    <rPh sb="1" eb="3">
      <t>カンダン</t>
    </rPh>
    <rPh sb="8" eb="9">
      <t>ナカ</t>
    </rPh>
    <rPh sb="9" eb="10">
      <t>ホ</t>
    </rPh>
    <rPh sb="12" eb="14">
      <t>ジッシ</t>
    </rPh>
    <rPh sb="16" eb="18">
      <t>テッキ</t>
    </rPh>
    <rPh sb="18" eb="20">
      <t>ラクスイ</t>
    </rPh>
    <rPh sb="21" eb="23">
      <t>ジッシ</t>
    </rPh>
    <phoneticPr fontId="4"/>
  </si>
  <si>
    <t>・適期防除</t>
    <rPh sb="1" eb="3">
      <t>テッキ</t>
    </rPh>
    <rPh sb="3" eb="5">
      <t>ボウジョ</t>
    </rPh>
    <phoneticPr fontId="4"/>
  </si>
  <si>
    <t>・適期刈取
・適正な乾燥調製</t>
    <rPh sb="1" eb="3">
      <t>テッキ</t>
    </rPh>
    <rPh sb="3" eb="5">
      <t>カリト</t>
    </rPh>
    <rPh sb="7" eb="9">
      <t>テキセイ</t>
    </rPh>
    <rPh sb="10" eb="12">
      <t>カンソウ</t>
    </rPh>
    <rPh sb="12" eb="14">
      <t>チョウセイ</t>
    </rPh>
    <phoneticPr fontId="4"/>
  </si>
  <si>
    <t>・稲わらの早期鋤き込み
・土づくりの実施</t>
    <rPh sb="1" eb="2">
      <t>イネ</t>
    </rPh>
    <rPh sb="5" eb="7">
      <t>ソウキ</t>
    </rPh>
    <rPh sb="7" eb="8">
      <t>ス</t>
    </rPh>
    <rPh sb="9" eb="10">
      <t>コ</t>
    </rPh>
    <rPh sb="13" eb="14">
      <t>ツチ</t>
    </rPh>
    <rPh sb="18" eb="20">
      <t>ジッシ</t>
    </rPh>
    <phoneticPr fontId="4"/>
  </si>
  <si>
    <t>耕起する。
入水後代かきを2回する。</t>
    <rPh sb="0" eb="2">
      <t>コウキ</t>
    </rPh>
    <rPh sb="6" eb="8">
      <t>ニュウスイ</t>
    </rPh>
    <rPh sb="8" eb="9">
      <t>ゴ</t>
    </rPh>
    <rPh sb="9" eb="10">
      <t>シロ</t>
    </rPh>
    <rPh sb="14" eb="15">
      <t>カイ</t>
    </rPh>
    <phoneticPr fontId="4"/>
  </si>
  <si>
    <t>2月～5月</t>
    <rPh sb="1" eb="2">
      <t>ガツ</t>
    </rPh>
    <rPh sb="4" eb="5">
      <t>ガツ</t>
    </rPh>
    <phoneticPr fontId="2"/>
  </si>
  <si>
    <t>全期間</t>
    <rPh sb="0" eb="3">
      <t>ゼンキカン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</si>
  <si>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</si>
  <si>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</si>
  <si>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</si>
  <si>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</si>
  <si>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</si>
  <si>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ブロードキャスター</t>
    <phoneticPr fontId="4"/>
  </si>
  <si>
    <t>400リットル</t>
    <phoneticPr fontId="4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</si>
  <si>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</si>
  <si>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</si>
  <si>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200ｋｇ/回</t>
    <rPh sb="6" eb="7">
      <t>カイ</t>
    </rPh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</si>
  <si>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</si>
  <si>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</si>
  <si>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収穫</t>
    <rPh sb="0" eb="2">
      <t>シュウカク</t>
    </rPh>
    <phoneticPr fontId="4"/>
  </si>
  <si>
    <t>集落法人</t>
    <rPh sb="0" eb="2">
      <t>シュウラク</t>
    </rPh>
    <rPh sb="2" eb="4">
      <t>ホウジン</t>
    </rPh>
    <phoneticPr fontId="3"/>
  </si>
  <si>
    <t>○</t>
    <phoneticPr fontId="3"/>
  </si>
  <si>
    <t>☓</t>
    <phoneticPr fontId="3"/>
  </si>
  <si>
    <t>30ha（借地30ha）</t>
    <phoneticPr fontId="4"/>
  </si>
  <si>
    <t>系統利用（一部構成員へ販売）</t>
    <rPh sb="0" eb="2">
      <t>ケイトウ</t>
    </rPh>
    <rPh sb="2" eb="4">
      <t>リヨウ</t>
    </rPh>
    <rPh sb="5" eb="7">
      <t>イチブ</t>
    </rPh>
    <rPh sb="7" eb="10">
      <t>コウセイイン</t>
    </rPh>
    <rPh sb="11" eb="13">
      <t>ハンバイ</t>
    </rPh>
    <phoneticPr fontId="3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</si>
  <si>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</si>
  <si>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</si>
  <si>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</si>
  <si>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</si>
  <si>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</si>
  <si>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</si>
  <si>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</si>
  <si>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</si>
  <si>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トラクター
コンポキャスター</t>
    <phoneticPr fontId="4"/>
  </si>
  <si>
    <t>田植機（肥料、育苗箱施用剤、除草剤散布機付）</t>
    <rPh sb="7" eb="9">
      <t>イクビョウ</t>
    </rPh>
    <phoneticPr fontId="4"/>
  </si>
  <si>
    <t>土壌改良資材</t>
    <rPh sb="0" eb="2">
      <t>ドジョウ</t>
    </rPh>
    <rPh sb="2" eb="4">
      <t>カイリョウ</t>
    </rPh>
    <rPh sb="4" eb="6">
      <t>シザイ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</si>
  <si>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</si>
  <si>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シート他</t>
    <rPh sb="3" eb="4">
      <t>ホカ</t>
    </rPh>
    <phoneticPr fontId="4"/>
  </si>
  <si>
    <t>鎌他</t>
    <rPh sb="0" eb="1">
      <t>カマ</t>
    </rPh>
    <rPh sb="1" eb="2">
      <t>ホカ</t>
    </rPh>
    <phoneticPr fontId="4"/>
  </si>
  <si>
    <t>南部</t>
    <rPh sb="0" eb="1">
      <t>ナン</t>
    </rPh>
    <phoneticPr fontId="3"/>
  </si>
  <si>
    <t>☓</t>
  </si>
  <si>
    <t>塩水選-種子消毒-浸種-催芽（鳩胸）
土入れ（床土）-は種-床土の消毒-覆土-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40" eb="42">
      <t>シュツガ</t>
    </rPh>
    <rPh sb="43" eb="45">
      <t>リョッカ</t>
    </rPh>
    <rPh sb="46" eb="48">
      <t>コウカ</t>
    </rPh>
    <phoneticPr fontId="4"/>
  </si>
  <si>
    <t>（箱）</t>
    <rPh sb="1" eb="2">
      <t>ハコ</t>
    </rPh>
    <phoneticPr fontId="4"/>
  </si>
  <si>
    <t>普通　　（南部）</t>
    <rPh sb="0" eb="2">
      <t>フツウ</t>
    </rPh>
    <rPh sb="5" eb="6">
      <t>ミナミ</t>
    </rPh>
    <phoneticPr fontId="4"/>
  </si>
  <si>
    <t>水稲(早期コシヒカリ）</t>
    <rPh sb="3" eb="5">
      <t>ソウキ</t>
    </rPh>
    <phoneticPr fontId="4"/>
  </si>
  <si>
    <t>水稲(恋の予感）</t>
    <rPh sb="3" eb="4">
      <t>コイ</t>
    </rPh>
    <rPh sb="5" eb="7">
      <t>ヨカン</t>
    </rPh>
    <phoneticPr fontId="4"/>
  </si>
  <si>
    <t>水稲（早期コシヒカリ）</t>
    <rPh sb="0" eb="2">
      <t>スイトウ</t>
    </rPh>
    <rPh sb="3" eb="5">
      <t>ソウキ</t>
    </rPh>
    <phoneticPr fontId="4"/>
  </si>
  <si>
    <t>水稲（恋の予感）</t>
    <rPh sb="0" eb="2">
      <t>スイトウ</t>
    </rPh>
    <rPh sb="3" eb="4">
      <t>コイ</t>
    </rPh>
    <rPh sb="5" eb="7">
      <t>ヨカン</t>
    </rPh>
    <phoneticPr fontId="4"/>
  </si>
  <si>
    <t>その他</t>
    <rPh sb="2" eb="3">
      <t>タ</t>
    </rPh>
    <phoneticPr fontId="1"/>
  </si>
  <si>
    <t>全期間</t>
    <rPh sb="0" eb="3">
      <t>ゼンキカン</t>
    </rPh>
    <phoneticPr fontId="1"/>
  </si>
  <si>
    <t>10月～11月</t>
    <rPh sb="2" eb="3">
      <t>ガツ</t>
    </rPh>
    <rPh sb="6" eb="7">
      <t>ガツ</t>
    </rPh>
    <phoneticPr fontId="1"/>
  </si>
  <si>
    <t>トラクター</t>
    <phoneticPr fontId="4"/>
  </si>
  <si>
    <t>トラクター
コンポキャスター</t>
    <phoneticPr fontId="4"/>
  </si>
  <si>
    <t>水稲　：　早期コシヒカリ</t>
    <rPh sb="0" eb="2">
      <t>スイトウ</t>
    </rPh>
    <rPh sb="5" eb="7">
      <t>ソウキ</t>
    </rPh>
    <phoneticPr fontId="4"/>
  </si>
  <si>
    <t>水稲　：　恋の予感</t>
    <rPh sb="0" eb="2">
      <t>スイトウ</t>
    </rPh>
    <rPh sb="5" eb="6">
      <t>コイ</t>
    </rPh>
    <rPh sb="7" eb="9">
      <t>ヨカン</t>
    </rPh>
    <phoneticPr fontId="4"/>
  </si>
  <si>
    <t>4月下旬</t>
    <rPh sb="1" eb="2">
      <t>ガツ</t>
    </rPh>
    <rPh sb="2" eb="4">
      <t>ゲジュン</t>
    </rPh>
    <phoneticPr fontId="1"/>
  </si>
  <si>
    <t>7月上旬</t>
    <rPh sb="1" eb="2">
      <t>ガツ</t>
    </rPh>
    <rPh sb="2" eb="4">
      <t>ジョウジュン</t>
    </rPh>
    <phoneticPr fontId="1"/>
  </si>
  <si>
    <t>8月下旬～９月中旬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</si>
  <si>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2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</si>
  <si>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4"/>
  </si>
  <si>
    <t>土づくり肥料</t>
    <rPh sb="0" eb="1">
      <t>ツチ</t>
    </rPh>
    <rPh sb="4" eb="6">
      <t>ヒリョウ</t>
    </rPh>
    <phoneticPr fontId="2"/>
  </si>
  <si>
    <t>土づくり肥料</t>
    <rPh sb="0" eb="1">
      <t>ツチ</t>
    </rPh>
    <rPh sb="4" eb="6">
      <t>ヒリョウ</t>
    </rPh>
    <phoneticPr fontId="4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</si>
  <si>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2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</si>
  <si>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4"/>
  </si>
  <si>
    <t>米袋</t>
    <rPh sb="0" eb="1">
      <t>コメ</t>
    </rPh>
    <rPh sb="1" eb="2">
      <t>フクロ</t>
    </rPh>
    <phoneticPr fontId="2"/>
  </si>
  <si>
    <t>5月下旬～6月上旬</t>
    <rPh sb="1" eb="2">
      <t>ガツ</t>
    </rPh>
    <rPh sb="2" eb="3">
      <t>ゲ</t>
    </rPh>
    <rPh sb="6" eb="7">
      <t>ガツ</t>
    </rPh>
    <rPh sb="7" eb="9">
      <t>ジョウジュン</t>
    </rPh>
    <phoneticPr fontId="2"/>
  </si>
  <si>
    <t>6月中旬～6月下旬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</si>
  <si>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</si>
  <si>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t>10月中旬～10月下旬</t>
    <rPh sb="2" eb="3">
      <t>ガツ</t>
    </rPh>
    <rPh sb="3" eb="5">
      <t>チュウジュン</t>
    </rPh>
    <rPh sb="8" eb="9">
      <t>ガツ</t>
    </rPh>
    <rPh sb="9" eb="11">
      <t>ゲジュン</t>
    </rPh>
    <phoneticPr fontId="2"/>
  </si>
  <si>
    <t>5月上旬～5月中旬</t>
    <rPh sb="1" eb="2">
      <t>ガツ</t>
    </rPh>
    <rPh sb="2" eb="3">
      <t>ウエ</t>
    </rPh>
    <rPh sb="6" eb="7">
      <t>ガツ</t>
    </rPh>
    <rPh sb="7" eb="8">
      <t>チュウ</t>
    </rPh>
    <phoneticPr fontId="2"/>
  </si>
  <si>
    <t>5月下旬～6月上旬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</si>
  <si>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8月上旬～8月下旬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</si>
  <si>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土づくり肥料を散布して耕起する。</t>
    <rPh sb="0" eb="1">
      <t>ツチ</t>
    </rPh>
    <rPh sb="1" eb="2">
      <t>コウド</t>
    </rPh>
    <rPh sb="4" eb="6">
      <t>ヒリョウ</t>
    </rPh>
    <rPh sb="7" eb="9">
      <t>サンプ</t>
    </rPh>
    <rPh sb="11" eb="13">
      <t>コウキ</t>
    </rPh>
    <phoneticPr fontId="4"/>
  </si>
  <si>
    <t>5条刈</t>
    <rPh sb="1" eb="2">
      <t>ジョウ</t>
    </rPh>
    <rPh sb="2" eb="3">
      <t>ガ</t>
    </rPh>
    <phoneticPr fontId="4"/>
  </si>
  <si>
    <t>田植</t>
    <rPh sb="0" eb="2">
      <t>タウエ</t>
    </rPh>
    <phoneticPr fontId="4"/>
  </si>
  <si>
    <t>収穫</t>
    <rPh sb="0" eb="2">
      <t>シュウカク</t>
    </rPh>
    <phoneticPr fontId="4"/>
  </si>
  <si>
    <t>８－１　経費の算出基礎（水稲（早期コシヒカリ），1ha当たり）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7">
      <t>ソウキ</t>
    </rPh>
    <rPh sb="27" eb="28">
      <t>ア</t>
    </rPh>
    <phoneticPr fontId="4"/>
  </si>
  <si>
    <t>８－２　経費の算出基礎（水稲（恋の予感，1ha当たり）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コイ</t>
    </rPh>
    <rPh sb="17" eb="19">
      <t>ヨカン</t>
    </rPh>
    <rPh sb="23" eb="24">
      <t>ア</t>
    </rPh>
    <phoneticPr fontId="4"/>
  </si>
  <si>
    <t>早期　　（南部）</t>
    <rPh sb="0" eb="2">
      <t>ソウキ</t>
    </rPh>
    <rPh sb="5" eb="6">
      <t>ミナミ</t>
    </rPh>
    <phoneticPr fontId="4"/>
  </si>
  <si>
    <t>2月～4月</t>
    <rPh sb="1" eb="2">
      <t>ガツ</t>
    </rPh>
    <rPh sb="4" eb="5">
      <t>ガツ</t>
    </rPh>
    <phoneticPr fontId="1"/>
  </si>
  <si>
    <t>早期</t>
    <rPh sb="0" eb="2">
      <t>ソウキ</t>
    </rPh>
    <phoneticPr fontId="4"/>
  </si>
  <si>
    <t>右表（イ）　※８－２　水稲（恋の予感）算出基礎シート参照</t>
    <rPh sb="14" eb="15">
      <t>コイ</t>
    </rPh>
    <rPh sb="16" eb="18">
      <t>ヨカン</t>
    </rPh>
    <phoneticPr fontId="4"/>
  </si>
  <si>
    <t>右表（イ）　※８－１　水稲（早期コシヒカリ）算出基礎シート参照</t>
    <rPh sb="14" eb="16">
      <t>ソウキ</t>
    </rPh>
    <phoneticPr fontId="4"/>
  </si>
  <si>
    <t>□</t>
    <phoneticPr fontId="3"/>
  </si>
  <si>
    <t>○</t>
    <phoneticPr fontId="3"/>
  </si>
  <si>
    <t>水稲(加工用米，恋の予感)</t>
    <rPh sb="0" eb="2">
      <t>スイトウ</t>
    </rPh>
    <rPh sb="3" eb="5">
      <t>カコウ</t>
    </rPh>
    <rPh sb="5" eb="6">
      <t>ヨウ</t>
    </rPh>
    <rPh sb="6" eb="7">
      <t>マイ</t>
    </rPh>
    <rPh sb="8" eb="9">
      <t>コイ</t>
    </rPh>
    <rPh sb="10" eb="12">
      <t>ヨカン</t>
    </rPh>
    <phoneticPr fontId="3"/>
  </si>
  <si>
    <t>水稲　：　加工用米，恋の予感</t>
    <rPh sb="0" eb="2">
      <t>スイトウ</t>
    </rPh>
    <rPh sb="5" eb="7">
      <t>カコウ</t>
    </rPh>
    <rPh sb="7" eb="8">
      <t>ヨウ</t>
    </rPh>
    <rPh sb="8" eb="9">
      <t>コメ</t>
    </rPh>
    <rPh sb="10" eb="11">
      <t>コイ</t>
    </rPh>
    <rPh sb="12" eb="14">
      <t>ヨカン</t>
    </rPh>
    <phoneticPr fontId="4"/>
  </si>
  <si>
    <t>水稲（加工用米，恋の予感）</t>
    <rPh sb="0" eb="2">
      <t>スイトウ</t>
    </rPh>
    <rPh sb="3" eb="6">
      <t>カコウヨウ</t>
    </rPh>
    <rPh sb="6" eb="7">
      <t>マイ</t>
    </rPh>
    <rPh sb="8" eb="9">
      <t>コイ</t>
    </rPh>
    <rPh sb="10" eb="12">
      <t>ヨカン</t>
    </rPh>
    <phoneticPr fontId="4"/>
  </si>
  <si>
    <t>水稲（加工米，恋の予感）</t>
    <rPh sb="0" eb="2">
      <t>スイトウ</t>
    </rPh>
    <rPh sb="3" eb="5">
      <t>カコウ</t>
    </rPh>
    <rPh sb="5" eb="6">
      <t>マイ</t>
    </rPh>
    <rPh sb="7" eb="8">
      <t>コイ</t>
    </rPh>
    <rPh sb="9" eb="11">
      <t>ヨカン</t>
    </rPh>
    <phoneticPr fontId="4"/>
  </si>
  <si>
    <t>フォークリフト</t>
    <phoneticPr fontId="4"/>
  </si>
  <si>
    <t>イチジク</t>
    <phoneticPr fontId="3"/>
  </si>
  <si>
    <t>イチジク</t>
    <phoneticPr fontId="3"/>
  </si>
  <si>
    <t>イチジク</t>
    <phoneticPr fontId="4"/>
  </si>
  <si>
    <t>イチジク</t>
    <phoneticPr fontId="4"/>
  </si>
  <si>
    <t>露地</t>
    <rPh sb="0" eb="2">
      <t>ロジ</t>
    </rPh>
    <phoneticPr fontId="4"/>
  </si>
  <si>
    <t>剪定，誘引</t>
    <rPh sb="0" eb="2">
      <t>センテイ</t>
    </rPh>
    <rPh sb="3" eb="5">
      <t>ユウイン</t>
    </rPh>
    <phoneticPr fontId="4"/>
  </si>
  <si>
    <t>施肥</t>
    <rPh sb="0" eb="2">
      <t>セヒ</t>
    </rPh>
    <phoneticPr fontId="4"/>
  </si>
  <si>
    <t>新梢管理</t>
    <rPh sb="0" eb="1">
      <t>シン</t>
    </rPh>
    <rPh sb="1" eb="2">
      <t>コズエ</t>
    </rPh>
    <rPh sb="2" eb="4">
      <t>カンリ</t>
    </rPh>
    <phoneticPr fontId="4"/>
  </si>
  <si>
    <t>除草，敷わら，かん水</t>
    <rPh sb="0" eb="2">
      <t>ジョソウ</t>
    </rPh>
    <rPh sb="3" eb="4">
      <t>シ</t>
    </rPh>
    <rPh sb="9" eb="10">
      <t>スイ</t>
    </rPh>
    <phoneticPr fontId="4"/>
  </si>
  <si>
    <t>収穫，出荷</t>
    <rPh sb="0" eb="2">
      <t>シュウカク</t>
    </rPh>
    <rPh sb="3" eb="5">
      <t>シュッカ</t>
    </rPh>
    <phoneticPr fontId="4"/>
  </si>
  <si>
    <t>年間施肥成分量
N7.3
P7.5
K12.8</t>
    <rPh sb="0" eb="2">
      <t>ネンカン</t>
    </rPh>
    <rPh sb="2" eb="4">
      <t>セヒ</t>
    </rPh>
    <rPh sb="4" eb="6">
      <t>セイブン</t>
    </rPh>
    <rPh sb="6" eb="7">
      <t>リョウ</t>
    </rPh>
    <phoneticPr fontId="4"/>
  </si>
  <si>
    <t>2月</t>
    <rPh sb="1" eb="2">
      <t>ガツ</t>
    </rPh>
    <phoneticPr fontId="4"/>
  </si>
  <si>
    <t>3，5～9，11月</t>
    <rPh sb="8" eb="9">
      <t>ガツ</t>
    </rPh>
    <phoneticPr fontId="4"/>
  </si>
  <si>
    <t>6，7，9，11月</t>
    <rPh sb="8" eb="9">
      <t>ガツ</t>
    </rPh>
    <phoneticPr fontId="4"/>
  </si>
  <si>
    <t>4～6月</t>
    <rPh sb="3" eb="4">
      <t>ガツ</t>
    </rPh>
    <phoneticPr fontId="4"/>
  </si>
  <si>
    <t>4～9月</t>
    <rPh sb="3" eb="4">
      <t>ガツ</t>
    </rPh>
    <phoneticPr fontId="4"/>
  </si>
  <si>
    <t>8～10月</t>
    <rPh sb="4" eb="5">
      <t>ガツ</t>
    </rPh>
    <phoneticPr fontId="4"/>
  </si>
  <si>
    <t>動力噴霧器</t>
    <rPh sb="0" eb="2">
      <t>ドウリョク</t>
    </rPh>
    <rPh sb="2" eb="5">
      <t>フンムキ</t>
    </rPh>
    <phoneticPr fontId="4"/>
  </si>
  <si>
    <t>点滴かん水装置</t>
    <rPh sb="0" eb="2">
      <t>テンテキ</t>
    </rPh>
    <rPh sb="4" eb="5">
      <t>スイ</t>
    </rPh>
    <rPh sb="5" eb="7">
      <t>ソウチ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</si>
  <si>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</si>
  <si>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</si>
  <si>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</si>
  <si>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縄1巻</t>
    <rPh sb="0" eb="1">
      <t>ナワ</t>
    </rPh>
    <rPh sb="2" eb="3">
      <t>マキ</t>
    </rPh>
    <phoneticPr fontId="4"/>
  </si>
  <si>
    <t>トップジンM水和剤
バイオリサカミキリ</t>
    <rPh sb="6" eb="9">
      <t>スイワザイ</t>
    </rPh>
    <phoneticPr fontId="4"/>
  </si>
  <si>
    <t>樹皮堆肥
グリーンドクター2号
苦土入りセルカ2号
PK化成40
硫酸加里
燐硝安加里S604</t>
    <rPh sb="0" eb="2">
      <t>ジュヒ</t>
    </rPh>
    <rPh sb="2" eb="4">
      <t>タイヒ</t>
    </rPh>
    <rPh sb="14" eb="15">
      <t>ゴウ</t>
    </rPh>
    <rPh sb="16" eb="18">
      <t>クド</t>
    </rPh>
    <rPh sb="18" eb="19">
      <t>イ</t>
    </rPh>
    <rPh sb="24" eb="25">
      <t>ゴウ</t>
    </rPh>
    <rPh sb="28" eb="29">
      <t>カ</t>
    </rPh>
    <rPh sb="29" eb="30">
      <t>セイ</t>
    </rPh>
    <rPh sb="33" eb="35">
      <t>リュウサン</t>
    </rPh>
    <rPh sb="35" eb="36">
      <t>カ</t>
    </rPh>
    <rPh sb="36" eb="37">
      <t>リ</t>
    </rPh>
    <rPh sb="38" eb="39">
      <t>リン</t>
    </rPh>
    <rPh sb="39" eb="40">
      <t>ショウ</t>
    </rPh>
    <rPh sb="40" eb="41">
      <t>アン</t>
    </rPh>
    <rPh sb="41" eb="42">
      <t>カ</t>
    </rPh>
    <rPh sb="42" eb="43">
      <t>リ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</si>
  <si>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</si>
  <si>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</si>
  <si>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</si>
  <si>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</si>
  <si>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</si>
  <si>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</si>
  <si>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</si>
  <si>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</si>
  <si>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作業場</t>
  </si>
  <si>
    <t>鉄骨・ルーフデッキ</t>
    <rPh sb="0" eb="2">
      <t>テッコツ</t>
    </rPh>
    <phoneticPr fontId="4"/>
  </si>
  <si>
    <t>㎡</t>
  </si>
  <si>
    <t>10a/50a</t>
    <phoneticPr fontId="4"/>
  </si>
  <si>
    <t>潅水施設一式</t>
  </si>
  <si>
    <t>ドリップかん水</t>
    <rPh sb="6" eb="7">
      <t>スイ</t>
    </rPh>
    <phoneticPr fontId="4"/>
  </si>
  <si>
    <t>m</t>
  </si>
  <si>
    <t>動力噴霧機</t>
    <rPh sb="4" eb="5">
      <t>キ</t>
    </rPh>
    <phoneticPr fontId="4"/>
  </si>
  <si>
    <t>可搬式4.5ｐｓ</t>
  </si>
  <si>
    <t>10a/50a</t>
    <phoneticPr fontId="4"/>
  </si>
  <si>
    <t>軽トラック</t>
  </si>
  <si>
    <t>660cc4WD</t>
  </si>
  <si>
    <t>3年間育成</t>
    <rPh sb="1" eb="3">
      <t>ネンカン</t>
    </rPh>
    <rPh sb="3" eb="5">
      <t>イクセイ</t>
    </rPh>
    <phoneticPr fontId="4"/>
  </si>
  <si>
    <t>10a/10a</t>
    <phoneticPr fontId="4"/>
  </si>
  <si>
    <t>　　合　　計</t>
    <phoneticPr fontId="4"/>
  </si>
  <si>
    <t>※かん水施設一式は，農研機構作成「マルドリマニュアル」を参考</t>
    <rPh sb="3" eb="4">
      <t>スイ</t>
    </rPh>
    <rPh sb="4" eb="6">
      <t>シセツ</t>
    </rPh>
    <rPh sb="6" eb="8">
      <t>イッシキ</t>
    </rPh>
    <rPh sb="10" eb="11">
      <t>ノウ</t>
    </rPh>
    <rPh sb="11" eb="12">
      <t>ケン</t>
    </rPh>
    <rPh sb="12" eb="14">
      <t>キコウ</t>
    </rPh>
    <rPh sb="14" eb="16">
      <t>サクセイ</t>
    </rPh>
    <rPh sb="28" eb="30">
      <t>サンコウ</t>
    </rPh>
    <phoneticPr fontId="4"/>
  </si>
  <si>
    <t xml:space="preserve">※大動植物算出根拠
　成木肥料費・・・31,277円　成木農薬費・・・81,109円
　1年目25％，2年目50％，3年目66％で積み上げ
　→1年目28,000円，2年目56,100円，3年目74,100円
　→合計158,200円
</t>
    <rPh sb="1" eb="2">
      <t>ダイ</t>
    </rPh>
    <rPh sb="2" eb="5">
      <t>ドウショクブツ</t>
    </rPh>
    <rPh sb="5" eb="7">
      <t>サンシュツ</t>
    </rPh>
    <rPh sb="7" eb="9">
      <t>コンキョ</t>
    </rPh>
    <rPh sb="11" eb="13">
      <t>セイボク</t>
    </rPh>
    <rPh sb="27" eb="29">
      <t>セイボク</t>
    </rPh>
    <phoneticPr fontId="4"/>
  </si>
  <si>
    <t>粗　　　収　　　益　　　の　　　算　　　出</t>
    <phoneticPr fontId="4"/>
  </si>
  <si>
    <t>月</t>
    <rPh sb="0" eb="1">
      <t>ツキ</t>
    </rPh>
    <phoneticPr fontId="4"/>
  </si>
  <si>
    <t>販売量</t>
    <phoneticPr fontId="4"/>
  </si>
  <si>
    <t>右表（ア）</t>
    <phoneticPr fontId="4"/>
  </si>
  <si>
    <t>数量</t>
    <phoneticPr fontId="4"/>
  </si>
  <si>
    <t>負担価格の</t>
    <phoneticPr fontId="4"/>
  </si>
  <si>
    <t>※挿木で増殖するため苗木代なし</t>
    <rPh sb="1" eb="3">
      <t>サシキ</t>
    </rPh>
    <rPh sb="4" eb="6">
      <t>ゾウショク</t>
    </rPh>
    <rPh sb="10" eb="12">
      <t>ナエギ</t>
    </rPh>
    <rPh sb="12" eb="13">
      <t>ダイ</t>
    </rPh>
    <phoneticPr fontId="4"/>
  </si>
  <si>
    <t>（イ）肥料名</t>
    <phoneticPr fontId="4"/>
  </si>
  <si>
    <t>1種類</t>
    <phoneticPr fontId="4"/>
  </si>
  <si>
    <t>2種類</t>
    <phoneticPr fontId="4"/>
  </si>
  <si>
    <t>3種類</t>
    <phoneticPr fontId="4"/>
  </si>
  <si>
    <t>（ウ）農薬名</t>
    <phoneticPr fontId="4"/>
  </si>
  <si>
    <t>5種類</t>
    <phoneticPr fontId="4"/>
  </si>
  <si>
    <t>8種類</t>
    <phoneticPr fontId="4"/>
  </si>
  <si>
    <t>売上原価　計</t>
    <phoneticPr fontId="4"/>
  </si>
  <si>
    <t>販売量×70円</t>
    <rPh sb="0" eb="2">
      <t>ハンバイ</t>
    </rPh>
    <rPh sb="2" eb="3">
      <t>リョウ</t>
    </rPh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</si>
  <si>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</si>
  <si>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0種類</t>
    <phoneticPr fontId="4"/>
  </si>
  <si>
    <t>販売量×20円</t>
    <rPh sb="0" eb="2">
      <t>ハンバイ</t>
    </rPh>
    <rPh sb="2" eb="3">
      <t>リョウ</t>
    </rPh>
    <rPh sb="6" eb="7">
      <t>エン</t>
    </rPh>
    <phoneticPr fontId="4"/>
  </si>
  <si>
    <t>販売額×11％</t>
    <rPh sb="0" eb="2">
      <t>ハンバイ</t>
    </rPh>
    <rPh sb="2" eb="3">
      <t>ガク</t>
    </rPh>
    <phoneticPr fontId="4"/>
  </si>
  <si>
    <t>（エ）燃料名</t>
    <phoneticPr fontId="4"/>
  </si>
  <si>
    <t>軽油</t>
    <phoneticPr fontId="4"/>
  </si>
  <si>
    <t>ガソリン</t>
    <phoneticPr fontId="4"/>
  </si>
  <si>
    <t>防除，出荷</t>
    <rPh sb="0" eb="2">
      <t>ボウジョ</t>
    </rPh>
    <rPh sb="3" eb="5">
      <t>シュッカ</t>
    </rPh>
    <phoneticPr fontId="4"/>
  </si>
  <si>
    <t>法定福利費　等</t>
    <phoneticPr fontId="4"/>
  </si>
  <si>
    <t>潤滑油</t>
    <phoneticPr fontId="4"/>
  </si>
  <si>
    <t>燃料費の</t>
    <phoneticPr fontId="4"/>
  </si>
  <si>
    <t>混合</t>
    <phoneticPr fontId="4"/>
  </si>
  <si>
    <t>草刈り</t>
    <rPh sb="0" eb="2">
      <t>クサカリ</t>
    </rPh>
    <phoneticPr fontId="4"/>
  </si>
  <si>
    <t>灯油</t>
    <phoneticPr fontId="4"/>
  </si>
  <si>
    <t>電気</t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</si>
  <si>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</si>
  <si>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営業外
費用</t>
    <phoneticPr fontId="4"/>
  </si>
  <si>
    <t>所得</t>
    <rPh sb="0" eb="2">
      <t>ショトク</t>
    </rPh>
    <phoneticPr fontId="4"/>
  </si>
  <si>
    <t>単価</t>
    <phoneticPr fontId="4"/>
  </si>
  <si>
    <t>小縄</t>
    <rPh sb="0" eb="1">
      <t>コ</t>
    </rPh>
    <rPh sb="1" eb="2">
      <t>ナワ</t>
    </rPh>
    <phoneticPr fontId="4"/>
  </si>
  <si>
    <t>巻</t>
    <rPh sb="0" eb="1">
      <t>マ</t>
    </rPh>
    <phoneticPr fontId="4"/>
  </si>
  <si>
    <t>防風ネット</t>
    <rPh sb="0" eb="2">
      <t>ボウフウ</t>
    </rPh>
    <phoneticPr fontId="4"/>
  </si>
  <si>
    <t>ネット</t>
    <phoneticPr fontId="4"/>
  </si>
  <si>
    <t>小　計</t>
    <phoneticPr fontId="4"/>
  </si>
  <si>
    <t>パイプ</t>
    <phoneticPr fontId="4"/>
  </si>
  <si>
    <t>施肥・有機物（軽トラック）</t>
    <rPh sb="0" eb="2">
      <t>セヒ</t>
    </rPh>
    <rPh sb="3" eb="6">
      <t>ユウキブツ</t>
    </rPh>
    <rPh sb="7" eb="8">
      <t>ケイ</t>
    </rPh>
    <phoneticPr fontId="4"/>
  </si>
  <si>
    <t>中耕（中耕機）</t>
    <rPh sb="0" eb="1">
      <t>ナカ</t>
    </rPh>
    <rPh sb="1" eb="2">
      <t>コウ</t>
    </rPh>
    <rPh sb="3" eb="4">
      <t>チュウ</t>
    </rPh>
    <rPh sb="4" eb="5">
      <t>コウ</t>
    </rPh>
    <rPh sb="5" eb="6">
      <t>キ</t>
    </rPh>
    <phoneticPr fontId="4"/>
  </si>
  <si>
    <t>草刈り・除草（動噴）</t>
    <rPh sb="0" eb="2">
      <t>クサカリ</t>
    </rPh>
    <rPh sb="4" eb="6">
      <t>ジョソウ</t>
    </rPh>
    <rPh sb="7" eb="8">
      <t>ドウ</t>
    </rPh>
    <rPh sb="8" eb="9">
      <t>フン</t>
    </rPh>
    <phoneticPr fontId="4"/>
  </si>
  <si>
    <t>病害虫防除（動噴）</t>
    <rPh sb="0" eb="3">
      <t>ビョウガイチュウ</t>
    </rPh>
    <rPh sb="3" eb="5">
      <t>ボウジョ</t>
    </rPh>
    <rPh sb="6" eb="7">
      <t>ドウ</t>
    </rPh>
    <rPh sb="7" eb="8">
      <t>フン</t>
    </rPh>
    <phoneticPr fontId="4"/>
  </si>
  <si>
    <t>収穫・運搬（軽トラック）</t>
    <rPh sb="0" eb="2">
      <t>シュウカク</t>
    </rPh>
    <rPh sb="3" eb="5">
      <t>ウンパン</t>
    </rPh>
    <rPh sb="6" eb="7">
      <t>ケイ</t>
    </rPh>
    <phoneticPr fontId="4"/>
  </si>
  <si>
    <t>出荷（軽トラック）</t>
    <rPh sb="0" eb="2">
      <t>シュッカ</t>
    </rPh>
    <rPh sb="3" eb="4">
      <t>ケイ</t>
    </rPh>
    <phoneticPr fontId="4"/>
  </si>
  <si>
    <t>小　計</t>
    <phoneticPr fontId="4"/>
  </si>
  <si>
    <t>草刈り・除草（草刈機）</t>
    <rPh sb="0" eb="2">
      <t>クサカリ</t>
    </rPh>
    <rPh sb="4" eb="6">
      <t>ジョソウ</t>
    </rPh>
    <rPh sb="7" eb="9">
      <t>クサカリ</t>
    </rPh>
    <rPh sb="9" eb="10">
      <t>キ</t>
    </rPh>
    <phoneticPr fontId="4"/>
  </si>
  <si>
    <t>収穫用コンテナ</t>
    <rPh sb="0" eb="3">
      <t>シュウカクヨウ</t>
    </rPh>
    <phoneticPr fontId="4"/>
  </si>
  <si>
    <t>個</t>
    <rPh sb="0" eb="1">
      <t>コ</t>
    </rPh>
    <phoneticPr fontId="4"/>
  </si>
  <si>
    <t>小　計</t>
    <phoneticPr fontId="4"/>
  </si>
  <si>
    <t>脚立</t>
    <rPh sb="0" eb="2">
      <t>キャタツ</t>
    </rPh>
    <phoneticPr fontId="4"/>
  </si>
  <si>
    <t>草刈機</t>
    <rPh sb="0" eb="2">
      <t>クサカリ</t>
    </rPh>
    <rPh sb="2" eb="3">
      <t>キ</t>
    </rPh>
    <phoneticPr fontId="4"/>
  </si>
  <si>
    <t>剪定鋏</t>
    <rPh sb="0" eb="2">
      <t>センテイ</t>
    </rPh>
    <rPh sb="2" eb="3">
      <t>ハサミ</t>
    </rPh>
    <phoneticPr fontId="4"/>
  </si>
  <si>
    <t>剪定鋸</t>
    <rPh sb="0" eb="2">
      <t>センテイ</t>
    </rPh>
    <rPh sb="2" eb="3">
      <t>ノコ</t>
    </rPh>
    <phoneticPr fontId="4"/>
  </si>
  <si>
    <t>摘果鋏</t>
    <rPh sb="0" eb="2">
      <t>テキカ</t>
    </rPh>
    <rPh sb="2" eb="3">
      <t>ハサミ</t>
    </rPh>
    <phoneticPr fontId="4"/>
  </si>
  <si>
    <t>収穫かご</t>
    <rPh sb="0" eb="2">
      <t>シュウカク</t>
    </rPh>
    <phoneticPr fontId="4"/>
  </si>
  <si>
    <t>防除用ホース30m</t>
    <rPh sb="0" eb="2">
      <t>ボウジョ</t>
    </rPh>
    <rPh sb="2" eb="3">
      <t>ヨウ</t>
    </rPh>
    <phoneticPr fontId="4"/>
  </si>
  <si>
    <t>（２）農薬費</t>
    <phoneticPr fontId="4"/>
  </si>
  <si>
    <t>防除用ノズル</t>
    <rPh sb="0" eb="3">
      <t>ボウジョヨウ</t>
    </rPh>
    <phoneticPr fontId="4"/>
  </si>
  <si>
    <t>小　計</t>
    <phoneticPr fontId="4"/>
  </si>
  <si>
    <t>ガソリン携行缶</t>
    <rPh sb="4" eb="6">
      <t>ケイコウ</t>
    </rPh>
    <rPh sb="6" eb="7">
      <t>カン</t>
    </rPh>
    <phoneticPr fontId="4"/>
  </si>
  <si>
    <t>工具セット</t>
    <rPh sb="0" eb="2">
      <t>コウグ</t>
    </rPh>
    <phoneticPr fontId="4"/>
  </si>
  <si>
    <t>200Lタンク除草剤用</t>
    <rPh sb="7" eb="10">
      <t>ジョソウザイ</t>
    </rPh>
    <rPh sb="10" eb="11">
      <t>ヨウ</t>
    </rPh>
    <phoneticPr fontId="4"/>
  </si>
  <si>
    <t>1200Lタンク</t>
    <phoneticPr fontId="4"/>
  </si>
  <si>
    <t>はかり</t>
    <phoneticPr fontId="4"/>
  </si>
  <si>
    <t>一輪車</t>
    <rPh sb="0" eb="3">
      <t>イチリンシャ</t>
    </rPh>
    <phoneticPr fontId="4"/>
  </si>
  <si>
    <t>金額</t>
    <phoneticPr fontId="4"/>
  </si>
  <si>
    <t>金額</t>
    <phoneticPr fontId="4"/>
  </si>
  <si>
    <t>展着剤等</t>
    <rPh sb="0" eb="3">
      <t>テンチャクザイ</t>
    </rPh>
    <rPh sb="3" eb="4">
      <t>トウ</t>
    </rPh>
    <phoneticPr fontId="4"/>
  </si>
  <si>
    <t>肥料　算出基礎</t>
    <rPh sb="0" eb="2">
      <t>ヒリョウ</t>
    </rPh>
    <rPh sb="3" eb="5">
      <t>サンシュツ</t>
    </rPh>
    <rPh sb="5" eb="7">
      <t>キソ</t>
    </rPh>
    <phoneticPr fontId="4"/>
  </si>
  <si>
    <t>（イ）肥料名</t>
  </si>
  <si>
    <t>施用量</t>
    <rPh sb="0" eb="2">
      <t>セヨウ</t>
    </rPh>
    <rPh sb="2" eb="3">
      <t>リョウ</t>
    </rPh>
    <phoneticPr fontId="4"/>
  </si>
  <si>
    <t>成分比率（％）</t>
    <rPh sb="0" eb="2">
      <t>セイブン</t>
    </rPh>
    <rPh sb="2" eb="4">
      <t>ヒリツ</t>
    </rPh>
    <phoneticPr fontId="4"/>
  </si>
  <si>
    <t>成分施用量（ｋｇ）</t>
    <rPh sb="0" eb="2">
      <t>セイブン</t>
    </rPh>
    <rPh sb="2" eb="4">
      <t>セヨウ</t>
    </rPh>
    <rPh sb="4" eb="5">
      <t>リョウ</t>
    </rPh>
    <phoneticPr fontId="4"/>
  </si>
  <si>
    <t>規格(kg)</t>
    <rPh sb="0" eb="2">
      <t>キカク</t>
    </rPh>
    <phoneticPr fontId="4"/>
  </si>
  <si>
    <t>単　価</t>
    <phoneticPr fontId="4"/>
  </si>
  <si>
    <t>予約価格</t>
    <rPh sb="0" eb="2">
      <t>ヨヤク</t>
    </rPh>
    <rPh sb="2" eb="4">
      <t>カカク</t>
    </rPh>
    <phoneticPr fontId="4"/>
  </si>
  <si>
    <t>N</t>
    <phoneticPr fontId="4"/>
  </si>
  <si>
    <t>P</t>
    <phoneticPr fontId="4"/>
  </si>
  <si>
    <t>K</t>
    <phoneticPr fontId="4"/>
  </si>
  <si>
    <t>樹皮堆肥</t>
    <rPh sb="0" eb="2">
      <t>ジュヒ</t>
    </rPh>
    <rPh sb="2" eb="4">
      <t>タイヒ</t>
    </rPh>
    <phoneticPr fontId="4"/>
  </si>
  <si>
    <t>(kg)</t>
    <phoneticPr fontId="4"/>
  </si>
  <si>
    <t>グリーンドクター2号</t>
    <rPh sb="9" eb="10">
      <t>ゴウ</t>
    </rPh>
    <phoneticPr fontId="4"/>
  </si>
  <si>
    <t>苦土入りセルカ2号</t>
    <rPh sb="0" eb="2">
      <t>クド</t>
    </rPh>
    <rPh sb="2" eb="3">
      <t>イ</t>
    </rPh>
    <rPh sb="8" eb="9">
      <t>ゴウ</t>
    </rPh>
    <phoneticPr fontId="4"/>
  </si>
  <si>
    <t>PK化成40</t>
    <rPh sb="2" eb="4">
      <t>カセイ</t>
    </rPh>
    <phoneticPr fontId="4"/>
  </si>
  <si>
    <t>硫酸加里</t>
    <rPh sb="0" eb="2">
      <t>リュウサン</t>
    </rPh>
    <rPh sb="2" eb="3">
      <t>カ</t>
    </rPh>
    <rPh sb="3" eb="4">
      <t>サト</t>
    </rPh>
    <phoneticPr fontId="4"/>
  </si>
  <si>
    <t>燐硝安加里S604号</t>
    <rPh sb="0" eb="1">
      <t>リン</t>
    </rPh>
    <rPh sb="1" eb="2">
      <t>ショウ</t>
    </rPh>
    <rPh sb="2" eb="3">
      <t>アン</t>
    </rPh>
    <rPh sb="3" eb="4">
      <t>カ</t>
    </rPh>
    <rPh sb="4" eb="5">
      <t>ザト</t>
    </rPh>
    <rPh sb="9" eb="10">
      <t>ゴウ</t>
    </rPh>
    <phoneticPr fontId="4"/>
  </si>
  <si>
    <t>(kg)</t>
  </si>
  <si>
    <t>※ふくやまブランド農産物推進協議会作成「イチジク栽培（蓬来柿）の手引き」参考</t>
    <rPh sb="9" eb="12">
      <t>ノウサンブツ</t>
    </rPh>
    <rPh sb="12" eb="14">
      <t>スイシン</t>
    </rPh>
    <rPh sb="14" eb="17">
      <t>キョウギカイ</t>
    </rPh>
    <rPh sb="17" eb="19">
      <t>サクセイ</t>
    </rPh>
    <rPh sb="24" eb="26">
      <t>サイバイ</t>
    </rPh>
    <rPh sb="27" eb="28">
      <t>ホウ</t>
    </rPh>
    <rPh sb="28" eb="29">
      <t>ク</t>
    </rPh>
    <rPh sb="29" eb="30">
      <t>カキ</t>
    </rPh>
    <rPh sb="32" eb="34">
      <t>テビ</t>
    </rPh>
    <rPh sb="36" eb="38">
      <t>サンコウ</t>
    </rPh>
    <phoneticPr fontId="4"/>
  </si>
  <si>
    <t>農薬　算出基礎</t>
    <rPh sb="0" eb="2">
      <t>ノウヤク</t>
    </rPh>
    <rPh sb="3" eb="5">
      <t>サンシュツ</t>
    </rPh>
    <rPh sb="5" eb="7">
      <t>キソ</t>
    </rPh>
    <phoneticPr fontId="4"/>
  </si>
  <si>
    <t>希釈倍率</t>
    <rPh sb="0" eb="2">
      <t>キシャク</t>
    </rPh>
    <rPh sb="2" eb="4">
      <t>バイリツ</t>
    </rPh>
    <phoneticPr fontId="18"/>
  </si>
  <si>
    <t>散布量</t>
    <rPh sb="0" eb="3">
      <t>サンプリョウ</t>
    </rPh>
    <phoneticPr fontId="18"/>
  </si>
  <si>
    <t>規格</t>
    <rPh sb="0" eb="2">
      <t>キカク</t>
    </rPh>
    <phoneticPr fontId="18"/>
  </si>
  <si>
    <t>価格</t>
    <rPh sb="0" eb="2">
      <t>カカク</t>
    </rPh>
    <phoneticPr fontId="4"/>
  </si>
  <si>
    <t>殺</t>
  </si>
  <si>
    <t>トップジンM水和剤</t>
    <rPh sb="6" eb="9">
      <t>スイワザイ</t>
    </rPh>
    <phoneticPr fontId="4"/>
  </si>
  <si>
    <t>g･cc</t>
  </si>
  <si>
    <t>菌</t>
  </si>
  <si>
    <t>アミスター10フロアブル</t>
    <phoneticPr fontId="4"/>
  </si>
  <si>
    <t>剤</t>
  </si>
  <si>
    <t>トリフミン水和剤</t>
    <rPh sb="5" eb="8">
      <t>スイワザイ</t>
    </rPh>
    <phoneticPr fontId="4"/>
  </si>
  <si>
    <t>ランマンフロアブル（疫病）</t>
    <rPh sb="10" eb="12">
      <t>エキビョウ</t>
    </rPh>
    <phoneticPr fontId="4"/>
  </si>
  <si>
    <t>トップジンMオイルペースト</t>
    <phoneticPr fontId="4"/>
  </si>
  <si>
    <t>石灰硫黄合剤</t>
    <phoneticPr fontId="4"/>
  </si>
  <si>
    <t>ガットサイドS</t>
    <phoneticPr fontId="4"/>
  </si>
  <si>
    <t>モスピラン顆粒水溶剤</t>
    <rPh sb="5" eb="7">
      <t>カリュウ</t>
    </rPh>
    <rPh sb="7" eb="9">
      <t>スイヨウ</t>
    </rPh>
    <rPh sb="9" eb="10">
      <t>ザイ</t>
    </rPh>
    <phoneticPr fontId="4"/>
  </si>
  <si>
    <t>虫</t>
  </si>
  <si>
    <t>サンマイト水和剤</t>
    <rPh sb="5" eb="8">
      <t>スイワザイ</t>
    </rPh>
    <phoneticPr fontId="4"/>
  </si>
  <si>
    <t>バロックフロアブル</t>
    <phoneticPr fontId="4"/>
  </si>
  <si>
    <t>ネマトリンエース粒剤（ネコブセンチュウ）</t>
    <rPh sb="8" eb="10">
      <t>リュウザイ</t>
    </rPh>
    <phoneticPr fontId="4"/>
  </si>
  <si>
    <t>バイオリサカミキリ（カミキリムシ）</t>
    <phoneticPr fontId="4"/>
  </si>
  <si>
    <t>-</t>
    <phoneticPr fontId="4"/>
  </si>
  <si>
    <t>※価格や使用量は神奈川県いちじく経営指標参考</t>
    <rPh sb="1" eb="3">
      <t>カカク</t>
    </rPh>
    <rPh sb="4" eb="7">
      <t>シヨウリョウ</t>
    </rPh>
    <rPh sb="8" eb="12">
      <t>カナガワケン</t>
    </rPh>
    <rPh sb="16" eb="18">
      <t>ケイエイ</t>
    </rPh>
    <rPh sb="18" eb="20">
      <t>シヒョウ</t>
    </rPh>
    <rPh sb="20" eb="22">
      <t>サンコウ</t>
    </rPh>
    <phoneticPr fontId="4"/>
  </si>
  <si>
    <t>アーデント水和剤（ショウジョウバエ類）</t>
    <rPh sb="5" eb="8">
      <t>スイワザイ</t>
    </rPh>
    <rPh sb="17" eb="18">
      <t>ルイ</t>
    </rPh>
    <phoneticPr fontId="4"/>
  </si>
  <si>
    <t>除</t>
    <rPh sb="0" eb="1">
      <t>ジョソウザイ</t>
    </rPh>
    <phoneticPr fontId="18"/>
  </si>
  <si>
    <t>ラウンドアップマックスロード</t>
    <phoneticPr fontId="4"/>
  </si>
  <si>
    <t>草</t>
    <rPh sb="0" eb="1">
      <t>クサ</t>
    </rPh>
    <phoneticPr fontId="18"/>
  </si>
  <si>
    <t>剤</t>
    <rPh sb="0" eb="1">
      <t>ザイ</t>
    </rPh>
    <phoneticPr fontId="18"/>
  </si>
  <si>
    <t>調</t>
    <rPh sb="0" eb="1">
      <t>チョウ</t>
    </rPh>
    <phoneticPr fontId="18"/>
  </si>
  <si>
    <t>箱</t>
    <rPh sb="0" eb="1">
      <t>ハコ</t>
    </rPh>
    <phoneticPr fontId="18"/>
  </si>
  <si>
    <t>成</t>
    <rPh sb="0" eb="1">
      <t>セイ</t>
    </rPh>
    <phoneticPr fontId="18"/>
  </si>
  <si>
    <t>本</t>
    <rPh sb="0" eb="1">
      <t>ホン</t>
    </rPh>
    <phoneticPr fontId="18"/>
  </si>
  <si>
    <t>小　計</t>
    <phoneticPr fontId="4"/>
  </si>
  <si>
    <t>※広果連作成防除暦参考</t>
    <rPh sb="1" eb="2">
      <t>ヒロ</t>
    </rPh>
    <rPh sb="2" eb="3">
      <t>カ</t>
    </rPh>
    <rPh sb="3" eb="4">
      <t>レン</t>
    </rPh>
    <rPh sb="4" eb="6">
      <t>サクセイ</t>
    </rPh>
    <rPh sb="6" eb="8">
      <t>ボウジョ</t>
    </rPh>
    <rPh sb="8" eb="9">
      <t>ゴヨミ</t>
    </rPh>
    <rPh sb="9" eb="11">
      <t>サンコウ</t>
    </rPh>
    <phoneticPr fontId="4"/>
  </si>
  <si>
    <t>月別平均価格の推移</t>
    <phoneticPr fontId="4"/>
  </si>
  <si>
    <t>（福山）</t>
    <rPh sb="1" eb="3">
      <t>フクヤマ</t>
    </rPh>
    <phoneticPr fontId="4"/>
  </si>
  <si>
    <t>平成23年</t>
    <phoneticPr fontId="4"/>
  </si>
  <si>
    <t>平成24年</t>
  </si>
  <si>
    <t>平成25年</t>
  </si>
  <si>
    <t>イチジク50a</t>
    <phoneticPr fontId="4"/>
  </si>
  <si>
    <t>イチジク50a</t>
    <phoneticPr fontId="4"/>
  </si>
  <si>
    <t>イチジク50a</t>
    <phoneticPr fontId="4"/>
  </si>
  <si>
    <t>イチジク</t>
    <phoneticPr fontId="4"/>
  </si>
  <si>
    <t>（参考）　固定資本装備と減価償却費（イチジク，10a当たり・1年当たり）</t>
    <rPh sb="1" eb="3">
      <t>サンコウ</t>
    </rPh>
    <rPh sb="26" eb="27">
      <t>ア</t>
    </rPh>
    <rPh sb="31" eb="32">
      <t>ネン</t>
    </rPh>
    <rPh sb="32" eb="33">
      <t>ア</t>
    </rPh>
    <phoneticPr fontId="4"/>
  </si>
  <si>
    <t>７－４　経営収支（イチジク部門，10a当たり）</t>
    <rPh sb="13" eb="15">
      <t>ブモン</t>
    </rPh>
    <rPh sb="19" eb="20">
      <t>ア</t>
    </rPh>
    <phoneticPr fontId="4"/>
  </si>
  <si>
    <t>イチジク</t>
    <phoneticPr fontId="4"/>
  </si>
  <si>
    <t>作　業　別</t>
    <phoneticPr fontId="4"/>
  </si>
  <si>
    <t>作　　　型</t>
    <phoneticPr fontId="4"/>
  </si>
  <si>
    <t>剪定・誘引</t>
  </si>
  <si>
    <t>防除</t>
  </si>
  <si>
    <t>施肥</t>
  </si>
  <si>
    <t>新梢管理</t>
  </si>
  <si>
    <t>除草・敷きワラ・潅水</t>
  </si>
  <si>
    <t>収穫・出荷</t>
  </si>
  <si>
    <t>その他</t>
  </si>
  <si>
    <t>旬　別　計</t>
    <phoneticPr fontId="4"/>
  </si>
  <si>
    <t>月　  　計</t>
    <phoneticPr fontId="4"/>
  </si>
  <si>
    <t>３－４　標準技術（イチジク）</t>
    <rPh sb="4" eb="6">
      <t>ヒョウジュン</t>
    </rPh>
    <rPh sb="6" eb="8">
      <t>ギジュツ</t>
    </rPh>
    <phoneticPr fontId="4"/>
  </si>
  <si>
    <t>５－４　作業別・旬別作業時間（イチジク，10a当たり）</t>
    <phoneticPr fontId="4"/>
  </si>
  <si>
    <t>５－３　作業別・旬別作業時間（水稲，1ha当たり）</t>
    <rPh sb="15" eb="17">
      <t>スイトウ</t>
    </rPh>
    <phoneticPr fontId="4"/>
  </si>
  <si>
    <t>５－２　作業別・旬別作業時間（水稲，1ha当たり）</t>
    <rPh sb="15" eb="17">
      <t>スイトウ</t>
    </rPh>
    <phoneticPr fontId="4"/>
  </si>
  <si>
    <t>８－４　経費の算出基礎（イチジク，10a当たり）</t>
    <rPh sb="4" eb="6">
      <t>ケイヒ</t>
    </rPh>
    <rPh sb="7" eb="9">
      <t>サンシュツ</t>
    </rPh>
    <rPh sb="9" eb="11">
      <t>キソ</t>
    </rPh>
    <rPh sb="20" eb="21">
      <t>ア</t>
    </rPh>
    <phoneticPr fontId="4"/>
  </si>
  <si>
    <t>○：播種　△：仮植　×：定植　□：出穂           せん定・誘引</t>
    <rPh sb="17" eb="19">
      <t>シュッスイ</t>
    </rPh>
    <rPh sb="32" eb="33">
      <t>テイ</t>
    </rPh>
    <rPh sb="34" eb="36">
      <t>ユウイン</t>
    </rPh>
    <phoneticPr fontId="4"/>
  </si>
  <si>
    <t>露地</t>
    <rPh sb="0" eb="2">
      <t>ロジ</t>
    </rPh>
    <phoneticPr fontId="4"/>
  </si>
  <si>
    <t>適期収穫</t>
    <rPh sb="0" eb="2">
      <t>テキキ</t>
    </rPh>
    <rPh sb="2" eb="4">
      <t>シュウカク</t>
    </rPh>
    <phoneticPr fontId="4"/>
  </si>
  <si>
    <t>イチジク</t>
  </si>
  <si>
    <t>作業場</t>
    <rPh sb="0" eb="2">
      <t>サギョウ</t>
    </rPh>
    <rPh sb="2" eb="3">
      <t>ジョウ</t>
    </rPh>
    <phoneticPr fontId="4"/>
  </si>
  <si>
    <t>660cc4WD</t>
    <phoneticPr fontId="4"/>
  </si>
  <si>
    <t>イチジク50a</t>
    <phoneticPr fontId="4"/>
  </si>
  <si>
    <t>水稲29.5ha+イチジク0.5ha</t>
    <phoneticPr fontId="3"/>
  </si>
  <si>
    <t>10a/3000a</t>
    <phoneticPr fontId="4"/>
  </si>
  <si>
    <t>0.5ha</t>
    <phoneticPr fontId="3"/>
  </si>
  <si>
    <t>肥料
　基肥一発型緩効性肥料　350kg～550kg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2"/>
  </si>
  <si>
    <t>購入苗とする</t>
    <rPh sb="0" eb="2">
      <t>コウニュウ</t>
    </rPh>
    <rPh sb="2" eb="3">
      <t>ナエ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</si>
  <si>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</si>
  <si>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</si>
  <si>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</si>
  <si>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間断かんがい、中干しの実施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</si>
  <si>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適期防除</t>
    <rPh sb="0" eb="2">
      <t>テッキ</t>
    </rPh>
    <rPh sb="2" eb="4">
      <t>ボウジョ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</si>
  <si>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</si>
  <si>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</si>
  <si>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</si>
  <si>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肥料
　基肥一発型緩効性肥料　350kg～550kg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4"/>
  </si>
  <si>
    <t>開心自然形2本仕立て
植付本数約30本</t>
    <rPh sb="0" eb="1">
      <t>カイ</t>
    </rPh>
    <rPh sb="1" eb="2">
      <t>シン</t>
    </rPh>
    <rPh sb="2" eb="4">
      <t>シゼン</t>
    </rPh>
    <rPh sb="4" eb="5">
      <t>ケイ</t>
    </rPh>
    <rPh sb="6" eb="7">
      <t>ホン</t>
    </rPh>
    <rPh sb="7" eb="9">
      <t>シタ</t>
    </rPh>
    <rPh sb="11" eb="12">
      <t>ウ</t>
    </rPh>
    <rPh sb="12" eb="13">
      <t>ツ</t>
    </rPh>
    <rPh sb="13" eb="15">
      <t>ホンスウ</t>
    </rPh>
    <rPh sb="15" eb="16">
      <t>ヤク</t>
    </rPh>
    <rPh sb="18" eb="19">
      <t>ホン</t>
    </rPh>
    <phoneticPr fontId="4"/>
  </si>
  <si>
    <t>カミキリムシの捕殺殺菌
・殺虫剤の散布
バイオリサカミキリの使用
アイノキクイムシ対策としてガットサイドSの塗布</t>
    <rPh sb="7" eb="9">
      <t>ホサツ</t>
    </rPh>
    <rPh sb="9" eb="11">
      <t>サッキン</t>
    </rPh>
    <rPh sb="13" eb="16">
      <t>サッチュウザイ</t>
    </rPh>
    <rPh sb="17" eb="19">
      <t>サンプ</t>
    </rPh>
    <rPh sb="30" eb="32">
      <t>シヨウ</t>
    </rPh>
    <rPh sb="41" eb="43">
      <t>タイサク</t>
    </rPh>
    <rPh sb="54" eb="56">
      <t>トフ</t>
    </rPh>
    <phoneticPr fontId="4"/>
  </si>
  <si>
    <t>芽かき
誘引</t>
    <rPh sb="0" eb="1">
      <t>メ</t>
    </rPh>
    <rPh sb="4" eb="6">
      <t>ユウイン</t>
    </rPh>
    <phoneticPr fontId="4"/>
  </si>
  <si>
    <t>除草
敷わら
かん水は，点滴かん水施設を導入</t>
    <rPh sb="0" eb="2">
      <t>ジョソウ</t>
    </rPh>
    <rPh sb="3" eb="4">
      <t>シキ</t>
    </rPh>
    <rPh sb="9" eb="10">
      <t>スイ</t>
    </rPh>
    <rPh sb="12" eb="14">
      <t>テンテキ</t>
    </rPh>
    <rPh sb="16" eb="17">
      <t>スイ</t>
    </rPh>
    <rPh sb="17" eb="19">
      <t>シセツ</t>
    </rPh>
    <rPh sb="20" eb="22">
      <t>ドウニュウ</t>
    </rPh>
    <phoneticPr fontId="4"/>
  </si>
  <si>
    <t>側枝は4～5年で更新する。
結果枝の切返しは収穫を遅くする。</t>
    <rPh sb="0" eb="1">
      <t>ソク</t>
    </rPh>
    <rPh sb="1" eb="2">
      <t>エダ</t>
    </rPh>
    <rPh sb="6" eb="7">
      <t>ネン</t>
    </rPh>
    <rPh sb="8" eb="10">
      <t>コウシン</t>
    </rPh>
    <rPh sb="14" eb="16">
      <t>ケッカ</t>
    </rPh>
    <rPh sb="16" eb="17">
      <t>エダ</t>
    </rPh>
    <rPh sb="18" eb="19">
      <t>キ</t>
    </rPh>
    <rPh sb="19" eb="20">
      <t>カエ</t>
    </rPh>
    <rPh sb="22" eb="24">
      <t>シュウカク</t>
    </rPh>
    <rPh sb="25" eb="26">
      <t>オソ</t>
    </rPh>
    <phoneticPr fontId="4"/>
  </si>
  <si>
    <t>イチジク</t>
    <phoneticPr fontId="4"/>
  </si>
  <si>
    <t>その他</t>
    <rPh sb="2" eb="3">
      <t>タ</t>
    </rPh>
    <phoneticPr fontId="4"/>
  </si>
  <si>
    <t>１種類</t>
    <phoneticPr fontId="4"/>
  </si>
  <si>
    <t>右表（イ）　※８－３　水稲（加工用）算出基礎シート参照</t>
    <rPh sb="11" eb="13">
      <t>スイトウ</t>
    </rPh>
    <rPh sb="14" eb="17">
      <t>カコウヨウ</t>
    </rPh>
    <phoneticPr fontId="4"/>
  </si>
  <si>
    <t>右表（ウ）　※８－３　水稲（加工用）算出基礎シート参照</t>
    <rPh sb="11" eb="13">
      <t>スイトウ</t>
    </rPh>
    <rPh sb="14" eb="17">
      <t>カコウヨウ</t>
    </rPh>
    <phoneticPr fontId="4"/>
  </si>
  <si>
    <t>右表（エ）　※８－３　水稲（加工用）算出基礎シート参照</t>
    <rPh sb="11" eb="13">
      <t>スイトウ</t>
    </rPh>
    <rPh sb="14" eb="17">
      <t>カコウヨウ</t>
    </rPh>
    <phoneticPr fontId="4"/>
  </si>
  <si>
    <t>※８－３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</si>
  <si>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※８－２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</si>
  <si>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液肥</t>
    <rPh sb="0" eb="2">
      <t>エキヒ</t>
    </rPh>
    <phoneticPr fontId="4"/>
  </si>
  <si>
    <t>耕起（トラクター）</t>
    <rPh sb="0" eb="2">
      <t>コウキ</t>
    </rPh>
    <phoneticPr fontId="4"/>
  </si>
  <si>
    <t>代かき（トラクター）</t>
    <rPh sb="0" eb="1">
      <t>シロ</t>
    </rPh>
    <phoneticPr fontId="4"/>
  </si>
  <si>
    <t>収穫（コンバイン）</t>
    <rPh sb="0" eb="2">
      <t>シュウカク</t>
    </rPh>
    <phoneticPr fontId="4"/>
  </si>
  <si>
    <t>堆肥散布（ﾏﾆｭｱｽﾌﾟﾚｯﾀﾞ）</t>
    <rPh sb="0" eb="2">
      <t>タイヒ</t>
    </rPh>
    <rPh sb="2" eb="4">
      <t>サンプ</t>
    </rPh>
    <phoneticPr fontId="4"/>
  </si>
  <si>
    <t>防除（管理ビーグル）</t>
    <rPh sb="0" eb="2">
      <t>ボウジョ</t>
    </rPh>
    <rPh sb="3" eb="5">
      <t>カンリ</t>
    </rPh>
    <phoneticPr fontId="4"/>
  </si>
  <si>
    <t>田植（田植機）</t>
    <rPh sb="0" eb="2">
      <t>タウエ</t>
    </rPh>
    <rPh sb="3" eb="5">
      <t>タウ</t>
    </rPh>
    <rPh sb="5" eb="6">
      <t>キ</t>
    </rPh>
    <phoneticPr fontId="4"/>
  </si>
  <si>
    <t>乾燥（乾燥機）</t>
    <rPh sb="0" eb="2">
      <t>カンソウ</t>
    </rPh>
    <rPh sb="3" eb="6">
      <t>カンソウキ</t>
    </rPh>
    <phoneticPr fontId="4"/>
  </si>
  <si>
    <t>調製（籾摺機）</t>
    <rPh sb="0" eb="2">
      <t>チョウセイ</t>
    </rPh>
    <rPh sb="3" eb="4">
      <t>モミ</t>
    </rPh>
    <rPh sb="4" eb="5">
      <t>スリ</t>
    </rPh>
    <rPh sb="5" eb="6">
      <t>キ</t>
    </rPh>
    <phoneticPr fontId="4"/>
  </si>
  <si>
    <t>育苗（育苗関連機器）</t>
    <rPh sb="0" eb="2">
      <t>イクビョウ</t>
    </rPh>
    <rPh sb="3" eb="5">
      <t>イクビョウ</t>
    </rPh>
    <rPh sb="5" eb="7">
      <t>カンレン</t>
    </rPh>
    <rPh sb="7" eb="9">
      <t>キキ</t>
    </rPh>
    <phoneticPr fontId="4"/>
  </si>
  <si>
    <t>普通トラック</t>
    <phoneticPr fontId="4"/>
  </si>
  <si>
    <t>普通トラック</t>
    <phoneticPr fontId="4"/>
  </si>
  <si>
    <t>普通トラック</t>
    <phoneticPr fontId="4"/>
  </si>
  <si>
    <t>10a機械</t>
    <phoneticPr fontId="4"/>
  </si>
  <si>
    <t>負担面積（a）</t>
    <rPh sb="0" eb="2">
      <t>フタン</t>
    </rPh>
    <rPh sb="2" eb="4">
      <t>メンセキ</t>
    </rPh>
    <phoneticPr fontId="4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</si>
  <si>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</si>
  <si>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</si>
  <si>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水稲</t>
    <rPh sb="0" eb="2">
      <t>スイトウ</t>
    </rPh>
    <phoneticPr fontId="3"/>
  </si>
  <si>
    <t>イチジク</t>
    <phoneticPr fontId="3"/>
  </si>
  <si>
    <t>傾斜度5%以下</t>
    <phoneticPr fontId="3"/>
  </si>
  <si>
    <t>動力噴霧器，点滴かん水装置</t>
    <phoneticPr fontId="3"/>
  </si>
  <si>
    <t>開心自然形2本仕立て</t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</si>
  <si>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</si>
  <si>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加工用米（恋の予感）</t>
    <phoneticPr fontId="3"/>
  </si>
  <si>
    <t>蓬莱柿</t>
    <phoneticPr fontId="3"/>
  </si>
  <si>
    <t>点滴かん水装置によるかん水
摘芯による早期出荷・大玉生産</t>
    <rPh sb="14" eb="15">
      <t>テキ</t>
    </rPh>
    <rPh sb="15" eb="16">
      <t>シン</t>
    </rPh>
    <rPh sb="19" eb="21">
      <t>ソウキ</t>
    </rPh>
    <rPh sb="21" eb="23">
      <t>シュッカ</t>
    </rPh>
    <rPh sb="24" eb="26">
      <t>オオダマ</t>
    </rPh>
    <rPh sb="26" eb="28">
      <t>セイサン</t>
    </rPh>
    <phoneticPr fontId="3"/>
  </si>
  <si>
    <t>個選共販</t>
    <rPh sb="0" eb="1">
      <t>コ</t>
    </rPh>
    <rPh sb="1" eb="2">
      <t>セン</t>
    </rPh>
    <rPh sb="2" eb="4">
      <t>キョウハン</t>
    </rPh>
    <phoneticPr fontId="3"/>
  </si>
  <si>
    <t>右表（イ）　</t>
    <phoneticPr fontId="4"/>
  </si>
  <si>
    <t>右表（ウ）　</t>
    <phoneticPr fontId="4"/>
  </si>
  <si>
    <t>右表（エ）　</t>
    <phoneticPr fontId="4"/>
  </si>
  <si>
    <t>水稲：普通
イチジク：露地</t>
    <rPh sb="0" eb="2">
      <t>スイトウ</t>
    </rPh>
    <rPh sb="3" eb="5">
      <t>フツウ</t>
    </rPh>
    <rPh sb="11" eb="13">
      <t>ロジ</t>
    </rPh>
    <phoneticPr fontId="3"/>
  </si>
  <si>
    <t>品種の組み合わせで機械の効率利用を図る</t>
    <rPh sb="0" eb="2">
      <t>ヒンシュ</t>
    </rPh>
    <rPh sb="3" eb="4">
      <t>ク</t>
    </rPh>
    <rPh sb="5" eb="6">
      <t>ア</t>
    </rPh>
    <rPh sb="9" eb="11">
      <t>キカイ</t>
    </rPh>
    <rPh sb="12" eb="14">
      <t>コウリツ</t>
    </rPh>
    <rPh sb="14" eb="16">
      <t>リヨウ</t>
    </rPh>
    <rPh sb="17" eb="18">
      <t>ハカ</t>
    </rPh>
    <phoneticPr fontId="3"/>
  </si>
  <si>
    <t>３－３　標準技術（水稲）</t>
    <rPh sb="4" eb="6">
      <t>ヒョウジュン</t>
    </rPh>
    <rPh sb="6" eb="8">
      <t>ギジュツ</t>
    </rPh>
    <rPh sb="9" eb="11">
      <t>スイトウ</t>
    </rPh>
    <phoneticPr fontId="4"/>
  </si>
  <si>
    <t>Ａ</t>
  </si>
  <si>
    <t>Ａ</t>
    <phoneticPr fontId="4"/>
  </si>
  <si>
    <t>Ｂ</t>
  </si>
  <si>
    <t>Ｂ</t>
    <phoneticPr fontId="4"/>
  </si>
  <si>
    <t>Ａ</t>
    <phoneticPr fontId="4"/>
  </si>
  <si>
    <t>Ｃ</t>
  </si>
  <si>
    <t>Ｃ</t>
    <phoneticPr fontId="4"/>
  </si>
  <si>
    <t>Ｄ</t>
  </si>
  <si>
    <t>Ｄ</t>
    <phoneticPr fontId="4"/>
  </si>
  <si>
    <t>Ｅ</t>
  </si>
  <si>
    <t>Ｅ</t>
    <phoneticPr fontId="4"/>
  </si>
  <si>
    <t>Ｆ</t>
    <phoneticPr fontId="4"/>
  </si>
  <si>
    <t>Ｇ</t>
    <phoneticPr fontId="4"/>
  </si>
  <si>
    <t>Ｈ</t>
    <phoneticPr fontId="4"/>
  </si>
  <si>
    <t>９　単価の算出基礎（イチジク，1kg当たり）</t>
    <rPh sb="2" eb="4">
      <t>タンカ</t>
    </rPh>
    <phoneticPr fontId="4"/>
  </si>
  <si>
    <t>緩効性肥料</t>
    <rPh sb="0" eb="3">
      <t>カンコウセイ</t>
    </rPh>
    <rPh sb="3" eb="5">
      <t>ヒリョウ</t>
    </rPh>
    <phoneticPr fontId="4"/>
  </si>
  <si>
    <t>種子消毒殺菌剤</t>
    <rPh sb="0" eb="2">
      <t>シュシ</t>
    </rPh>
    <rPh sb="2" eb="4">
      <t>ショウドク</t>
    </rPh>
    <rPh sb="4" eb="7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</si>
  <si>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</si>
  <si>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種子消毒殺虫剤</t>
    <rPh sb="0" eb="2">
      <t>シュシ</t>
    </rPh>
    <rPh sb="2" eb="4">
      <t>ショウドク</t>
    </rPh>
    <rPh sb="4" eb="7">
      <t>サッチュウザイ</t>
    </rPh>
    <phoneticPr fontId="4"/>
  </si>
  <si>
    <t>一発剤</t>
    <rPh sb="0" eb="2">
      <t>イッパツ</t>
    </rPh>
    <rPh sb="2" eb="3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</si>
  <si>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</si>
  <si>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4">
      <t>サッキン</t>
    </rPh>
    <rPh sb="4" eb="5">
      <t>ザイ</t>
    </rPh>
    <phoneticPr fontId="4"/>
  </si>
  <si>
    <t>緩効性肥料</t>
    <rPh sb="0" eb="3">
      <t>カンコウセイ</t>
    </rPh>
    <rPh sb="3" eb="5">
      <t>ヒリョウ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</si>
</sst>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&quot;大豆&quot;#,##0.0&quot;ha&quot;"/>
    <numFmt numFmtId="189" formatCode="&quot;麦&quot;#,##0.0&quot;ha&quot;"/>
    <numFmt numFmtId="190" formatCode="0&quot;円/時&quot;"/>
    <numFmt numFmtId="191" formatCode="0&quot;円/袋&quot;"/>
    <numFmt numFmtId="192" formatCode="0&quot;円/10a&quot;"/>
    <numFmt numFmtId="193" formatCode="0.0_);\(0.0\)"/>
    <numFmt numFmtId="194" formatCode="0_ "/>
    <numFmt numFmtId="195" formatCode="0&quot;円/時間&quot;"/>
    <numFmt numFmtId="196" formatCode="0.0&quot;ha&quot;"/>
    <numFmt numFmtId="197" formatCode="0.0&quot;a&quot;"/>
    <numFmt numFmtId="198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</fills>
  <borders count="28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32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0" xfId="0" applyNumberFormat="1" applyBorder="1" applyAlignment="1">
      <alignment horizontal="center" vertical="center" shrinkToFit="1"/>
    </xf>
    <xf numFmtId="176" fontId="1" fillId="0" borderId="70" xfId="0" applyNumberFormat="1" applyFont="1" applyBorder="1" applyAlignment="1">
      <alignment horizontal="center" vertical="center" shrinkToFit="1"/>
    </xf>
    <xf numFmtId="179" fontId="1" fillId="0" borderId="70" xfId="0" applyNumberFormat="1" applyFont="1" applyBorder="1" applyAlignment="1">
      <alignment horizontal="center" vertical="center" shrinkToFit="1"/>
    </xf>
    <xf numFmtId="176" fontId="5" fillId="0" borderId="87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9" fillId="0" borderId="1" xfId="0" applyNumberFormat="1" applyFont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179" fontId="9" fillId="2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76" fontId="9" fillId="0" borderId="82" xfId="0" applyNumberFormat="1" applyFont="1" applyBorder="1" applyAlignment="1">
      <alignment horizontal="center" vertical="center" shrinkToFit="1"/>
    </xf>
    <xf numFmtId="176" fontId="9" fillId="0" borderId="83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9" fontId="9" fillId="0" borderId="1" xfId="4" applyFont="1" applyBorder="1" applyAlignment="1">
      <alignment vertical="center" shrinkToFit="1"/>
    </xf>
    <xf numFmtId="182" fontId="9" fillId="0" borderId="1" xfId="4" applyNumberFormat="1" applyFont="1" applyBorder="1" applyAlignment="1">
      <alignment vertical="center" shrinkToFit="1"/>
    </xf>
    <xf numFmtId="176" fontId="9" fillId="0" borderId="87" xfId="0" applyNumberFormat="1" applyFont="1" applyBorder="1" applyAlignment="1">
      <alignment vertical="center" shrinkToFit="1"/>
    </xf>
    <xf numFmtId="9" fontId="9" fillId="0" borderId="87" xfId="0" applyNumberFormat="1" applyFont="1" applyBorder="1" applyAlignment="1">
      <alignment vertical="center" shrinkToFit="1"/>
    </xf>
    <xf numFmtId="182" fontId="9" fillId="0" borderId="87" xfId="4" applyNumberFormat="1" applyFont="1" applyBorder="1" applyAlignment="1">
      <alignment vertical="center" shrinkToFit="1"/>
    </xf>
    <xf numFmtId="176" fontId="0" fillId="0" borderId="87" xfId="0" applyNumberFormat="1" applyBorder="1" applyAlignment="1">
      <alignment vertical="center" shrinkToFit="1"/>
    </xf>
    <xf numFmtId="176" fontId="9" fillId="0" borderId="87" xfId="0" applyNumberFormat="1" applyFont="1" applyBorder="1" applyAlignment="1">
      <alignment horizontal="right" vertical="center" shrinkToFit="1"/>
    </xf>
    <xf numFmtId="176" fontId="9" fillId="0" borderId="87" xfId="0" applyNumberFormat="1" applyFont="1" applyBorder="1" applyAlignment="1">
      <alignment horizontal="left" vertical="center" shrinkToFit="1"/>
    </xf>
    <xf numFmtId="176" fontId="9" fillId="2" borderId="87" xfId="0" applyNumberFormat="1" applyFont="1" applyFill="1" applyBorder="1" applyAlignment="1">
      <alignment vertical="center" shrinkToFit="1"/>
    </xf>
    <xf numFmtId="176" fontId="9" fillId="2" borderId="87" xfId="0" applyNumberFormat="1" applyFont="1" applyFill="1" applyBorder="1" applyAlignment="1">
      <alignment horizontal="left" vertical="center" shrinkToFit="1"/>
    </xf>
    <xf numFmtId="179" fontId="9" fillId="2" borderId="87" xfId="0" applyNumberFormat="1" applyFont="1" applyFill="1" applyBorder="1" applyAlignment="1">
      <alignment vertical="center" shrinkToFit="1"/>
    </xf>
    <xf numFmtId="9" fontId="9" fillId="0" borderId="87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38" fontId="0" fillId="0" borderId="57" xfId="1" applyFont="1" applyBorder="1" applyAlignment="1">
      <alignment vertical="center" shrinkToFit="1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8" xfId="1" applyFont="1" applyBorder="1" applyAlignment="1">
      <alignment vertical="center" shrinkToFit="1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7" xfId="0" applyNumberFormat="1" applyFont="1" applyFill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7" xfId="0" applyFont="1" applyBorder="1" applyAlignment="1">
      <alignment vertical="center"/>
    </xf>
    <xf numFmtId="181" fontId="0" fillId="4" borderId="59" xfId="0" applyNumberFormat="1" applyFont="1" applyFill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40" xfId="1" applyNumberFormat="1" applyFont="1" applyFill="1" applyBorder="1" applyAlignment="1">
      <alignment horizontal="right" vertical="center"/>
    </xf>
    <xf numFmtId="38" fontId="0" fillId="0" borderId="61" xfId="1" applyFont="1" applyBorder="1" applyAlignment="1">
      <alignment vertical="center" shrinkToFit="1"/>
    </xf>
    <xf numFmtId="0" fontId="0" fillId="0" borderId="117" xfId="0" applyFont="1" applyBorder="1" applyAlignment="1">
      <alignment vertical="center"/>
    </xf>
    <xf numFmtId="0" fontId="0" fillId="0" borderId="120" xfId="0" applyFont="1" applyBorder="1" applyAlignment="1">
      <alignment vertical="center"/>
    </xf>
    <xf numFmtId="181" fontId="0" fillId="0" borderId="75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81" fontId="0" fillId="0" borderId="38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4" borderId="45" xfId="1" applyNumberFormat="1" applyFont="1" applyFill="1" applyBorder="1" applyAlignment="1">
      <alignment horizontal="right" vertical="center"/>
    </xf>
    <xf numFmtId="181" fontId="0" fillId="3" borderId="46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0" xfId="0" applyNumberFormat="1" applyFont="1" applyBorder="1" applyAlignment="1">
      <alignment horizontal="center" vertical="center" shrinkToFit="1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66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7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2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7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1" xfId="0" applyNumberFormat="1" applyFont="1" applyFill="1" applyBorder="1" applyAlignment="1">
      <alignment vertical="center" shrinkToFit="1"/>
    </xf>
    <xf numFmtId="178" fontId="0" fillId="2" borderId="111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6" xfId="3" applyNumberFormat="1" applyFont="1" applyBorder="1" applyAlignment="1">
      <alignment vertical="center"/>
    </xf>
    <xf numFmtId="181" fontId="0" fillId="0" borderId="43" xfId="1" applyNumberFormat="1" applyFont="1" applyBorder="1" applyAlignment="1">
      <alignment vertical="center"/>
    </xf>
    <xf numFmtId="177" fontId="0" fillId="0" borderId="44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3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1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1" xfId="0" applyNumberFormat="1" applyFont="1" applyFill="1" applyBorder="1" applyAlignment="1">
      <alignment vertical="center" shrinkToFit="1"/>
    </xf>
    <xf numFmtId="183" fontId="0" fillId="6" borderId="50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4" xfId="0" applyNumberFormat="1" applyFont="1" applyBorder="1" applyAlignment="1">
      <alignment vertical="center" shrinkToFit="1"/>
    </xf>
    <xf numFmtId="177" fontId="0" fillId="2" borderId="133" xfId="0" applyNumberFormat="1" applyFont="1" applyFill="1" applyBorder="1" applyAlignment="1">
      <alignment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81" fontId="0" fillId="0" borderId="32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6" borderId="45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140" xfId="1" applyNumberFormat="1" applyFont="1" applyFill="1" applyBorder="1" applyAlignment="1">
      <alignment vertical="center"/>
    </xf>
    <xf numFmtId="177" fontId="0" fillId="0" borderId="141" xfId="0" applyNumberFormat="1" applyFill="1" applyBorder="1" applyAlignment="1">
      <alignment vertical="center"/>
    </xf>
    <xf numFmtId="177" fontId="0" fillId="0" borderId="142" xfId="3" applyNumberFormat="1" applyFont="1" applyBorder="1" applyAlignment="1">
      <alignment vertical="center"/>
    </xf>
    <xf numFmtId="177" fontId="0" fillId="6" borderId="143" xfId="0" applyNumberFormat="1" applyFont="1" applyFill="1" applyBorder="1" applyAlignment="1">
      <alignment vertical="center" shrinkToFit="1"/>
    </xf>
    <xf numFmtId="177" fontId="0" fillId="0" borderId="143" xfId="3" applyNumberFormat="1" applyFont="1" applyBorder="1" applyAlignment="1">
      <alignment vertical="center"/>
    </xf>
    <xf numFmtId="177" fontId="0" fillId="0" borderId="107" xfId="3" applyNumberFormat="1" applyFont="1" applyBorder="1" applyAlignment="1">
      <alignment horizontal="right" vertical="center"/>
    </xf>
    <xf numFmtId="177" fontId="0" fillId="0" borderId="107" xfId="3" applyNumberFormat="1" applyFont="1" applyBorder="1" applyAlignment="1">
      <alignment horizontal="left" vertical="center" shrinkToFit="1"/>
    </xf>
    <xf numFmtId="177" fontId="0" fillId="0" borderId="144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7" fontId="0" fillId="0" borderId="14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5" xfId="0" applyNumberFormat="1" applyFont="1" applyBorder="1" applyAlignment="1">
      <alignment horizontal="left" vertical="center"/>
    </xf>
    <xf numFmtId="177" fontId="0" fillId="0" borderId="145" xfId="3" applyNumberFormat="1" applyFont="1" applyBorder="1" applyAlignment="1">
      <alignment vertical="center" shrinkToFit="1"/>
    </xf>
    <xf numFmtId="177" fontId="0" fillId="0" borderId="148" xfId="3" applyNumberFormat="1" applyFont="1" applyBorder="1" applyAlignment="1">
      <alignment vertical="center"/>
    </xf>
    <xf numFmtId="177" fontId="0" fillId="0" borderId="149" xfId="3" applyNumberFormat="1" applyFont="1" applyBorder="1" applyAlignment="1">
      <alignment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41" xfId="0" applyNumberFormat="1" applyFont="1" applyFill="1" applyBorder="1" applyAlignment="1">
      <alignment horizontal="center" vertical="center"/>
    </xf>
    <xf numFmtId="177" fontId="0" fillId="0" borderId="141" xfId="0" applyNumberFormat="1" applyFont="1" applyFill="1" applyBorder="1" applyAlignment="1">
      <alignment vertical="center"/>
    </xf>
    <xf numFmtId="177" fontId="0" fillId="0" borderId="145" xfId="0" applyNumberFormat="1" applyFill="1" applyBorder="1" applyAlignment="1">
      <alignment vertical="center"/>
    </xf>
    <xf numFmtId="178" fontId="0" fillId="0" borderId="141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7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7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41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45" xfId="3" applyNumberFormat="1" applyFont="1" applyFill="1" applyBorder="1" applyAlignment="1">
      <alignment vertical="center" shrinkToFit="1"/>
    </xf>
    <xf numFmtId="178" fontId="0" fillId="0" borderId="146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75" xfId="3" applyNumberFormat="1" applyFont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horizontal="center"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156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0" fontId="8" fillId="0" borderId="73" xfId="0" applyFont="1" applyBorder="1" applyAlignment="1">
      <alignment horizontal="center" vertical="center" shrinkToFit="1"/>
    </xf>
    <xf numFmtId="176" fontId="0" fillId="2" borderId="154" xfId="0" applyNumberFormat="1" applyFont="1" applyFill="1" applyBorder="1" applyAlignment="1">
      <alignment vertical="center" shrinkToFit="1"/>
    </xf>
    <xf numFmtId="176" fontId="0" fillId="2" borderId="63" xfId="0" applyNumberFormat="1" applyFont="1" applyFill="1" applyBorder="1" applyAlignment="1">
      <alignment vertical="center" shrinkToFit="1"/>
    </xf>
    <xf numFmtId="176" fontId="0" fillId="2" borderId="115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8" xfId="3" applyNumberFormat="1" applyFont="1" applyFill="1" applyBorder="1" applyAlignment="1">
      <alignment horizontal="center" vertical="center" shrinkToFit="1"/>
    </xf>
    <xf numFmtId="177" fontId="0" fillId="2" borderId="48" xfId="3" applyNumberFormat="1" applyFont="1" applyFill="1" applyBorder="1" applyAlignment="1">
      <alignment vertical="center" shrinkToFit="1"/>
    </xf>
    <xf numFmtId="176" fontId="0" fillId="6" borderId="154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2" xfId="0" applyNumberFormat="1" applyFont="1" applyBorder="1" applyAlignment="1">
      <alignment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11" xfId="0" applyNumberFormat="1" applyFont="1" applyFill="1" applyBorder="1" applyAlignment="1">
      <alignment horizontal="center" vertical="center" shrinkToFit="1"/>
    </xf>
    <xf numFmtId="177" fontId="0" fillId="0" borderId="75" xfId="0" applyNumberFormat="1" applyFont="1" applyBorder="1" applyAlignment="1">
      <alignment horizontal="center" vertical="center" shrinkToFit="1"/>
    </xf>
    <xf numFmtId="177" fontId="0" fillId="0" borderId="108" xfId="0" applyNumberFormat="1" applyFont="1" applyBorder="1" applyAlignment="1">
      <alignment horizontal="center" vertical="center" shrinkToFit="1"/>
    </xf>
    <xf numFmtId="177" fontId="0" fillId="2" borderId="133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57" xfId="0" applyNumberFormat="1" applyFont="1" applyBorder="1" applyAlignment="1">
      <alignment vertical="center"/>
    </xf>
    <xf numFmtId="176" fontId="0" fillId="0" borderId="16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56" xfId="0" applyNumberFormat="1" applyBorder="1" applyAlignment="1">
      <alignment vertical="center" shrinkToFit="1"/>
    </xf>
    <xf numFmtId="9" fontId="0" fillId="0" borderId="156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65" xfId="0" applyNumberFormat="1" applyFont="1" applyFill="1" applyBorder="1" applyAlignment="1">
      <alignment vertical="center" shrinkToFit="1"/>
    </xf>
    <xf numFmtId="176" fontId="0" fillId="2" borderId="166" xfId="0" applyNumberFormat="1" applyFont="1" applyFill="1" applyBorder="1" applyAlignment="1">
      <alignment vertical="center" shrinkToFit="1"/>
    </xf>
    <xf numFmtId="177" fontId="0" fillId="2" borderId="162" xfId="3" applyNumberFormat="1" applyFont="1" applyFill="1" applyBorder="1" applyAlignment="1">
      <alignment horizontal="center" vertical="center" shrinkToFit="1"/>
    </xf>
    <xf numFmtId="177" fontId="0" fillId="2" borderId="162" xfId="3" applyNumberFormat="1" applyFont="1" applyFill="1" applyBorder="1" applyAlignment="1">
      <alignment vertical="center" shrinkToFit="1"/>
    </xf>
    <xf numFmtId="176" fontId="0" fillId="6" borderId="167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 shrinkToFit="1"/>
    </xf>
    <xf numFmtId="177" fontId="0" fillId="0" borderId="171" xfId="0" applyNumberFormat="1" applyFont="1" applyFill="1" applyBorder="1" applyAlignment="1">
      <alignment vertical="center" shrinkToFit="1"/>
    </xf>
    <xf numFmtId="177" fontId="0" fillId="0" borderId="163" xfId="0" applyNumberFormat="1" applyFill="1" applyBorder="1" applyAlignment="1">
      <alignment vertical="center"/>
    </xf>
    <xf numFmtId="181" fontId="0" fillId="0" borderId="131" xfId="0" applyNumberFormat="1" applyFont="1" applyBorder="1" applyAlignment="1">
      <alignment horizontal="right" vertical="center"/>
    </xf>
    <xf numFmtId="181" fontId="0" fillId="3" borderId="93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63" xfId="0" applyNumberFormat="1" applyFont="1" applyBorder="1" applyAlignment="1">
      <alignment vertical="center" shrinkToFit="1"/>
    </xf>
    <xf numFmtId="176" fontId="0" fillId="0" borderId="141" xfId="0" applyNumberFormat="1" applyFont="1" applyBorder="1" applyAlignment="1">
      <alignment vertical="center" shrinkToFit="1"/>
    </xf>
    <xf numFmtId="176" fontId="0" fillId="0" borderId="176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7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1" fillId="0" borderId="17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0" borderId="69" xfId="0" applyNumberFormat="1" applyFont="1" applyFill="1" applyBorder="1" applyAlignment="1">
      <alignment vertical="center" shrinkToFit="1"/>
    </xf>
    <xf numFmtId="176" fontId="0" fillId="0" borderId="177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0" fontId="8" fillId="0" borderId="170" xfId="2" applyFont="1" applyBorder="1" applyAlignment="1">
      <alignment vertical="center" wrapText="1"/>
    </xf>
    <xf numFmtId="0" fontId="8" fillId="0" borderId="47" xfId="2" applyFont="1" applyBorder="1" applyAlignment="1">
      <alignment vertical="center" wrapText="1"/>
    </xf>
    <xf numFmtId="0" fontId="8" fillId="0" borderId="163" xfId="2" applyFont="1" applyBorder="1" applyAlignment="1">
      <alignment horizontal="left" vertical="center"/>
    </xf>
    <xf numFmtId="0" fontId="8" fillId="0" borderId="163" xfId="2" applyFont="1" applyBorder="1" applyAlignment="1">
      <alignment vertical="center"/>
    </xf>
    <xf numFmtId="0" fontId="0" fillId="0" borderId="130" xfId="0" applyFont="1" applyBorder="1" applyAlignment="1">
      <alignment horizontal="center" vertical="center"/>
    </xf>
    <xf numFmtId="181" fontId="0" fillId="0" borderId="179" xfId="0" applyNumberFormat="1" applyFont="1" applyBorder="1" applyAlignment="1">
      <alignment horizontal="right" vertical="center"/>
    </xf>
    <xf numFmtId="181" fontId="0" fillId="3" borderId="131" xfId="1" applyNumberFormat="1" applyFont="1" applyFill="1" applyBorder="1" applyAlignment="1">
      <alignment horizontal="right" vertical="center"/>
    </xf>
    <xf numFmtId="176" fontId="0" fillId="0" borderId="23" xfId="0" applyNumberFormat="1" applyFont="1" applyBorder="1" applyAlignment="1">
      <alignment vertical="center" shrinkToFit="1"/>
    </xf>
    <xf numFmtId="176" fontId="9" fillId="0" borderId="23" xfId="0" applyNumberFormat="1" applyFont="1" applyBorder="1" applyAlignment="1">
      <alignment vertical="center" shrinkToFit="1"/>
    </xf>
    <xf numFmtId="176" fontId="0" fillId="0" borderId="183" xfId="0" applyNumberFormat="1" applyFont="1" applyBorder="1" applyAlignment="1">
      <alignment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4" xfId="0" applyNumberFormat="1" applyFont="1" applyBorder="1" applyAlignment="1">
      <alignment horizontal="center" vertical="center" shrinkToFit="1"/>
    </xf>
    <xf numFmtId="179" fontId="0" fillId="0" borderId="180" xfId="0" applyNumberFormat="1" applyFont="1" applyBorder="1" applyAlignment="1">
      <alignment horizontal="center" vertical="center" shrinkToFit="1"/>
    </xf>
    <xf numFmtId="183" fontId="0" fillId="0" borderId="141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vertical="center" shrinkToFit="1"/>
    </xf>
    <xf numFmtId="176" fontId="0" fillId="6" borderId="192" xfId="0" applyNumberFormat="1" applyFont="1" applyFill="1" applyBorder="1" applyAlignment="1">
      <alignment vertical="center" shrinkToFit="1"/>
    </xf>
    <xf numFmtId="176" fontId="0" fillId="6" borderId="194" xfId="0" applyNumberFormat="1" applyFont="1" applyFill="1" applyBorder="1" applyAlignment="1">
      <alignment vertical="center" shrinkToFit="1"/>
    </xf>
    <xf numFmtId="176" fontId="0" fillId="6" borderId="196" xfId="0" applyNumberFormat="1" applyFont="1" applyFill="1" applyBorder="1" applyAlignment="1">
      <alignment horizontal="center" vertical="center" shrinkToFit="1"/>
    </xf>
    <xf numFmtId="183" fontId="0" fillId="6" borderId="196" xfId="0" applyNumberFormat="1" applyFont="1" applyFill="1" applyBorder="1" applyAlignment="1">
      <alignment vertical="center" shrinkToFit="1"/>
    </xf>
    <xf numFmtId="183" fontId="0" fillId="6" borderId="197" xfId="0" applyNumberFormat="1" applyFont="1" applyFill="1" applyBorder="1" applyAlignment="1">
      <alignment vertical="center" shrinkToFit="1"/>
    </xf>
    <xf numFmtId="183" fontId="0" fillId="6" borderId="198" xfId="0" applyNumberFormat="1" applyFont="1" applyFill="1" applyBorder="1" applyAlignment="1">
      <alignment vertical="center" shrinkToFit="1"/>
    </xf>
    <xf numFmtId="176" fontId="0" fillId="6" borderId="199" xfId="0" applyNumberFormat="1" applyFont="1" applyFill="1" applyBorder="1" applyAlignment="1">
      <alignment vertical="center" shrinkToFit="1"/>
    </xf>
    <xf numFmtId="176" fontId="0" fillId="0" borderId="135" xfId="0" applyNumberFormat="1" applyFont="1" applyBorder="1" applyAlignment="1">
      <alignment vertical="center" shrinkToFit="1"/>
    </xf>
    <xf numFmtId="183" fontId="0" fillId="0" borderId="135" xfId="0" applyNumberFormat="1" applyFont="1" applyBorder="1" applyAlignment="1">
      <alignment vertical="center" shrinkToFit="1"/>
    </xf>
    <xf numFmtId="176" fontId="0" fillId="0" borderId="202" xfId="0" applyNumberFormat="1" applyFont="1" applyBorder="1" applyAlignment="1">
      <alignment vertical="center" shrinkToFit="1"/>
    </xf>
    <xf numFmtId="177" fontId="0" fillId="0" borderId="182" xfId="0" applyNumberFormat="1" applyFont="1" applyBorder="1" applyAlignment="1">
      <alignment vertical="center" shrinkToFit="1"/>
    </xf>
    <xf numFmtId="177" fontId="0" fillId="0" borderId="182" xfId="0" applyNumberFormat="1" applyFont="1" applyBorder="1" applyAlignment="1">
      <alignment horizontal="center" vertical="center" shrinkToFit="1"/>
    </xf>
    <xf numFmtId="177" fontId="0" fillId="0" borderId="163" xfId="0" applyNumberFormat="1" applyFont="1" applyBorder="1" applyAlignment="1">
      <alignment horizontal="center" vertical="center" shrinkToFit="1"/>
    </xf>
    <xf numFmtId="176" fontId="0" fillId="0" borderId="204" xfId="0" applyNumberFormat="1" applyFont="1" applyBorder="1" applyAlignment="1">
      <alignment vertical="center" shrinkToFit="1"/>
    </xf>
    <xf numFmtId="183" fontId="0" fillId="0" borderId="204" xfId="0" applyNumberFormat="1" applyFont="1" applyBorder="1" applyAlignment="1">
      <alignment vertical="center" shrinkToFit="1"/>
    </xf>
    <xf numFmtId="176" fontId="0" fillId="0" borderId="203" xfId="0" applyNumberFormat="1" applyFont="1" applyBorder="1" applyAlignment="1">
      <alignment vertical="center" shrinkToFit="1"/>
    </xf>
    <xf numFmtId="176" fontId="0" fillId="0" borderId="206" xfId="0" applyNumberFormat="1" applyFont="1" applyBorder="1" applyAlignment="1">
      <alignment vertical="center" shrinkToFit="1"/>
    </xf>
    <xf numFmtId="183" fontId="0" fillId="0" borderId="206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6" fontId="0" fillId="0" borderId="53" xfId="0" applyNumberFormat="1" applyFon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176" fontId="4" fillId="0" borderId="207" xfId="0" applyNumberFormat="1" applyFont="1" applyBorder="1" applyAlignment="1">
      <alignment horizontal="left" vertical="center" wrapText="1"/>
    </xf>
    <xf numFmtId="176" fontId="0" fillId="0" borderId="208" xfId="0" applyNumberFormat="1" applyFont="1" applyBorder="1" applyAlignment="1">
      <alignment horizontal="center" vertical="center" shrinkToFit="1"/>
    </xf>
    <xf numFmtId="176" fontId="0" fillId="0" borderId="209" xfId="0" applyNumberFormat="1" applyFont="1" applyBorder="1" applyAlignment="1">
      <alignment horizontal="center" vertical="center" shrinkToFit="1"/>
    </xf>
    <xf numFmtId="176" fontId="0" fillId="0" borderId="210" xfId="0" applyNumberFormat="1" applyFont="1" applyBorder="1" applyAlignment="1">
      <alignment horizontal="center" vertical="center" shrinkToFit="1"/>
    </xf>
    <xf numFmtId="176" fontId="0" fillId="0" borderId="211" xfId="0" applyNumberFormat="1" applyFont="1" applyBorder="1" applyAlignment="1">
      <alignment vertical="center" shrinkToFit="1"/>
    </xf>
    <xf numFmtId="176" fontId="0" fillId="0" borderId="212" xfId="0" applyNumberFormat="1" applyFont="1" applyBorder="1" applyAlignment="1">
      <alignment vertical="center" shrinkToFit="1"/>
    </xf>
    <xf numFmtId="176" fontId="0" fillId="0" borderId="42" xfId="0" applyNumberFormat="1" applyFont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vertical="center" shrinkToFit="1"/>
    </xf>
    <xf numFmtId="176" fontId="0" fillId="0" borderId="213" xfId="0" applyNumberFormat="1" applyFont="1" applyBorder="1" applyAlignment="1">
      <alignment vertical="center" shrinkToFit="1"/>
    </xf>
    <xf numFmtId="187" fontId="0" fillId="0" borderId="1" xfId="0" applyNumberFormat="1" applyFont="1" applyBorder="1" applyAlignment="1">
      <alignment vertical="center" shrinkToFit="1"/>
    </xf>
    <xf numFmtId="183" fontId="0" fillId="0" borderId="141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184" fontId="0" fillId="0" borderId="76" xfId="0" applyNumberFormat="1" applyFont="1" applyBorder="1" applyAlignment="1">
      <alignment horizontal="center" vertical="center"/>
    </xf>
    <xf numFmtId="190" fontId="0" fillId="0" borderId="146" xfId="0" applyNumberFormat="1" applyFont="1" applyBorder="1" applyAlignment="1">
      <alignment vertical="center"/>
    </xf>
    <xf numFmtId="191" fontId="0" fillId="0" borderId="146" xfId="0" applyNumberFormat="1" applyFont="1" applyFill="1" applyBorder="1" applyAlignment="1">
      <alignment vertical="center"/>
    </xf>
    <xf numFmtId="191" fontId="0" fillId="0" borderId="15" xfId="0" applyNumberFormat="1" applyFont="1" applyFill="1" applyBorder="1" applyAlignment="1">
      <alignment vertical="center"/>
    </xf>
    <xf numFmtId="177" fontId="0" fillId="0" borderId="142" xfId="3" applyNumberFormat="1" applyFont="1" applyBorder="1" applyAlignment="1">
      <alignment vertical="center" shrinkToFit="1"/>
    </xf>
    <xf numFmtId="192" fontId="0" fillId="0" borderId="147" xfId="3" applyNumberFormat="1" applyFont="1" applyBorder="1" applyAlignment="1">
      <alignment vertical="center"/>
    </xf>
    <xf numFmtId="177" fontId="0" fillId="0" borderId="224" xfId="0" applyNumberFormat="1" applyFont="1" applyFill="1" applyBorder="1" applyAlignment="1">
      <alignment vertical="center" shrinkToFit="1"/>
    </xf>
    <xf numFmtId="177" fontId="0" fillId="0" borderId="225" xfId="0" applyNumberFormat="1" applyFont="1" applyFill="1" applyBorder="1" applyAlignment="1">
      <alignment vertical="center" shrinkToFit="1"/>
    </xf>
    <xf numFmtId="177" fontId="0" fillId="0" borderId="226" xfId="0" applyNumberFormat="1" applyFill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7" xfId="2" applyNumberFormat="1" applyFont="1" applyFill="1" applyBorder="1" applyAlignment="1">
      <alignment vertical="center" wrapText="1"/>
    </xf>
    <xf numFmtId="176" fontId="1" fillId="0" borderId="70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70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0" fontId="8" fillId="0" borderId="182" xfId="2" applyFont="1" applyBorder="1" applyAlignment="1">
      <alignment vertical="center" wrapText="1"/>
    </xf>
    <xf numFmtId="0" fontId="1" fillId="0" borderId="182" xfId="2" applyFont="1" applyBorder="1" applyAlignment="1">
      <alignment horizontal="left" vertical="center" wrapText="1"/>
    </xf>
    <xf numFmtId="176" fontId="0" fillId="0" borderId="87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0" fontId="1" fillId="0" borderId="219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18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09" xfId="2" applyFont="1" applyBorder="1" applyAlignment="1">
      <alignment horizontal="center" vertical="center" wrapText="1"/>
    </xf>
    <xf numFmtId="0" fontId="8" fillId="0" borderId="182" xfId="2" applyFont="1" applyBorder="1" applyAlignment="1">
      <alignment horizontal="center" vertical="center" wrapText="1"/>
    </xf>
    <xf numFmtId="0" fontId="8" fillId="0" borderId="212" xfId="2" applyFont="1" applyBorder="1" applyAlignment="1">
      <alignment vertical="center" wrapText="1"/>
    </xf>
    <xf numFmtId="0" fontId="1" fillId="0" borderId="182" xfId="2" applyFont="1" applyBorder="1" applyAlignment="1">
      <alignment horizontal="center" vertical="center" shrinkToFit="1"/>
    </xf>
    <xf numFmtId="0" fontId="1" fillId="0" borderId="212" xfId="2" applyFont="1" applyBorder="1" applyAlignment="1">
      <alignment horizontal="center" vertical="center" shrinkToFit="1"/>
    </xf>
    <xf numFmtId="0" fontId="1" fillId="0" borderId="182" xfId="2" applyFont="1" applyBorder="1" applyAlignment="1">
      <alignment horizontal="center" vertical="center" wrapText="1"/>
    </xf>
    <xf numFmtId="0" fontId="8" fillId="0" borderId="212" xfId="2" applyFont="1" applyBorder="1" applyAlignment="1">
      <alignment horizontal="center" vertical="center" wrapText="1"/>
    </xf>
    <xf numFmtId="0" fontId="1" fillId="0" borderId="212" xfId="2" applyFont="1" applyBorder="1" applyAlignment="1">
      <alignment horizontal="center" vertical="center" wrapText="1"/>
    </xf>
    <xf numFmtId="0" fontId="8" fillId="0" borderId="197" xfId="2" applyFont="1" applyBorder="1" applyAlignment="1">
      <alignment horizontal="left" vertical="center" wrapText="1"/>
    </xf>
    <xf numFmtId="0" fontId="0" fillId="0" borderId="197" xfId="2" applyFont="1" applyBorder="1" applyAlignment="1">
      <alignment horizontal="left" vertical="center" wrapText="1"/>
    </xf>
    <xf numFmtId="0" fontId="1" fillId="0" borderId="197" xfId="2" applyFont="1" applyBorder="1" applyAlignment="1">
      <alignment horizontal="center" vertical="center" wrapText="1"/>
    </xf>
    <xf numFmtId="0" fontId="1" fillId="0" borderId="199" xfId="2" applyFont="1" applyBorder="1" applyAlignment="1">
      <alignment horizontal="center" vertical="center" wrapText="1"/>
    </xf>
    <xf numFmtId="0" fontId="1" fillId="0" borderId="212" xfId="2" applyFont="1" applyBorder="1" applyAlignment="1">
      <alignment horizontal="left" vertical="center" wrapText="1"/>
    </xf>
    <xf numFmtId="0" fontId="1" fillId="0" borderId="197" xfId="2" applyFont="1" applyBorder="1" applyAlignment="1">
      <alignment horizontal="left" vertical="center" wrapText="1"/>
    </xf>
    <xf numFmtId="0" fontId="1" fillId="0" borderId="199" xfId="2" applyFont="1" applyBorder="1" applyAlignment="1">
      <alignment horizontal="left" vertical="center" wrapText="1"/>
    </xf>
    <xf numFmtId="176" fontId="0" fillId="0" borderId="228" xfId="0" applyNumberFormat="1" applyFont="1" applyBorder="1" applyAlignment="1">
      <alignment vertical="center" shrinkToFit="1"/>
    </xf>
    <xf numFmtId="176" fontId="0" fillId="0" borderId="183" xfId="0" applyNumberFormat="1" applyFont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0" fontId="8" fillId="0" borderId="182" xfId="2" applyFont="1" applyFill="1" applyBorder="1" applyAlignment="1">
      <alignment horizontal="center" vertical="center" wrapText="1"/>
    </xf>
    <xf numFmtId="176" fontId="1" fillId="0" borderId="182" xfId="0" applyNumberFormat="1" applyFont="1" applyBorder="1" applyAlignment="1">
      <alignment vertical="center" shrinkToFit="1"/>
    </xf>
    <xf numFmtId="0" fontId="0" fillId="0" borderId="122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8" fillId="0" borderId="182" xfId="2" applyFont="1" applyFill="1" applyBorder="1" applyAlignment="1">
      <alignment vertical="center" wrapText="1"/>
    </xf>
    <xf numFmtId="0" fontId="0" fillId="0" borderId="182" xfId="2" applyFont="1" applyFill="1" applyBorder="1" applyAlignment="1">
      <alignment horizontal="center" vertical="center" shrinkToFit="1"/>
    </xf>
    <xf numFmtId="0" fontId="1" fillId="0" borderId="182" xfId="2" applyFont="1" applyFill="1" applyBorder="1" applyAlignment="1">
      <alignment horizontal="center" vertical="center" shrinkToFit="1"/>
    </xf>
    <xf numFmtId="0" fontId="0" fillId="0" borderId="182" xfId="2" applyFont="1" applyFill="1" applyBorder="1" applyAlignment="1">
      <alignment vertical="center" wrapText="1"/>
    </xf>
    <xf numFmtId="0" fontId="8" fillId="0" borderId="182" xfId="2" applyFont="1" applyFill="1" applyBorder="1" applyAlignment="1">
      <alignment horizontal="center" vertical="center"/>
    </xf>
    <xf numFmtId="0" fontId="1" fillId="0" borderId="182" xfId="2" applyFont="1" applyFill="1" applyBorder="1" applyAlignment="1">
      <alignment horizontal="center" vertical="center" wrapText="1"/>
    </xf>
    <xf numFmtId="193" fontId="1" fillId="0" borderId="182" xfId="2" applyNumberFormat="1" applyFont="1" applyFill="1" applyBorder="1" applyAlignment="1">
      <alignment horizontal="center" vertical="center" wrapText="1"/>
    </xf>
    <xf numFmtId="0" fontId="0" fillId="0" borderId="182" xfId="2" applyFont="1" applyFill="1" applyBorder="1" applyAlignment="1">
      <alignment horizontal="center" vertical="center" wrapText="1"/>
    </xf>
    <xf numFmtId="0" fontId="8" fillId="0" borderId="182" xfId="2" applyFont="1" applyFill="1" applyBorder="1" applyAlignment="1">
      <alignment horizontal="left" vertical="center" wrapText="1"/>
    </xf>
    <xf numFmtId="0" fontId="0" fillId="0" borderId="182" xfId="2" applyFont="1" applyFill="1" applyBorder="1" applyAlignment="1">
      <alignment horizontal="left" vertical="center" wrapText="1"/>
    </xf>
    <xf numFmtId="0" fontId="1" fillId="0" borderId="182" xfId="2" applyFont="1" applyFill="1" applyBorder="1" applyAlignment="1">
      <alignment horizontal="left" vertical="center" wrapText="1"/>
    </xf>
    <xf numFmtId="179" fontId="0" fillId="0" borderId="227" xfId="0" applyNumberFormat="1" applyFont="1" applyBorder="1" applyAlignment="1">
      <alignment vertical="center" shrinkToFit="1"/>
    </xf>
    <xf numFmtId="179" fontId="0" fillId="0" borderId="228" xfId="0" applyNumberFormat="1" applyFont="1" applyBorder="1" applyAlignment="1">
      <alignment vertical="center" shrinkToFit="1"/>
    </xf>
    <xf numFmtId="179" fontId="0" fillId="0" borderId="145" xfId="0" applyNumberFormat="1" applyFont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197" xfId="2" applyFont="1" applyFill="1" applyBorder="1" applyAlignment="1">
      <alignment horizontal="left" vertical="center" wrapText="1"/>
    </xf>
    <xf numFmtId="0" fontId="0" fillId="0" borderId="197" xfId="2" applyFont="1" applyFill="1" applyBorder="1" applyAlignment="1">
      <alignment horizontal="left" vertical="center" wrapText="1"/>
    </xf>
    <xf numFmtId="0" fontId="1" fillId="0" borderId="197" xfId="2" applyFont="1" applyFill="1" applyBorder="1" applyAlignment="1">
      <alignment horizontal="center" vertical="center" wrapText="1"/>
    </xf>
    <xf numFmtId="179" fontId="0" fillId="0" borderId="0" xfId="0" applyNumberFormat="1" applyFont="1" applyBorder="1" applyAlignment="1">
      <alignment vertical="center"/>
    </xf>
    <xf numFmtId="177" fontId="0" fillId="0" borderId="87" xfId="0" applyNumberFormat="1" applyFont="1" applyFill="1" applyBorder="1" applyAlignment="1">
      <alignment vertical="center" shrinkToFit="1"/>
    </xf>
    <xf numFmtId="0" fontId="8" fillId="0" borderId="236" xfId="2" applyFont="1" applyBorder="1" applyAlignment="1">
      <alignment horizontal="left" vertical="center" wrapText="1"/>
    </xf>
    <xf numFmtId="0" fontId="1" fillId="0" borderId="236" xfId="2" applyFont="1" applyBorder="1" applyAlignment="1">
      <alignment horizontal="left" vertical="center" wrapText="1"/>
    </xf>
    <xf numFmtId="0" fontId="0" fillId="0" borderId="236" xfId="2" applyFont="1" applyBorder="1" applyAlignment="1">
      <alignment horizontal="left" vertical="center" wrapText="1"/>
    </xf>
    <xf numFmtId="190" fontId="0" fillId="0" borderId="146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9" fillId="0" borderId="87" xfId="0" applyNumberFormat="1" applyFont="1" applyFill="1" applyBorder="1" applyAlignment="1">
      <alignment vertical="center" shrinkToFit="1"/>
    </xf>
    <xf numFmtId="176" fontId="0" fillId="0" borderId="227" xfId="0" applyNumberFormat="1" applyFont="1" applyFill="1" applyBorder="1">
      <alignment vertical="center"/>
    </xf>
    <xf numFmtId="176" fontId="1" fillId="0" borderId="227" xfId="0" applyNumberFormat="1" applyFont="1" applyFill="1" applyBorder="1">
      <alignment vertical="center"/>
    </xf>
    <xf numFmtId="176" fontId="0" fillId="0" borderId="224" xfId="0" applyNumberFormat="1" applyFont="1" applyFill="1" applyBorder="1" applyAlignment="1">
      <alignment vertical="center"/>
    </xf>
    <xf numFmtId="176" fontId="0" fillId="0" borderId="87" xfId="0" applyNumberFormat="1" applyFill="1" applyBorder="1" applyAlignment="1">
      <alignment vertical="center" shrinkToFit="1"/>
    </xf>
    <xf numFmtId="185" fontId="0" fillId="0" borderId="87" xfId="0" applyNumberFormat="1" applyFont="1" applyFill="1" applyBorder="1" applyAlignment="1">
      <alignment horizontal="right"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horizontal="center"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82" fontId="0" fillId="0" borderId="145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9" fontId="0" fillId="0" borderId="237" xfId="0" applyNumberFormat="1" applyFont="1" applyBorder="1" applyAlignment="1">
      <alignment vertical="center" shrinkToFit="1"/>
    </xf>
    <xf numFmtId="0" fontId="0" fillId="0" borderId="26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left" vertical="center" wrapText="1"/>
    </xf>
    <xf numFmtId="0" fontId="0" fillId="0" borderId="47" xfId="2" applyFont="1" applyBorder="1" applyAlignment="1">
      <alignment horizontal="center" vertical="center" wrapText="1"/>
    </xf>
    <xf numFmtId="0" fontId="0" fillId="0" borderId="130" xfId="0" applyFont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70" xfId="0" applyNumberFormat="1" applyFont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156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176" fontId="0" fillId="0" borderId="183" xfId="0" applyNumberFormat="1" applyFont="1" applyBorder="1" applyAlignment="1">
      <alignment vertical="center" shrinkToFit="1"/>
    </xf>
    <xf numFmtId="9" fontId="0" fillId="0" borderId="183" xfId="0" applyNumberFormat="1" applyFont="1" applyBorder="1" applyAlignment="1">
      <alignment vertical="center" shrinkToFit="1"/>
    </xf>
    <xf numFmtId="176" fontId="5" fillId="0" borderId="236" xfId="0" applyNumberFormat="1" applyFont="1" applyBorder="1" applyAlignment="1">
      <alignment horizontal="center" vertical="center" shrinkToFit="1"/>
    </xf>
    <xf numFmtId="176" fontId="5" fillId="0" borderId="227" xfId="0" applyNumberFormat="1" applyFont="1" applyBorder="1" applyAlignment="1">
      <alignment horizontal="center" vertical="center" shrinkToFit="1"/>
    </xf>
    <xf numFmtId="179" fontId="5" fillId="0" borderId="227" xfId="0" applyNumberFormat="1" applyFont="1" applyBorder="1" applyAlignment="1">
      <alignment horizontal="center" vertical="center" shrinkToFit="1"/>
    </xf>
    <xf numFmtId="176" fontId="5" fillId="0" borderId="228" xfId="0" applyNumberFormat="1" applyFont="1" applyBorder="1" applyAlignment="1">
      <alignment horizontal="center" vertical="center" wrapText="1" shrinkToFit="1"/>
    </xf>
    <xf numFmtId="176" fontId="1" fillId="0" borderId="236" xfId="0" applyNumberFormat="1" applyFont="1" applyBorder="1" applyAlignment="1">
      <alignment vertical="center" shrinkToFit="1"/>
    </xf>
    <xf numFmtId="9" fontId="1" fillId="0" borderId="236" xfId="0" applyNumberFormat="1" applyFont="1" applyBorder="1" applyAlignment="1">
      <alignment vertical="center" shrinkToFit="1"/>
    </xf>
    <xf numFmtId="182" fontId="1" fillId="0" borderId="236" xfId="4" applyNumberFormat="1" applyFont="1" applyBorder="1" applyAlignment="1">
      <alignment vertical="center" shrinkToFit="1"/>
    </xf>
    <xf numFmtId="176" fontId="1" fillId="0" borderId="227" xfId="0" applyNumberFormat="1" applyFont="1" applyBorder="1" applyAlignment="1">
      <alignment vertical="center" shrinkToFit="1"/>
    </xf>
    <xf numFmtId="9" fontId="1" fillId="0" borderId="227" xfId="0" applyNumberFormat="1" applyFont="1" applyBorder="1" applyAlignment="1">
      <alignment vertical="center" shrinkToFit="1"/>
    </xf>
    <xf numFmtId="176" fontId="1" fillId="0" borderId="228" xfId="0" applyNumberFormat="1" applyFont="1" applyBorder="1" applyAlignment="1">
      <alignment vertical="center" shrinkToFit="1"/>
    </xf>
    <xf numFmtId="176" fontId="0" fillId="0" borderId="227" xfId="0" applyNumberFormat="1" applyBorder="1" applyAlignment="1"/>
    <xf numFmtId="176" fontId="0" fillId="0" borderId="227" xfId="0" applyNumberFormat="1" applyBorder="1" applyAlignment="1">
      <alignment horizontal="right"/>
    </xf>
    <xf numFmtId="176" fontId="0" fillId="0" borderId="238" xfId="0" applyNumberFormat="1" applyBorder="1" applyAlignment="1">
      <alignment horizontal="left" vertical="center"/>
    </xf>
    <xf numFmtId="176" fontId="0" fillId="0" borderId="227" xfId="0" applyNumberFormat="1" applyBorder="1">
      <alignment vertical="center"/>
    </xf>
    <xf numFmtId="9" fontId="0" fillId="0" borderId="236" xfId="0" applyNumberFormat="1" applyFont="1" applyBorder="1" applyAlignment="1">
      <alignment vertical="center" shrinkToFit="1"/>
    </xf>
    <xf numFmtId="176" fontId="0" fillId="0" borderId="236" xfId="0" applyNumberFormat="1" applyFont="1" applyBorder="1" applyAlignment="1">
      <alignment vertical="center" shrinkToFit="1"/>
    </xf>
    <xf numFmtId="182" fontId="0" fillId="0" borderId="236" xfId="4" applyNumberFormat="1" applyFont="1" applyBorder="1" applyAlignment="1">
      <alignment vertical="center" shrinkToFit="1"/>
    </xf>
    <xf numFmtId="176" fontId="0" fillId="0" borderId="227" xfId="0" applyNumberFormat="1" applyBorder="1" applyAlignment="1">
      <alignment vertical="center"/>
    </xf>
    <xf numFmtId="176" fontId="0" fillId="0" borderId="239" xfId="0" applyNumberFormat="1" applyBorder="1" applyAlignment="1">
      <alignment horizontal="left" vertical="center"/>
    </xf>
    <xf numFmtId="176" fontId="0" fillId="0" borderId="227" xfId="0" applyNumberFormat="1" applyFill="1" applyBorder="1" applyAlignment="1">
      <alignment vertical="center"/>
    </xf>
    <xf numFmtId="182" fontId="1" fillId="0" borderId="227" xfId="4" applyNumberFormat="1" applyFont="1" applyBorder="1" applyAlignment="1">
      <alignment vertical="center" shrinkToFit="1"/>
    </xf>
    <xf numFmtId="176" fontId="1" fillId="2" borderId="227" xfId="0" applyNumberFormat="1" applyFont="1" applyFill="1" applyBorder="1" applyAlignment="1">
      <alignment horizontal="center" vertical="center" shrinkToFit="1"/>
    </xf>
    <xf numFmtId="176" fontId="1" fillId="2" borderId="227" xfId="0" applyNumberFormat="1" applyFont="1" applyFill="1" applyBorder="1" applyAlignment="1">
      <alignment vertical="center" shrinkToFit="1"/>
    </xf>
    <xf numFmtId="176" fontId="1" fillId="2" borderId="227" xfId="0" applyNumberFormat="1" applyFont="1" applyFill="1" applyBorder="1" applyAlignment="1">
      <alignment horizontal="left" vertical="center" shrinkToFit="1"/>
    </xf>
    <xf numFmtId="179" fontId="1" fillId="2" borderId="227" xfId="0" applyNumberFormat="1" applyFont="1" applyFill="1" applyBorder="1" applyAlignment="1">
      <alignment vertical="center" shrinkToFit="1"/>
    </xf>
    <xf numFmtId="176" fontId="1" fillId="2" borderId="228" xfId="0" applyNumberFormat="1" applyFont="1" applyFill="1" applyBorder="1" applyAlignment="1">
      <alignment vertical="center" shrinkToFit="1"/>
    </xf>
    <xf numFmtId="9" fontId="1" fillId="0" borderId="227" xfId="0" applyNumberFormat="1" applyFont="1" applyFill="1" applyBorder="1" applyAlignment="1">
      <alignment vertical="center" shrinkToFit="1"/>
    </xf>
    <xf numFmtId="176" fontId="0" fillId="0" borderId="240" xfId="0" applyNumberFormat="1" applyBorder="1" applyAlignment="1">
      <alignment vertical="center"/>
    </xf>
    <xf numFmtId="176" fontId="0" fillId="0" borderId="236" xfId="0" applyNumberFormat="1" applyFont="1" applyBorder="1" applyAlignment="1">
      <alignment horizontal="center" vertical="center" shrinkToFit="1"/>
    </xf>
    <xf numFmtId="176" fontId="0" fillId="0" borderId="240" xfId="0" quotePrefix="1" applyNumberFormat="1" applyBorder="1" applyAlignment="1">
      <alignment vertical="center"/>
    </xf>
    <xf numFmtId="176" fontId="0" fillId="0" borderId="236" xfId="0" applyNumberFormat="1" applyBorder="1" applyAlignment="1">
      <alignment vertical="center" shrinkToFit="1"/>
    </xf>
    <xf numFmtId="176" fontId="1" fillId="2" borderId="236" xfId="0" applyNumberFormat="1" applyFont="1" applyFill="1" applyBorder="1" applyAlignment="1">
      <alignment vertical="center" shrinkToFit="1"/>
    </xf>
    <xf numFmtId="176" fontId="1" fillId="2" borderId="236" xfId="0" applyNumberFormat="1" applyFont="1" applyFill="1" applyBorder="1" applyAlignment="1">
      <alignment horizontal="left" vertical="center" shrinkToFit="1"/>
    </xf>
    <xf numFmtId="179" fontId="1" fillId="2" borderId="236" xfId="0" applyNumberFormat="1" applyFont="1" applyFill="1" applyBorder="1" applyAlignment="1">
      <alignment vertical="center" shrinkToFit="1"/>
    </xf>
    <xf numFmtId="9" fontId="1" fillId="0" borderId="236" xfId="4" applyFont="1" applyBorder="1" applyAlignment="1">
      <alignment vertical="center" shrinkToFit="1"/>
    </xf>
    <xf numFmtId="9" fontId="1" fillId="0" borderId="227" xfId="4" applyFont="1" applyBorder="1" applyAlignment="1">
      <alignment vertical="center" shrinkToFit="1"/>
    </xf>
    <xf numFmtId="176" fontId="0" fillId="0" borderId="227" xfId="0" applyNumberFormat="1" applyBorder="1" applyAlignment="1">
      <alignment vertical="center" shrinkToFit="1"/>
    </xf>
    <xf numFmtId="176" fontId="1" fillId="2" borderId="10" xfId="0" applyNumberFormat="1" applyFont="1" applyFill="1" applyBorder="1" applyAlignment="1">
      <alignment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6" fontId="1" fillId="0" borderId="83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horizontal="left" vertical="center" shrinkToFit="1"/>
    </xf>
    <xf numFmtId="179" fontId="1" fillId="0" borderId="19" xfId="0" applyNumberFormat="1" applyFont="1" applyFill="1" applyBorder="1" applyAlignment="1">
      <alignment vertical="center" shrinkToFit="1"/>
    </xf>
    <xf numFmtId="176" fontId="1" fillId="0" borderId="69" xfId="0" applyNumberFormat="1" applyFont="1" applyFill="1" applyBorder="1" applyAlignment="1">
      <alignment vertical="center" shrinkToFit="1"/>
    </xf>
    <xf numFmtId="177" fontId="0" fillId="0" borderId="175" xfId="0" applyNumberFormat="1" applyFont="1" applyBorder="1" applyAlignment="1">
      <alignment horizontal="center" vertical="center" shrinkToFit="1"/>
    </xf>
    <xf numFmtId="177" fontId="0" fillId="0" borderId="175" xfId="0" applyNumberFormat="1" applyFont="1" applyBorder="1" applyAlignment="1">
      <alignment vertical="center"/>
    </xf>
    <xf numFmtId="177" fontId="0" fillId="0" borderId="227" xfId="0" applyNumberFormat="1" applyFont="1" applyFill="1" applyBorder="1" applyAlignment="1">
      <alignment vertical="center" shrinkToFit="1"/>
    </xf>
    <xf numFmtId="177" fontId="0" fillId="0" borderId="170" xfId="0" applyNumberFormat="1" applyFont="1" applyFill="1" applyBorder="1" applyAlignment="1">
      <alignment vertical="center"/>
    </xf>
    <xf numFmtId="177" fontId="0" fillId="0" borderId="227" xfId="0" applyNumberFormat="1" applyFill="1" applyBorder="1" applyAlignment="1">
      <alignment horizontal="center" vertical="center" shrinkToFit="1"/>
    </xf>
    <xf numFmtId="177" fontId="0" fillId="0" borderId="227" xfId="0" applyNumberFormat="1" applyFont="1" applyFill="1" applyBorder="1" applyAlignment="1">
      <alignment horizontal="center" vertical="center" shrinkToFit="1"/>
    </xf>
    <xf numFmtId="177" fontId="0" fillId="0" borderId="227" xfId="0" applyNumberFormat="1" applyFill="1" applyBorder="1" applyAlignment="1">
      <alignment vertical="center"/>
    </xf>
    <xf numFmtId="177" fontId="0" fillId="0" borderId="171" xfId="0" applyNumberFormat="1" applyFont="1" applyFill="1" applyBorder="1" applyAlignment="1">
      <alignment vertical="center"/>
    </xf>
    <xf numFmtId="177" fontId="0" fillId="0" borderId="236" xfId="0" applyNumberFormat="1" applyFont="1" applyFill="1" applyBorder="1" applyAlignment="1">
      <alignment vertical="center" shrinkToFit="1"/>
    </xf>
    <xf numFmtId="177" fontId="0" fillId="0" borderId="227" xfId="0" applyNumberFormat="1" applyFont="1" applyBorder="1" applyAlignment="1">
      <alignment vertical="center" shrinkToFit="1"/>
    </xf>
    <xf numFmtId="177" fontId="0" fillId="0" borderId="227" xfId="0" applyNumberFormat="1" applyFill="1" applyBorder="1" applyAlignment="1">
      <alignment vertical="center" shrinkToFit="1"/>
    </xf>
    <xf numFmtId="177" fontId="0" fillId="0" borderId="163" xfId="0" applyNumberFormat="1" applyFill="1" applyBorder="1" applyAlignment="1">
      <alignment vertical="center" shrinkToFit="1"/>
    </xf>
    <xf numFmtId="177" fontId="0" fillId="0" borderId="236" xfId="0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vertical="center" shrinkToFit="1"/>
    </xf>
    <xf numFmtId="178" fontId="0" fillId="0" borderId="227" xfId="0" applyNumberFormat="1" applyFont="1" applyFill="1" applyBorder="1" applyAlignment="1">
      <alignment vertical="center"/>
    </xf>
    <xf numFmtId="177" fontId="0" fillId="0" borderId="227" xfId="0" applyNumberFormat="1" applyFont="1" applyFill="1" applyBorder="1" applyAlignment="1">
      <alignment vertical="center"/>
    </xf>
    <xf numFmtId="177" fontId="0" fillId="0" borderId="170" xfId="3" applyNumberFormat="1" applyFont="1" applyBorder="1" applyAlignment="1">
      <alignment vertical="center" shrinkToFit="1"/>
    </xf>
    <xf numFmtId="177" fontId="0" fillId="0" borderId="227" xfId="0" applyNumberFormat="1" applyFont="1" applyFill="1" applyBorder="1" applyAlignment="1">
      <alignment horizontal="center" vertical="center"/>
    </xf>
    <xf numFmtId="177" fontId="0" fillId="0" borderId="227" xfId="3" applyNumberFormat="1" applyFont="1" applyFill="1" applyBorder="1" applyAlignment="1">
      <alignment vertical="center"/>
    </xf>
    <xf numFmtId="182" fontId="0" fillId="0" borderId="170" xfId="0" applyNumberFormat="1" applyFont="1" applyFill="1" applyBorder="1" applyAlignment="1">
      <alignment vertical="center"/>
    </xf>
    <xf numFmtId="177" fontId="0" fillId="0" borderId="170" xfId="0" applyNumberFormat="1" applyFont="1" applyBorder="1" applyAlignment="1">
      <alignment vertical="center"/>
    </xf>
    <xf numFmtId="177" fontId="0" fillId="0" borderId="171" xfId="0" applyNumberFormat="1" applyBorder="1" applyAlignment="1">
      <alignment vertical="center"/>
    </xf>
    <xf numFmtId="177" fontId="0" fillId="2" borderId="227" xfId="0" applyNumberFormat="1" applyFont="1" applyFill="1" applyBorder="1" applyAlignment="1">
      <alignment vertical="center" shrinkToFit="1"/>
    </xf>
    <xf numFmtId="177" fontId="0" fillId="0" borderId="227" xfId="0" applyNumberFormat="1" applyFont="1" applyBorder="1" applyAlignment="1">
      <alignment vertical="center"/>
    </xf>
    <xf numFmtId="177" fontId="0" fillId="0" borderId="171" xfId="0" applyNumberFormat="1" applyFont="1" applyBorder="1" applyAlignment="1">
      <alignment vertical="center"/>
    </xf>
    <xf numFmtId="177" fontId="0" fillId="0" borderId="227" xfId="3" applyNumberFormat="1" applyFont="1" applyBorder="1" applyAlignment="1">
      <alignment vertical="center" shrinkToFit="1"/>
    </xf>
    <xf numFmtId="0" fontId="0" fillId="0" borderId="170" xfId="3" applyFont="1" applyFill="1" applyBorder="1" applyAlignment="1">
      <alignment vertical="center" shrinkToFit="1"/>
    </xf>
    <xf numFmtId="0" fontId="0" fillId="0" borderId="171" xfId="3" applyFont="1" applyFill="1" applyBorder="1" applyAlignment="1">
      <alignment vertical="center" shrinkToFit="1"/>
    </xf>
    <xf numFmtId="178" fontId="0" fillId="0" borderId="171" xfId="0" applyNumberFormat="1" applyFont="1" applyFill="1" applyBorder="1" applyAlignment="1">
      <alignment horizontal="left" vertical="center"/>
    </xf>
    <xf numFmtId="0" fontId="0" fillId="0" borderId="170" xfId="3" applyFont="1" applyFill="1" applyBorder="1" applyAlignment="1">
      <alignment vertical="center"/>
    </xf>
    <xf numFmtId="0" fontId="0" fillId="0" borderId="171" xfId="3" applyFont="1" applyFill="1" applyBorder="1" applyAlignment="1">
      <alignment vertical="center"/>
    </xf>
    <xf numFmtId="177" fontId="0" fillId="0" borderId="170" xfId="3" applyNumberFormat="1" applyFont="1" applyFill="1" applyBorder="1" applyAlignment="1">
      <alignment vertical="center"/>
    </xf>
    <xf numFmtId="177" fontId="0" fillId="0" borderId="171" xfId="3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vertical="center"/>
    </xf>
    <xf numFmtId="9" fontId="0" fillId="0" borderId="170" xfId="0" applyNumberFormat="1" applyFont="1" applyFill="1" applyBorder="1" applyAlignment="1">
      <alignment vertical="center"/>
    </xf>
    <xf numFmtId="177" fontId="0" fillId="0" borderId="171" xfId="0" applyNumberFormat="1" applyFont="1" applyFill="1" applyBorder="1" applyAlignment="1">
      <alignment horizontal="left" vertical="center"/>
    </xf>
    <xf numFmtId="178" fontId="0" fillId="0" borderId="170" xfId="0" applyNumberFormat="1" applyFont="1" applyFill="1" applyBorder="1" applyAlignment="1">
      <alignment horizontal="left" vertical="center"/>
    </xf>
    <xf numFmtId="177" fontId="0" fillId="0" borderId="170" xfId="3" applyNumberFormat="1" applyFont="1" applyFill="1" applyBorder="1" applyAlignment="1">
      <alignment vertical="center" shrinkToFit="1"/>
    </xf>
    <xf numFmtId="177" fontId="0" fillId="0" borderId="227" xfId="3" applyNumberFormat="1" applyFont="1" applyFill="1" applyBorder="1" applyAlignment="1">
      <alignment vertical="center" shrinkToFit="1"/>
    </xf>
    <xf numFmtId="178" fontId="0" fillId="0" borderId="171" xfId="0" applyNumberFormat="1" applyFont="1" applyBorder="1" applyAlignment="1">
      <alignment horizontal="left" vertical="center"/>
    </xf>
    <xf numFmtId="177" fontId="0" fillId="0" borderId="218" xfId="3" applyNumberFormat="1" applyFont="1" applyBorder="1" applyAlignment="1">
      <alignment vertical="center"/>
    </xf>
    <xf numFmtId="177" fontId="0" fillId="0" borderId="147" xfId="3" applyNumberFormat="1" applyFont="1" applyBorder="1" applyAlignment="1">
      <alignment vertical="center"/>
    </xf>
    <xf numFmtId="181" fontId="0" fillId="0" borderId="32" xfId="13" applyNumberFormat="1" applyFont="1" applyFill="1" applyBorder="1" applyAlignment="1">
      <alignment vertical="center"/>
    </xf>
    <xf numFmtId="181" fontId="0" fillId="0" borderId="24" xfId="13" applyNumberFormat="1" applyFont="1" applyFill="1" applyBorder="1" applyAlignment="1">
      <alignment vertical="center"/>
    </xf>
    <xf numFmtId="181" fontId="0" fillId="0" borderId="43" xfId="13" applyNumberFormat="1" applyFont="1" applyBorder="1" applyAlignment="1">
      <alignment vertical="center"/>
    </xf>
    <xf numFmtId="177" fontId="0" fillId="0" borderId="176" xfId="0" applyNumberFormat="1" applyFont="1" applyBorder="1" applyAlignment="1">
      <alignment horizontal="center" vertical="center" shrinkToFit="1"/>
    </xf>
    <xf numFmtId="176" fontId="0" fillId="0" borderId="227" xfId="0" applyNumberFormat="1" applyFont="1" applyBorder="1" applyAlignment="1">
      <alignment vertical="center" shrinkToFit="1"/>
    </xf>
    <xf numFmtId="176" fontId="0" fillId="0" borderId="227" xfId="0" applyNumberFormat="1" applyFont="1" applyBorder="1" applyAlignment="1">
      <alignment horizontal="center" vertical="center" shrinkToFit="1"/>
    </xf>
    <xf numFmtId="178" fontId="0" fillId="0" borderId="236" xfId="0" applyNumberFormat="1" applyFont="1" applyBorder="1" applyAlignment="1">
      <alignment vertical="center" shrinkToFit="1"/>
    </xf>
    <xf numFmtId="177" fontId="0" fillId="0" borderId="236" xfId="0" applyNumberFormat="1" applyFont="1" applyBorder="1" applyAlignment="1">
      <alignment horizontal="center" vertical="center" shrinkToFit="1"/>
    </xf>
    <xf numFmtId="177" fontId="0" fillId="0" borderId="236" xfId="0" applyNumberFormat="1" applyFont="1" applyBorder="1" applyAlignment="1">
      <alignment vertical="center" shrinkToFit="1"/>
    </xf>
    <xf numFmtId="183" fontId="0" fillId="0" borderId="227" xfId="0" applyNumberFormat="1" applyFont="1" applyBorder="1" applyAlignment="1">
      <alignment vertical="center" shrinkToFit="1"/>
    </xf>
    <xf numFmtId="179" fontId="0" fillId="2" borderId="111" xfId="0" applyNumberFormat="1" applyFont="1" applyFill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83" fontId="0" fillId="0" borderId="215" xfId="0" applyNumberFormat="1" applyFont="1" applyBorder="1" applyAlignment="1">
      <alignment vertical="center" shrinkToFit="1"/>
    </xf>
    <xf numFmtId="176" fontId="0" fillId="0" borderId="244" xfId="0" applyNumberFormat="1" applyFont="1" applyBorder="1" applyAlignment="1">
      <alignment vertical="center" shrinkToFit="1"/>
    </xf>
    <xf numFmtId="183" fontId="0" fillId="0" borderId="24" xfId="0" applyNumberFormat="1" applyFont="1" applyBorder="1" applyAlignment="1">
      <alignment vertical="center" shrinkToFit="1"/>
    </xf>
    <xf numFmtId="179" fontId="0" fillId="2" borderId="11" xfId="0" applyNumberFormat="1" applyFont="1" applyFill="1" applyBorder="1" applyAlignment="1">
      <alignment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7" fontId="0" fillId="2" borderId="166" xfId="0" applyNumberFormat="1" applyFont="1" applyFill="1" applyBorder="1" applyAlignment="1">
      <alignment vertical="center" shrinkToFit="1"/>
    </xf>
    <xf numFmtId="177" fontId="0" fillId="0" borderId="236" xfId="0" applyNumberFormat="1" applyBorder="1" applyAlignment="1">
      <alignment horizontal="center" vertical="center" shrinkToFit="1"/>
    </xf>
    <xf numFmtId="177" fontId="17" fillId="0" borderId="236" xfId="0" applyNumberFormat="1" applyFont="1" applyBorder="1" applyAlignment="1">
      <alignment vertical="center" shrinkToFit="1"/>
    </xf>
    <xf numFmtId="177" fontId="17" fillId="0" borderId="163" xfId="0" applyNumberFormat="1" applyFont="1" applyBorder="1" applyAlignment="1">
      <alignment vertical="center" shrinkToFit="1"/>
    </xf>
    <xf numFmtId="179" fontId="0" fillId="2" borderId="19" xfId="0" applyNumberFormat="1" applyFont="1" applyFill="1" applyBorder="1" applyAlignment="1">
      <alignment vertical="center" shrinkToFit="1"/>
    </xf>
    <xf numFmtId="177" fontId="0" fillId="0" borderId="56" xfId="0" applyNumberFormat="1" applyFont="1" applyBorder="1" applyAlignment="1">
      <alignment vertical="center" shrinkToFit="1"/>
    </xf>
    <xf numFmtId="177" fontId="0" fillId="0" borderId="183" xfId="0" applyNumberFormat="1" applyFont="1" applyBorder="1" applyAlignment="1">
      <alignment vertical="center" shrinkToFit="1"/>
    </xf>
    <xf numFmtId="177" fontId="0" fillId="0" borderId="183" xfId="0" applyNumberFormat="1" applyFont="1" applyBorder="1" applyAlignment="1">
      <alignment horizontal="center" vertical="center" shrinkToFit="1"/>
    </xf>
    <xf numFmtId="177" fontId="0" fillId="0" borderId="25" xfId="0" applyNumberFormat="1" applyFont="1" applyBorder="1" applyAlignment="1">
      <alignment vertical="center" shrinkToFit="1"/>
    </xf>
    <xf numFmtId="177" fontId="0" fillId="0" borderId="184" xfId="3" applyNumberFormat="1" applyFont="1" applyBorder="1" applyAlignment="1">
      <alignment horizontal="center" vertical="center" shrinkToFit="1"/>
    </xf>
    <xf numFmtId="177" fontId="0" fillId="0" borderId="184" xfId="0" applyNumberFormat="1" applyFont="1" applyBorder="1" applyAlignment="1">
      <alignment horizontal="center" vertical="center" shrinkToFit="1"/>
    </xf>
    <xf numFmtId="177" fontId="0" fillId="0" borderId="185" xfId="0" applyNumberFormat="1" applyFont="1" applyBorder="1" applyAlignment="1">
      <alignment horizontal="center" vertical="center" shrinkToFit="1"/>
    </xf>
    <xf numFmtId="179" fontId="0" fillId="0" borderId="223" xfId="0" applyNumberFormat="1" applyFont="1" applyBorder="1" applyAlignment="1">
      <alignment vertical="center"/>
    </xf>
    <xf numFmtId="186" fontId="0" fillId="0" borderId="227" xfId="0" applyNumberFormat="1" applyFont="1" applyBorder="1" applyAlignment="1">
      <alignment vertical="center" shrinkToFit="1"/>
    </xf>
    <xf numFmtId="176" fontId="0" fillId="2" borderId="162" xfId="0" applyNumberFormat="1" applyFont="1" applyFill="1" applyBorder="1" applyAlignment="1">
      <alignment horizontal="center" vertical="center" shrinkToFit="1"/>
    </xf>
    <xf numFmtId="177" fontId="0" fillId="2" borderId="162" xfId="0" applyNumberFormat="1" applyFont="1" applyFill="1" applyBorder="1" applyAlignment="1">
      <alignment vertical="center" shrinkToFit="1"/>
    </xf>
    <xf numFmtId="176" fontId="0" fillId="2" borderId="167" xfId="0" applyNumberFormat="1" applyFont="1" applyFill="1" applyBorder="1" applyAlignment="1">
      <alignment vertical="center" shrinkToFit="1"/>
    </xf>
    <xf numFmtId="177" fontId="0" fillId="2" borderId="196" xfId="0" applyNumberFormat="1" applyFont="1" applyFill="1" applyBorder="1" applyAlignment="1">
      <alignment vertical="center" shrinkToFit="1"/>
    </xf>
    <xf numFmtId="176" fontId="0" fillId="2" borderId="199" xfId="0" applyNumberFormat="1" applyFont="1" applyFill="1" applyBorder="1" applyAlignment="1">
      <alignment vertical="center" shrinkToFit="1"/>
    </xf>
    <xf numFmtId="177" fontId="0" fillId="2" borderId="197" xfId="0" applyNumberFormat="1" applyFont="1" applyFill="1" applyBorder="1" applyAlignment="1">
      <alignment vertical="center" shrinkToFit="1"/>
    </xf>
    <xf numFmtId="0" fontId="0" fillId="0" borderId="0" xfId="0" applyAlignment="1"/>
    <xf numFmtId="0" fontId="1" fillId="0" borderId="0" xfId="0" applyFont="1" applyAlignment="1"/>
    <xf numFmtId="177" fontId="0" fillId="0" borderId="151" xfId="0" applyNumberFormat="1" applyBorder="1" applyAlignment="1">
      <alignment vertical="center"/>
    </xf>
    <xf numFmtId="177" fontId="0" fillId="0" borderId="35" xfId="0" applyNumberForma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0" fillId="0" borderId="151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153" xfId="0" applyNumberFormat="1" applyBorder="1" applyAlignment="1">
      <alignment vertical="center"/>
    </xf>
    <xf numFmtId="177" fontId="0" fillId="0" borderId="48" xfId="0" applyNumberFormat="1" applyBorder="1" applyAlignment="1">
      <alignment horizontal="center" vertical="center"/>
    </xf>
    <xf numFmtId="177" fontId="1" fillId="0" borderId="246" xfId="0" applyNumberFormat="1" applyFont="1" applyBorder="1" applyAlignment="1">
      <alignment horizontal="center" vertical="center"/>
    </xf>
    <xf numFmtId="177" fontId="0" fillId="0" borderId="153" xfId="0" applyNumberFormat="1" applyBorder="1" applyAlignment="1">
      <alignment horizontal="center" vertical="center"/>
    </xf>
    <xf numFmtId="177" fontId="0" fillId="0" borderId="154" xfId="0" applyNumberFormat="1" applyBorder="1" applyAlignment="1">
      <alignment horizontal="center" vertical="center"/>
    </xf>
    <xf numFmtId="177" fontId="0" fillId="0" borderId="246" xfId="0" applyNumberFormat="1" applyBorder="1" applyAlignment="1">
      <alignment horizontal="center" vertical="center"/>
    </xf>
    <xf numFmtId="177" fontId="0" fillId="0" borderId="155" xfId="0" applyNumberFormat="1" applyBorder="1" applyAlignment="1">
      <alignment vertical="center"/>
    </xf>
    <xf numFmtId="177" fontId="0" fillId="0" borderId="156" xfId="0" applyNumberFormat="1" applyBorder="1" applyAlignment="1">
      <alignment horizontal="center" vertical="center"/>
    </xf>
    <xf numFmtId="177" fontId="1" fillId="0" borderId="158" xfId="0" applyNumberFormat="1" applyFont="1" applyBorder="1" applyAlignment="1">
      <alignment horizontal="right" vertical="center"/>
    </xf>
    <xf numFmtId="177" fontId="0" fillId="0" borderId="155" xfId="0" applyNumberFormat="1" applyBorder="1" applyAlignment="1">
      <alignment horizontal="center" vertical="center"/>
    </xf>
    <xf numFmtId="177" fontId="0" fillId="0" borderId="157" xfId="0" applyNumberFormat="1" applyBorder="1" applyAlignment="1">
      <alignment horizontal="center" vertical="center"/>
    </xf>
    <xf numFmtId="177" fontId="0" fillId="0" borderId="158" xfId="0" applyNumberFormat="1" applyBorder="1" applyAlignment="1">
      <alignment horizontal="center" vertical="center"/>
    </xf>
    <xf numFmtId="177" fontId="0" fillId="0" borderId="155" xfId="0" applyNumberFormat="1" applyBorder="1" applyAlignment="1">
      <alignment horizontal="right" vertical="center"/>
    </xf>
    <xf numFmtId="177" fontId="0" fillId="0" borderId="156" xfId="0" applyNumberFormat="1" applyBorder="1" applyAlignment="1">
      <alignment horizontal="right" vertical="center"/>
    </xf>
    <xf numFmtId="177" fontId="0" fillId="0" borderId="187" xfId="0" applyNumberFormat="1" applyBorder="1" applyAlignment="1">
      <alignment horizontal="right" vertical="center"/>
    </xf>
    <xf numFmtId="177" fontId="0" fillId="0" borderId="186" xfId="0" applyNumberFormat="1" applyBorder="1" applyAlignment="1">
      <alignment vertical="center"/>
    </xf>
    <xf numFmtId="177" fontId="0" fillId="0" borderId="180" xfId="0" applyNumberFormat="1" applyBorder="1" applyAlignment="1">
      <alignment horizontal="center" vertical="center"/>
    </xf>
    <xf numFmtId="177" fontId="1" fillId="0" borderId="247" xfId="0" applyNumberFormat="1" applyFont="1" applyBorder="1" applyAlignment="1">
      <alignment horizontal="right" vertical="center"/>
    </xf>
    <xf numFmtId="177" fontId="0" fillId="0" borderId="186" xfId="0" applyNumberFormat="1" applyBorder="1" applyAlignment="1">
      <alignment horizontal="right" vertical="center"/>
    </xf>
    <xf numFmtId="177" fontId="0" fillId="0" borderId="180" xfId="0" applyNumberFormat="1" applyBorder="1" applyAlignment="1">
      <alignment horizontal="right" vertical="center"/>
    </xf>
    <xf numFmtId="178" fontId="0" fillId="0" borderId="186" xfId="0" applyNumberFormat="1" applyBorder="1" applyAlignment="1"/>
    <xf numFmtId="178" fontId="0" fillId="0" borderId="180" xfId="0" applyNumberFormat="1" applyBorder="1" applyAlignment="1"/>
    <xf numFmtId="178" fontId="0" fillId="0" borderId="247" xfId="0" applyNumberFormat="1" applyBorder="1" applyAlignment="1"/>
    <xf numFmtId="177" fontId="0" fillId="0" borderId="96" xfId="0" applyNumberFormat="1" applyBorder="1" applyAlignment="1">
      <alignment vertical="center"/>
    </xf>
    <xf numFmtId="177" fontId="0" fillId="0" borderId="24" xfId="0" applyNumberFormat="1" applyBorder="1" applyAlignment="1">
      <alignment horizontal="center" vertical="center"/>
    </xf>
    <xf numFmtId="177" fontId="1" fillId="0" borderId="32" xfId="0" applyNumberFormat="1" applyFont="1" applyBorder="1" applyAlignment="1">
      <alignment horizontal="right" vertical="center"/>
    </xf>
    <xf numFmtId="178" fontId="0" fillId="0" borderId="96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78" fontId="0" fillId="0" borderId="58" xfId="0" applyNumberFormat="1" applyBorder="1" applyAlignment="1">
      <alignment horizontal="right" vertical="center"/>
    </xf>
    <xf numFmtId="178" fontId="0" fillId="0" borderId="96" xfId="0" applyNumberFormat="1" applyBorder="1" applyAlignment="1"/>
    <xf numFmtId="178" fontId="0" fillId="0" borderId="24" xfId="0" applyNumberFormat="1" applyBorder="1" applyAlignment="1"/>
    <xf numFmtId="178" fontId="0" fillId="0" borderId="32" xfId="0" applyNumberFormat="1" applyBorder="1" applyAlignment="1"/>
    <xf numFmtId="177" fontId="0" fillId="0" borderId="96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58" xfId="0" applyNumberFormat="1" applyBorder="1" applyAlignment="1">
      <alignment horizontal="right" vertical="center"/>
    </xf>
    <xf numFmtId="177" fontId="0" fillId="0" borderId="96" xfId="0" applyNumberFormat="1" applyBorder="1" applyAlignment="1"/>
    <xf numFmtId="177" fontId="1" fillId="0" borderId="32" xfId="0" applyNumberFormat="1" applyFont="1" applyBorder="1" applyAlignment="1">
      <alignment horizontal="right"/>
    </xf>
    <xf numFmtId="177" fontId="0" fillId="0" borderId="24" xfId="0" applyNumberFormat="1" applyBorder="1" applyAlignment="1"/>
    <xf numFmtId="177" fontId="0" fillId="0" borderId="58" xfId="0" applyNumberFormat="1" applyBorder="1" applyAlignment="1"/>
    <xf numFmtId="177" fontId="0" fillId="0" borderId="96" xfId="0" applyNumberFormat="1" applyBorder="1" applyAlignment="1">
      <alignment horizontal="right"/>
    </xf>
    <xf numFmtId="177" fontId="0" fillId="0" borderId="24" xfId="0" applyNumberFormat="1" applyBorder="1" applyAlignment="1">
      <alignment horizontal="right"/>
    </xf>
    <xf numFmtId="0" fontId="1" fillId="0" borderId="32" xfId="0" applyFont="1" applyBorder="1" applyAlignment="1"/>
    <xf numFmtId="0" fontId="0" fillId="0" borderId="248" xfId="0" applyBorder="1" applyAlignment="1"/>
    <xf numFmtId="0" fontId="0" fillId="0" borderId="93" xfId="0" applyBorder="1" applyAlignment="1"/>
    <xf numFmtId="0" fontId="1" fillId="0" borderId="249" xfId="0" applyFont="1" applyBorder="1" applyAlignment="1"/>
    <xf numFmtId="177" fontId="0" fillId="0" borderId="248" xfId="0" applyNumberFormat="1" applyBorder="1" applyAlignment="1"/>
    <xf numFmtId="177" fontId="0" fillId="0" borderId="93" xfId="0" applyNumberFormat="1" applyBorder="1" applyAlignment="1"/>
    <xf numFmtId="177" fontId="0" fillId="0" borderId="94" xfId="0" applyNumberFormat="1" applyBorder="1" applyAlignment="1"/>
    <xf numFmtId="178" fontId="0" fillId="0" borderId="90" xfId="0" applyNumberFormat="1" applyBorder="1" applyAlignment="1"/>
    <xf numFmtId="178" fontId="0" fillId="0" borderId="93" xfId="0" applyNumberFormat="1" applyBorder="1" applyAlignment="1"/>
    <xf numFmtId="178" fontId="0" fillId="0" borderId="91" xfId="0" applyNumberFormat="1" applyBorder="1" applyAlignment="1"/>
    <xf numFmtId="0" fontId="0" fillId="0" borderId="248" xfId="0" applyBorder="1" applyAlignment="1">
      <alignment horizontal="right"/>
    </xf>
    <xf numFmtId="0" fontId="0" fillId="0" borderId="93" xfId="0" applyBorder="1" applyAlignment="1">
      <alignment horizontal="right"/>
    </xf>
    <xf numFmtId="177" fontId="0" fillId="0" borderId="94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176" fontId="1" fillId="0" borderId="90" xfId="0" applyNumberFormat="1" applyFont="1" applyBorder="1" applyAlignment="1">
      <alignment vertical="center"/>
    </xf>
    <xf numFmtId="176" fontId="1" fillId="0" borderId="91" xfId="0" applyNumberFormat="1" applyFont="1" applyBorder="1" applyAlignment="1">
      <alignment horizontal="center" vertical="center"/>
    </xf>
    <xf numFmtId="176" fontId="1" fillId="0" borderId="93" xfId="0" applyNumberFormat="1" applyFont="1" applyBorder="1" applyAlignment="1">
      <alignment horizontal="center" vertical="center"/>
    </xf>
    <xf numFmtId="176" fontId="0" fillId="0" borderId="93" xfId="0" applyNumberFormat="1" applyFont="1" applyBorder="1" applyAlignment="1">
      <alignment horizontal="center" vertical="center"/>
    </xf>
    <xf numFmtId="176" fontId="1" fillId="0" borderId="181" xfId="0" applyNumberFormat="1" applyFont="1" applyBorder="1" applyAlignment="1">
      <alignment horizontal="center" vertical="center"/>
    </xf>
    <xf numFmtId="176" fontId="1" fillId="0" borderId="99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0" fillId="0" borderId="227" xfId="0" applyNumberFormat="1" applyFont="1" applyBorder="1" applyAlignment="1">
      <alignment shrinkToFit="1"/>
    </xf>
    <xf numFmtId="176" fontId="1" fillId="0" borderId="227" xfId="0" applyNumberFormat="1" applyFont="1" applyBorder="1" applyAlignment="1"/>
    <xf numFmtId="176" fontId="1" fillId="0" borderId="227" xfId="0" applyNumberFormat="1" applyFont="1" applyBorder="1" applyAlignment="1">
      <alignment vertical="center"/>
    </xf>
    <xf numFmtId="176" fontId="1" fillId="0" borderId="227" xfId="0" applyNumberFormat="1" applyFont="1" applyFill="1" applyBorder="1" applyAlignment="1"/>
    <xf numFmtId="176" fontId="1" fillId="0" borderId="228" xfId="0" applyNumberFormat="1" applyFont="1" applyBorder="1" applyAlignment="1"/>
    <xf numFmtId="38" fontId="0" fillId="0" borderId="0" xfId="13" applyFont="1" applyAlignment="1"/>
    <xf numFmtId="176" fontId="1" fillId="0" borderId="224" xfId="0" applyNumberFormat="1" applyFont="1" applyBorder="1" applyAlignment="1"/>
    <xf numFmtId="194" fontId="1" fillId="0" borderId="227" xfId="0" applyNumberFormat="1" applyFont="1" applyFill="1" applyBorder="1" applyAlignment="1"/>
    <xf numFmtId="176" fontId="0" fillId="0" borderId="204" xfId="0" applyNumberFormat="1" applyFont="1" applyFill="1" applyBorder="1" applyAlignment="1">
      <alignment shrinkToFit="1"/>
    </xf>
    <xf numFmtId="176" fontId="1" fillId="0" borderId="204" xfId="0" applyNumberFormat="1" applyFont="1" applyFill="1" applyBorder="1" applyAlignment="1"/>
    <xf numFmtId="176" fontId="1" fillId="0" borderId="227" xfId="0" applyNumberFormat="1" applyFont="1" applyFill="1" applyBorder="1" applyAlignment="1">
      <alignment vertical="center"/>
    </xf>
    <xf numFmtId="194" fontId="1" fillId="0" borderId="204" xfId="0" applyNumberFormat="1" applyFont="1" applyFill="1" applyBorder="1" applyAlignment="1"/>
    <xf numFmtId="176" fontId="1" fillId="0" borderId="250" xfId="0" applyNumberFormat="1" applyFont="1" applyFill="1" applyBorder="1" applyAlignment="1"/>
    <xf numFmtId="0" fontId="0" fillId="0" borderId="0" xfId="0" applyFill="1" applyAlignment="1"/>
    <xf numFmtId="176" fontId="0" fillId="0" borderId="10" xfId="0" applyNumberFormat="1" applyFont="1" applyFill="1" applyBorder="1" applyAlignment="1">
      <alignment shrinkToFit="1"/>
    </xf>
    <xf numFmtId="176" fontId="1" fillId="0" borderId="10" xfId="0" applyNumberFormat="1" applyFont="1" applyFill="1" applyBorder="1" applyAlignment="1"/>
    <xf numFmtId="176" fontId="1" fillId="0" borderId="124" xfId="0" applyNumberFormat="1" applyFont="1" applyBorder="1" applyAlignment="1">
      <alignment horizontal="center" vertical="center"/>
    </xf>
    <xf numFmtId="176" fontId="1" fillId="2" borderId="111" xfId="0" applyNumberFormat="1" applyFont="1" applyFill="1" applyBorder="1" applyAlignment="1">
      <alignment horizontal="center" vertical="center" shrinkToFit="1"/>
    </xf>
    <xf numFmtId="176" fontId="1" fillId="2" borderId="111" xfId="0" applyNumberFormat="1" applyFont="1" applyFill="1" applyBorder="1" applyAlignment="1">
      <alignment horizontal="center" vertical="center"/>
    </xf>
    <xf numFmtId="176" fontId="1" fillId="2" borderId="111" xfId="0" applyNumberFormat="1" applyFont="1" applyFill="1" applyBorder="1" applyAlignment="1"/>
    <xf numFmtId="176" fontId="1" fillId="2" borderId="125" xfId="0" applyNumberFormat="1" applyFont="1" applyFill="1" applyBorder="1" applyAlignment="1"/>
    <xf numFmtId="176" fontId="0" fillId="0" borderId="227" xfId="0" applyNumberFormat="1" applyFont="1" applyBorder="1" applyAlignment="1">
      <alignment horizontal="right"/>
    </xf>
    <xf numFmtId="176" fontId="1" fillId="0" borderId="228" xfId="0" applyNumberFormat="1" applyFont="1" applyBorder="1" applyAlignment="1">
      <alignment vertical="center"/>
    </xf>
    <xf numFmtId="176" fontId="0" fillId="0" borderId="135" xfId="0" applyNumberFormat="1" applyFont="1" applyFill="1" applyBorder="1" applyAlignment="1">
      <alignment vertical="center" shrinkToFit="1"/>
    </xf>
    <xf numFmtId="176" fontId="1" fillId="0" borderId="135" xfId="0" applyNumberFormat="1" applyFont="1" applyFill="1" applyBorder="1" applyAlignment="1">
      <alignment vertical="center"/>
    </xf>
    <xf numFmtId="176" fontId="1" fillId="0" borderId="135" xfId="0" applyNumberFormat="1" applyFont="1" applyFill="1" applyBorder="1" applyAlignment="1"/>
    <xf numFmtId="176" fontId="1" fillId="0" borderId="251" xfId="0" applyNumberFormat="1" applyFont="1" applyFill="1" applyBorder="1" applyAlignment="1">
      <alignment vertical="center"/>
    </xf>
    <xf numFmtId="176" fontId="0" fillId="0" borderId="206" xfId="0" applyNumberFormat="1" applyFont="1" applyFill="1" applyBorder="1" applyAlignment="1">
      <alignment vertical="center" shrinkToFit="1"/>
    </xf>
    <xf numFmtId="176" fontId="0" fillId="0" borderId="206" xfId="0" applyNumberFormat="1" applyFont="1" applyFill="1" applyBorder="1" applyAlignment="1">
      <alignment vertical="center"/>
    </xf>
    <xf numFmtId="176" fontId="0" fillId="0" borderId="206" xfId="0" applyNumberFormat="1" applyFont="1" applyFill="1" applyBorder="1" applyAlignment="1"/>
    <xf numFmtId="176" fontId="1" fillId="0" borderId="252" xfId="0" applyNumberFormat="1" applyFont="1" applyFill="1" applyBorder="1" applyAlignment="1">
      <alignment vertical="center"/>
    </xf>
    <xf numFmtId="176" fontId="1" fillId="0" borderId="253" xfId="0" applyNumberFormat="1" applyFont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26" xfId="0" applyNumberFormat="1" applyFont="1" applyFill="1" applyBorder="1" applyAlignment="1">
      <alignment vertical="center"/>
    </xf>
    <xf numFmtId="176" fontId="0" fillId="0" borderId="227" xfId="0" applyNumberFormat="1" applyFont="1" applyFill="1" applyBorder="1" applyAlignment="1">
      <alignment shrinkToFit="1"/>
    </xf>
    <xf numFmtId="176" fontId="1" fillId="0" borderId="74" xfId="0" applyNumberFormat="1" applyFont="1" applyFill="1" applyBorder="1" applyAlignment="1"/>
    <xf numFmtId="176" fontId="1" fillId="0" borderId="227" xfId="0" applyNumberFormat="1" applyFont="1" applyBorder="1" applyAlignment="1">
      <alignment shrinkToFit="1"/>
    </xf>
    <xf numFmtId="176" fontId="1" fillId="0" borderId="54" xfId="0" applyNumberFormat="1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69" xfId="0" applyNumberFormat="1" applyFont="1" applyFill="1" applyBorder="1" applyAlignment="1">
      <alignment vertical="center"/>
    </xf>
    <xf numFmtId="176" fontId="1" fillId="7" borderId="19" xfId="0" applyNumberFormat="1" applyFont="1" applyFill="1" applyBorder="1" applyAlignment="1">
      <alignment horizontal="center" vertical="center"/>
    </xf>
    <xf numFmtId="176" fontId="1" fillId="7" borderId="19" xfId="0" applyNumberFormat="1" applyFont="1" applyFill="1" applyBorder="1" applyAlignment="1">
      <alignment vertical="center"/>
    </xf>
    <xf numFmtId="176" fontId="1" fillId="7" borderId="69" xfId="0" applyNumberFormat="1" applyFont="1" applyFill="1" applyBorder="1" applyAlignment="1">
      <alignment vertical="center"/>
    </xf>
    <xf numFmtId="176" fontId="0" fillId="0" borderId="255" xfId="0" applyNumberFormat="1" applyFont="1" applyBorder="1" applyAlignment="1">
      <alignment horizontal="center" vertical="center" shrinkToFit="1"/>
    </xf>
    <xf numFmtId="176" fontId="0" fillId="0" borderId="256" xfId="0" applyNumberFormat="1" applyFont="1" applyBorder="1" applyAlignment="1">
      <alignment vertical="center" shrinkToFit="1"/>
    </xf>
    <xf numFmtId="176" fontId="0" fillId="0" borderId="257" xfId="0" applyNumberFormat="1" applyFont="1" applyBorder="1" applyAlignment="1">
      <alignment vertical="center" shrinkToFit="1"/>
    </xf>
    <xf numFmtId="9" fontId="0" fillId="0" borderId="227" xfId="0" applyNumberFormat="1" applyFont="1" applyBorder="1" applyAlignment="1">
      <alignment vertical="center" shrinkToFit="1"/>
    </xf>
    <xf numFmtId="182" fontId="0" fillId="0" borderId="227" xfId="4" applyNumberFormat="1" applyFont="1" applyBorder="1" applyAlignment="1">
      <alignment vertical="center" shrinkToFit="1"/>
    </xf>
    <xf numFmtId="9" fontId="0" fillId="0" borderId="227" xfId="0" applyNumberFormat="1" applyFont="1" applyFill="1" applyBorder="1" applyAlignment="1">
      <alignment vertical="center" shrinkToFit="1"/>
    </xf>
    <xf numFmtId="187" fontId="0" fillId="0" borderId="1" xfId="0" applyNumberFormat="1" applyFont="1" applyBorder="1" applyAlignment="1">
      <alignment horizontal="center" vertical="center" shrinkToFit="1"/>
    </xf>
    <xf numFmtId="188" fontId="0" fillId="0" borderId="1" xfId="0" applyNumberFormat="1" applyFont="1" applyBorder="1" applyAlignment="1">
      <alignment horizontal="center" vertical="center" shrinkToFit="1"/>
    </xf>
    <xf numFmtId="189" fontId="0" fillId="0" borderId="1" xfId="0" applyNumberFormat="1" applyFont="1" applyBorder="1" applyAlignment="1">
      <alignment horizontal="center" vertical="center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76" fontId="0" fillId="0" borderId="227" xfId="0" applyNumberFormat="1" applyFont="1" applyBorder="1" applyAlignment="1">
      <alignment horizontal="center" vertical="center"/>
    </xf>
    <xf numFmtId="176" fontId="0" fillId="0" borderId="237" xfId="0" applyNumberFormat="1" applyFont="1" applyBorder="1" applyAlignment="1">
      <alignment horizontal="center" vertical="center"/>
    </xf>
    <xf numFmtId="176" fontId="0" fillId="0" borderId="145" xfId="0" applyNumberFormat="1" applyFont="1" applyBorder="1" applyAlignment="1">
      <alignment horizontal="center" vertical="center"/>
    </xf>
    <xf numFmtId="176" fontId="0" fillId="0" borderId="223" xfId="0" applyNumberFormat="1" applyFont="1" applyBorder="1" applyAlignment="1">
      <alignment vertical="center"/>
    </xf>
    <xf numFmtId="176" fontId="0" fillId="0" borderId="227" xfId="0" applyNumberFormat="1" applyFont="1" applyBorder="1" applyAlignment="1">
      <alignment vertical="center"/>
    </xf>
    <xf numFmtId="176" fontId="0" fillId="0" borderId="145" xfId="0" applyNumberFormat="1" applyFont="1" applyBorder="1" applyAlignment="1">
      <alignment vertical="center"/>
    </xf>
    <xf numFmtId="176" fontId="0" fillId="0" borderId="264" xfId="0" applyNumberFormat="1" applyFont="1" applyBorder="1" applyAlignment="1">
      <alignment vertical="center"/>
    </xf>
    <xf numFmtId="176" fontId="0" fillId="0" borderId="210" xfId="0" applyNumberFormat="1" applyFont="1" applyBorder="1" applyAlignment="1">
      <alignment horizontal="left" vertical="center" indent="1"/>
    </xf>
    <xf numFmtId="179" fontId="0" fillId="0" borderId="211" xfId="0" applyNumberFormat="1" applyFont="1" applyBorder="1" applyAlignment="1">
      <alignment vertical="center" shrinkToFit="1"/>
    </xf>
    <xf numFmtId="176" fontId="0" fillId="0" borderId="210" xfId="0" applyNumberFormat="1" applyFont="1" applyBorder="1" applyAlignment="1">
      <alignment horizontal="center" vertical="center"/>
    </xf>
    <xf numFmtId="176" fontId="0" fillId="0" borderId="42" xfId="0" applyNumberFormat="1" applyFont="1" applyBorder="1" applyAlignment="1">
      <alignment horizontal="center" vertical="center"/>
    </xf>
    <xf numFmtId="179" fontId="0" fillId="0" borderId="143" xfId="0" applyNumberFormat="1" applyFont="1" applyBorder="1" applyAlignment="1">
      <alignment vertical="center" shrinkToFit="1"/>
    </xf>
    <xf numFmtId="179" fontId="0" fillId="0" borderId="107" xfId="0" applyNumberFormat="1" applyFont="1" applyBorder="1" applyAlignment="1">
      <alignment vertical="center" shrinkToFit="1"/>
    </xf>
    <xf numFmtId="179" fontId="0" fillId="0" borderId="213" xfId="0" applyNumberFormat="1" applyFont="1" applyBorder="1" applyAlignment="1">
      <alignment vertical="center" shrinkToFit="1"/>
    </xf>
    <xf numFmtId="195" fontId="0" fillId="0" borderId="146" xfId="0" applyNumberFormat="1" applyFont="1" applyBorder="1" applyAlignment="1">
      <alignment vertical="center"/>
    </xf>
    <xf numFmtId="0" fontId="8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266" xfId="2" applyFont="1" applyBorder="1" applyAlignment="1">
      <alignment horizontal="center" vertical="center" wrapText="1"/>
    </xf>
    <xf numFmtId="0" fontId="8" fillId="0" borderId="266" xfId="2" applyFont="1" applyBorder="1" applyAlignment="1">
      <alignment vertical="center" wrapText="1"/>
    </xf>
    <xf numFmtId="0" fontId="8" fillId="0" borderId="267" xfId="2" applyFont="1" applyBorder="1" applyAlignment="1">
      <alignment vertical="center" wrapText="1"/>
    </xf>
    <xf numFmtId="0" fontId="0" fillId="0" borderId="266" xfId="2" applyFont="1" applyBorder="1" applyAlignment="1">
      <alignment horizontal="center" vertical="center" wrapText="1"/>
    </xf>
    <xf numFmtId="0" fontId="8" fillId="0" borderId="267" xfId="2" applyFont="1" applyBorder="1" applyAlignment="1">
      <alignment horizontal="center" vertical="center" wrapText="1"/>
    </xf>
    <xf numFmtId="0" fontId="1" fillId="0" borderId="266" xfId="2" applyFont="1" applyBorder="1" applyAlignment="1">
      <alignment vertical="center" wrapText="1"/>
    </xf>
    <xf numFmtId="0" fontId="0" fillId="0" borderId="266" xfId="2" applyFont="1" applyBorder="1" applyAlignment="1">
      <alignment vertical="center" wrapText="1"/>
    </xf>
    <xf numFmtId="0" fontId="8" fillId="0" borderId="266" xfId="2" applyFont="1" applyBorder="1" applyAlignment="1">
      <alignment horizontal="center" vertical="center"/>
    </xf>
    <xf numFmtId="0" fontId="1" fillId="0" borderId="266" xfId="2" applyFont="1" applyBorder="1" applyAlignment="1">
      <alignment horizontal="center" vertical="center" wrapText="1"/>
    </xf>
    <xf numFmtId="0" fontId="8" fillId="0" borderId="266" xfId="2" applyFont="1" applyBorder="1" applyAlignment="1">
      <alignment horizontal="left" vertical="center" wrapText="1"/>
    </xf>
    <xf numFmtId="0" fontId="1" fillId="0" borderId="267" xfId="2" applyFont="1" applyBorder="1" applyAlignment="1">
      <alignment horizontal="center" vertical="center" wrapText="1"/>
    </xf>
    <xf numFmtId="0" fontId="8" fillId="0" borderId="272" xfId="2" applyFont="1" applyBorder="1" applyAlignment="1">
      <alignment vertical="center" wrapText="1"/>
    </xf>
    <xf numFmtId="0" fontId="8" fillId="0" borderId="272" xfId="2" applyFont="1" applyBorder="1" applyAlignment="1">
      <alignment horizontal="right" vertical="center" wrapText="1"/>
    </xf>
    <xf numFmtId="0" fontId="1" fillId="0" borderId="272" xfId="2" applyFont="1" applyBorder="1" applyAlignment="1">
      <alignment horizontal="center" vertical="center" wrapText="1"/>
    </xf>
    <xf numFmtId="0" fontId="1" fillId="0" borderId="273" xfId="2" applyFont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 shrinkToFit="1"/>
    </xf>
    <xf numFmtId="196" fontId="8" fillId="0" borderId="87" xfId="2" applyNumberFormat="1" applyFont="1" applyFill="1" applyBorder="1" applyAlignment="1">
      <alignment vertical="center" wrapText="1"/>
    </xf>
    <xf numFmtId="196" fontId="0" fillId="0" borderId="76" xfId="0" applyNumberFormat="1" applyFont="1" applyBorder="1" applyAlignment="1">
      <alignment horizontal="center" vertical="center"/>
    </xf>
    <xf numFmtId="197" fontId="0" fillId="0" borderId="76" xfId="0" applyNumberFormat="1" applyFont="1" applyBorder="1" applyAlignment="1">
      <alignment horizontal="center" vertical="center"/>
    </xf>
    <xf numFmtId="179" fontId="0" fillId="0" borderId="229" xfId="0" applyNumberFormat="1" applyFont="1" applyBorder="1" applyAlignment="1">
      <alignment vertical="center"/>
    </xf>
    <xf numFmtId="179" fontId="0" fillId="0" borderId="156" xfId="0" applyNumberFormat="1" applyFont="1" applyBorder="1" applyAlignment="1">
      <alignment vertical="center"/>
    </xf>
    <xf numFmtId="179" fontId="0" fillId="0" borderId="24" xfId="3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96" fontId="8" fillId="0" borderId="87" xfId="2" applyNumberFormat="1" applyFont="1" applyFill="1" applyBorder="1" applyAlignment="1">
      <alignment horizontal="right" vertical="center" wrapText="1"/>
    </xf>
    <xf numFmtId="181" fontId="0" fillId="0" borderId="37" xfId="0" applyNumberFormat="1" applyFont="1" applyFill="1" applyBorder="1" applyAlignment="1">
      <alignment horizontal="right" vertical="center"/>
    </xf>
    <xf numFmtId="181" fontId="0" fillId="0" borderId="32" xfId="0" applyNumberFormat="1" applyFont="1" applyFill="1" applyBorder="1" applyAlignment="1">
      <alignment horizontal="right" vertical="center"/>
    </xf>
    <xf numFmtId="176" fontId="19" fillId="0" borderId="0" xfId="0" applyNumberFormat="1" applyFont="1" applyAlignment="1">
      <alignment vertical="center"/>
    </xf>
    <xf numFmtId="179" fontId="19" fillId="5" borderId="276" xfId="0" applyNumberFormat="1" applyFont="1" applyFill="1" applyBorder="1" applyAlignment="1">
      <alignment vertical="center"/>
    </xf>
    <xf numFmtId="179" fontId="19" fillId="0" borderId="276" xfId="0" applyNumberFormat="1" applyFont="1" applyBorder="1" applyAlignment="1">
      <alignment vertical="center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183" xfId="0" applyNumberFormat="1" applyFont="1" applyFill="1" applyBorder="1" applyAlignment="1">
      <alignment vertical="center" shrinkToFit="1"/>
    </xf>
    <xf numFmtId="176" fontId="0" fillId="0" borderId="227" xfId="0" applyNumberFormat="1" applyFont="1" applyFill="1" applyBorder="1" applyAlignment="1">
      <alignment vertical="center" shrinkToFit="1"/>
    </xf>
    <xf numFmtId="182" fontId="9" fillId="0" borderId="87" xfId="4" applyNumberFormat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Alignment="1">
      <alignment vertical="center" shrinkToFit="1"/>
    </xf>
    <xf numFmtId="176" fontId="0" fillId="0" borderId="145" xfId="0" applyNumberFormat="1" applyBorder="1" applyAlignment="1">
      <alignment horizontal="left" vertical="center"/>
    </xf>
    <xf numFmtId="176" fontId="0" fillId="0" borderId="266" xfId="0" applyNumberFormat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0" fillId="2" borderId="277" xfId="0" applyNumberFormat="1" applyFont="1" applyFill="1" applyBorder="1" applyAlignment="1">
      <alignment vertical="center" shrinkToFit="1"/>
    </xf>
    <xf numFmtId="179" fontId="0" fillId="0" borderId="180" xfId="0" applyNumberFormat="1" applyFont="1" applyFill="1" applyBorder="1" applyAlignment="1">
      <alignment horizontal="center" vertical="center" shrinkToFit="1"/>
    </xf>
    <xf numFmtId="178" fontId="0" fillId="0" borderId="24" xfId="3" applyNumberFormat="1" applyFont="1" applyFill="1" applyBorder="1" applyAlignment="1">
      <alignment vertical="center" shrinkToFit="1"/>
    </xf>
    <xf numFmtId="178" fontId="0" fillId="0" borderId="13" xfId="0" applyNumberFormat="1" applyFont="1" applyBorder="1" applyAlignment="1">
      <alignment vertical="center" shrinkToFit="1"/>
    </xf>
    <xf numFmtId="183" fontId="0" fillId="0" borderId="156" xfId="3" applyNumberFormat="1" applyFont="1" applyBorder="1" applyAlignment="1">
      <alignment vertical="center" shrinkToFit="1"/>
    </xf>
    <xf numFmtId="183" fontId="0" fillId="0" borderId="24" xfId="3" applyNumberFormat="1" applyFont="1" applyBorder="1" applyAlignment="1">
      <alignment vertical="center" shrinkToFit="1"/>
    </xf>
    <xf numFmtId="178" fontId="0" fillId="0" borderId="156" xfId="3" applyNumberFormat="1" applyFont="1" applyBorder="1" applyAlignment="1">
      <alignment vertical="center" shrinkToFit="1"/>
    </xf>
    <xf numFmtId="178" fontId="0" fillId="0" borderId="24" xfId="3" applyNumberFormat="1" applyFont="1" applyBorder="1" applyAlignment="1">
      <alignment vertical="center" shrinkToFit="1"/>
    </xf>
    <xf numFmtId="178" fontId="0" fillId="0" borderId="24" xfId="0" applyNumberFormat="1" applyFont="1" applyBorder="1" applyAlignment="1">
      <alignment vertical="center" shrinkToFit="1"/>
    </xf>
    <xf numFmtId="0" fontId="12" fillId="0" borderId="0" xfId="2" applyFont="1" applyAlignment="1">
      <alignment vertical="center"/>
    </xf>
    <xf numFmtId="198" fontId="1" fillId="0" borderId="0" xfId="2" applyNumberFormat="1" applyFont="1" applyFill="1" applyBorder="1" applyAlignment="1">
      <alignment vertical="center" wrapText="1"/>
    </xf>
    <xf numFmtId="181" fontId="0" fillId="0" borderId="280" xfId="0" applyNumberFormat="1" applyFont="1" applyBorder="1" applyAlignment="1">
      <alignment horizontal="right" vertical="center"/>
    </xf>
    <xf numFmtId="181" fontId="0" fillId="0" borderId="279" xfId="0" applyNumberFormat="1" applyFont="1" applyBorder="1" applyAlignment="1">
      <alignment horizontal="right" vertical="center"/>
    </xf>
    <xf numFmtId="177" fontId="19" fillId="0" borderId="281" xfId="0" applyNumberFormat="1" applyFont="1" applyFill="1" applyBorder="1" applyAlignment="1">
      <alignment vertical="center"/>
    </xf>
    <xf numFmtId="0" fontId="0" fillId="0" borderId="278" xfId="0" applyFont="1" applyBorder="1" applyAlignment="1">
      <alignment vertical="center"/>
    </xf>
    <xf numFmtId="0" fontId="0" fillId="0" borderId="220" xfId="0" applyFont="1" applyBorder="1" applyAlignment="1">
      <alignment vertical="center"/>
    </xf>
    <xf numFmtId="181" fontId="0" fillId="0" borderId="33" xfId="13" applyNumberFormat="1" applyFont="1" applyFill="1" applyBorder="1" applyAlignment="1">
      <alignment vertical="center"/>
    </xf>
    <xf numFmtId="181" fontId="0" fillId="6" borderId="45" xfId="13" applyNumberFormat="1" applyFont="1" applyFill="1" applyBorder="1" applyAlignment="1">
      <alignment vertical="center"/>
    </xf>
    <xf numFmtId="3" fontId="0" fillId="0" borderId="224" xfId="0" applyNumberFormat="1" applyFont="1" applyFill="1" applyBorder="1" applyAlignment="1">
      <alignment vertical="center"/>
    </xf>
    <xf numFmtId="3" fontId="6" fillId="0" borderId="224" xfId="0" applyNumberFormat="1" applyFont="1" applyFill="1" applyBorder="1" applyAlignment="1"/>
    <xf numFmtId="3" fontId="0" fillId="0" borderId="215" xfId="0" applyNumberFormat="1" applyFont="1" applyFill="1" applyBorder="1" applyAlignment="1">
      <alignment vertical="center"/>
    </xf>
    <xf numFmtId="0" fontId="1" fillId="0" borderId="96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58" xfId="2" applyFont="1" applyBorder="1" applyAlignment="1">
      <alignment vertical="center" wrapText="1"/>
    </xf>
    <xf numFmtId="0" fontId="1" fillId="0" borderId="97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5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0" fillId="0" borderId="45" xfId="2" applyFont="1" applyBorder="1" applyAlignment="1">
      <alignment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248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1" fillId="0" borderId="219" xfId="2" applyFont="1" applyBorder="1" applyAlignment="1">
      <alignment horizontal="center" vertical="center"/>
    </xf>
    <xf numFmtId="0" fontId="1" fillId="0" borderId="220" xfId="2" applyFont="1" applyBorder="1" applyAlignment="1">
      <alignment horizontal="center" vertical="center"/>
    </xf>
    <xf numFmtId="0" fontId="1" fillId="0" borderId="19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78" xfId="2" applyFont="1" applyBorder="1" applyAlignment="1">
      <alignment horizontal="center" vertical="center"/>
    </xf>
    <xf numFmtId="0" fontId="0" fillId="0" borderId="221" xfId="2" applyFont="1" applyBorder="1" applyAlignment="1">
      <alignment horizontal="left" vertical="center" wrapText="1"/>
    </xf>
    <xf numFmtId="0" fontId="0" fillId="0" borderId="219" xfId="2" applyFont="1" applyBorder="1" applyAlignment="1">
      <alignment horizontal="left" vertical="center" wrapText="1"/>
    </xf>
    <xf numFmtId="0" fontId="0" fillId="0" borderId="222" xfId="2" applyFont="1" applyBorder="1" applyAlignment="1">
      <alignment horizontal="left" vertical="center" wrapText="1"/>
    </xf>
    <xf numFmtId="0" fontId="0" fillId="0" borderId="51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223" xfId="2" applyFont="1" applyBorder="1" applyAlignment="1">
      <alignment horizontal="left" vertical="center" wrapText="1"/>
    </xf>
    <xf numFmtId="0" fontId="0" fillId="0" borderId="278" xfId="2" applyFont="1" applyFill="1" applyBorder="1" applyAlignment="1">
      <alignment horizontal="left" vertical="center" shrinkToFit="1"/>
    </xf>
    <xf numFmtId="0" fontId="0" fillId="0" borderId="219" xfId="2" applyFont="1" applyFill="1" applyBorder="1" applyAlignment="1">
      <alignment horizontal="left" vertical="center" shrinkToFit="1"/>
    </xf>
    <xf numFmtId="0" fontId="0" fillId="0" borderId="219" xfId="2" applyFont="1" applyFill="1" applyBorder="1" applyAlignment="1">
      <alignment horizontal="center" vertical="center" wrapText="1"/>
    </xf>
    <xf numFmtId="0" fontId="0" fillId="0" borderId="219" xfId="2" applyFont="1" applyBorder="1" applyAlignment="1">
      <alignment horizontal="center" vertical="center" wrapText="1"/>
    </xf>
    <xf numFmtId="0" fontId="0" fillId="0" borderId="222" xfId="2" applyFont="1" applyBorder="1" applyAlignment="1">
      <alignment horizontal="center" vertical="center" wrapText="1"/>
    </xf>
    <xf numFmtId="0" fontId="0" fillId="0" borderId="51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23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1" fillId="0" borderId="219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221" xfId="2" applyFont="1" applyFill="1" applyBorder="1" applyAlignment="1">
      <alignment horizontal="left" vertical="center" shrinkToFit="1"/>
    </xf>
    <xf numFmtId="0" fontId="1" fillId="0" borderId="219" xfId="2" applyFont="1" applyFill="1" applyBorder="1" applyAlignment="1">
      <alignment horizontal="left" vertical="center" shrinkToFi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9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8" xfId="2" applyFont="1" applyBorder="1" applyAlignment="1">
      <alignment horizontal="center" vertical="center" textRotation="255" shrinkToFit="1"/>
    </xf>
    <xf numFmtId="0" fontId="8" fillId="0" borderId="54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7" xfId="2" applyFont="1" applyBorder="1" applyAlignment="1">
      <alignment horizontal="left"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0" fillId="0" borderId="87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184" fontId="8" fillId="0" borderId="47" xfId="2" applyNumberFormat="1" applyFont="1" applyBorder="1" applyAlignment="1">
      <alignment horizontal="center" vertical="center" wrapText="1"/>
    </xf>
    <xf numFmtId="0" fontId="8" fillId="0" borderId="274" xfId="2" applyFont="1" applyBorder="1" applyAlignment="1">
      <alignment horizontal="center" vertical="center" wrapText="1"/>
    </xf>
    <xf numFmtId="0" fontId="8" fillId="0" borderId="275" xfId="2" applyFont="1" applyBorder="1" applyAlignment="1">
      <alignment horizontal="center" vertical="center" wrapText="1"/>
    </xf>
    <xf numFmtId="0" fontId="8" fillId="0" borderId="269" xfId="2" applyFont="1" applyBorder="1" applyAlignment="1">
      <alignment horizontal="center" vertical="center" wrapText="1"/>
    </xf>
    <xf numFmtId="196" fontId="8" fillId="0" borderId="13" xfId="2" applyNumberFormat="1" applyFont="1" applyBorder="1" applyAlignment="1">
      <alignment horizontal="center" vertical="center" wrapText="1"/>
    </xf>
    <xf numFmtId="196" fontId="8" fillId="0" borderId="14" xfId="2" applyNumberFormat="1" applyFont="1" applyBorder="1" applyAlignment="1">
      <alignment horizontal="center" vertical="center" wrapText="1"/>
    </xf>
    <xf numFmtId="196" fontId="8" fillId="0" borderId="47" xfId="2" applyNumberFormat="1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shrinkToFit="1"/>
    </xf>
    <xf numFmtId="0" fontId="8" fillId="0" borderId="174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5" xfId="2" applyFont="1" applyBorder="1" applyAlignment="1">
      <alignment vertical="center" wrapText="1"/>
    </xf>
    <xf numFmtId="0" fontId="8" fillId="0" borderId="98" xfId="0" quotePrefix="1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wrapText="1" shrinkToFit="1"/>
    </xf>
    <xf numFmtId="0" fontId="1" fillId="0" borderId="7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1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0" xfId="2" applyNumberFormat="1" applyFont="1" applyBorder="1" applyAlignment="1">
      <alignment horizontal="center" vertical="center" wrapText="1"/>
    </xf>
    <xf numFmtId="0" fontId="8" fillId="0" borderId="163" xfId="2" applyFont="1" applyBorder="1" applyAlignment="1">
      <alignment horizontal="center" vertical="center" wrapText="1"/>
    </xf>
    <xf numFmtId="0" fontId="8" fillId="0" borderId="170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8" xfId="2" applyFont="1" applyBorder="1" applyAlignment="1">
      <alignment horizontal="center" vertical="center" wrapText="1"/>
    </xf>
    <xf numFmtId="196" fontId="8" fillId="0" borderId="25" xfId="2" applyNumberFormat="1" applyFont="1" applyBorder="1" applyAlignment="1">
      <alignment horizontal="center" vertical="center" wrapText="1"/>
    </xf>
    <xf numFmtId="196" fontId="8" fillId="0" borderId="26" xfId="2" applyNumberFormat="1" applyFont="1" applyBorder="1" applyAlignment="1">
      <alignment horizontal="center" vertical="center" wrapText="1"/>
    </xf>
    <xf numFmtId="196" fontId="8" fillId="0" borderId="118" xfId="2" applyNumberFormat="1" applyFont="1" applyBorder="1" applyAlignment="1">
      <alignment horizontal="center" vertical="center" wrapText="1"/>
    </xf>
    <xf numFmtId="0" fontId="8" fillId="0" borderId="230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32" xfId="2" applyFont="1" applyFill="1" applyBorder="1" applyAlignment="1">
      <alignment horizontal="center" vertical="center" textRotation="255" wrapText="1"/>
    </xf>
    <xf numFmtId="0" fontId="0" fillId="0" borderId="233" xfId="2" applyFont="1" applyFill="1" applyBorder="1" applyAlignment="1">
      <alignment horizontal="center" vertical="center" wrapText="1"/>
    </xf>
    <xf numFmtId="0" fontId="1" fillId="0" borderId="47" xfId="2" applyFont="1" applyFill="1" applyBorder="1" applyAlignment="1">
      <alignment horizontal="center" vertical="center"/>
    </xf>
    <xf numFmtId="0" fontId="1" fillId="0" borderId="234" xfId="2" applyFont="1" applyFill="1" applyBorder="1" applyAlignment="1">
      <alignment horizontal="center" vertical="center"/>
    </xf>
    <xf numFmtId="0" fontId="1" fillId="0" borderId="235" xfId="2" applyFont="1" applyFill="1" applyBorder="1" applyAlignment="1">
      <alignment horizontal="center" vertical="center"/>
    </xf>
    <xf numFmtId="0" fontId="1" fillId="0" borderId="234" xfId="2" applyFont="1" applyBorder="1" applyAlignment="1">
      <alignment horizontal="center" vertical="center"/>
    </xf>
    <xf numFmtId="0" fontId="1" fillId="0" borderId="235" xfId="2" applyFont="1" applyBorder="1" applyAlignment="1">
      <alignment horizontal="center" vertical="center"/>
    </xf>
    <xf numFmtId="0" fontId="8" fillId="0" borderId="265" xfId="2" applyFont="1" applyBorder="1" applyAlignment="1">
      <alignment horizontal="center" vertical="center" textRotation="255" wrapText="1"/>
    </xf>
    <xf numFmtId="0" fontId="1" fillId="0" borderId="268" xfId="2" applyFont="1" applyBorder="1" applyAlignment="1">
      <alignment horizontal="center" vertical="center"/>
    </xf>
    <xf numFmtId="0" fontId="1" fillId="0" borderId="269" xfId="2" applyFont="1" applyBorder="1" applyAlignment="1">
      <alignment horizontal="center" vertical="center"/>
    </xf>
    <xf numFmtId="0" fontId="1" fillId="0" borderId="270" xfId="2" applyFont="1" applyBorder="1" applyAlignment="1">
      <alignment horizontal="center" vertical="center"/>
    </xf>
    <xf numFmtId="0" fontId="1" fillId="0" borderId="271" xfId="2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180" fontId="0" fillId="0" borderId="108" xfId="1" applyNumberFormat="1" applyFont="1" applyBorder="1" applyAlignment="1">
      <alignment horizontal="center" vertical="center"/>
    </xf>
    <xf numFmtId="0" fontId="0" fillId="0" borderId="109" xfId="0" applyFont="1" applyBorder="1" applyAlignment="1">
      <alignment vertical="center"/>
    </xf>
    <xf numFmtId="0" fontId="0" fillId="0" borderId="104" xfId="0" applyFont="1" applyBorder="1" applyAlignment="1">
      <alignment horizontal="center" vertical="center" textRotation="255"/>
    </xf>
    <xf numFmtId="0" fontId="0" fillId="0" borderId="103" xfId="0" applyFont="1" applyBorder="1" applyAlignment="1">
      <alignment horizontal="center" vertical="center" textRotation="255"/>
    </xf>
    <xf numFmtId="0" fontId="0" fillId="0" borderId="105" xfId="0" applyFont="1" applyBorder="1" applyAlignment="1">
      <alignment horizontal="center" vertical="center" textRotation="255"/>
    </xf>
    <xf numFmtId="0" fontId="0" fillId="3" borderId="75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textRotation="255" wrapText="1"/>
    </xf>
    <xf numFmtId="0" fontId="0" fillId="0" borderId="40" xfId="0" applyFont="1" applyBorder="1" applyAlignment="1">
      <alignment horizontal="center" vertical="center" textRotation="255" wrapText="1"/>
    </xf>
    <xf numFmtId="0" fontId="0" fillId="0" borderId="116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8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1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5" xfId="0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10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textRotation="255"/>
    </xf>
    <xf numFmtId="0" fontId="0" fillId="4" borderId="35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78" xfId="0" applyNumberFormat="1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37" xfId="0" applyNumberFormat="1" applyFont="1" applyBorder="1" applyAlignment="1">
      <alignment horizontal="center" vertical="center"/>
    </xf>
    <xf numFmtId="176" fontId="0" fillId="0" borderId="208" xfId="0" applyNumberFormat="1" applyFont="1" applyBorder="1" applyAlignment="1">
      <alignment horizontal="center" vertical="center"/>
    </xf>
    <xf numFmtId="176" fontId="0" fillId="0" borderId="259" xfId="0" applyNumberFormat="1" applyFont="1" applyBorder="1" applyAlignment="1">
      <alignment horizontal="center" vertical="center"/>
    </xf>
    <xf numFmtId="176" fontId="0" fillId="0" borderId="260" xfId="0" applyNumberFormat="1" applyFont="1" applyBorder="1" applyAlignment="1">
      <alignment horizontal="center" vertical="center"/>
    </xf>
    <xf numFmtId="176" fontId="0" fillId="0" borderId="261" xfId="0" applyNumberFormat="1" applyFont="1" applyBorder="1" applyAlignment="1">
      <alignment horizontal="center" vertical="center"/>
    </xf>
    <xf numFmtId="176" fontId="0" fillId="0" borderId="211" xfId="0" applyNumberFormat="1" applyFont="1" applyBorder="1" applyAlignment="1">
      <alignment horizontal="center" vertical="center"/>
    </xf>
    <xf numFmtId="176" fontId="0" fillId="0" borderId="263" xfId="0" applyNumberFormat="1" applyFont="1" applyBorder="1" applyAlignment="1">
      <alignment horizontal="center" vertical="center"/>
    </xf>
    <xf numFmtId="176" fontId="0" fillId="0" borderId="189" xfId="0" applyNumberFormat="1" applyFont="1" applyBorder="1" applyAlignment="1">
      <alignment horizontal="center" vertical="center"/>
    </xf>
    <xf numFmtId="176" fontId="0" fillId="0" borderId="262" xfId="0" applyNumberFormat="1" applyFont="1" applyBorder="1" applyAlignment="1">
      <alignment horizontal="center" vertical="center"/>
    </xf>
    <xf numFmtId="176" fontId="0" fillId="0" borderId="2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176" fontId="0" fillId="0" borderId="183" xfId="0" applyNumberFormat="1" applyFont="1" applyBorder="1" applyAlignment="1">
      <alignment vertical="center" shrinkToFit="1"/>
    </xf>
    <xf numFmtId="176" fontId="0" fillId="0" borderId="214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9" fontId="0" fillId="0" borderId="84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84" xfId="0" applyNumberFormat="1" applyFont="1" applyFill="1" applyBorder="1" applyAlignment="1">
      <alignment vertical="center" shrinkToFit="1"/>
    </xf>
    <xf numFmtId="9" fontId="0" fillId="0" borderId="183" xfId="0" applyNumberFormat="1" applyFont="1" applyBorder="1" applyAlignment="1">
      <alignment vertical="center" shrinkToFit="1"/>
    </xf>
    <xf numFmtId="9" fontId="0" fillId="0" borderId="214" xfId="0" applyNumberFormat="1" applyFont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9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0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Fill="1" applyBorder="1" applyAlignment="1">
      <alignment horizontal="center" vertical="center" shrinkToFit="1"/>
    </xf>
    <xf numFmtId="177" fontId="0" fillId="0" borderId="127" xfId="0" applyNumberFormat="1" applyFont="1" applyBorder="1" applyAlignment="1">
      <alignment vertical="center"/>
    </xf>
    <xf numFmtId="177" fontId="0" fillId="0" borderId="132" xfId="0" applyNumberFormat="1" applyFont="1" applyBorder="1" applyAlignment="1">
      <alignment vertical="center"/>
    </xf>
    <xf numFmtId="177" fontId="0" fillId="0" borderId="150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4" xfId="0" applyNumberFormat="1" applyFill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9" xfId="0" applyNumberFormat="1" applyBorder="1" applyAlignment="1">
      <alignment horizontal="center" vertical="center" textRotation="255" shrinkToFit="1"/>
    </xf>
    <xf numFmtId="177" fontId="0" fillId="0" borderId="104" xfId="3" applyNumberFormat="1" applyFont="1" applyBorder="1" applyAlignment="1">
      <alignment horizontal="center" vertical="center" textRotation="255"/>
    </xf>
    <xf numFmtId="177" fontId="0" fillId="0" borderId="103" xfId="3" applyNumberFormat="1" applyFont="1" applyBorder="1" applyAlignment="1">
      <alignment horizontal="center" vertical="center" textRotation="255"/>
    </xf>
    <xf numFmtId="177" fontId="0" fillId="0" borderId="105" xfId="3" applyNumberFormat="1" applyFont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77" fontId="0" fillId="0" borderId="87" xfId="0" applyNumberFormat="1" applyFont="1" applyFill="1" applyBorder="1" applyAlignment="1">
      <alignment vertical="center" shrinkToFit="1"/>
    </xf>
    <xf numFmtId="0" fontId="0" fillId="0" borderId="134" xfId="0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76" xfId="0" applyFont="1" applyFill="1" applyBorder="1" applyAlignment="1">
      <alignment horizontal="center" vertical="center" textRotation="255" wrapText="1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2" borderId="136" xfId="0" applyNumberFormat="1" applyFill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236" xfId="0" applyNumberFormat="1" applyFont="1" applyBorder="1" applyAlignment="1">
      <alignment horizontal="center" vertical="center" shrinkToFit="1"/>
    </xf>
    <xf numFmtId="177" fontId="0" fillId="0" borderId="227" xfId="0" applyNumberFormat="1" applyFont="1" applyFill="1" applyBorder="1" applyAlignment="1">
      <alignment horizontal="center" vertical="center" shrinkToFit="1"/>
    </xf>
    <xf numFmtId="177" fontId="0" fillId="0" borderId="146" xfId="0" applyNumberFormat="1" applyFont="1" applyFill="1" applyBorder="1" applyAlignment="1">
      <alignment horizontal="center" vertical="center" shrinkToFit="1"/>
    </xf>
    <xf numFmtId="177" fontId="0" fillId="0" borderId="163" xfId="0" applyNumberFormat="1" applyFont="1" applyFill="1" applyBorder="1" applyAlignment="1">
      <alignment vertical="center" shrinkToFit="1"/>
    </xf>
    <xf numFmtId="177" fontId="0" fillId="0" borderId="171" xfId="0" applyNumberFormat="1" applyFont="1" applyFill="1" applyBorder="1" applyAlignment="1">
      <alignment vertical="center" shrinkToFit="1"/>
    </xf>
    <xf numFmtId="177" fontId="0" fillId="0" borderId="163" xfId="0" applyNumberFormat="1" applyFill="1" applyBorder="1" applyAlignment="1">
      <alignment vertical="center" shrinkToFit="1"/>
    </xf>
    <xf numFmtId="177" fontId="0" fillId="0" borderId="170" xfId="0" applyNumberFormat="1" applyFont="1" applyFill="1" applyBorder="1" applyAlignment="1">
      <alignment vertical="center" shrinkToFit="1"/>
    </xf>
    <xf numFmtId="177" fontId="0" fillId="0" borderId="163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7" fontId="0" fillId="0" borderId="171" xfId="0" applyNumberFormat="1" applyFont="1" applyFill="1" applyBorder="1" applyAlignment="1">
      <alignment vertical="center"/>
    </xf>
    <xf numFmtId="177" fontId="0" fillId="0" borderId="163" xfId="0" applyNumberFormat="1" applyFont="1" applyBorder="1" applyAlignment="1">
      <alignment vertical="center"/>
    </xf>
    <xf numFmtId="177" fontId="0" fillId="0" borderId="170" xfId="0" applyNumberFormat="1" applyFont="1" applyBorder="1" applyAlignment="1">
      <alignment vertical="center"/>
    </xf>
    <xf numFmtId="177" fontId="0" fillId="0" borderId="171" xfId="0" applyNumberFormat="1" applyFont="1" applyBorder="1" applyAlignment="1">
      <alignment vertical="center"/>
    </xf>
    <xf numFmtId="177" fontId="0" fillId="0" borderId="163" xfId="0" applyNumberFormat="1" applyFont="1" applyFill="1" applyBorder="1" applyAlignment="1">
      <alignment horizontal="center" vertical="center"/>
    </xf>
    <xf numFmtId="177" fontId="0" fillId="0" borderId="170" xfId="0" applyNumberFormat="1" applyFont="1" applyFill="1" applyBorder="1" applyAlignment="1">
      <alignment horizontal="center" vertical="center"/>
    </xf>
    <xf numFmtId="177" fontId="0" fillId="0" borderId="171" xfId="0" applyNumberFormat="1" applyFont="1" applyFill="1" applyBorder="1" applyAlignment="1">
      <alignment horizontal="center" vertical="center"/>
    </xf>
    <xf numFmtId="177" fontId="0" fillId="0" borderId="236" xfId="0" applyNumberFormat="1" applyFont="1" applyFill="1" applyBorder="1" applyAlignment="1">
      <alignment vertical="center" shrinkToFit="1"/>
    </xf>
    <xf numFmtId="177" fontId="0" fillId="0" borderId="170" xfId="0" applyNumberFormat="1" applyFill="1" applyBorder="1" applyAlignment="1">
      <alignment vertical="center" shrinkToFit="1"/>
    </xf>
    <xf numFmtId="177" fontId="0" fillId="0" borderId="171" xfId="0" applyNumberFormat="1" applyFill="1" applyBorder="1" applyAlignment="1">
      <alignment vertical="center" shrinkToFit="1"/>
    </xf>
    <xf numFmtId="177" fontId="0" fillId="0" borderId="25" xfId="0" applyNumberFormat="1" applyFill="1" applyBorder="1" applyAlignment="1">
      <alignment horizontal="left" vertical="center" wrapText="1"/>
    </xf>
    <xf numFmtId="177" fontId="0" fillId="0" borderId="26" xfId="0" applyNumberFormat="1" applyFill="1" applyBorder="1" applyAlignment="1">
      <alignment horizontal="left" vertical="center" wrapText="1"/>
    </xf>
    <xf numFmtId="177" fontId="0" fillId="0" borderId="29" xfId="0" applyNumberFormat="1" applyFill="1" applyBorder="1" applyAlignment="1">
      <alignment horizontal="left" vertical="center" wrapText="1"/>
    </xf>
    <xf numFmtId="177" fontId="0" fillId="0" borderId="227" xfId="0" applyNumberFormat="1" applyFill="1" applyBorder="1" applyAlignment="1">
      <alignment horizontal="left" vertical="center" wrapText="1"/>
    </xf>
    <xf numFmtId="177" fontId="0" fillId="0" borderId="145" xfId="0" applyNumberFormat="1" applyFill="1" applyBorder="1" applyAlignment="1">
      <alignment horizontal="left" vertical="center" wrapText="1"/>
    </xf>
    <xf numFmtId="177" fontId="0" fillId="0" borderId="146" xfId="0" applyNumberFormat="1" applyFill="1" applyBorder="1" applyAlignment="1">
      <alignment horizontal="left" vertical="center" wrapText="1"/>
    </xf>
    <xf numFmtId="177" fontId="0" fillId="0" borderId="183" xfId="0" applyNumberFormat="1" applyFont="1" applyFill="1" applyBorder="1" applyAlignment="1">
      <alignment vertical="center" shrinkToFit="1"/>
    </xf>
    <xf numFmtId="177" fontId="0" fillId="0" borderId="214" xfId="0" applyNumberFormat="1" applyFont="1" applyFill="1" applyBorder="1" applyAlignment="1">
      <alignment vertical="center" shrinkToFit="1"/>
    </xf>
    <xf numFmtId="177" fontId="19" fillId="0" borderId="281" xfId="0" applyNumberFormat="1" applyFont="1" applyFill="1" applyBorder="1" applyAlignment="1">
      <alignment horizontal="center" vertical="center"/>
    </xf>
    <xf numFmtId="0" fontId="0" fillId="0" borderId="162" xfId="0" applyFont="1" applyBorder="1" applyAlignment="1">
      <alignment vertical="center"/>
    </xf>
    <xf numFmtId="0" fontId="0" fillId="0" borderId="229" xfId="0" applyFont="1" applyBorder="1" applyAlignment="1">
      <alignment vertical="center"/>
    </xf>
    <xf numFmtId="0" fontId="0" fillId="0" borderId="279" xfId="0" applyFill="1" applyBorder="1" applyAlignment="1">
      <alignment horizontal="center" vertical="center" wrapText="1"/>
    </xf>
    <xf numFmtId="0" fontId="0" fillId="0" borderId="180" xfId="0" applyFont="1" applyFill="1" applyBorder="1" applyAlignment="1">
      <alignment horizontal="center" vertical="center" wrapText="1"/>
    </xf>
    <xf numFmtId="0" fontId="0" fillId="0" borderId="162" xfId="0" applyFont="1" applyFill="1" applyBorder="1" applyAlignment="1">
      <alignment horizontal="center" vertical="center" wrapText="1"/>
    </xf>
    <xf numFmtId="177" fontId="0" fillId="0" borderId="183" xfId="0" applyNumberFormat="1" applyFill="1" applyBorder="1" applyAlignment="1">
      <alignment horizontal="center" vertical="center" textRotation="255" shrinkToFit="1"/>
    </xf>
    <xf numFmtId="177" fontId="0" fillId="0" borderId="214" xfId="0" applyNumberFormat="1" applyFill="1" applyBorder="1" applyAlignment="1">
      <alignment horizontal="center" vertical="center" textRotation="255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177" fontId="0" fillId="2" borderId="165" xfId="0" applyNumberFormat="1" applyFont="1" applyFill="1" applyBorder="1" applyAlignment="1">
      <alignment horizontal="center" vertical="center" shrinkToFit="1"/>
    </xf>
    <xf numFmtId="3" fontId="0" fillId="0" borderId="49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31" xfId="5" applyNumberFormat="1" applyFont="1" applyFill="1" applyBorder="1" applyAlignment="1">
      <alignment horizontal="center" vertical="center" shrinkToFit="1"/>
    </xf>
    <xf numFmtId="177" fontId="0" fillId="0" borderId="168" xfId="3" applyNumberFormat="1" applyFont="1" applyBorder="1" applyAlignment="1">
      <alignment horizontal="center" vertical="center" shrinkToFit="1"/>
    </xf>
    <xf numFmtId="177" fontId="0" fillId="0" borderId="103" xfId="3" applyNumberFormat="1" applyFont="1" applyBorder="1" applyAlignment="1">
      <alignment horizontal="center" vertical="center" shrinkToFit="1"/>
    </xf>
    <xf numFmtId="177" fontId="0" fillId="0" borderId="169" xfId="3" applyNumberFormat="1" applyFont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6" fontId="0" fillId="0" borderId="184" xfId="0" applyNumberFormat="1" applyFont="1" applyFill="1" applyBorder="1" applyAlignment="1">
      <alignment horizontal="center" vertical="center" shrinkToFit="1"/>
    </xf>
    <xf numFmtId="176" fontId="0" fillId="0" borderId="180" xfId="0" applyNumberFormat="1" applyFont="1" applyFill="1" applyBorder="1" applyAlignment="1">
      <alignment horizontal="center" vertical="center" shrinkToFit="1"/>
    </xf>
    <xf numFmtId="176" fontId="0" fillId="0" borderId="185" xfId="0" applyNumberFormat="1" applyFont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180" xfId="0" applyNumberFormat="1" applyFont="1" applyBorder="1" applyAlignment="1">
      <alignment horizontal="center" vertical="center" shrinkToFit="1"/>
    </xf>
    <xf numFmtId="176" fontId="0" fillId="0" borderId="104" xfId="0" applyNumberFormat="1" applyFont="1" applyBorder="1" applyAlignment="1">
      <alignment horizontal="center" vertical="center" textRotation="255" shrinkToFit="1"/>
    </xf>
    <xf numFmtId="176" fontId="0" fillId="0" borderId="186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47" xfId="0" applyNumberFormat="1" applyFont="1" applyFill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textRotation="255" shrinkToFit="1"/>
    </xf>
    <xf numFmtId="176" fontId="0" fillId="0" borderId="190" xfId="0" applyNumberFormat="1" applyFont="1" applyBorder="1" applyAlignment="1">
      <alignment horizontal="center" vertical="center" textRotation="255" shrinkToFit="1"/>
    </xf>
    <xf numFmtId="176" fontId="0" fillId="0" borderId="201" xfId="0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6" fontId="0" fillId="2" borderId="127" xfId="0" applyNumberFormat="1" applyFont="1" applyFill="1" applyBorder="1" applyAlignment="1">
      <alignment horizontal="center" vertical="center" shrinkToFit="1"/>
    </xf>
    <xf numFmtId="176" fontId="0" fillId="2" borderId="83" xfId="0" applyNumberFormat="1" applyFont="1" applyFill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vertical="center" shrinkToFit="1"/>
    </xf>
    <xf numFmtId="176" fontId="0" fillId="0" borderId="48" xfId="0" applyNumberFormat="1" applyFont="1" applyBorder="1" applyAlignment="1">
      <alignment vertical="center"/>
    </xf>
    <xf numFmtId="176" fontId="0" fillId="0" borderId="156" xfId="0" applyNumberFormat="1" applyFont="1" applyBorder="1" applyAlignment="1">
      <alignment vertical="center"/>
    </xf>
    <xf numFmtId="177" fontId="0" fillId="0" borderId="155" xfId="3" applyNumberFormat="1" applyFont="1" applyBorder="1" applyAlignment="1">
      <alignment horizontal="center" vertical="center" textRotation="255" shrinkToFit="1"/>
    </xf>
    <xf numFmtId="177" fontId="0" fillId="0" borderId="96" xfId="3" applyNumberFormat="1" applyFont="1" applyBorder="1" applyAlignment="1">
      <alignment horizontal="center" vertical="center" textRotation="255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6" fontId="0" fillId="0" borderId="158" xfId="3" applyNumberFormat="1" applyFont="1" applyFill="1" applyBorder="1" applyAlignment="1">
      <alignment vertical="center" shrinkToFit="1"/>
    </xf>
    <xf numFmtId="176" fontId="0" fillId="0" borderId="159" xfId="3" applyNumberFormat="1" applyFont="1" applyFill="1" applyBorder="1" applyAlignment="1">
      <alignment vertical="center" shrinkToFit="1"/>
    </xf>
    <xf numFmtId="176" fontId="0" fillId="0" borderId="217" xfId="3" applyNumberFormat="1" applyFont="1" applyFill="1" applyBorder="1" applyAlignment="1">
      <alignment vertical="center" shrinkToFit="1"/>
    </xf>
    <xf numFmtId="176" fontId="0" fillId="0" borderId="216" xfId="3" applyNumberFormat="1" applyFont="1" applyFill="1" applyBorder="1" applyAlignment="1">
      <alignment vertical="center" shrinkToFit="1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7" fontId="0" fillId="0" borderId="152" xfId="3" applyNumberFormat="1" applyFont="1" applyBorder="1" applyAlignment="1">
      <alignment horizontal="center" vertical="center" shrinkToFit="1"/>
    </xf>
    <xf numFmtId="177" fontId="0" fillId="0" borderId="161" xfId="3" applyNumberFormat="1" applyFont="1" applyBorder="1" applyAlignment="1">
      <alignment horizontal="center" vertical="center" shrinkToFit="1"/>
    </xf>
    <xf numFmtId="177" fontId="0" fillId="0" borderId="103" xfId="3" applyNumberFormat="1" applyFont="1" applyBorder="1" applyAlignment="1">
      <alignment horizontal="center" vertical="center" textRotation="255" shrinkToFit="1"/>
    </xf>
    <xf numFmtId="177" fontId="0" fillId="0" borderId="161" xfId="3" applyNumberFormat="1" applyFont="1" applyBorder="1" applyAlignment="1">
      <alignment horizontal="center" vertical="center" textRotation="255" shrinkToFit="1"/>
    </xf>
    <xf numFmtId="177" fontId="0" fillId="0" borderId="153" xfId="3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189" xfId="0" applyNumberFormat="1" applyFont="1" applyBorder="1" applyAlignment="1">
      <alignment horizontal="center" vertical="center" textRotation="255" shrinkToFit="1"/>
    </xf>
    <xf numFmtId="176" fontId="0" fillId="0" borderId="191" xfId="0" applyNumberFormat="1" applyFont="1" applyBorder="1" applyAlignment="1">
      <alignment horizontal="center" vertical="center" textRotation="255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2" xfId="3" applyNumberFormat="1" applyFont="1" applyBorder="1" applyAlignment="1">
      <alignment horizontal="center" vertical="center" shrinkToFit="1"/>
    </xf>
    <xf numFmtId="176" fontId="0" fillId="0" borderId="195" xfId="0" applyNumberFormat="1" applyFont="1" applyBorder="1" applyAlignment="1">
      <alignment horizontal="center" vertical="center" textRotation="255" shrinkToFit="1"/>
    </xf>
    <xf numFmtId="177" fontId="0" fillId="0" borderId="163" xfId="0" applyNumberFormat="1" applyFont="1" applyFill="1" applyBorder="1" applyAlignment="1">
      <alignment horizontal="center" vertical="center" shrinkToFit="1"/>
    </xf>
    <xf numFmtId="177" fontId="0" fillId="0" borderId="163" xfId="0" applyNumberFormat="1" applyFont="1" applyBorder="1" applyAlignment="1">
      <alignment horizontal="center" vertical="center" shrinkToFit="1"/>
    </xf>
    <xf numFmtId="176" fontId="0" fillId="0" borderId="241" xfId="0" applyNumberFormat="1" applyFont="1" applyBorder="1" applyAlignment="1">
      <alignment horizontal="center" vertical="center" textRotation="255" shrinkToFit="1"/>
    </xf>
    <xf numFmtId="176" fontId="0" fillId="0" borderId="242" xfId="0" applyNumberFormat="1" applyFont="1" applyBorder="1" applyAlignment="1">
      <alignment horizontal="center" vertical="center" textRotation="255" shrinkToFit="1"/>
    </xf>
    <xf numFmtId="177" fontId="0" fillId="0" borderId="175" xfId="0" applyNumberFormat="1" applyFont="1" applyBorder="1" applyAlignment="1">
      <alignment horizontal="center" vertical="center" shrinkToFit="1"/>
    </xf>
    <xf numFmtId="176" fontId="0" fillId="0" borderId="243" xfId="0" applyNumberFormat="1" applyFont="1" applyBorder="1" applyAlignment="1">
      <alignment horizontal="center" vertical="center" textRotation="255" shrinkToFit="1"/>
    </xf>
    <xf numFmtId="0" fontId="0" fillId="0" borderId="103" xfId="0" applyFont="1" applyBorder="1">
      <alignment vertical="center"/>
    </xf>
    <xf numFmtId="0" fontId="0" fillId="0" borderId="161" xfId="0" applyFont="1" applyBorder="1">
      <alignment vertical="center"/>
    </xf>
    <xf numFmtId="176" fontId="0" fillId="2" borderId="162" xfId="0" applyNumberFormat="1" applyFont="1" applyFill="1" applyBorder="1" applyAlignment="1">
      <alignment vertical="center" shrinkToFit="1"/>
    </xf>
    <xf numFmtId="176" fontId="0" fillId="0" borderId="162" xfId="0" applyNumberFormat="1" applyFont="1" applyBorder="1" applyAlignment="1">
      <alignment vertical="center"/>
    </xf>
    <xf numFmtId="177" fontId="0" fillId="2" borderId="234" xfId="0" applyNumberFormat="1" applyFont="1" applyFill="1" applyBorder="1" applyAlignment="1">
      <alignment horizontal="center" vertical="center" shrinkToFit="1"/>
    </xf>
    <xf numFmtId="177" fontId="0" fillId="2" borderId="235" xfId="0" applyNumberFormat="1" applyFont="1" applyFill="1" applyBorder="1" applyAlignment="1">
      <alignment horizontal="center" vertical="center" shrinkToFit="1"/>
    </xf>
    <xf numFmtId="176" fontId="0" fillId="2" borderId="196" xfId="0" applyNumberFormat="1" applyFont="1" applyFill="1" applyBorder="1" applyAlignment="1">
      <alignment horizontal="center" vertical="center" shrinkToFit="1"/>
    </xf>
    <xf numFmtId="176" fontId="0" fillId="2" borderId="235" xfId="0" applyNumberFormat="1" applyFont="1" applyFill="1" applyBorder="1" applyAlignment="1">
      <alignment horizontal="center" vertical="center" shrinkToFit="1"/>
    </xf>
    <xf numFmtId="177" fontId="0" fillId="2" borderId="245" xfId="0" applyNumberFormat="1" applyFont="1" applyFill="1" applyBorder="1" applyAlignment="1">
      <alignment horizontal="center" vertical="center" shrinkToFit="1"/>
    </xf>
    <xf numFmtId="177" fontId="0" fillId="2" borderId="197" xfId="0" applyNumberFormat="1" applyFont="1" applyFill="1" applyBorder="1" applyAlignment="1">
      <alignment horizontal="center" vertical="center" shrinkToFit="1"/>
    </xf>
    <xf numFmtId="3" fontId="0" fillId="0" borderId="180" xfId="5" applyNumberFormat="1" applyFont="1" applyFill="1" applyBorder="1" applyAlignment="1">
      <alignment horizontal="center" vertical="center" shrinkToFit="1"/>
    </xf>
    <xf numFmtId="177" fontId="0" fillId="0" borderId="151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1" fillId="7" borderId="254" xfId="0" applyNumberFormat="1" applyFont="1" applyFill="1" applyBorder="1" applyAlignment="1">
      <alignment horizontal="center" vertical="center"/>
    </xf>
    <xf numFmtId="176" fontId="1" fillId="7" borderId="174" xfId="0" applyNumberFormat="1" applyFont="1" applyFill="1" applyBorder="1" applyAlignment="1">
      <alignment horizontal="center" vertical="center"/>
    </xf>
    <xf numFmtId="176" fontId="1" fillId="0" borderId="123" xfId="0" applyNumberFormat="1" applyFont="1" applyBorder="1" applyAlignment="1">
      <alignment horizontal="center" vertical="center" shrinkToFit="1"/>
    </xf>
    <xf numFmtId="176" fontId="1" fillId="0" borderId="84" xfId="0" applyNumberFormat="1" applyFont="1" applyBorder="1" applyAlignment="1">
      <alignment horizontal="center" vertical="center" shrinkToFit="1"/>
    </xf>
    <xf numFmtId="176" fontId="0" fillId="0" borderId="54" xfId="0" applyNumberFormat="1" applyBorder="1" applyAlignment="1">
      <alignment horizontal="center" vertical="center" textRotation="255" shrinkToFit="1"/>
    </xf>
    <xf numFmtId="176" fontId="0" fillId="0" borderId="79" xfId="0" applyNumberFormat="1" applyBorder="1" applyAlignment="1">
      <alignment horizontal="center" vertical="center" textRotation="255" shrinkToFit="1"/>
    </xf>
    <xf numFmtId="176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0" fillId="0" borderId="78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176" fontId="0" fillId="0" borderId="123" xfId="0" applyNumberFormat="1" applyBorder="1" applyAlignment="1">
      <alignment horizontal="center" vertical="center" shrinkToFit="1"/>
    </xf>
    <xf numFmtId="176" fontId="0" fillId="0" borderId="84" xfId="0" applyNumberFormat="1" applyBorder="1" applyAlignment="1">
      <alignment horizontal="center" vertical="center" shrinkToFit="1"/>
    </xf>
    <xf numFmtId="176" fontId="1" fillId="0" borderId="70" xfId="0" applyNumberFormat="1" applyFont="1" applyBorder="1" applyAlignment="1">
      <alignment horizontal="center" vertical="center" shrinkToFit="1"/>
    </xf>
    <xf numFmtId="176" fontId="1" fillId="0" borderId="80" xfId="0" applyNumberFormat="1" applyFont="1" applyBorder="1" applyAlignment="1">
      <alignment horizontal="center" vertical="center" shrinkToFit="1"/>
    </xf>
    <xf numFmtId="176" fontId="1" fillId="0" borderId="214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left" vertical="center" wrapText="1"/>
    </xf>
    <xf numFmtId="176" fontId="0" fillId="0" borderId="214" xfId="0" applyNumberFormat="1" applyBorder="1" applyAlignment="1">
      <alignment horizontal="center" vertical="center" shrinkToFit="1"/>
    </xf>
  </cellXfs>
  <cellStyles count="14">
    <cellStyle name="パーセント" xfId="4" builtinId="5"/>
    <cellStyle name="パーセント 2" xfId="6"/>
    <cellStyle name="ハイパーリンク_20101209　経営改善計画検討手順（素案）" xfId="12"/>
    <cellStyle name="桁区切り" xfId="1" builtinId="6"/>
    <cellStyle name="桁区切り 2" xfId="7"/>
    <cellStyle name="桁区切り 3" xfId="13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6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18</xdr:row>
      <xdr:rowOff>0</xdr:rowOff>
    </xdr:from>
    <xdr:to>
      <xdr:col>28</xdr:col>
      <xdr:colOff>13747</xdr:colOff>
      <xdr:row>19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122465</xdr:colOff>
      <xdr:row>12</xdr:row>
      <xdr:rowOff>27214</xdr:rowOff>
    </xdr:from>
    <xdr:to>
      <xdr:col>30</xdr:col>
      <xdr:colOff>27215</xdr:colOff>
      <xdr:row>12</xdr:row>
      <xdr:rowOff>190499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456965" y="3048000"/>
          <a:ext cx="449036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12</xdr:row>
      <xdr:rowOff>108857</xdr:rowOff>
    </xdr:from>
    <xdr:to>
      <xdr:col>28</xdr:col>
      <xdr:colOff>122465</xdr:colOff>
      <xdr:row>12</xdr:row>
      <xdr:rowOff>127003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676900" y="3129643"/>
          <a:ext cx="3780065" cy="181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40821</xdr:colOff>
      <xdr:row>14</xdr:row>
      <xdr:rowOff>54428</xdr:rowOff>
    </xdr:from>
    <xdr:to>
      <xdr:col>33</xdr:col>
      <xdr:colOff>258535</xdr:colOff>
      <xdr:row>14</xdr:row>
      <xdr:rowOff>190500</xdr:rowOff>
    </xdr:to>
    <xdr:sp macro="" textlink="">
      <xdr:nvSpPr>
        <xdr:cNvPr id="8" name="Rectangle 8" descr="10%"/>
        <xdr:cNvSpPr>
          <a:spLocks noChangeArrowheads="1"/>
        </xdr:cNvSpPr>
      </xdr:nvSpPr>
      <xdr:spPr bwMode="auto">
        <a:xfrm>
          <a:off x="10463892" y="3565071"/>
          <a:ext cx="489857" cy="136072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149678</xdr:colOff>
      <xdr:row>14</xdr:row>
      <xdr:rowOff>122464</xdr:rowOff>
    </xdr:from>
    <xdr:to>
      <xdr:col>32</xdr:col>
      <xdr:colOff>40821</xdr:colOff>
      <xdr:row>14</xdr:row>
      <xdr:rowOff>149678</xdr:rowOff>
    </xdr:to>
    <xdr:cxnSp macro="">
      <xdr:nvCxnSpPr>
        <xdr:cNvPr id="10" name="直線コネクタ 9"/>
        <xdr:cNvCxnSpPr>
          <a:endCxn id="8" idx="1"/>
        </xdr:cNvCxnSpPr>
      </xdr:nvCxnSpPr>
      <xdr:spPr>
        <a:xfrm flipV="1">
          <a:off x="6490607" y="3633107"/>
          <a:ext cx="3973285" cy="272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81643</xdr:colOff>
      <xdr:row>13</xdr:row>
      <xdr:rowOff>27216</xdr:rowOff>
    </xdr:from>
    <xdr:to>
      <xdr:col>35</xdr:col>
      <xdr:colOff>190499</xdr:colOff>
      <xdr:row>13</xdr:row>
      <xdr:rowOff>190500</xdr:rowOff>
    </xdr:to>
    <xdr:sp macro="" textlink="">
      <xdr:nvSpPr>
        <xdr:cNvPr id="11" name="Rectangle 8" descr="10%"/>
        <xdr:cNvSpPr>
          <a:spLocks noChangeArrowheads="1"/>
        </xdr:cNvSpPr>
      </xdr:nvSpPr>
      <xdr:spPr bwMode="auto">
        <a:xfrm>
          <a:off x="10776857" y="3292930"/>
          <a:ext cx="653142" cy="163284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176893</xdr:colOff>
      <xdr:row>13</xdr:row>
      <xdr:rowOff>108858</xdr:rowOff>
    </xdr:from>
    <xdr:to>
      <xdr:col>33</xdr:col>
      <xdr:colOff>81643</xdr:colOff>
      <xdr:row>13</xdr:row>
      <xdr:rowOff>122465</xdr:rowOff>
    </xdr:to>
    <xdr:cxnSp macro="">
      <xdr:nvCxnSpPr>
        <xdr:cNvPr id="12" name="直線コネクタ 11"/>
        <xdr:cNvCxnSpPr>
          <a:endCxn id="11" idx="1"/>
        </xdr:cNvCxnSpPr>
      </xdr:nvCxnSpPr>
      <xdr:spPr>
        <a:xfrm flipV="1">
          <a:off x="7062107" y="3374572"/>
          <a:ext cx="3714750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18</xdr:row>
      <xdr:rowOff>47625</xdr:rowOff>
    </xdr:from>
    <xdr:to>
      <xdr:col>7</xdr:col>
      <xdr:colOff>62681</xdr:colOff>
      <xdr:row>18</xdr:row>
      <xdr:rowOff>203894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076825"/>
          <a:ext cx="215081" cy="156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15</xdr:row>
      <xdr:rowOff>56029</xdr:rowOff>
    </xdr:from>
    <xdr:to>
      <xdr:col>41</xdr:col>
      <xdr:colOff>161925</xdr:colOff>
      <xdr:row>15</xdr:row>
      <xdr:rowOff>213419</xdr:rowOff>
    </xdr:to>
    <xdr:grpSp>
      <xdr:nvGrpSpPr>
        <xdr:cNvPr id="5" name="グループ化 4"/>
        <xdr:cNvGrpSpPr/>
      </xdr:nvGrpSpPr>
      <xdr:grpSpPr>
        <a:xfrm>
          <a:off x="3141133" y="3933762"/>
          <a:ext cx="8704792" cy="157390"/>
          <a:chOff x="3419475" y="3846979"/>
          <a:chExt cx="9448800" cy="157390"/>
        </a:xfrm>
      </xdr:grpSpPr>
      <xdr:sp macro="" textlink="">
        <xdr:nvSpPr>
          <xdr:cNvPr id="9" name="Rectangle 8" descr="10%"/>
          <xdr:cNvSpPr>
            <a:spLocks noChangeArrowheads="1"/>
          </xdr:cNvSpPr>
        </xdr:nvSpPr>
        <xdr:spPr bwMode="auto">
          <a:xfrm>
            <a:off x="9306485" y="3846979"/>
            <a:ext cx="1790700" cy="145677"/>
          </a:xfrm>
          <a:prstGeom prst="rect">
            <a:avLst/>
          </a:prstGeom>
          <a:solidFill>
            <a:schemeClr val="tx1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" name="グループ化 2"/>
          <xdr:cNvGrpSpPr/>
        </xdr:nvGrpSpPr>
        <xdr:grpSpPr>
          <a:xfrm>
            <a:off x="3667125" y="3848100"/>
            <a:ext cx="767531" cy="156269"/>
            <a:chOff x="3886200" y="3790950"/>
            <a:chExt cx="767531" cy="156269"/>
          </a:xfrm>
        </xdr:grpSpPr>
        <xdr:grpSp>
          <xdr:nvGrpSpPr>
            <xdr:cNvPr id="2" name="グループ化 1"/>
            <xdr:cNvGrpSpPr/>
          </xdr:nvGrpSpPr>
          <xdr:grpSpPr>
            <a:xfrm>
              <a:off x="3886200" y="3790950"/>
              <a:ext cx="500831" cy="156269"/>
              <a:chOff x="3886200" y="3790950"/>
              <a:chExt cx="500831" cy="156269"/>
            </a:xfrm>
          </xdr:grpSpPr>
          <xdr:pic>
            <xdr:nvPicPr>
              <xdr:cNvPr id="14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86200" y="3790950"/>
                <a:ext cx="215081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5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71950" y="3790950"/>
                <a:ext cx="215081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38650" y="3790950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6" name="直線コネクタ 5"/>
          <xdr:cNvCxnSpPr/>
        </xdr:nvCxnSpPr>
        <xdr:spPr>
          <a:xfrm>
            <a:off x="4543425" y="3924300"/>
            <a:ext cx="4619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 flipV="1">
            <a:off x="11182350" y="3905250"/>
            <a:ext cx="1685925" cy="9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3419475" y="3924300"/>
            <a:ext cx="161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134470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496735" y="1311088"/>
          <a:ext cx="5177118" cy="52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5</xdr:row>
      <xdr:rowOff>139700</xdr:rowOff>
    </xdr:from>
    <xdr:to>
      <xdr:col>29</xdr:col>
      <xdr:colOff>447675</xdr:colOff>
      <xdr:row>5</xdr:row>
      <xdr:rowOff>142875</xdr:rowOff>
    </xdr:to>
    <xdr:cxnSp macro="">
      <xdr:nvCxnSpPr>
        <xdr:cNvPr id="2" name="直線コネクタ 1"/>
        <xdr:cNvCxnSpPr/>
      </xdr:nvCxnSpPr>
      <xdr:spPr>
        <a:xfrm flipV="1">
          <a:off x="10258425" y="1320800"/>
          <a:ext cx="46386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130175</xdr:rowOff>
    </xdr:from>
    <xdr:to>
      <xdr:col>28</xdr:col>
      <xdr:colOff>9525</xdr:colOff>
      <xdr:row>5</xdr:row>
      <xdr:rowOff>133350</xdr:rowOff>
    </xdr:to>
    <xdr:cxnSp macro="">
      <xdr:nvCxnSpPr>
        <xdr:cNvPr id="2" name="直線コネクタ 1"/>
        <xdr:cNvCxnSpPr/>
      </xdr:nvCxnSpPr>
      <xdr:spPr>
        <a:xfrm flipV="1">
          <a:off x="9315450" y="1311275"/>
          <a:ext cx="46767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38</xdr:col>
      <xdr:colOff>13607</xdr:colOff>
      <xdr:row>5</xdr:row>
      <xdr:rowOff>13607</xdr:rowOff>
    </xdr:to>
    <xdr:grpSp>
      <xdr:nvGrpSpPr>
        <xdr:cNvPr id="12" name="グループ化 11"/>
        <xdr:cNvGrpSpPr/>
      </xdr:nvGrpSpPr>
      <xdr:grpSpPr>
        <a:xfrm>
          <a:off x="1701800" y="1083733"/>
          <a:ext cx="15253607" cy="267607"/>
          <a:chOff x="3419475" y="3846979"/>
          <a:chExt cx="9448800" cy="157390"/>
        </a:xfrm>
      </xdr:grpSpPr>
      <xdr:sp macro="" textlink="">
        <xdr:nvSpPr>
          <xdr:cNvPr id="13" name="Rectangle 8" descr="10%"/>
          <xdr:cNvSpPr>
            <a:spLocks noChangeArrowheads="1"/>
          </xdr:cNvSpPr>
        </xdr:nvSpPr>
        <xdr:spPr bwMode="auto">
          <a:xfrm>
            <a:off x="9306485" y="3846979"/>
            <a:ext cx="1790700" cy="145677"/>
          </a:xfrm>
          <a:prstGeom prst="rect">
            <a:avLst/>
          </a:prstGeom>
          <a:solidFill>
            <a:schemeClr val="tx1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4" name="グループ化 13"/>
          <xdr:cNvGrpSpPr/>
        </xdr:nvGrpSpPr>
        <xdr:grpSpPr>
          <a:xfrm>
            <a:off x="3667125" y="3848100"/>
            <a:ext cx="767531" cy="156269"/>
            <a:chOff x="3886200" y="3790950"/>
            <a:chExt cx="767531" cy="156269"/>
          </a:xfrm>
        </xdr:grpSpPr>
        <xdr:grpSp>
          <xdr:nvGrpSpPr>
            <xdr:cNvPr id="18" name="グループ化 17"/>
            <xdr:cNvGrpSpPr/>
          </xdr:nvGrpSpPr>
          <xdr:grpSpPr>
            <a:xfrm>
              <a:off x="3886200" y="3790950"/>
              <a:ext cx="500831" cy="156269"/>
              <a:chOff x="3886200" y="3790950"/>
              <a:chExt cx="500831" cy="156269"/>
            </a:xfrm>
          </xdr:grpSpPr>
          <xdr:pic>
            <xdr:nvPicPr>
              <xdr:cNvPr id="20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86200" y="3790950"/>
                <a:ext cx="215081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71950" y="3790950"/>
                <a:ext cx="215081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9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38650" y="3790950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15" name="直線コネクタ 14"/>
          <xdr:cNvCxnSpPr/>
        </xdr:nvCxnSpPr>
        <xdr:spPr>
          <a:xfrm>
            <a:off x="4543425" y="3924300"/>
            <a:ext cx="4619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11182350" y="3905250"/>
            <a:ext cx="1685925" cy="9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3419475" y="3924300"/>
            <a:ext cx="161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tabSelected="1" zoomScale="75" zoomScaleNormal="75" zoomScaleSheetLayoutView="100" workbookViewId="0">
      <selection activeCell="E37" sqref="E37:N37"/>
    </sheetView>
  </sheetViews>
  <sheetFormatPr defaultColWidth="9" defaultRowHeight="13" x14ac:dyDescent="0.2"/>
  <cols>
    <col min="1" max="1" width="1.6328125" style="137" customWidth="1"/>
    <col min="2" max="3" width="7.6328125" style="137" customWidth="1"/>
    <col min="4" max="6" width="9" style="137"/>
    <col min="7" max="7" width="3.453125" style="137" customWidth="1"/>
    <col min="8" max="8" width="3.6328125" style="137" customWidth="1"/>
    <col min="9" max="9" width="3.7265625" style="137" customWidth="1"/>
    <col min="10" max="42" width="3.453125" style="137" customWidth="1"/>
    <col min="43" max="43" width="1.36328125" style="137" customWidth="1"/>
    <col min="44" max="16384" width="9" style="137"/>
  </cols>
  <sheetData>
    <row r="1" spans="1:42" ht="10" customHeight="1" thickBot="1" x14ac:dyDescent="0.25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42" ht="40" customHeight="1" thickBot="1" x14ac:dyDescent="0.25">
      <c r="A2" s="140"/>
      <c r="B2" s="141" t="s">
        <v>89</v>
      </c>
      <c r="C2" s="982" t="s">
        <v>406</v>
      </c>
      <c r="D2" s="983"/>
      <c r="E2" s="312" t="s">
        <v>74</v>
      </c>
      <c r="F2" s="982" t="s">
        <v>687</v>
      </c>
      <c r="G2" s="984"/>
      <c r="H2" s="984"/>
      <c r="I2" s="984"/>
      <c r="J2" s="984"/>
      <c r="K2" s="984"/>
      <c r="L2" s="984"/>
      <c r="M2" s="984"/>
      <c r="N2" s="983"/>
      <c r="O2" s="993" t="s">
        <v>75</v>
      </c>
      <c r="P2" s="994"/>
      <c r="Q2" s="995"/>
      <c r="R2" s="996" t="s">
        <v>744</v>
      </c>
      <c r="S2" s="997"/>
      <c r="T2" s="997"/>
      <c r="U2" s="997"/>
      <c r="V2" s="998" t="s">
        <v>76</v>
      </c>
      <c r="W2" s="997"/>
      <c r="X2" s="997"/>
      <c r="Y2" s="990" t="s">
        <v>425</v>
      </c>
      <c r="Z2" s="991"/>
      <c r="AA2" s="992"/>
      <c r="AB2" s="142"/>
      <c r="AC2" s="142"/>
      <c r="AD2" s="142"/>
    </row>
    <row r="3" spans="1:42" ht="10" customHeight="1" x14ac:dyDescent="0.2">
      <c r="B3" s="143"/>
    </row>
    <row r="4" spans="1:42" ht="25" customHeight="1" thickBot="1" x14ac:dyDescent="0.25">
      <c r="B4" s="137" t="s">
        <v>119</v>
      </c>
    </row>
    <row r="5" spans="1:42" ht="20.149999999999999" customHeight="1" x14ac:dyDescent="0.2">
      <c r="B5" s="986" t="s">
        <v>120</v>
      </c>
      <c r="C5" s="938"/>
      <c r="D5" s="987"/>
      <c r="E5" s="988"/>
      <c r="F5" s="988"/>
      <c r="G5" s="989"/>
      <c r="H5" s="940" t="s">
        <v>77</v>
      </c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9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42" ht="20.149999999999999" customHeight="1" x14ac:dyDescent="0.2">
      <c r="B6" s="954" t="s">
        <v>78</v>
      </c>
      <c r="C6" s="955"/>
      <c r="D6" s="955"/>
      <c r="E6" s="955"/>
      <c r="F6" s="955"/>
      <c r="G6" s="972"/>
      <c r="H6" s="972" t="s">
        <v>79</v>
      </c>
      <c r="I6" s="973"/>
      <c r="J6" s="973"/>
      <c r="K6" s="973"/>
      <c r="L6" s="973"/>
      <c r="M6" s="973"/>
      <c r="N6" s="972" t="s">
        <v>80</v>
      </c>
      <c r="O6" s="973"/>
      <c r="P6" s="973"/>
      <c r="Q6" s="972" t="s">
        <v>81</v>
      </c>
      <c r="R6" s="973"/>
      <c r="S6" s="973"/>
      <c r="T6" s="973"/>
      <c r="U6" s="973"/>
      <c r="V6" s="973"/>
      <c r="W6" s="973"/>
      <c r="X6" s="974"/>
      <c r="Y6" s="973" t="s">
        <v>82</v>
      </c>
      <c r="Z6" s="973"/>
      <c r="AA6" s="985"/>
    </row>
    <row r="7" spans="1:42" ht="20.149999999999999" customHeight="1" x14ac:dyDescent="0.2">
      <c r="B7" s="928" t="s">
        <v>83</v>
      </c>
      <c r="C7" s="958"/>
      <c r="D7" s="1004" t="s">
        <v>409</v>
      </c>
      <c r="E7" s="1005"/>
      <c r="F7" s="1005"/>
      <c r="G7" s="974"/>
      <c r="H7" s="1006" t="s">
        <v>10</v>
      </c>
      <c r="I7" s="1007"/>
      <c r="J7" s="1007"/>
      <c r="K7" s="1007"/>
      <c r="L7" s="1007"/>
      <c r="M7" s="1008"/>
      <c r="N7" s="1009">
        <f>SUM(F13:F15)</f>
        <v>29.5</v>
      </c>
      <c r="O7" s="1010"/>
      <c r="P7" s="1011"/>
      <c r="Q7" s="999"/>
      <c r="R7" s="1000"/>
      <c r="S7" s="1000"/>
      <c r="T7" s="1000"/>
      <c r="U7" s="1000"/>
      <c r="V7" s="1000"/>
      <c r="W7" s="1000"/>
      <c r="X7" s="1001"/>
      <c r="Y7" s="1002"/>
      <c r="Z7" s="1002"/>
      <c r="AA7" s="1003"/>
    </row>
    <row r="8" spans="1:42" ht="20.149999999999999" customHeight="1" x14ac:dyDescent="0.2">
      <c r="B8" s="954" t="s">
        <v>84</v>
      </c>
      <c r="C8" s="955"/>
      <c r="D8" s="956"/>
      <c r="E8" s="956"/>
      <c r="F8" s="956"/>
      <c r="G8" s="957"/>
      <c r="H8" s="972" t="s">
        <v>291</v>
      </c>
      <c r="I8" s="973"/>
      <c r="J8" s="973"/>
      <c r="K8" s="973"/>
      <c r="L8" s="973"/>
      <c r="M8" s="974"/>
      <c r="N8" s="968"/>
      <c r="O8" s="969"/>
      <c r="P8" s="975"/>
      <c r="Q8" s="965"/>
      <c r="R8" s="966"/>
      <c r="S8" s="966"/>
      <c r="T8" s="966"/>
      <c r="U8" s="966"/>
      <c r="V8" s="966"/>
      <c r="W8" s="966"/>
      <c r="X8" s="967"/>
      <c r="Y8" s="968"/>
      <c r="Z8" s="969"/>
      <c r="AA8" s="970"/>
    </row>
    <row r="9" spans="1:42" ht="20.149999999999999" customHeight="1" x14ac:dyDescent="0.2">
      <c r="B9" s="954" t="s">
        <v>85</v>
      </c>
      <c r="C9" s="955"/>
      <c r="D9" s="971" t="s">
        <v>476</v>
      </c>
      <c r="E9" s="956"/>
      <c r="F9" s="956"/>
      <c r="G9" s="957"/>
      <c r="H9" s="972" t="s">
        <v>292</v>
      </c>
      <c r="I9" s="973"/>
      <c r="J9" s="973"/>
      <c r="K9" s="973"/>
      <c r="L9" s="973"/>
      <c r="M9" s="974"/>
      <c r="N9" s="968"/>
      <c r="O9" s="969"/>
      <c r="P9" s="975"/>
      <c r="Q9" s="965"/>
      <c r="R9" s="966"/>
      <c r="S9" s="966"/>
      <c r="T9" s="966"/>
      <c r="U9" s="966"/>
      <c r="V9" s="966"/>
      <c r="W9" s="966"/>
      <c r="X9" s="967"/>
      <c r="Y9" s="968"/>
      <c r="Z9" s="969"/>
      <c r="AA9" s="970"/>
    </row>
    <row r="10" spans="1:42" ht="20.149999999999999" customHeight="1" x14ac:dyDescent="0.2">
      <c r="B10" s="954" t="s">
        <v>86</v>
      </c>
      <c r="C10" s="955"/>
      <c r="D10" s="956"/>
      <c r="E10" s="956"/>
      <c r="F10" s="956"/>
      <c r="G10" s="957"/>
      <c r="H10" s="976" t="s">
        <v>683</v>
      </c>
      <c r="I10" s="977"/>
      <c r="J10" s="977"/>
      <c r="K10" s="977"/>
      <c r="L10" s="977"/>
      <c r="M10" s="978"/>
      <c r="N10" s="979" t="str">
        <f>F16</f>
        <v>0.5ha</v>
      </c>
      <c r="O10" s="980"/>
      <c r="P10" s="981"/>
      <c r="Q10" s="965"/>
      <c r="R10" s="966"/>
      <c r="S10" s="966"/>
      <c r="T10" s="966"/>
      <c r="U10" s="966"/>
      <c r="V10" s="966"/>
      <c r="W10" s="966"/>
      <c r="X10" s="967"/>
      <c r="Y10" s="969"/>
      <c r="Z10" s="969"/>
      <c r="AA10" s="970"/>
    </row>
    <row r="11" spans="1:42" ht="20.149999999999999" customHeight="1" thickBot="1" x14ac:dyDescent="0.25">
      <c r="B11" s="929" t="s">
        <v>87</v>
      </c>
      <c r="C11" s="958"/>
      <c r="D11" s="959"/>
      <c r="E11" s="959"/>
      <c r="F11" s="959"/>
      <c r="G11" s="960"/>
      <c r="H11" s="961"/>
      <c r="I11" s="962"/>
      <c r="J11" s="962"/>
      <c r="K11" s="962"/>
      <c r="L11" s="962"/>
      <c r="M11" s="962"/>
      <c r="N11" s="953"/>
      <c r="O11" s="951"/>
      <c r="P11" s="951"/>
      <c r="Q11" s="948"/>
      <c r="R11" s="949"/>
      <c r="S11" s="949"/>
      <c r="T11" s="949"/>
      <c r="U11" s="949"/>
      <c r="V11" s="949"/>
      <c r="W11" s="949"/>
      <c r="X11" s="950"/>
      <c r="Y11" s="951"/>
      <c r="Z11" s="951"/>
      <c r="AA11" s="952"/>
    </row>
    <row r="12" spans="1:42" ht="20.149999999999999" customHeight="1" x14ac:dyDescent="0.2">
      <c r="B12" s="963" t="s">
        <v>117</v>
      </c>
      <c r="C12" s="940" t="s">
        <v>121</v>
      </c>
      <c r="D12" s="938"/>
      <c r="E12" s="941"/>
      <c r="F12" s="138" t="s">
        <v>118</v>
      </c>
      <c r="G12" s="940">
        <v>1</v>
      </c>
      <c r="H12" s="938"/>
      <c r="I12" s="938"/>
      <c r="J12" s="940">
        <v>2</v>
      </c>
      <c r="K12" s="938"/>
      <c r="L12" s="941"/>
      <c r="M12" s="938">
        <v>3</v>
      </c>
      <c r="N12" s="938"/>
      <c r="O12" s="943"/>
      <c r="P12" s="940">
        <v>4</v>
      </c>
      <c r="Q12" s="938"/>
      <c r="R12" s="941"/>
      <c r="S12" s="942">
        <v>5</v>
      </c>
      <c r="T12" s="938"/>
      <c r="U12" s="943"/>
      <c r="V12" s="940">
        <v>6</v>
      </c>
      <c r="W12" s="938"/>
      <c r="X12" s="941"/>
      <c r="Y12" s="942">
        <v>7</v>
      </c>
      <c r="Z12" s="938"/>
      <c r="AA12" s="943"/>
      <c r="AB12" s="940">
        <v>8</v>
      </c>
      <c r="AC12" s="938"/>
      <c r="AD12" s="941"/>
      <c r="AE12" s="942">
        <v>9</v>
      </c>
      <c r="AF12" s="938"/>
      <c r="AG12" s="943"/>
      <c r="AH12" s="940">
        <v>10</v>
      </c>
      <c r="AI12" s="938"/>
      <c r="AJ12" s="941"/>
      <c r="AK12" s="940">
        <v>11</v>
      </c>
      <c r="AL12" s="938"/>
      <c r="AM12" s="941"/>
      <c r="AN12" s="938">
        <v>12</v>
      </c>
      <c r="AO12" s="938"/>
      <c r="AP12" s="939"/>
    </row>
    <row r="13" spans="1:42" ht="20.149999999999999" customHeight="1" x14ac:dyDescent="0.2">
      <c r="B13" s="964"/>
      <c r="C13" s="388" t="s">
        <v>430</v>
      </c>
      <c r="D13" s="386"/>
      <c r="E13" s="387"/>
      <c r="F13" s="449">
        <f>AB25</f>
        <v>10</v>
      </c>
      <c r="G13" s="144"/>
      <c r="H13" s="145"/>
      <c r="I13" s="145"/>
      <c r="J13" s="144"/>
      <c r="K13" s="145"/>
      <c r="L13" s="146"/>
      <c r="M13" s="145"/>
      <c r="N13" s="145"/>
      <c r="O13" s="464" t="s">
        <v>407</v>
      </c>
      <c r="P13" s="144"/>
      <c r="Q13" s="145"/>
      <c r="R13" s="467" t="s">
        <v>408</v>
      </c>
      <c r="S13" s="465"/>
      <c r="T13" s="145"/>
      <c r="U13" s="464"/>
      <c r="V13" s="144"/>
      <c r="W13" s="145"/>
      <c r="X13" s="146"/>
      <c r="Y13" s="148"/>
      <c r="Z13" s="534" t="s">
        <v>469</v>
      </c>
      <c r="AA13" s="147"/>
      <c r="AB13" s="144"/>
      <c r="AC13" s="145"/>
      <c r="AD13" s="146"/>
      <c r="AE13" s="144"/>
      <c r="AF13" s="145"/>
      <c r="AG13" s="146"/>
      <c r="AH13" s="144"/>
      <c r="AI13" s="145"/>
      <c r="AJ13" s="146"/>
      <c r="AK13" s="144"/>
      <c r="AL13" s="145"/>
      <c r="AM13" s="146"/>
      <c r="AN13" s="145"/>
      <c r="AO13" s="145"/>
      <c r="AP13" s="149"/>
    </row>
    <row r="14" spans="1:42" ht="20.149999999999999" customHeight="1" x14ac:dyDescent="0.2">
      <c r="B14" s="964"/>
      <c r="C14" s="389" t="s">
        <v>431</v>
      </c>
      <c r="D14" s="386"/>
      <c r="E14" s="387"/>
      <c r="F14" s="450">
        <f>AB26</f>
        <v>10</v>
      </c>
      <c r="G14" s="506"/>
      <c r="H14" s="507"/>
      <c r="I14" s="507"/>
      <c r="J14" s="506"/>
      <c r="K14" s="507"/>
      <c r="L14" s="146"/>
      <c r="M14" s="507"/>
      <c r="N14" s="507"/>
      <c r="O14" s="464"/>
      <c r="P14" s="506"/>
      <c r="Q14" s="507"/>
      <c r="R14" s="467"/>
      <c r="S14" s="465"/>
      <c r="T14" s="533" t="s">
        <v>470</v>
      </c>
      <c r="U14" s="464"/>
      <c r="V14" s="506"/>
      <c r="W14" s="533" t="s">
        <v>426</v>
      </c>
      <c r="X14" s="146"/>
      <c r="Y14" s="148"/>
      <c r="Z14" s="507"/>
      <c r="AA14" s="147"/>
      <c r="AB14" s="506"/>
      <c r="AC14" s="507"/>
      <c r="AD14" s="467" t="s">
        <v>469</v>
      </c>
      <c r="AE14" s="506"/>
      <c r="AF14" s="507"/>
      <c r="AG14" s="146"/>
      <c r="AH14" s="506"/>
      <c r="AI14" s="507"/>
      <c r="AJ14" s="146"/>
      <c r="AK14" s="506"/>
      <c r="AL14" s="507"/>
      <c r="AM14" s="146"/>
      <c r="AN14" s="507"/>
      <c r="AO14" s="507"/>
      <c r="AP14" s="508"/>
    </row>
    <row r="15" spans="1:42" ht="20.149999999999999" customHeight="1" x14ac:dyDescent="0.2">
      <c r="B15" s="964"/>
      <c r="C15" s="389" t="s">
        <v>471</v>
      </c>
      <c r="D15" s="386"/>
      <c r="E15" s="387"/>
      <c r="F15" s="841">
        <f>AB27</f>
        <v>9.5</v>
      </c>
      <c r="G15" s="150"/>
      <c r="H15" s="151"/>
      <c r="I15" s="151"/>
      <c r="J15" s="150"/>
      <c r="K15" s="151"/>
      <c r="L15" s="152"/>
      <c r="M15" s="151"/>
      <c r="N15" s="151"/>
      <c r="O15" s="153"/>
      <c r="P15" s="150"/>
      <c r="Q15" s="151"/>
      <c r="R15" s="535" t="s">
        <v>470</v>
      </c>
      <c r="S15" s="490"/>
      <c r="T15" s="466"/>
      <c r="U15" s="491" t="s">
        <v>426</v>
      </c>
      <c r="V15" s="509"/>
      <c r="W15" s="151"/>
      <c r="X15" s="152"/>
      <c r="Y15" s="154"/>
      <c r="Z15" s="151"/>
      <c r="AA15" s="153"/>
      <c r="AB15" s="509"/>
      <c r="AC15" s="466" t="s">
        <v>469</v>
      </c>
      <c r="AD15" s="152"/>
      <c r="AE15" s="509"/>
      <c r="AF15" s="151"/>
      <c r="AG15" s="152"/>
      <c r="AH15" s="509"/>
      <c r="AI15" s="151"/>
      <c r="AJ15" s="152"/>
      <c r="AK15" s="150"/>
      <c r="AL15" s="151"/>
      <c r="AM15" s="152"/>
      <c r="AN15" s="151"/>
      <c r="AO15" s="151"/>
      <c r="AP15" s="155"/>
    </row>
    <row r="16" spans="1:42" ht="20.149999999999999" customHeight="1" x14ac:dyDescent="0.2">
      <c r="B16" s="964"/>
      <c r="C16" s="389" t="s">
        <v>477</v>
      </c>
      <c r="D16" s="386"/>
      <c r="E16" s="387"/>
      <c r="F16" s="848" t="s">
        <v>689</v>
      </c>
      <c r="G16" s="150"/>
      <c r="H16" s="151"/>
      <c r="I16" s="151"/>
      <c r="J16" s="150"/>
      <c r="K16" s="151"/>
      <c r="L16" s="152"/>
      <c r="M16" s="151"/>
      <c r="N16" s="151"/>
      <c r="O16" s="153"/>
      <c r="P16" s="150"/>
      <c r="Q16" s="151"/>
      <c r="R16" s="152"/>
      <c r="S16" s="154"/>
      <c r="T16" s="151"/>
      <c r="U16" s="153"/>
      <c r="V16" s="150"/>
      <c r="W16" s="151"/>
      <c r="X16" s="152"/>
      <c r="Y16" s="154"/>
      <c r="Z16" s="151"/>
      <c r="AA16" s="153"/>
      <c r="AB16" s="150"/>
      <c r="AC16" s="151"/>
      <c r="AD16" s="152"/>
      <c r="AE16" s="150"/>
      <c r="AF16" s="151"/>
      <c r="AG16" s="152"/>
      <c r="AH16" s="150"/>
      <c r="AI16" s="151"/>
      <c r="AJ16" s="152"/>
      <c r="AK16" s="150"/>
      <c r="AL16" s="151"/>
      <c r="AM16" s="152"/>
      <c r="AN16" s="151"/>
      <c r="AO16" s="151"/>
      <c r="AP16" s="155"/>
    </row>
    <row r="17" spans="2:42" ht="20.149999999999999" customHeight="1" x14ac:dyDescent="0.2">
      <c r="B17" s="964"/>
      <c r="C17" s="389"/>
      <c r="D17" s="386"/>
      <c r="E17" s="387"/>
      <c r="F17" s="450"/>
      <c r="G17" s="150"/>
      <c r="H17" s="151"/>
      <c r="I17" s="151"/>
      <c r="J17" s="150"/>
      <c r="K17" s="151"/>
      <c r="L17" s="152"/>
      <c r="M17" s="151"/>
      <c r="N17" s="151"/>
      <c r="O17" s="153"/>
      <c r="P17" s="150"/>
      <c r="Q17" s="151"/>
      <c r="R17" s="152"/>
      <c r="S17" s="154"/>
      <c r="T17" s="151"/>
      <c r="U17" s="153"/>
      <c r="V17" s="150"/>
      <c r="W17" s="151"/>
      <c r="X17" s="152"/>
      <c r="Y17" s="154"/>
      <c r="Z17" s="151"/>
      <c r="AA17" s="153"/>
      <c r="AB17" s="150"/>
      <c r="AC17" s="151"/>
      <c r="AD17" s="152"/>
      <c r="AE17" s="150"/>
      <c r="AF17" s="151"/>
      <c r="AG17" s="152"/>
      <c r="AH17" s="150"/>
      <c r="AI17" s="151"/>
      <c r="AJ17" s="152"/>
      <c r="AK17" s="150"/>
      <c r="AL17" s="151"/>
      <c r="AM17" s="152"/>
      <c r="AN17" s="151"/>
      <c r="AO17" s="151"/>
      <c r="AP17" s="155"/>
    </row>
    <row r="18" spans="2:42" ht="20.149999999999999" customHeight="1" x14ac:dyDescent="0.2">
      <c r="B18" s="927" t="s">
        <v>88</v>
      </c>
      <c r="C18" s="944"/>
      <c r="D18" s="945"/>
      <c r="E18" s="945"/>
      <c r="F18" s="945"/>
      <c r="G18" s="945"/>
      <c r="H18" s="945"/>
      <c r="I18" s="945"/>
      <c r="J18" s="945"/>
      <c r="K18" s="945"/>
      <c r="L18" s="945"/>
      <c r="M18" s="945"/>
      <c r="N18" s="945"/>
      <c r="O18" s="945"/>
      <c r="P18" s="945"/>
      <c r="Q18" s="945"/>
      <c r="R18" s="945"/>
      <c r="S18" s="945"/>
      <c r="T18" s="945"/>
      <c r="U18" s="945"/>
      <c r="V18" s="945"/>
      <c r="W18" s="945"/>
      <c r="X18" s="945"/>
      <c r="Y18" s="945"/>
      <c r="Z18" s="945"/>
      <c r="AA18" s="945"/>
      <c r="AB18" s="945"/>
      <c r="AC18" s="945"/>
      <c r="AD18" s="945"/>
      <c r="AE18" s="945"/>
      <c r="AF18" s="945"/>
      <c r="AG18" s="945"/>
      <c r="AH18" s="945"/>
      <c r="AI18" s="945"/>
      <c r="AJ18" s="945"/>
      <c r="AK18" s="945"/>
      <c r="AL18" s="945"/>
      <c r="AM18" s="945"/>
      <c r="AN18" s="945"/>
      <c r="AO18" s="945"/>
      <c r="AP18" s="946"/>
    </row>
    <row r="19" spans="2:42" ht="20.149999999999999" customHeight="1" x14ac:dyDescent="0.2">
      <c r="B19" s="928"/>
      <c r="C19" s="930" t="s">
        <v>680</v>
      </c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1"/>
      <c r="O19" s="931"/>
      <c r="P19" s="931"/>
      <c r="Q19" s="931"/>
      <c r="R19" s="931"/>
      <c r="S19" s="931"/>
      <c r="T19" s="931"/>
      <c r="U19" s="931"/>
      <c r="V19" s="156"/>
      <c r="W19" s="156"/>
      <c r="Y19" s="947" t="s">
        <v>122</v>
      </c>
      <c r="Z19" s="947"/>
      <c r="AA19" s="947"/>
      <c r="AB19" s="947"/>
      <c r="AC19" s="156"/>
      <c r="AD19" s="156"/>
      <c r="AI19" s="156"/>
      <c r="AJ19" s="156"/>
      <c r="AK19" s="156"/>
      <c r="AL19" s="156"/>
      <c r="AM19" s="156"/>
      <c r="AN19" s="156"/>
      <c r="AO19" s="156"/>
      <c r="AP19" s="157"/>
    </row>
    <row r="20" spans="2:42" ht="20.149999999999999" customHeight="1" thickBot="1" x14ac:dyDescent="0.25">
      <c r="B20" s="929"/>
      <c r="C20" s="924"/>
      <c r="D20" s="925"/>
      <c r="E20" s="925"/>
      <c r="F20" s="925"/>
      <c r="G20" s="925"/>
      <c r="H20" s="925"/>
      <c r="I20" s="925"/>
      <c r="J20" s="925"/>
      <c r="K20" s="925"/>
      <c r="L20" s="925"/>
      <c r="M20" s="925"/>
      <c r="N20" s="925"/>
      <c r="O20" s="925"/>
      <c r="P20" s="925"/>
      <c r="Q20" s="925"/>
      <c r="R20" s="925"/>
      <c r="S20" s="925"/>
      <c r="T20" s="925"/>
      <c r="U20" s="925"/>
      <c r="V20" s="925"/>
      <c r="W20" s="925"/>
      <c r="X20" s="925"/>
      <c r="Y20" s="925"/>
      <c r="Z20" s="925"/>
      <c r="AA20" s="925"/>
      <c r="AB20" s="925"/>
      <c r="AC20" s="925"/>
      <c r="AD20" s="925"/>
      <c r="AE20" s="925"/>
      <c r="AF20" s="925"/>
      <c r="AG20" s="925"/>
      <c r="AH20" s="925"/>
      <c r="AI20" s="925"/>
      <c r="AJ20" s="925"/>
      <c r="AK20" s="925"/>
      <c r="AL20" s="925"/>
      <c r="AM20" s="925"/>
      <c r="AN20" s="925"/>
      <c r="AO20" s="925"/>
      <c r="AP20" s="926"/>
    </row>
    <row r="21" spans="2:42" ht="10" customHeight="1" x14ac:dyDescent="0.2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</row>
    <row r="22" spans="2:42" ht="25" customHeight="1" x14ac:dyDescent="0.2">
      <c r="B22" s="137" t="s">
        <v>123</v>
      </c>
    </row>
    <row r="23" spans="2:42" ht="25" customHeight="1" thickBot="1" x14ac:dyDescent="0.25">
      <c r="B23" s="353" t="s">
        <v>731</v>
      </c>
    </row>
    <row r="24" spans="2:42" ht="20.149999999999999" customHeight="1" thickBot="1" x14ac:dyDescent="0.25">
      <c r="B24" s="895" t="s">
        <v>19</v>
      </c>
      <c r="C24" s="896"/>
      <c r="D24" s="896"/>
      <c r="E24" s="896"/>
      <c r="F24" s="896"/>
      <c r="G24" s="896"/>
      <c r="H24" s="896"/>
      <c r="I24" s="896"/>
      <c r="J24" s="896"/>
      <c r="K24" s="896"/>
      <c r="L24" s="896"/>
      <c r="M24" s="896"/>
      <c r="N24" s="897"/>
      <c r="O24" s="898" t="s">
        <v>18</v>
      </c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900"/>
    </row>
    <row r="25" spans="2:42" ht="21" customHeight="1" x14ac:dyDescent="0.2">
      <c r="B25" s="901" t="s">
        <v>14</v>
      </c>
      <c r="C25" s="902"/>
      <c r="D25" s="903"/>
      <c r="E25" s="907" t="s">
        <v>730</v>
      </c>
      <c r="F25" s="908"/>
      <c r="G25" s="908"/>
      <c r="H25" s="908"/>
      <c r="I25" s="908"/>
      <c r="J25" s="908"/>
      <c r="K25" s="908"/>
      <c r="L25" s="908"/>
      <c r="M25" s="908"/>
      <c r="N25" s="909"/>
      <c r="O25" s="901" t="s">
        <v>11</v>
      </c>
      <c r="P25" s="902"/>
      <c r="Q25" s="902"/>
      <c r="R25" s="902"/>
      <c r="S25" s="902"/>
      <c r="T25" s="936" t="s">
        <v>351</v>
      </c>
      <c r="U25" s="937"/>
      <c r="V25" s="937"/>
      <c r="W25" s="937"/>
      <c r="X25" s="937"/>
      <c r="Y25" s="937"/>
      <c r="Z25" s="462"/>
      <c r="AA25" s="462"/>
      <c r="AB25" s="462">
        <v>10</v>
      </c>
      <c r="AC25" s="915" t="s">
        <v>342</v>
      </c>
      <c r="AD25" s="934"/>
      <c r="AE25" s="919"/>
      <c r="AF25" s="921"/>
      <c r="AG25" s="921"/>
      <c r="AH25" s="921"/>
      <c r="AI25" s="921"/>
      <c r="AJ25" s="921"/>
      <c r="AK25" s="463"/>
      <c r="AL25" s="463"/>
      <c r="AM25" s="463"/>
      <c r="AN25" s="922"/>
      <c r="AO25" s="922"/>
      <c r="AP25" s="923"/>
    </row>
    <row r="26" spans="2:42" ht="19.899999999999999" customHeight="1" x14ac:dyDescent="0.2">
      <c r="B26" s="904"/>
      <c r="C26" s="905"/>
      <c r="D26" s="906"/>
      <c r="E26" s="910"/>
      <c r="F26" s="911"/>
      <c r="G26" s="911"/>
      <c r="H26" s="911"/>
      <c r="I26" s="911"/>
      <c r="J26" s="911"/>
      <c r="K26" s="911"/>
      <c r="L26" s="911"/>
      <c r="M26" s="911"/>
      <c r="N26" s="912"/>
      <c r="O26" s="904"/>
      <c r="P26" s="905"/>
      <c r="Q26" s="905"/>
      <c r="R26" s="905"/>
      <c r="S26" s="905"/>
      <c r="T26" s="918" t="s">
        <v>367</v>
      </c>
      <c r="U26" s="921"/>
      <c r="V26" s="921"/>
      <c r="W26" s="921"/>
      <c r="X26" s="921"/>
      <c r="Y26" s="921"/>
      <c r="Z26" s="463"/>
      <c r="AA26" s="463"/>
      <c r="AB26" s="463">
        <v>10</v>
      </c>
      <c r="AC26" s="935" t="s">
        <v>342</v>
      </c>
      <c r="AD26" s="920"/>
      <c r="AE26" s="932"/>
      <c r="AF26" s="933"/>
      <c r="AG26" s="933"/>
      <c r="AH26" s="933"/>
      <c r="AI26" s="933"/>
      <c r="AJ26" s="933"/>
      <c r="AK26" s="463"/>
      <c r="AL26" s="463"/>
      <c r="AM26" s="840"/>
      <c r="AN26" s="922"/>
      <c r="AO26" s="922"/>
      <c r="AP26" s="923"/>
    </row>
    <row r="27" spans="2:42" ht="20.25" customHeight="1" x14ac:dyDescent="0.2">
      <c r="B27" s="904"/>
      <c r="C27" s="905"/>
      <c r="D27" s="906"/>
      <c r="E27" s="910"/>
      <c r="F27" s="911"/>
      <c r="G27" s="911"/>
      <c r="H27" s="911"/>
      <c r="I27" s="911"/>
      <c r="J27" s="911"/>
      <c r="K27" s="911"/>
      <c r="L27" s="911"/>
      <c r="M27" s="911"/>
      <c r="N27" s="912"/>
      <c r="O27" s="904"/>
      <c r="P27" s="905"/>
      <c r="Q27" s="905"/>
      <c r="R27" s="905"/>
      <c r="S27" s="905"/>
      <c r="T27" s="918" t="s">
        <v>737</v>
      </c>
      <c r="U27" s="921"/>
      <c r="V27" s="921"/>
      <c r="W27" s="921"/>
      <c r="X27" s="921"/>
      <c r="Y27" s="921"/>
      <c r="Z27" s="463"/>
      <c r="AA27" s="463"/>
      <c r="AB27" s="874">
        <v>9.5</v>
      </c>
      <c r="AC27" s="935" t="s">
        <v>342</v>
      </c>
      <c r="AD27" s="920"/>
      <c r="AE27" s="932"/>
      <c r="AF27" s="933"/>
      <c r="AG27" s="933"/>
      <c r="AH27" s="933"/>
      <c r="AI27" s="933"/>
      <c r="AJ27" s="933"/>
      <c r="AK27" s="463"/>
      <c r="AL27" s="463"/>
      <c r="AM27" s="840"/>
      <c r="AN27" s="922"/>
      <c r="AO27" s="922"/>
      <c r="AP27" s="923"/>
    </row>
    <row r="28" spans="2:42" ht="21.75" customHeight="1" x14ac:dyDescent="0.2">
      <c r="B28" s="885" t="s">
        <v>15</v>
      </c>
      <c r="C28" s="886"/>
      <c r="D28" s="886"/>
      <c r="E28" s="887" t="s">
        <v>416</v>
      </c>
      <c r="F28" s="888"/>
      <c r="G28" s="888"/>
      <c r="H28" s="888"/>
      <c r="I28" s="888"/>
      <c r="J28" s="888"/>
      <c r="K28" s="888"/>
      <c r="L28" s="888"/>
      <c r="M28" s="888"/>
      <c r="N28" s="889"/>
      <c r="O28" s="885" t="s">
        <v>12</v>
      </c>
      <c r="P28" s="886"/>
      <c r="Q28" s="886"/>
      <c r="R28" s="886"/>
      <c r="S28" s="886"/>
      <c r="T28" s="887" t="s">
        <v>729</v>
      </c>
      <c r="U28" s="888"/>
      <c r="V28" s="888"/>
      <c r="W28" s="888"/>
      <c r="X28" s="888"/>
      <c r="Y28" s="888"/>
      <c r="Z28" s="888"/>
      <c r="AA28" s="888"/>
      <c r="AB28" s="888"/>
      <c r="AC28" s="888"/>
      <c r="AD28" s="888"/>
      <c r="AE28" s="888"/>
      <c r="AF28" s="888"/>
      <c r="AG28" s="888"/>
      <c r="AH28" s="888"/>
      <c r="AI28" s="888"/>
      <c r="AJ28" s="888"/>
      <c r="AK28" s="888"/>
      <c r="AL28" s="888"/>
      <c r="AM28" s="888"/>
      <c r="AN28" s="888"/>
      <c r="AO28" s="888"/>
      <c r="AP28" s="889"/>
    </row>
    <row r="29" spans="2:42" ht="30.75" customHeight="1" x14ac:dyDescent="0.2">
      <c r="B29" s="885" t="s">
        <v>16</v>
      </c>
      <c r="C29" s="886"/>
      <c r="D29" s="886"/>
      <c r="E29" s="887" t="s">
        <v>736</v>
      </c>
      <c r="F29" s="888"/>
      <c r="G29" s="888"/>
      <c r="H29" s="888"/>
      <c r="I29" s="888"/>
      <c r="J29" s="888"/>
      <c r="K29" s="888"/>
      <c r="L29" s="888"/>
      <c r="M29" s="888"/>
      <c r="N29" s="889"/>
      <c r="O29" s="885" t="s">
        <v>13</v>
      </c>
      <c r="P29" s="886"/>
      <c r="Q29" s="886"/>
      <c r="R29" s="886"/>
      <c r="S29" s="886"/>
      <c r="T29" s="887" t="s">
        <v>745</v>
      </c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  <c r="AF29" s="888"/>
      <c r="AG29" s="888"/>
      <c r="AH29" s="888"/>
      <c r="AI29" s="888"/>
      <c r="AJ29" s="888"/>
      <c r="AK29" s="888"/>
      <c r="AL29" s="888"/>
      <c r="AM29" s="888"/>
      <c r="AN29" s="888"/>
      <c r="AO29" s="888"/>
      <c r="AP29" s="889"/>
    </row>
    <row r="30" spans="2:42" ht="23.25" customHeight="1" thickBot="1" x14ac:dyDescent="0.25">
      <c r="B30" s="890" t="s">
        <v>17</v>
      </c>
      <c r="C30" s="891"/>
      <c r="D30" s="891"/>
      <c r="E30" s="894" t="s">
        <v>410</v>
      </c>
      <c r="F30" s="892"/>
      <c r="G30" s="892"/>
      <c r="H30" s="892"/>
      <c r="I30" s="892"/>
      <c r="J30" s="892"/>
      <c r="K30" s="892"/>
      <c r="L30" s="892"/>
      <c r="M30" s="892"/>
      <c r="N30" s="893"/>
      <c r="O30" s="890"/>
      <c r="P30" s="891"/>
      <c r="Q30" s="891"/>
      <c r="R30" s="891"/>
      <c r="S30" s="891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892"/>
      <c r="AG30" s="892"/>
      <c r="AH30" s="892"/>
      <c r="AI30" s="892"/>
      <c r="AJ30" s="892"/>
      <c r="AK30" s="892"/>
      <c r="AL30" s="892"/>
      <c r="AM30" s="892"/>
      <c r="AN30" s="892"/>
      <c r="AO30" s="892"/>
      <c r="AP30" s="893"/>
    </row>
    <row r="31" spans="2:42" ht="9.75" customHeight="1" x14ac:dyDescent="0.2">
      <c r="B31" s="139"/>
    </row>
    <row r="32" spans="2:42" ht="16.5" customHeight="1" thickBot="1" x14ac:dyDescent="0.25">
      <c r="B32" s="873" t="s">
        <v>732</v>
      </c>
    </row>
    <row r="33" spans="2:42" ht="20.149999999999999" customHeight="1" thickBot="1" x14ac:dyDescent="0.25">
      <c r="B33" s="895" t="s">
        <v>19</v>
      </c>
      <c r="C33" s="896"/>
      <c r="D33" s="896"/>
      <c r="E33" s="896"/>
      <c r="F33" s="896"/>
      <c r="G33" s="896"/>
      <c r="H33" s="896"/>
      <c r="I33" s="896"/>
      <c r="J33" s="896"/>
      <c r="K33" s="896"/>
      <c r="L33" s="896"/>
      <c r="M33" s="896"/>
      <c r="N33" s="897"/>
      <c r="O33" s="898" t="s">
        <v>18</v>
      </c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900"/>
    </row>
    <row r="34" spans="2:42" ht="9" customHeight="1" x14ac:dyDescent="0.2">
      <c r="B34" s="901" t="s">
        <v>14</v>
      </c>
      <c r="C34" s="902"/>
      <c r="D34" s="903"/>
      <c r="E34" s="907" t="s">
        <v>733</v>
      </c>
      <c r="F34" s="908"/>
      <c r="G34" s="908"/>
      <c r="H34" s="908"/>
      <c r="I34" s="908"/>
      <c r="J34" s="908"/>
      <c r="K34" s="908"/>
      <c r="L34" s="908"/>
      <c r="M34" s="908"/>
      <c r="N34" s="909"/>
      <c r="O34" s="901" t="s">
        <v>11</v>
      </c>
      <c r="P34" s="902"/>
      <c r="Q34" s="902"/>
      <c r="R34" s="902"/>
      <c r="S34" s="902"/>
      <c r="T34" s="913"/>
      <c r="U34" s="914"/>
      <c r="V34" s="914"/>
      <c r="W34" s="914"/>
      <c r="X34" s="914"/>
      <c r="Y34" s="914"/>
      <c r="Z34" s="462"/>
      <c r="AA34" s="462"/>
      <c r="AB34" s="462"/>
      <c r="AC34" s="915"/>
      <c r="AD34" s="915"/>
      <c r="AE34" s="914"/>
      <c r="AF34" s="914"/>
      <c r="AG34" s="914"/>
      <c r="AH34" s="914"/>
      <c r="AI34" s="914"/>
      <c r="AJ34" s="914"/>
      <c r="AK34" s="462"/>
      <c r="AL34" s="462"/>
      <c r="AM34" s="462"/>
      <c r="AN34" s="916"/>
      <c r="AO34" s="916"/>
      <c r="AP34" s="917"/>
    </row>
    <row r="35" spans="2:42" ht="19.899999999999999" customHeight="1" x14ac:dyDescent="0.2">
      <c r="B35" s="904"/>
      <c r="C35" s="905"/>
      <c r="D35" s="906"/>
      <c r="E35" s="910"/>
      <c r="F35" s="911"/>
      <c r="G35" s="911"/>
      <c r="H35" s="911"/>
      <c r="I35" s="911"/>
      <c r="J35" s="911"/>
      <c r="K35" s="911"/>
      <c r="L35" s="911"/>
      <c r="M35" s="911"/>
      <c r="N35" s="912"/>
      <c r="O35" s="904"/>
      <c r="P35" s="905"/>
      <c r="Q35" s="905"/>
      <c r="R35" s="905"/>
      <c r="S35" s="905"/>
      <c r="T35" s="918" t="s">
        <v>738</v>
      </c>
      <c r="U35" s="919"/>
      <c r="V35" s="919"/>
      <c r="W35" s="919"/>
      <c r="X35" s="919"/>
      <c r="Y35" s="919"/>
      <c r="Z35" s="463"/>
      <c r="AA35" s="463"/>
      <c r="AB35" s="463"/>
      <c r="AC35" s="920"/>
      <c r="AD35" s="920"/>
      <c r="AE35" s="919"/>
      <c r="AF35" s="921"/>
      <c r="AG35" s="921"/>
      <c r="AH35" s="921"/>
      <c r="AI35" s="921"/>
      <c r="AJ35" s="921"/>
      <c r="AK35" s="463"/>
      <c r="AL35" s="463"/>
      <c r="AM35" s="463"/>
      <c r="AN35" s="922"/>
      <c r="AO35" s="922"/>
      <c r="AP35" s="923"/>
    </row>
    <row r="36" spans="2:42" ht="27.75" customHeight="1" x14ac:dyDescent="0.2">
      <c r="B36" s="885" t="s">
        <v>15</v>
      </c>
      <c r="C36" s="886"/>
      <c r="D36" s="886"/>
      <c r="E36" s="887" t="s">
        <v>416</v>
      </c>
      <c r="F36" s="888"/>
      <c r="G36" s="888"/>
      <c r="H36" s="888"/>
      <c r="I36" s="888"/>
      <c r="J36" s="888"/>
      <c r="K36" s="888"/>
      <c r="L36" s="888"/>
      <c r="M36" s="888"/>
      <c r="N36" s="889"/>
      <c r="O36" s="885" t="s">
        <v>12</v>
      </c>
      <c r="P36" s="886"/>
      <c r="Q36" s="886"/>
      <c r="R36" s="886"/>
      <c r="S36" s="886"/>
      <c r="T36" s="887" t="s">
        <v>735</v>
      </c>
      <c r="U36" s="888"/>
      <c r="V36" s="888"/>
      <c r="W36" s="888"/>
      <c r="X36" s="888"/>
      <c r="Y36" s="888"/>
      <c r="Z36" s="888"/>
      <c r="AA36" s="888"/>
      <c r="AB36" s="888"/>
      <c r="AC36" s="888"/>
      <c r="AD36" s="888"/>
      <c r="AE36" s="888"/>
      <c r="AF36" s="888"/>
      <c r="AG36" s="888"/>
      <c r="AH36" s="888"/>
      <c r="AI36" s="888"/>
      <c r="AJ36" s="888"/>
      <c r="AK36" s="888"/>
      <c r="AL36" s="888"/>
      <c r="AM36" s="888"/>
      <c r="AN36" s="888"/>
      <c r="AO36" s="888"/>
      <c r="AP36" s="889"/>
    </row>
    <row r="37" spans="2:42" ht="30" customHeight="1" x14ac:dyDescent="0.2">
      <c r="B37" s="885" t="s">
        <v>16</v>
      </c>
      <c r="C37" s="886"/>
      <c r="D37" s="886"/>
      <c r="E37" s="887" t="s">
        <v>734</v>
      </c>
      <c r="F37" s="888"/>
      <c r="G37" s="888"/>
      <c r="H37" s="888"/>
      <c r="I37" s="888"/>
      <c r="J37" s="888"/>
      <c r="K37" s="888"/>
      <c r="L37" s="888"/>
      <c r="M37" s="888"/>
      <c r="N37" s="889"/>
      <c r="O37" s="885" t="s">
        <v>13</v>
      </c>
      <c r="P37" s="886"/>
      <c r="Q37" s="886"/>
      <c r="R37" s="886"/>
      <c r="S37" s="886"/>
      <c r="T37" s="887" t="s">
        <v>739</v>
      </c>
      <c r="U37" s="888"/>
      <c r="V37" s="888"/>
      <c r="W37" s="888"/>
      <c r="X37" s="888"/>
      <c r="Y37" s="888"/>
      <c r="Z37" s="888"/>
      <c r="AA37" s="888"/>
      <c r="AB37" s="888"/>
      <c r="AC37" s="888"/>
      <c r="AD37" s="888"/>
      <c r="AE37" s="888"/>
      <c r="AF37" s="888"/>
      <c r="AG37" s="888"/>
      <c r="AH37" s="888"/>
      <c r="AI37" s="888"/>
      <c r="AJ37" s="888"/>
      <c r="AK37" s="888"/>
      <c r="AL37" s="888"/>
      <c r="AM37" s="888"/>
      <c r="AN37" s="888"/>
      <c r="AO37" s="888"/>
      <c r="AP37" s="889"/>
    </row>
    <row r="38" spans="2:42" ht="26.25" customHeight="1" thickBot="1" x14ac:dyDescent="0.25">
      <c r="B38" s="890" t="s">
        <v>17</v>
      </c>
      <c r="C38" s="891"/>
      <c r="D38" s="891"/>
      <c r="E38" s="894" t="s">
        <v>740</v>
      </c>
      <c r="F38" s="892"/>
      <c r="G38" s="892"/>
      <c r="H38" s="892"/>
      <c r="I38" s="892"/>
      <c r="J38" s="892"/>
      <c r="K38" s="892"/>
      <c r="L38" s="892"/>
      <c r="M38" s="892"/>
      <c r="N38" s="893"/>
      <c r="O38" s="890"/>
      <c r="P38" s="891"/>
      <c r="Q38" s="891"/>
      <c r="R38" s="891"/>
      <c r="S38" s="891"/>
      <c r="T38" s="892"/>
      <c r="U38" s="892"/>
      <c r="V38" s="892"/>
      <c r="W38" s="892"/>
      <c r="X38" s="892"/>
      <c r="Y38" s="892"/>
      <c r="Z38" s="892"/>
      <c r="AA38" s="892"/>
      <c r="AB38" s="892"/>
      <c r="AC38" s="892"/>
      <c r="AD38" s="892"/>
      <c r="AE38" s="892"/>
      <c r="AF38" s="892"/>
      <c r="AG38" s="892"/>
      <c r="AH38" s="892"/>
      <c r="AI38" s="892"/>
      <c r="AJ38" s="892"/>
      <c r="AK38" s="892"/>
      <c r="AL38" s="892"/>
      <c r="AM38" s="892"/>
      <c r="AN38" s="892"/>
      <c r="AO38" s="892"/>
      <c r="AP38" s="893"/>
    </row>
  </sheetData>
  <mergeCells count="113"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B10:C10"/>
    <mergeCell ref="D10:G10"/>
    <mergeCell ref="B11:C11"/>
    <mergeCell ref="D11:G11"/>
    <mergeCell ref="H11:M11"/>
    <mergeCell ref="B12:B17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H10:M10"/>
    <mergeCell ref="N10:P10"/>
    <mergeCell ref="AN12:AP12"/>
    <mergeCell ref="AB12:AD12"/>
    <mergeCell ref="AE12:AG12"/>
    <mergeCell ref="C18:AP18"/>
    <mergeCell ref="Y19:AB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C12:E12"/>
    <mergeCell ref="G12:I12"/>
    <mergeCell ref="J12:L12"/>
    <mergeCell ref="M12:O12"/>
    <mergeCell ref="E25:N27"/>
    <mergeCell ref="B25:D27"/>
    <mergeCell ref="C20:AP20"/>
    <mergeCell ref="B24:N24"/>
    <mergeCell ref="O24:AP24"/>
    <mergeCell ref="B18:B20"/>
    <mergeCell ref="C19:U19"/>
    <mergeCell ref="AN27:AP27"/>
    <mergeCell ref="AE26:AJ26"/>
    <mergeCell ref="AN26:AP26"/>
    <mergeCell ref="AE25:AJ25"/>
    <mergeCell ref="AC25:AD25"/>
    <mergeCell ref="AN25:AP25"/>
    <mergeCell ref="AC26:AD26"/>
    <mergeCell ref="O25:S27"/>
    <mergeCell ref="T27:Y27"/>
    <mergeCell ref="AC27:AD27"/>
    <mergeCell ref="AE27:AJ27"/>
    <mergeCell ref="T25:Y25"/>
    <mergeCell ref="T26:Y26"/>
    <mergeCell ref="O28:S28"/>
    <mergeCell ref="T28:AP28"/>
    <mergeCell ref="B29:D29"/>
    <mergeCell ref="E29:N29"/>
    <mergeCell ref="O29:S30"/>
    <mergeCell ref="T29:AP30"/>
    <mergeCell ref="B30:D30"/>
    <mergeCell ref="E30:N30"/>
    <mergeCell ref="B28:D28"/>
    <mergeCell ref="E28:N28"/>
    <mergeCell ref="B33:N33"/>
    <mergeCell ref="O33:AP33"/>
    <mergeCell ref="B34:D35"/>
    <mergeCell ref="E34:N35"/>
    <mergeCell ref="O34:S35"/>
    <mergeCell ref="T34:Y34"/>
    <mergeCell ref="AC34:AD34"/>
    <mergeCell ref="AE34:AJ34"/>
    <mergeCell ref="AN34:AP34"/>
    <mergeCell ref="T35:Y35"/>
    <mergeCell ref="AC35:AD35"/>
    <mergeCell ref="AE35:AJ35"/>
    <mergeCell ref="AN35:AP35"/>
    <mergeCell ref="B36:D36"/>
    <mergeCell ref="E36:N36"/>
    <mergeCell ref="O36:S36"/>
    <mergeCell ref="T36:AP36"/>
    <mergeCell ref="B37:D37"/>
    <mergeCell ref="E37:N37"/>
    <mergeCell ref="O37:S38"/>
    <mergeCell ref="T37:AP38"/>
    <mergeCell ref="B38:D38"/>
    <mergeCell ref="E38:N38"/>
  </mergeCells>
  <phoneticPr fontId="3"/>
  <conditionalFormatting sqref="AB25:AB27">
    <cfRule type="cellIs" dxfId="60" priority="4" operator="equal">
      <formula>0</formula>
    </cfRule>
  </conditionalFormatting>
  <conditionalFormatting sqref="AM27">
    <cfRule type="cellIs" dxfId="59" priority="3" operator="equal">
      <formula>0</formula>
    </cfRule>
  </conditionalFormatting>
  <conditionalFormatting sqref="AM25">
    <cfRule type="cellIs" dxfId="58" priority="2" operator="equal">
      <formula>0</formula>
    </cfRule>
  </conditionalFormatting>
  <conditionalFormatting sqref="AM26">
    <cfRule type="cellIs" dxfId="57" priority="1" operator="equal">
      <formula>0</formula>
    </cfRule>
  </conditionalFormatting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ColWidth="9" defaultRowHeight="13" x14ac:dyDescent="0.2"/>
  <cols>
    <col min="1" max="1" width="1.6328125" style="137" customWidth="1"/>
    <col min="2" max="2" width="7.6328125" style="137" customWidth="1"/>
    <col min="3" max="3" width="25.6328125" style="137" customWidth="1"/>
    <col min="4" max="13" width="15.6328125" style="137" customWidth="1"/>
    <col min="14" max="16384" width="9" style="137"/>
  </cols>
  <sheetData>
    <row r="1" spans="2:13" x14ac:dyDescent="0.2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13" ht="13.5" thickBot="1" x14ac:dyDescent="0.25">
      <c r="B2" s="137" t="s">
        <v>109</v>
      </c>
      <c r="F2" s="354" t="s">
        <v>271</v>
      </c>
      <c r="G2" s="353" t="s">
        <v>439</v>
      </c>
      <c r="I2" s="354" t="s">
        <v>272</v>
      </c>
      <c r="J2" s="353" t="s">
        <v>464</v>
      </c>
    </row>
    <row r="3" spans="2:13" x14ac:dyDescent="0.2">
      <c r="B3" s="1012" t="s">
        <v>116</v>
      </c>
      <c r="C3" s="1013"/>
      <c r="D3" s="510" t="s">
        <v>374</v>
      </c>
      <c r="E3" s="510" t="s">
        <v>375</v>
      </c>
      <c r="F3" s="510" t="s">
        <v>325</v>
      </c>
      <c r="G3" s="510" t="s">
        <v>395</v>
      </c>
      <c r="H3" s="510" t="s">
        <v>66</v>
      </c>
      <c r="I3" s="510" t="s">
        <v>328</v>
      </c>
      <c r="J3" s="510" t="s">
        <v>376</v>
      </c>
      <c r="K3" s="510" t="s">
        <v>377</v>
      </c>
      <c r="L3" s="510" t="s">
        <v>434</v>
      </c>
      <c r="M3" s="469"/>
    </row>
    <row r="4" spans="2:13" ht="150" customHeight="1" x14ac:dyDescent="0.2">
      <c r="B4" s="1014" t="s">
        <v>110</v>
      </c>
      <c r="C4" s="488" t="s">
        <v>111</v>
      </c>
      <c r="D4" s="492"/>
      <c r="E4" s="492" t="s">
        <v>390</v>
      </c>
      <c r="F4" s="492" t="s">
        <v>379</v>
      </c>
      <c r="G4" s="492" t="s">
        <v>380</v>
      </c>
      <c r="H4" s="492" t="s">
        <v>381</v>
      </c>
      <c r="I4" s="492" t="s">
        <v>382</v>
      </c>
      <c r="J4" s="492" t="s">
        <v>383</v>
      </c>
      <c r="K4" s="492" t="s">
        <v>458</v>
      </c>
      <c r="L4" s="492"/>
      <c r="M4" s="471"/>
    </row>
    <row r="5" spans="2:13" x14ac:dyDescent="0.2">
      <c r="B5" s="1014"/>
      <c r="C5" s="488" t="s">
        <v>112</v>
      </c>
      <c r="D5" s="493"/>
      <c r="E5" s="493" t="s">
        <v>465</v>
      </c>
      <c r="F5" s="493" t="s">
        <v>441</v>
      </c>
      <c r="G5" s="494"/>
      <c r="H5" s="493" t="s">
        <v>435</v>
      </c>
      <c r="I5" s="493" t="s">
        <v>442</v>
      </c>
      <c r="J5" s="493" t="s">
        <v>443</v>
      </c>
      <c r="K5" s="493" t="s">
        <v>436</v>
      </c>
      <c r="L5" s="494"/>
      <c r="M5" s="473"/>
    </row>
    <row r="6" spans="2:13" ht="150" customHeight="1" x14ac:dyDescent="0.2">
      <c r="B6" s="1014"/>
      <c r="C6" s="488" t="s">
        <v>115</v>
      </c>
      <c r="D6" s="495"/>
      <c r="E6" s="495" t="s">
        <v>437</v>
      </c>
      <c r="F6" s="495" t="s">
        <v>420</v>
      </c>
      <c r="G6" s="495" t="s">
        <v>302</v>
      </c>
      <c r="H6" s="492"/>
      <c r="I6" s="492" t="s">
        <v>302</v>
      </c>
      <c r="J6" s="492" t="s">
        <v>384</v>
      </c>
      <c r="K6" s="492" t="s">
        <v>438</v>
      </c>
      <c r="L6" s="492"/>
      <c r="M6" s="471"/>
    </row>
    <row r="7" spans="2:13" x14ac:dyDescent="0.2">
      <c r="B7" s="1014"/>
      <c r="C7" s="496" t="s">
        <v>417</v>
      </c>
      <c r="D7" s="497"/>
      <c r="E7" s="497">
        <v>16</v>
      </c>
      <c r="F7" s="497">
        <v>6</v>
      </c>
      <c r="G7" s="498">
        <v>-1</v>
      </c>
      <c r="H7" s="488"/>
      <c r="I7" s="488">
        <v>2</v>
      </c>
      <c r="J7" s="488">
        <v>6.9</v>
      </c>
      <c r="K7" s="488">
        <v>12.1</v>
      </c>
      <c r="L7" s="488"/>
      <c r="M7" s="475"/>
    </row>
    <row r="8" spans="2:13" x14ac:dyDescent="0.2">
      <c r="B8" s="1014"/>
      <c r="C8" s="499" t="s">
        <v>418</v>
      </c>
      <c r="D8" s="497"/>
      <c r="E8" s="497"/>
      <c r="F8" s="497">
        <v>18</v>
      </c>
      <c r="G8" s="498">
        <v>-1</v>
      </c>
      <c r="H8" s="488"/>
      <c r="I8" s="488">
        <v>5.0999999999999996</v>
      </c>
      <c r="J8" s="488">
        <v>23.3</v>
      </c>
      <c r="K8" s="488">
        <v>3.7</v>
      </c>
      <c r="L8" s="488">
        <v>2</v>
      </c>
      <c r="M8" s="475"/>
    </row>
    <row r="9" spans="2:13" x14ac:dyDescent="0.2">
      <c r="B9" s="1014"/>
      <c r="C9" s="488" t="s">
        <v>114</v>
      </c>
      <c r="D9" s="488"/>
      <c r="E9" s="488"/>
      <c r="F9" s="488">
        <v>3</v>
      </c>
      <c r="G9" s="488"/>
      <c r="H9" s="488"/>
      <c r="I9" s="488">
        <v>3</v>
      </c>
      <c r="J9" s="488">
        <v>3</v>
      </c>
      <c r="K9" s="488">
        <v>2</v>
      </c>
      <c r="L9" s="488"/>
      <c r="M9" s="475"/>
    </row>
    <row r="10" spans="2:13" ht="150.75" customHeight="1" x14ac:dyDescent="0.2">
      <c r="B10" s="1015" t="s">
        <v>422</v>
      </c>
      <c r="C10" s="1016"/>
      <c r="D10" s="500"/>
      <c r="E10" s="500" t="s">
        <v>446</v>
      </c>
      <c r="F10" s="500" t="s">
        <v>690</v>
      </c>
      <c r="G10" s="501"/>
      <c r="H10" s="502"/>
      <c r="I10" s="501" t="s">
        <v>448</v>
      </c>
      <c r="J10" s="501" t="s">
        <v>450</v>
      </c>
      <c r="K10" s="501" t="s">
        <v>421</v>
      </c>
      <c r="L10" s="497"/>
      <c r="M10" s="476"/>
    </row>
    <row r="11" spans="2:13" ht="150" customHeight="1" thickBot="1" x14ac:dyDescent="0.25">
      <c r="B11" s="1017" t="s">
        <v>113</v>
      </c>
      <c r="C11" s="1018"/>
      <c r="D11" s="511" t="s">
        <v>691</v>
      </c>
      <c r="E11" s="511" t="s">
        <v>692</v>
      </c>
      <c r="F11" s="511" t="s">
        <v>693</v>
      </c>
      <c r="G11" s="512" t="s">
        <v>694</v>
      </c>
      <c r="H11" s="512" t="s">
        <v>695</v>
      </c>
      <c r="I11" s="512" t="s">
        <v>696</v>
      </c>
      <c r="J11" s="512" t="s">
        <v>697</v>
      </c>
      <c r="K11" s="512" t="s">
        <v>698</v>
      </c>
      <c r="L11" s="513"/>
      <c r="M11" s="480"/>
    </row>
    <row r="12" spans="2:13" x14ac:dyDescent="0.2">
      <c r="B12" s="139"/>
    </row>
  </sheetData>
  <mergeCells count="4">
    <mergeCell ref="B3:C3"/>
    <mergeCell ref="B4:B9"/>
    <mergeCell ref="B10:C10"/>
    <mergeCell ref="B11:C11"/>
  </mergeCells>
  <phoneticPr fontId="4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ColWidth="9" defaultRowHeight="13" x14ac:dyDescent="0.2"/>
  <cols>
    <col min="1" max="1" width="1.6328125" style="137" customWidth="1"/>
    <col min="2" max="2" width="7.6328125" style="137" customWidth="1"/>
    <col min="3" max="3" width="25.6328125" style="137" customWidth="1"/>
    <col min="4" max="13" width="15.6328125" style="137" customWidth="1"/>
    <col min="14" max="16384" width="9" style="137"/>
  </cols>
  <sheetData>
    <row r="1" spans="2:13" ht="10" customHeight="1" x14ac:dyDescent="0.2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13" ht="25" customHeight="1" thickBot="1" x14ac:dyDescent="0.25">
      <c r="B2" s="353" t="s">
        <v>411</v>
      </c>
      <c r="F2" s="354" t="s">
        <v>271</v>
      </c>
      <c r="G2" s="353" t="s">
        <v>440</v>
      </c>
      <c r="I2" s="354" t="s">
        <v>272</v>
      </c>
      <c r="J2" s="353" t="s">
        <v>429</v>
      </c>
    </row>
    <row r="3" spans="2:13" ht="20.149999999999999" customHeight="1" x14ac:dyDescent="0.2">
      <c r="B3" s="1012" t="s">
        <v>116</v>
      </c>
      <c r="C3" s="1013"/>
      <c r="D3" s="468" t="s">
        <v>374</v>
      </c>
      <c r="E3" s="468" t="s">
        <v>375</v>
      </c>
      <c r="F3" s="468" t="s">
        <v>325</v>
      </c>
      <c r="G3" s="468" t="s">
        <v>395</v>
      </c>
      <c r="H3" s="468" t="s">
        <v>66</v>
      </c>
      <c r="I3" s="468" t="s">
        <v>328</v>
      </c>
      <c r="J3" s="468" t="s">
        <v>376</v>
      </c>
      <c r="K3" s="468" t="s">
        <v>377</v>
      </c>
      <c r="L3" s="468" t="s">
        <v>396</v>
      </c>
      <c r="M3" s="469"/>
    </row>
    <row r="4" spans="2:13" ht="150" customHeight="1" x14ac:dyDescent="0.2">
      <c r="B4" s="1014" t="s">
        <v>110</v>
      </c>
      <c r="C4" s="488" t="s">
        <v>111</v>
      </c>
      <c r="D4" s="492" t="s">
        <v>427</v>
      </c>
      <c r="E4" s="492" t="s">
        <v>390</v>
      </c>
      <c r="F4" s="492" t="s">
        <v>379</v>
      </c>
      <c r="G4" s="492" t="s">
        <v>380</v>
      </c>
      <c r="H4" s="492" t="s">
        <v>381</v>
      </c>
      <c r="I4" s="492" t="s">
        <v>382</v>
      </c>
      <c r="J4" s="492" t="s">
        <v>383</v>
      </c>
      <c r="K4" s="492" t="s">
        <v>458</v>
      </c>
      <c r="L4" s="457"/>
      <c r="M4" s="471"/>
    </row>
    <row r="5" spans="2:13" ht="20.149999999999999" customHeight="1" x14ac:dyDescent="0.2">
      <c r="B5" s="1014"/>
      <c r="C5" s="488" t="s">
        <v>112</v>
      </c>
      <c r="D5" s="493" t="s">
        <v>451</v>
      </c>
      <c r="E5" s="493" t="s">
        <v>391</v>
      </c>
      <c r="F5" s="493" t="s">
        <v>452</v>
      </c>
      <c r="G5" s="494"/>
      <c r="H5" s="493" t="s">
        <v>392</v>
      </c>
      <c r="I5" s="493" t="s">
        <v>453</v>
      </c>
      <c r="J5" s="493" t="s">
        <v>454</v>
      </c>
      <c r="K5" s="493" t="s">
        <v>393</v>
      </c>
      <c r="L5" s="472"/>
      <c r="M5" s="473"/>
    </row>
    <row r="6" spans="2:13" ht="150" customHeight="1" x14ac:dyDescent="0.2">
      <c r="B6" s="1014"/>
      <c r="C6" s="488" t="s">
        <v>115</v>
      </c>
      <c r="D6" s="495"/>
      <c r="E6" s="495" t="s">
        <v>394</v>
      </c>
      <c r="F6" s="495" t="s">
        <v>420</v>
      </c>
      <c r="G6" s="495" t="s">
        <v>302</v>
      </c>
      <c r="H6" s="492"/>
      <c r="I6" s="492" t="s">
        <v>302</v>
      </c>
      <c r="J6" s="492" t="s">
        <v>384</v>
      </c>
      <c r="K6" s="492" t="s">
        <v>419</v>
      </c>
      <c r="L6" s="457"/>
      <c r="M6" s="471"/>
    </row>
    <row r="7" spans="2:13" ht="20.149999999999999" customHeight="1" x14ac:dyDescent="0.2">
      <c r="B7" s="1014"/>
      <c r="C7" s="496" t="s">
        <v>417</v>
      </c>
      <c r="D7" s="497"/>
      <c r="E7" s="497">
        <v>16</v>
      </c>
      <c r="F7" s="497">
        <v>6</v>
      </c>
      <c r="G7" s="498">
        <v>-1</v>
      </c>
      <c r="H7" s="488"/>
      <c r="I7" s="488">
        <v>2</v>
      </c>
      <c r="J7" s="488">
        <v>6.9</v>
      </c>
      <c r="K7" s="488">
        <v>12.1</v>
      </c>
      <c r="L7" s="470"/>
      <c r="M7" s="475"/>
    </row>
    <row r="8" spans="2:13" ht="20.149999999999999" customHeight="1" x14ac:dyDescent="0.2">
      <c r="B8" s="1014"/>
      <c r="C8" s="499" t="s">
        <v>418</v>
      </c>
      <c r="D8" s="497">
        <v>17.2</v>
      </c>
      <c r="E8" s="497"/>
      <c r="F8" s="497">
        <v>18</v>
      </c>
      <c r="G8" s="498">
        <v>-1</v>
      </c>
      <c r="H8" s="488"/>
      <c r="I8" s="488">
        <v>5.0999999999999996</v>
      </c>
      <c r="J8" s="488">
        <v>23.3</v>
      </c>
      <c r="K8" s="488">
        <v>3.7</v>
      </c>
      <c r="L8" s="470">
        <v>2</v>
      </c>
      <c r="M8" s="475"/>
    </row>
    <row r="9" spans="2:13" ht="20.149999999999999" customHeight="1" x14ac:dyDescent="0.2">
      <c r="B9" s="1014"/>
      <c r="C9" s="488" t="s">
        <v>114</v>
      </c>
      <c r="D9" s="488">
        <v>6</v>
      </c>
      <c r="E9" s="488"/>
      <c r="F9" s="488">
        <v>3</v>
      </c>
      <c r="G9" s="488"/>
      <c r="H9" s="488"/>
      <c r="I9" s="488">
        <v>3</v>
      </c>
      <c r="J9" s="488">
        <v>3</v>
      </c>
      <c r="K9" s="488">
        <v>2</v>
      </c>
      <c r="L9" s="470"/>
      <c r="M9" s="475"/>
    </row>
    <row r="10" spans="2:13" ht="150" customHeight="1" x14ac:dyDescent="0.2">
      <c r="B10" s="1015" t="s">
        <v>422</v>
      </c>
      <c r="C10" s="1016"/>
      <c r="D10" s="500" t="s">
        <v>444</v>
      </c>
      <c r="E10" s="500" t="s">
        <v>446</v>
      </c>
      <c r="F10" s="500" t="s">
        <v>690</v>
      </c>
      <c r="G10" s="501"/>
      <c r="H10" s="502"/>
      <c r="I10" s="501" t="s">
        <v>448</v>
      </c>
      <c r="J10" s="501" t="s">
        <v>450</v>
      </c>
      <c r="K10" s="501" t="s">
        <v>421</v>
      </c>
      <c r="L10" s="474"/>
      <c r="M10" s="476"/>
    </row>
    <row r="11" spans="2:13" ht="150" customHeight="1" thickBot="1" x14ac:dyDescent="0.25">
      <c r="B11" s="1019" t="s">
        <v>113</v>
      </c>
      <c r="C11" s="1020"/>
      <c r="D11" s="477" t="s">
        <v>699</v>
      </c>
      <c r="E11" s="477" t="s">
        <v>692</v>
      </c>
      <c r="F11" s="477" t="s">
        <v>693</v>
      </c>
      <c r="G11" s="478" t="s">
        <v>694</v>
      </c>
      <c r="H11" s="478" t="s">
        <v>695</v>
      </c>
      <c r="I11" s="478" t="s">
        <v>696</v>
      </c>
      <c r="J11" s="478" t="s">
        <v>697</v>
      </c>
      <c r="K11" s="478" t="s">
        <v>698</v>
      </c>
      <c r="L11" s="479"/>
      <c r="M11" s="480"/>
    </row>
    <row r="12" spans="2:13" ht="9.75" customHeight="1" x14ac:dyDescent="0.2">
      <c r="B12" s="139"/>
    </row>
  </sheetData>
  <mergeCells count="4">
    <mergeCell ref="B4:B9"/>
    <mergeCell ref="B3:C3"/>
    <mergeCell ref="B11:C11"/>
    <mergeCell ref="B10:C10"/>
  </mergeCells>
  <phoneticPr fontId="2"/>
  <pageMargins left="0.78740157480314965" right="0.78740157480314965" top="0.78740157480314965" bottom="0.78740157480314965" header="0.39370078740157483" footer="0.39370078740157483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ColWidth="9" defaultRowHeight="13" x14ac:dyDescent="0.2"/>
  <cols>
    <col min="1" max="1" width="1.6328125" style="137" customWidth="1"/>
    <col min="2" max="2" width="7.6328125" style="137" customWidth="1"/>
    <col min="3" max="3" width="25.6328125" style="137" customWidth="1"/>
    <col min="4" max="13" width="15.6328125" style="137" customWidth="1"/>
    <col min="14" max="16384" width="9" style="137"/>
  </cols>
  <sheetData>
    <row r="1" spans="2:13" ht="10" customHeight="1" x14ac:dyDescent="0.2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13" ht="25" customHeight="1" thickBot="1" x14ac:dyDescent="0.25">
      <c r="B2" s="353" t="s">
        <v>746</v>
      </c>
      <c r="F2" s="354" t="s">
        <v>271</v>
      </c>
      <c r="G2" s="353" t="s">
        <v>472</v>
      </c>
      <c r="I2" s="354" t="s">
        <v>272</v>
      </c>
      <c r="J2" s="353" t="s">
        <v>429</v>
      </c>
    </row>
    <row r="3" spans="2:13" ht="20.149999999999999" customHeight="1" x14ac:dyDescent="0.2">
      <c r="B3" s="1012" t="s">
        <v>116</v>
      </c>
      <c r="C3" s="1013"/>
      <c r="D3" s="468" t="s">
        <v>374</v>
      </c>
      <c r="E3" s="468" t="s">
        <v>375</v>
      </c>
      <c r="F3" s="468" t="s">
        <v>325</v>
      </c>
      <c r="G3" s="468" t="s">
        <v>326</v>
      </c>
      <c r="H3" s="468" t="s">
        <v>66</v>
      </c>
      <c r="I3" s="468" t="s">
        <v>328</v>
      </c>
      <c r="J3" s="468" t="s">
        <v>376</v>
      </c>
      <c r="K3" s="468" t="s">
        <v>377</v>
      </c>
      <c r="L3" s="468" t="s">
        <v>396</v>
      </c>
      <c r="M3" s="469"/>
    </row>
    <row r="4" spans="2:13" ht="150" customHeight="1" x14ac:dyDescent="0.2">
      <c r="B4" s="1014" t="s">
        <v>110</v>
      </c>
      <c r="C4" s="488" t="s">
        <v>111</v>
      </c>
      <c r="D4" s="492" t="s">
        <v>427</v>
      </c>
      <c r="E4" s="492" t="s">
        <v>378</v>
      </c>
      <c r="F4" s="492" t="s">
        <v>379</v>
      </c>
      <c r="G4" s="492" t="s">
        <v>380</v>
      </c>
      <c r="H4" s="492" t="s">
        <v>381</v>
      </c>
      <c r="I4" s="492" t="s">
        <v>382</v>
      </c>
      <c r="J4" s="492" t="s">
        <v>383</v>
      </c>
      <c r="K4" s="492" t="s">
        <v>458</v>
      </c>
      <c r="L4" s="457"/>
      <c r="M4" s="471"/>
    </row>
    <row r="5" spans="2:13" ht="20.149999999999999" customHeight="1" x14ac:dyDescent="0.2">
      <c r="B5" s="1014"/>
      <c r="C5" s="488" t="s">
        <v>112</v>
      </c>
      <c r="D5" s="493" t="s">
        <v>455</v>
      </c>
      <c r="E5" s="493" t="s">
        <v>391</v>
      </c>
      <c r="F5" s="493" t="s">
        <v>456</v>
      </c>
      <c r="G5" s="494"/>
      <c r="H5" s="493" t="s">
        <v>392</v>
      </c>
      <c r="I5" s="493" t="s">
        <v>457</v>
      </c>
      <c r="J5" s="493" t="s">
        <v>397</v>
      </c>
      <c r="K5" s="493" t="s">
        <v>393</v>
      </c>
      <c r="L5" s="470"/>
      <c r="M5" s="475"/>
    </row>
    <row r="6" spans="2:13" ht="150" customHeight="1" x14ac:dyDescent="0.2">
      <c r="B6" s="1014"/>
      <c r="C6" s="488" t="s">
        <v>115</v>
      </c>
      <c r="D6" s="495"/>
      <c r="E6" s="495" t="s">
        <v>300</v>
      </c>
      <c r="F6" s="495" t="s">
        <v>420</v>
      </c>
      <c r="G6" s="495" t="s">
        <v>302</v>
      </c>
      <c r="H6" s="492"/>
      <c r="I6" s="492" t="s">
        <v>302</v>
      </c>
      <c r="J6" s="492" t="s">
        <v>384</v>
      </c>
      <c r="K6" s="492" t="s">
        <v>419</v>
      </c>
      <c r="L6" s="457"/>
      <c r="M6" s="471"/>
    </row>
    <row r="7" spans="2:13" ht="20.149999999999999" customHeight="1" x14ac:dyDescent="0.2">
      <c r="B7" s="1014"/>
      <c r="C7" s="496" t="s">
        <v>417</v>
      </c>
      <c r="D7" s="497"/>
      <c r="E7" s="497">
        <v>16</v>
      </c>
      <c r="F7" s="497">
        <v>6</v>
      </c>
      <c r="G7" s="498">
        <v>-1</v>
      </c>
      <c r="H7" s="488"/>
      <c r="I7" s="488">
        <v>2</v>
      </c>
      <c r="J7" s="488">
        <v>6.9</v>
      </c>
      <c r="K7" s="488">
        <v>12.1</v>
      </c>
      <c r="L7" s="470"/>
      <c r="M7" s="475"/>
    </row>
    <row r="8" spans="2:13" ht="20.149999999999999" customHeight="1" x14ac:dyDescent="0.2">
      <c r="B8" s="1014"/>
      <c r="C8" s="499" t="s">
        <v>418</v>
      </c>
      <c r="D8" s="497">
        <v>17.2</v>
      </c>
      <c r="E8" s="497"/>
      <c r="F8" s="497">
        <v>18</v>
      </c>
      <c r="G8" s="498">
        <v>-1</v>
      </c>
      <c r="H8" s="488"/>
      <c r="I8" s="488">
        <v>5.0999999999999996</v>
      </c>
      <c r="J8" s="488">
        <v>23.3</v>
      </c>
      <c r="K8" s="488">
        <v>3.7</v>
      </c>
      <c r="L8" s="470">
        <v>2</v>
      </c>
      <c r="M8" s="475"/>
    </row>
    <row r="9" spans="2:13" ht="20.149999999999999" customHeight="1" x14ac:dyDescent="0.2">
      <c r="B9" s="1014"/>
      <c r="C9" s="488" t="s">
        <v>114</v>
      </c>
      <c r="D9" s="488">
        <v>6</v>
      </c>
      <c r="E9" s="488"/>
      <c r="F9" s="488">
        <v>3</v>
      </c>
      <c r="G9" s="488"/>
      <c r="H9" s="488"/>
      <c r="I9" s="488">
        <v>3</v>
      </c>
      <c r="J9" s="488">
        <v>3</v>
      </c>
      <c r="K9" s="488">
        <v>2</v>
      </c>
      <c r="L9" s="470"/>
      <c r="M9" s="475"/>
    </row>
    <row r="10" spans="2:13" ht="150" customHeight="1" x14ac:dyDescent="0.2">
      <c r="B10" s="1015" t="s">
        <v>422</v>
      </c>
      <c r="C10" s="1016"/>
      <c r="D10" s="516" t="s">
        <v>445</v>
      </c>
      <c r="E10" s="516" t="s">
        <v>447</v>
      </c>
      <c r="F10" s="516" t="s">
        <v>700</v>
      </c>
      <c r="G10" s="517"/>
      <c r="H10" s="517"/>
      <c r="I10" s="518" t="s">
        <v>449</v>
      </c>
      <c r="J10" s="518" t="s">
        <v>352</v>
      </c>
      <c r="K10" s="501" t="s">
        <v>421</v>
      </c>
      <c r="L10" s="458"/>
      <c r="M10" s="481"/>
    </row>
    <row r="11" spans="2:13" ht="150" customHeight="1" thickBot="1" x14ac:dyDescent="0.25">
      <c r="B11" s="1019" t="s">
        <v>113</v>
      </c>
      <c r="C11" s="1020"/>
      <c r="D11" s="477" t="s">
        <v>699</v>
      </c>
      <c r="E11" s="477" t="s">
        <v>692</v>
      </c>
      <c r="F11" s="477" t="s">
        <v>693</v>
      </c>
      <c r="G11" s="478" t="s">
        <v>385</v>
      </c>
      <c r="H11" s="478" t="s">
        <v>386</v>
      </c>
      <c r="I11" s="478" t="s">
        <v>387</v>
      </c>
      <c r="J11" s="478" t="s">
        <v>388</v>
      </c>
      <c r="K11" s="478" t="s">
        <v>389</v>
      </c>
      <c r="L11" s="482"/>
      <c r="M11" s="483"/>
    </row>
    <row r="12" spans="2:13" ht="9.75" customHeight="1" x14ac:dyDescent="0.2">
      <c r="B12" s="139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zoomScale="75" zoomScaleNormal="75" zoomScaleSheetLayoutView="80" workbookViewId="0"/>
  </sheetViews>
  <sheetFormatPr defaultColWidth="9" defaultRowHeight="13" x14ac:dyDescent="0.2"/>
  <cols>
    <col min="1" max="1" width="1.6328125" style="137" customWidth="1"/>
    <col min="2" max="2" width="7.6328125" style="137" customWidth="1"/>
    <col min="3" max="3" width="25.6328125" style="137" customWidth="1"/>
    <col min="4" max="11" width="20.08984375" style="137" customWidth="1"/>
    <col min="12" max="16384" width="9" style="137"/>
  </cols>
  <sheetData>
    <row r="1" spans="2:11" ht="25" customHeight="1" thickBot="1" x14ac:dyDescent="0.25">
      <c r="B1" s="353" t="s">
        <v>675</v>
      </c>
      <c r="F1" s="354" t="s">
        <v>271</v>
      </c>
      <c r="G1" s="353" t="s">
        <v>479</v>
      </c>
      <c r="H1" s="354" t="s">
        <v>272</v>
      </c>
      <c r="I1" s="823" t="s">
        <v>681</v>
      </c>
      <c r="J1" s="353"/>
    </row>
    <row r="2" spans="2:11" ht="20.149999999999999" customHeight="1" x14ac:dyDescent="0.2">
      <c r="B2" s="1012" t="s">
        <v>116</v>
      </c>
      <c r="C2" s="1013"/>
      <c r="D2" s="822" t="s">
        <v>481</v>
      </c>
      <c r="E2" s="822" t="s">
        <v>328</v>
      </c>
      <c r="F2" s="822" t="s">
        <v>482</v>
      </c>
      <c r="G2" s="822" t="s">
        <v>483</v>
      </c>
      <c r="H2" s="822" t="s">
        <v>484</v>
      </c>
      <c r="I2" s="469" t="s">
        <v>485</v>
      </c>
      <c r="J2" s="824"/>
      <c r="K2" s="824"/>
    </row>
    <row r="3" spans="2:11" ht="150" customHeight="1" x14ac:dyDescent="0.2">
      <c r="B3" s="1021" t="s">
        <v>110</v>
      </c>
      <c r="C3" s="825" t="s">
        <v>111</v>
      </c>
      <c r="D3" s="826" t="s">
        <v>701</v>
      </c>
      <c r="E3" s="826" t="s">
        <v>702</v>
      </c>
      <c r="F3" s="826" t="s">
        <v>486</v>
      </c>
      <c r="G3" s="826" t="s">
        <v>703</v>
      </c>
      <c r="H3" s="826" t="s">
        <v>704</v>
      </c>
      <c r="I3" s="827" t="s">
        <v>682</v>
      </c>
      <c r="J3" s="820"/>
      <c r="K3" s="820"/>
    </row>
    <row r="4" spans="2:11" ht="20.149999999999999" customHeight="1" x14ac:dyDescent="0.2">
      <c r="B4" s="1021"/>
      <c r="C4" s="825" t="s">
        <v>112</v>
      </c>
      <c r="D4" s="828" t="s">
        <v>487</v>
      </c>
      <c r="E4" s="828" t="s">
        <v>488</v>
      </c>
      <c r="F4" s="828" t="s">
        <v>489</v>
      </c>
      <c r="G4" s="828" t="s">
        <v>490</v>
      </c>
      <c r="H4" s="825" t="s">
        <v>491</v>
      </c>
      <c r="I4" s="829" t="s">
        <v>492</v>
      </c>
      <c r="J4" s="824"/>
      <c r="K4" s="824"/>
    </row>
    <row r="5" spans="2:11" ht="150" customHeight="1" x14ac:dyDescent="0.2">
      <c r="B5" s="1021"/>
      <c r="C5" s="825" t="s">
        <v>115</v>
      </c>
      <c r="D5" s="830"/>
      <c r="E5" s="831" t="s">
        <v>493</v>
      </c>
      <c r="F5" s="830"/>
      <c r="G5" s="830"/>
      <c r="H5" s="826" t="s">
        <v>494</v>
      </c>
      <c r="I5" s="827"/>
      <c r="J5" s="820"/>
      <c r="K5" s="820"/>
    </row>
    <row r="6" spans="2:11" ht="20.149999999999999" customHeight="1" x14ac:dyDescent="0.2">
      <c r="B6" s="1021"/>
      <c r="C6" s="832" t="s">
        <v>495</v>
      </c>
      <c r="D6" s="833"/>
      <c r="E6" s="833">
        <v>18</v>
      </c>
      <c r="F6" s="833">
        <v>1</v>
      </c>
      <c r="G6" s="833"/>
      <c r="H6" s="825">
        <v>10</v>
      </c>
      <c r="I6" s="829">
        <v>15</v>
      </c>
      <c r="J6" s="824"/>
      <c r="K6" s="824"/>
    </row>
    <row r="7" spans="2:11" ht="20.149999999999999" customHeight="1" x14ac:dyDescent="0.2">
      <c r="B7" s="1021"/>
      <c r="C7" s="833" t="s">
        <v>496</v>
      </c>
      <c r="D7" s="833">
        <v>24</v>
      </c>
      <c r="E7" s="833">
        <v>18</v>
      </c>
      <c r="F7" s="833">
        <v>8</v>
      </c>
      <c r="G7" s="833">
        <v>18</v>
      </c>
      <c r="H7" s="825">
        <v>32</v>
      </c>
      <c r="I7" s="829">
        <v>188</v>
      </c>
      <c r="J7" s="824"/>
      <c r="K7" s="824"/>
    </row>
    <row r="8" spans="2:11" ht="20.149999999999999" customHeight="1" x14ac:dyDescent="0.2">
      <c r="B8" s="1021"/>
      <c r="C8" s="825" t="s">
        <v>114</v>
      </c>
      <c r="D8" s="825"/>
      <c r="E8" s="825"/>
      <c r="F8" s="825"/>
      <c r="G8" s="825"/>
      <c r="H8" s="825"/>
      <c r="I8" s="829"/>
      <c r="J8" s="824"/>
      <c r="K8" s="824"/>
    </row>
    <row r="9" spans="2:11" ht="150" customHeight="1" x14ac:dyDescent="0.2">
      <c r="B9" s="1022" t="s">
        <v>497</v>
      </c>
      <c r="C9" s="1023"/>
      <c r="D9" s="826" t="s">
        <v>498</v>
      </c>
      <c r="E9" s="826" t="s">
        <v>499</v>
      </c>
      <c r="F9" s="834" t="s">
        <v>500</v>
      </c>
      <c r="G9" s="833"/>
      <c r="H9" s="833"/>
      <c r="I9" s="835"/>
      <c r="J9" s="821"/>
      <c r="K9" s="821"/>
    </row>
    <row r="10" spans="2:11" ht="150" customHeight="1" thickBot="1" x14ac:dyDescent="0.25">
      <c r="B10" s="1024" t="s">
        <v>113</v>
      </c>
      <c r="C10" s="1025"/>
      <c r="D10" s="836" t="s">
        <v>705</v>
      </c>
      <c r="E10" s="836"/>
      <c r="F10" s="837"/>
      <c r="G10" s="838"/>
      <c r="H10" s="838"/>
      <c r="I10" s="839"/>
      <c r="J10" s="821"/>
      <c r="K10" s="821"/>
    </row>
    <row r="11" spans="2:11" ht="9.75" customHeight="1" x14ac:dyDescent="0.2">
      <c r="B11" s="139"/>
    </row>
  </sheetData>
  <mergeCells count="4">
    <mergeCell ref="B2:C2"/>
    <mergeCell ref="B3:B8"/>
    <mergeCell ref="B9:C9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72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zoomScale="75" zoomScaleNormal="75" zoomScaleSheetLayoutView="80" workbookViewId="0">
      <pane xSplit="5" ySplit="4" topLeftCell="F17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.6328125" style="51" customWidth="1"/>
    <col min="2" max="2" width="7.6328125" style="51" customWidth="1"/>
    <col min="3" max="3" width="15.6328125" style="51" customWidth="1"/>
    <col min="4" max="10" width="20.6328125" style="51" customWidth="1"/>
    <col min="11" max="11" width="59.36328125" style="51" customWidth="1"/>
    <col min="12" max="12" width="9.26953125" style="51" bestFit="1" customWidth="1"/>
    <col min="13" max="16384" width="9" style="51"/>
  </cols>
  <sheetData>
    <row r="1" spans="2:11" ht="10" customHeight="1" x14ac:dyDescent="0.2"/>
    <row r="2" spans="2:11" ht="25" customHeight="1" thickBot="1" x14ac:dyDescent="0.25">
      <c r="B2" s="52" t="s">
        <v>107</v>
      </c>
      <c r="C2" s="53"/>
      <c r="D2" s="53"/>
      <c r="K2" s="54"/>
    </row>
    <row r="3" spans="2:11" ht="20.149999999999999" customHeight="1" x14ac:dyDescent="0.2">
      <c r="B3" s="1026" t="s">
        <v>286</v>
      </c>
      <c r="C3" s="1027"/>
      <c r="D3" s="1027"/>
      <c r="E3" s="1027"/>
      <c r="F3" s="55" t="s">
        <v>287</v>
      </c>
      <c r="G3" s="55" t="s">
        <v>432</v>
      </c>
      <c r="H3" s="390" t="s">
        <v>433</v>
      </c>
      <c r="I3" s="536" t="s">
        <v>473</v>
      </c>
      <c r="J3" s="390" t="s">
        <v>660</v>
      </c>
      <c r="K3" s="1030" t="s">
        <v>285</v>
      </c>
    </row>
    <row r="4" spans="2:11" ht="20.149999999999999" customHeight="1" thickBot="1" x14ac:dyDescent="0.25">
      <c r="B4" s="1028"/>
      <c r="C4" s="1029"/>
      <c r="D4" s="1029"/>
      <c r="E4" s="1029"/>
      <c r="F4" s="440"/>
      <c r="G4" s="440">
        <f>'１　対象経営の概要，２　前提条件'!F13</f>
        <v>10</v>
      </c>
      <c r="H4" s="440">
        <f>'１　対象経営の概要，２　前提条件'!F14</f>
        <v>10</v>
      </c>
      <c r="I4" s="842">
        <f>'１　対象経営の概要，２　前提条件'!F15</f>
        <v>9.5</v>
      </c>
      <c r="J4" s="843">
        <v>50</v>
      </c>
      <c r="K4" s="1031"/>
    </row>
    <row r="5" spans="2:11" ht="20.149999999999999" customHeight="1" x14ac:dyDescent="0.2">
      <c r="B5" s="1032" t="s">
        <v>91</v>
      </c>
      <c r="C5" s="1035" t="s">
        <v>58</v>
      </c>
      <c r="D5" s="56" t="s">
        <v>231</v>
      </c>
      <c r="E5" s="57"/>
      <c r="F5" s="58">
        <f>SUM(G5:J5)</f>
        <v>33174333.333333336</v>
      </c>
      <c r="G5" s="352">
        <f>'７－１　水稲部門（早期コシヒカリ）収支'!F4*'１　対象経営の概要，２　前提条件'!$AB$25</f>
        <v>9180000</v>
      </c>
      <c r="H5" s="876">
        <f>'７－２　水稲部門（恋の予感）収支 '!F4*'１　対象経営の概要，２　前提条件'!$AB$26</f>
        <v>8580000</v>
      </c>
      <c r="I5" s="876">
        <f>'７－３　水稲部門（加工用，恋の予感）収支'!F4*'１　対象経営の概要，２　前提条件'!$AB$27</f>
        <v>7581000</v>
      </c>
      <c r="J5" s="352">
        <f>'７－4　イチジク部門収支'!F3*'４　経営収支'!J4/10</f>
        <v>7833333.333333334</v>
      </c>
      <c r="K5" s="59"/>
    </row>
    <row r="6" spans="2:11" ht="20.149999999999999" customHeight="1" x14ac:dyDescent="0.2">
      <c r="B6" s="1033"/>
      <c r="C6" s="1036"/>
      <c r="D6" s="60" t="s">
        <v>92</v>
      </c>
      <c r="E6" s="61"/>
      <c r="F6" s="62">
        <f>SUM(G6:J6)</f>
        <v>0</v>
      </c>
      <c r="G6" s="66">
        <f>'７－１　水稲部門（早期コシヒカリ）収支'!F5*'１　対象経営の概要，２　前提条件'!$AB$25</f>
        <v>0</v>
      </c>
      <c r="H6" s="875">
        <f>'７－２　水稲部門（恋の予感）収支 '!F5*'１　対象経営の概要，２　前提条件'!$AB$26</f>
        <v>0</v>
      </c>
      <c r="I6" s="66">
        <f>'７－３　水稲部門（加工用，恋の予感）収支'!F5*'１　対象経営の概要，２　前提条件'!$AB$27</f>
        <v>0</v>
      </c>
      <c r="J6" s="66">
        <v>0</v>
      </c>
      <c r="K6" s="63"/>
    </row>
    <row r="7" spans="2:11" ht="20.149999999999999" customHeight="1" x14ac:dyDescent="0.2">
      <c r="B7" s="1033"/>
      <c r="C7" s="1037"/>
      <c r="D7" s="1038" t="s">
        <v>219</v>
      </c>
      <c r="E7" s="1039"/>
      <c r="F7" s="64">
        <f>SUM(F5:F6)</f>
        <v>33174333.333333336</v>
      </c>
      <c r="G7" s="65">
        <f>G5+G6</f>
        <v>9180000</v>
      </c>
      <c r="H7" s="65">
        <f>H5+H6</f>
        <v>8580000</v>
      </c>
      <c r="I7" s="65">
        <f>SUM(I5:I6)</f>
        <v>7581000</v>
      </c>
      <c r="J7" s="65">
        <f>SUM(J5:J6)</f>
        <v>7833333.333333334</v>
      </c>
      <c r="K7" s="63"/>
    </row>
    <row r="8" spans="2:11" ht="20.149999999999999" customHeight="1" x14ac:dyDescent="0.2">
      <c r="B8" s="1033"/>
      <c r="C8" s="1040" t="s">
        <v>222</v>
      </c>
      <c r="D8" s="60" t="s">
        <v>59</v>
      </c>
      <c r="E8" s="61"/>
      <c r="F8" s="62">
        <f t="shared" ref="F8:F27" si="0">SUM(G8:J8)</f>
        <v>1285375</v>
      </c>
      <c r="G8" s="66">
        <f>'７－１　水稲部門（早期コシヒカリ）収支'!F6*'１　対象経営の概要，２　前提条件'!$AB$25</f>
        <v>910000</v>
      </c>
      <c r="H8" s="66">
        <f>'７－２　水稲部門（恋の予感）収支 '!F6*'１　対象経営の概要，２　前提条件'!$AB$26</f>
        <v>192500</v>
      </c>
      <c r="I8" s="66">
        <f>'７－３　水稲部門（加工用，恋の予感）収支'!F6*'１　対象経営の概要，２　前提条件'!$AB$27</f>
        <v>182875</v>
      </c>
      <c r="J8" s="66">
        <f>'７－4　イチジク部門収支'!F5*'４　経営収支'!$J$4/10</f>
        <v>0</v>
      </c>
      <c r="K8" s="63"/>
    </row>
    <row r="9" spans="2:11" ht="20.149999999999999" customHeight="1" x14ac:dyDescent="0.2">
      <c r="B9" s="1033"/>
      <c r="C9" s="1041"/>
      <c r="D9" s="60" t="s">
        <v>60</v>
      </c>
      <c r="E9" s="61"/>
      <c r="F9" s="62">
        <f t="shared" si="0"/>
        <v>4182690.5750000002</v>
      </c>
      <c r="G9" s="66">
        <f>'７－１　水稲部門（早期コシヒカリ）収支'!F7*'１　対象経営の概要，２　前提条件'!$AB$25</f>
        <v>947500</v>
      </c>
      <c r="H9" s="66">
        <f>'７－２　水稲部門（恋の予感）収支 '!F7*'１　対象経営の概要，２　前提条件'!$AB$26</f>
        <v>1547891.5</v>
      </c>
      <c r="I9" s="66">
        <f>'７－３　水稲部門（加工用，恋の予感）収支'!F7*'１　対象経営の概要，２　前提条件'!$AB$27</f>
        <v>1530914.075</v>
      </c>
      <c r="J9" s="66">
        <f>'７－4　イチジク部門収支'!F6*'４　経営収支'!$J$4/10</f>
        <v>156385</v>
      </c>
      <c r="K9" s="63"/>
    </row>
    <row r="10" spans="2:11" ht="20.149999999999999" customHeight="1" x14ac:dyDescent="0.2">
      <c r="B10" s="1033"/>
      <c r="C10" s="1041"/>
      <c r="D10" s="60" t="s">
        <v>61</v>
      </c>
      <c r="E10" s="61"/>
      <c r="F10" s="62">
        <f t="shared" si="0"/>
        <v>2345502.3212121213</v>
      </c>
      <c r="G10" s="66">
        <f>'７－１　水稲部門（早期コシヒカリ）収支'!F8*'１　対象経営の概要，２　前提条件'!$AB$25</f>
        <v>627572.66666666663</v>
      </c>
      <c r="H10" s="66">
        <f>'７－２　水稲部門（恋の予感）収支 '!F8*'１　対象経営の概要，２　前提条件'!$AB$26</f>
        <v>627572.66666666663</v>
      </c>
      <c r="I10" s="66">
        <f>'７－３　水稲部門（加工用，恋の予感）収支'!F8*'１　対象経営の概要，２　前提条件'!$AB$27</f>
        <v>684813.20000000007</v>
      </c>
      <c r="J10" s="66">
        <f>'７－4　イチジク部門収支'!F7*'４　経営収支'!$J$4/10</f>
        <v>405543.78787878796</v>
      </c>
      <c r="K10" s="63"/>
    </row>
    <row r="11" spans="2:11" ht="20.149999999999999" customHeight="1" x14ac:dyDescent="0.2">
      <c r="B11" s="1033"/>
      <c r="C11" s="1041"/>
      <c r="D11" s="60" t="s">
        <v>93</v>
      </c>
      <c r="E11" s="61"/>
      <c r="F11" s="62">
        <f t="shared" si="0"/>
        <v>1570282.3135500001</v>
      </c>
      <c r="G11" s="66">
        <f>'７－１　水稲部門（早期コシヒカリ）収支'!F9*'１　対象経営の概要，２　前提条件'!$AB$25</f>
        <v>514007.86900000001</v>
      </c>
      <c r="H11" s="66">
        <f>'７－２　水稲部門（恋の予感）収支 '!F9*'１　対象経営の概要，２　前提条件'!$AB$26</f>
        <v>514007.86900000001</v>
      </c>
      <c r="I11" s="66">
        <f>'７－３　水稲部門（加工用，恋の予感）収支'!F9*'１　対象経営の概要，２　前提条件'!$AB$27</f>
        <v>488307.47554999997</v>
      </c>
      <c r="J11" s="66">
        <f>'７－4　イチジク部門収支'!F8*'４　経営収支'!$J$4/10</f>
        <v>53959.100000000013</v>
      </c>
      <c r="K11" s="63"/>
    </row>
    <row r="12" spans="2:11" ht="20.149999999999999" customHeight="1" x14ac:dyDescent="0.2">
      <c r="B12" s="1033"/>
      <c r="C12" s="1041"/>
      <c r="D12" s="60" t="s">
        <v>62</v>
      </c>
      <c r="E12" s="61"/>
      <c r="F12" s="62">
        <f t="shared" si="0"/>
        <v>176700</v>
      </c>
      <c r="G12" s="66">
        <f>'７－１　水稲部門（早期コシヒカリ）収支'!F10*'１　対象経営の概要，２　前提条件'!$AB$25</f>
        <v>20000</v>
      </c>
      <c r="H12" s="66">
        <f>'７－２　水稲部門（恋の予感）収支 '!F10*'１　対象経営の概要，２　前提条件'!$AB$26</f>
        <v>20000</v>
      </c>
      <c r="I12" s="66">
        <f>'７－３　水稲部門（加工用，恋の予感）収支'!F10*'１　対象経営の概要，２　前提条件'!$AB$27</f>
        <v>19000</v>
      </c>
      <c r="J12" s="66">
        <f>'７－4　イチジク部門収支'!F9*'４　経営収支'!$J$4/10</f>
        <v>117700</v>
      </c>
      <c r="K12" s="63"/>
    </row>
    <row r="13" spans="2:11" ht="20.149999999999999" customHeight="1" x14ac:dyDescent="0.2">
      <c r="B13" s="1033"/>
      <c r="C13" s="1041"/>
      <c r="D13" s="60" t="s">
        <v>6</v>
      </c>
      <c r="E13" s="61"/>
      <c r="F13" s="62">
        <f t="shared" si="0"/>
        <v>74700.71428571429</v>
      </c>
      <c r="G13" s="66">
        <f>'７－１　水稲部門（早期コシヒカリ）収支'!F11*'１　対象経営の概要，２　前提条件'!$AB$25</f>
        <v>847.45762711864404</v>
      </c>
      <c r="H13" s="66">
        <f>'７－２　水稲部門（恋の予感）収支 '!F11*'１　対象経営の概要，２　前提条件'!$AB$26</f>
        <v>847.45762711864404</v>
      </c>
      <c r="I13" s="66">
        <f>'７－３　水稲部門（加工用，恋の予感）収支'!F11*'１　対象経営の概要，２　前提条件'!$AB$27</f>
        <v>805.0847457627118</v>
      </c>
      <c r="J13" s="66">
        <f>'７－4　イチジク部門収支'!F10*'４　経営収支'!$J$4/10</f>
        <v>72200.71428571429</v>
      </c>
      <c r="K13" s="63"/>
    </row>
    <row r="14" spans="2:11" ht="20.149999999999999" customHeight="1" x14ac:dyDescent="0.2">
      <c r="B14" s="1033"/>
      <c r="C14" s="1041"/>
      <c r="D14" s="60" t="s">
        <v>7</v>
      </c>
      <c r="E14" s="61"/>
      <c r="F14" s="66">
        <f t="shared" si="0"/>
        <v>0</v>
      </c>
      <c r="G14" s="66">
        <f>'７－１　水稲部門（早期コシヒカリ）収支'!F12*'１　対象経営の概要，２　前提条件'!$AB$25</f>
        <v>0</v>
      </c>
      <c r="H14" s="66">
        <f>'７－２　水稲部門（恋の予感）収支 '!F12*'１　対象経営の概要，２　前提条件'!$AB$26</f>
        <v>0</v>
      </c>
      <c r="I14" s="66">
        <f>'７－３　水稲部門（加工用，恋の予感）収支'!F12*'１　対象経営の概要，２　前提条件'!$AB$27</f>
        <v>0</v>
      </c>
      <c r="J14" s="66">
        <f>'７－4　イチジク部門収支'!F11*'４　経営収支'!$J$4/10</f>
        <v>0</v>
      </c>
      <c r="K14" s="63"/>
    </row>
    <row r="15" spans="2:11" ht="20.149999999999999" customHeight="1" x14ac:dyDescent="0.2">
      <c r="B15" s="1033"/>
      <c r="C15" s="1041"/>
      <c r="D15" s="1043" t="s">
        <v>63</v>
      </c>
      <c r="E15" s="67" t="s">
        <v>208</v>
      </c>
      <c r="F15" s="66">
        <f t="shared" si="0"/>
        <v>216537.5</v>
      </c>
      <c r="G15" s="66">
        <f>'７－１　水稲部門（早期コシヒカリ）収支'!F13*'１　対象経営の概要，２　前提条件'!$AB$25</f>
        <v>62351.694915254237</v>
      </c>
      <c r="H15" s="66">
        <f>'７－２　水稲部門（恋の予感）収支 '!F13*'１　対象経営の概要，２　前提条件'!$AB$26</f>
        <v>62351.694915254237</v>
      </c>
      <c r="I15" s="66">
        <f>'７－３　水稲部門（加工用，恋の予感）収支'!F13*'１　対象経営の概要，２　前提条件'!$AB$27</f>
        <v>59234.110169491527</v>
      </c>
      <c r="J15" s="66">
        <f>'７－4　イチジク部門収支'!F12*'４　経営収支'!$J$4/10</f>
        <v>32600</v>
      </c>
      <c r="K15" s="63"/>
    </row>
    <row r="16" spans="2:11" ht="20.149999999999999" customHeight="1" x14ac:dyDescent="0.2">
      <c r="B16" s="1033"/>
      <c r="C16" s="1041"/>
      <c r="D16" s="1044"/>
      <c r="E16" s="67" t="s">
        <v>209</v>
      </c>
      <c r="F16" s="66">
        <f t="shared" si="0"/>
        <v>2534502.0060000005</v>
      </c>
      <c r="G16" s="66">
        <f>'７－１　水稲部門（早期コシヒカリ）収支'!F14*'１　対象経営の概要，２　前提条件'!$AB$25</f>
        <v>854689.94553672336</v>
      </c>
      <c r="H16" s="66">
        <f>'７－２　水稲部門（恋の予感）収支 '!F14*'１　対象経営の概要，２　前提条件'!$AB$26</f>
        <v>854689.94553672336</v>
      </c>
      <c r="I16" s="66">
        <f>'７－３　水稲部門（加工用，恋の予感）収支'!F14*'１　対象経営の概要，２　前提条件'!$AB$27</f>
        <v>811955.44825988717</v>
      </c>
      <c r="J16" s="66">
        <f>'７－4　イチジク部門収支'!F13*'４　経営収支'!$J$4/10</f>
        <v>13166.666666666668</v>
      </c>
      <c r="K16" s="63"/>
    </row>
    <row r="17" spans="2:11" ht="20.149999999999999" customHeight="1" x14ac:dyDescent="0.2">
      <c r="B17" s="1033"/>
      <c r="C17" s="1041"/>
      <c r="D17" s="1045" t="s">
        <v>94</v>
      </c>
      <c r="E17" s="67" t="s">
        <v>208</v>
      </c>
      <c r="F17" s="66">
        <f t="shared" si="0"/>
        <v>880498.38709677407</v>
      </c>
      <c r="G17" s="66">
        <f>'７－１　水稲部門（早期コシヒカリ）収支'!F15*'１　対象経営の概要，２　前提条件'!$AB$25</f>
        <v>249406.77966101692</v>
      </c>
      <c r="H17" s="66">
        <f>'７－２　水稲部門（恋の予感）収支 '!F15*'１　対象経営の概要，２　前提条件'!$AB$26</f>
        <v>249406.77966101692</v>
      </c>
      <c r="I17" s="66">
        <f>'７－３　水稲部門（加工用，恋の予感）収支'!F15*'１　対象経営の概要，２　前提条件'!$AB$27</f>
        <v>236936.44067796608</v>
      </c>
      <c r="J17" s="66">
        <f>'７－4　イチジク部門収支'!F14*'４　経営収支'!$J$4/10</f>
        <v>144748.38709677418</v>
      </c>
      <c r="K17" s="63"/>
    </row>
    <row r="18" spans="2:11" ht="20.149999999999999" customHeight="1" x14ac:dyDescent="0.2">
      <c r="B18" s="1033"/>
      <c r="C18" s="1041"/>
      <c r="D18" s="1046"/>
      <c r="E18" s="67" t="s">
        <v>209</v>
      </c>
      <c r="F18" s="66">
        <f t="shared" si="0"/>
        <v>7243077.1600000001</v>
      </c>
      <c r="G18" s="66">
        <f>'７－１　水稲部門（早期コシヒカリ）収支'!F16*'１　対象経営の概要，２　前提条件'!$AB$25</f>
        <v>2441971.2729620663</v>
      </c>
      <c r="H18" s="66">
        <f>'７－２　水稲部門（恋の予感）収支 '!F16*'１　対象経営の概要，２　前提条件'!$AB$26</f>
        <v>2441971.2729620663</v>
      </c>
      <c r="I18" s="66">
        <f>'７－３　水稲部門（加工用，恋の予感）収支'!F16*'１　対象経営の概要，２　前提条件'!$AB$27</f>
        <v>2319872.7093139631</v>
      </c>
      <c r="J18" s="66">
        <f>'７－4　イチジク部門収支'!F15*'４　経営収支'!$J$4/10</f>
        <v>39261.904761904763</v>
      </c>
      <c r="K18" s="63"/>
    </row>
    <row r="19" spans="2:11" ht="20.149999999999999" customHeight="1" x14ac:dyDescent="0.2">
      <c r="B19" s="1033"/>
      <c r="C19" s="1041"/>
      <c r="D19" s="1044"/>
      <c r="E19" s="70" t="s">
        <v>64</v>
      </c>
      <c r="F19" s="66">
        <f t="shared" si="0"/>
        <v>69492.5</v>
      </c>
      <c r="G19" s="66">
        <f>'７－１　水稲部門（早期コシヒカリ）収支'!F17*'１　対象経営の概要，２　前提条件'!$AB$25</f>
        <v>0</v>
      </c>
      <c r="H19" s="66">
        <f>'７－２　水稲部門（恋の予感）収支 '!F17*'１　対象経営の概要，２　前提条件'!$AB$26</f>
        <v>0</v>
      </c>
      <c r="I19" s="66">
        <f>'７－３　水稲部門（加工用，恋の予感）収支'!F17*'１　対象経営の概要，２　前提条件'!$AB$27</f>
        <v>0</v>
      </c>
      <c r="J19" s="66">
        <f>'７－4　イチジク部門収支'!F16*'４　経営収支'!$J$4/10</f>
        <v>69492.5</v>
      </c>
      <c r="K19" s="63"/>
    </row>
    <row r="20" spans="2:11" ht="20.149999999999999" customHeight="1" x14ac:dyDescent="0.2">
      <c r="B20" s="1033"/>
      <c r="C20" s="1041"/>
      <c r="D20" s="1047" t="s">
        <v>282</v>
      </c>
      <c r="E20" s="70" t="s">
        <v>128</v>
      </c>
      <c r="F20" s="66">
        <f t="shared" si="0"/>
        <v>0</v>
      </c>
      <c r="G20" s="66">
        <f>'７－１　水稲部門（早期コシヒカリ）収支'!F18*'１　対象経営の概要，２　前提条件'!$AB$25</f>
        <v>0</v>
      </c>
      <c r="H20" s="66">
        <f>'７－２　水稲部門（恋の予感）収支 '!F18*'１　対象経営の概要，２　前提条件'!$AB$26</f>
        <v>0</v>
      </c>
      <c r="I20" s="66">
        <f>'７－３　水稲部門（加工用，恋の予感）収支'!F18*'１　対象経営の概要，２　前提条件'!$AB$27</f>
        <v>0</v>
      </c>
      <c r="J20" s="66">
        <f>'７－4　イチジク部門収支'!F17*'４　経営収支'!$J$4/10</f>
        <v>0</v>
      </c>
      <c r="K20" s="63"/>
    </row>
    <row r="21" spans="2:11" ht="20.149999999999999" customHeight="1" x14ac:dyDescent="0.2">
      <c r="B21" s="1033"/>
      <c r="C21" s="1041"/>
      <c r="D21" s="1047"/>
      <c r="E21" s="70" t="s">
        <v>124</v>
      </c>
      <c r="F21" s="66">
        <f t="shared" si="0"/>
        <v>1100055.0000000002</v>
      </c>
      <c r="G21" s="66">
        <f>'７－１　水稲部門（早期コシヒカリ）収支'!F19*'１　対象経営の概要，２　前提条件'!$AB$25</f>
        <v>372900.00000000006</v>
      </c>
      <c r="H21" s="66">
        <f>'７－２　水稲部門（恋の予感）収支 '!F19*'１　対象経営の概要，２　前提条件'!$AB$26</f>
        <v>372900.00000000006</v>
      </c>
      <c r="I21" s="66">
        <f>'７－３　水稲部門（加工用，恋の予感）収支'!F19*'１　対象経営の概要，２　前提条件'!$AB$27</f>
        <v>354255.00000000006</v>
      </c>
      <c r="J21" s="66">
        <f>'７－4　イチジク部門収支'!F18*'４　経営収支'!$J$4/10</f>
        <v>0</v>
      </c>
      <c r="K21" s="63"/>
    </row>
    <row r="22" spans="2:11" ht="20.149999999999999" customHeight="1" x14ac:dyDescent="0.2">
      <c r="B22" s="1033"/>
      <c r="C22" s="1041"/>
      <c r="D22" s="1047"/>
      <c r="E22" s="70" t="s">
        <v>125</v>
      </c>
      <c r="F22" s="66">
        <f t="shared" si="0"/>
        <v>2850300</v>
      </c>
      <c r="G22" s="66">
        <f>'７－１　水稲部門（早期コシヒカリ）収支'!F20*'１　対象経営の概要，２　前提条件'!$AB$25</f>
        <v>403200.00000000006</v>
      </c>
      <c r="H22" s="66">
        <f>'７－２　水稲部門（恋の予感）収支 '!F20*'１　対象経営の概要，２　前提条件'!$AB$26</f>
        <v>558000</v>
      </c>
      <c r="I22" s="66">
        <f>'７－３　水稲部門（加工用，恋の予感）収支'!F20*'１　対象経営の概要，２　前提条件'!$AB$27</f>
        <v>530100</v>
      </c>
      <c r="J22" s="66">
        <f>'７－4　イチジク部門収支'!F19*'４　経営収支'!$J$4/10</f>
        <v>1359000</v>
      </c>
      <c r="K22" s="63"/>
    </row>
    <row r="23" spans="2:11" ht="20.149999999999999" customHeight="1" x14ac:dyDescent="0.2">
      <c r="B23" s="1033"/>
      <c r="C23" s="1041"/>
      <c r="D23" s="1047"/>
      <c r="E23" s="228" t="s">
        <v>127</v>
      </c>
      <c r="F23" s="66">
        <f t="shared" si="0"/>
        <v>31096.26</v>
      </c>
      <c r="G23" s="66">
        <f>'７－１　水稲部門（早期コシヒカリ）収支'!F21*'１　対象経営の概要，２　前提条件'!$AB$25</f>
        <v>9313.2000000000007</v>
      </c>
      <c r="H23" s="66">
        <f>'７－２　水稲部門（恋の予感）収支 '!F21*'１　対象経営の概要，２　前提条件'!$AB$26</f>
        <v>11170.8</v>
      </c>
      <c r="I23" s="66">
        <f>'７－３　水稲部門（加工用，恋の予感）収支'!F21*'１　対象経営の概要，２　前提条件'!$AB$27</f>
        <v>10612.259999999998</v>
      </c>
      <c r="J23" s="66">
        <f>'７－4　イチジク部門収支'!F20*'４　経営収支'!$J$4/10</f>
        <v>0</v>
      </c>
      <c r="K23" s="63"/>
    </row>
    <row r="24" spans="2:11" ht="20.149999999999999" customHeight="1" x14ac:dyDescent="0.2">
      <c r="B24" s="1033"/>
      <c r="C24" s="1041"/>
      <c r="D24" s="1045" t="s">
        <v>65</v>
      </c>
      <c r="E24" s="61" t="s">
        <v>66</v>
      </c>
      <c r="F24" s="66">
        <f t="shared" si="0"/>
        <v>700920</v>
      </c>
      <c r="G24" s="66">
        <f>'７－１　水稲部門（早期コシヒカリ）収支'!F22*'１　対象経営の概要，２　前提条件'!$AB$25</f>
        <v>237600</v>
      </c>
      <c r="H24" s="66">
        <f>'７－２　水稲部門（恋の予感）収支 '!F22*'１　対象経営の概要，２　前提条件'!$AB$26</f>
        <v>237600</v>
      </c>
      <c r="I24" s="66">
        <f>'７－３　水稲部門（加工用，恋の予感）収支'!F22*'１　対象経営の概要，２　前提条件'!$AB$27</f>
        <v>225720</v>
      </c>
      <c r="J24" s="66">
        <f>'７－4　イチジク部門収支'!F21*'４　経営収支'!$J$4/10</f>
        <v>0</v>
      </c>
      <c r="K24" s="63"/>
    </row>
    <row r="25" spans="2:11" ht="20.149999999999999" customHeight="1" x14ac:dyDescent="0.2">
      <c r="B25" s="1033"/>
      <c r="C25" s="1041"/>
      <c r="D25" s="1044"/>
      <c r="E25" s="61" t="s">
        <v>95</v>
      </c>
      <c r="F25" s="62">
        <f t="shared" si="0"/>
        <v>1475000</v>
      </c>
      <c r="G25" s="66">
        <f>'７－１　水稲部門（早期コシヒカリ）収支'!F23*'１　対象経営の概要，２　前提条件'!$AB$25</f>
        <v>500000</v>
      </c>
      <c r="H25" s="66">
        <f>'７－２　水稲部門（恋の予感）収支 '!F23*'１　対象経営の概要，２　前提条件'!$AB$26</f>
        <v>500000</v>
      </c>
      <c r="I25" s="66">
        <f>'７－３　水稲部門（加工用，恋の予感）収支'!F23*'１　対象経営の概要，２　前提条件'!$AB$27</f>
        <v>475000</v>
      </c>
      <c r="J25" s="66">
        <f>'７－4　イチジク部門収支'!F22*'４　経営収支'!$J$4/10</f>
        <v>0</v>
      </c>
      <c r="K25" s="63"/>
    </row>
    <row r="26" spans="2:11" ht="20.149999999999999" customHeight="1" x14ac:dyDescent="0.2">
      <c r="B26" s="1033"/>
      <c r="C26" s="1041"/>
      <c r="D26" s="60" t="s">
        <v>67</v>
      </c>
      <c r="E26" s="61"/>
      <c r="F26" s="62">
        <f t="shared" si="0"/>
        <v>900000</v>
      </c>
      <c r="G26" s="66">
        <f>'７－１　水稲部門（早期コシヒカリ）収支'!F24*'１　対象経営の概要，２　前提条件'!$AB$25</f>
        <v>300000</v>
      </c>
      <c r="H26" s="66">
        <f>'７－２　水稲部門（恋の予感）収支 '!F24*'１　対象経営の概要，２　前提条件'!$AB$26</f>
        <v>300000</v>
      </c>
      <c r="I26" s="66">
        <f>'７－３　水稲部門（加工用，恋の予感）収支'!F24*'１　対象経営の概要，２　前提条件'!$AB$27</f>
        <v>285000</v>
      </c>
      <c r="J26" s="66">
        <f>'７－4　イチジク部門収支'!F23*'４　経営収支'!$J$4/10</f>
        <v>15000</v>
      </c>
      <c r="K26" s="63"/>
    </row>
    <row r="27" spans="2:11" ht="20.149999999999999" customHeight="1" x14ac:dyDescent="0.2">
      <c r="B27" s="1033"/>
      <c r="C27" s="1041"/>
      <c r="D27" s="60" t="s">
        <v>186</v>
      </c>
      <c r="E27" s="61"/>
      <c r="F27" s="62">
        <f t="shared" si="0"/>
        <v>279158.88623378391</v>
      </c>
      <c r="G27" s="66">
        <f>'７－１　水稲部門（早期コシヒカリ）収支'!F25*'１　対象経営の概要，２　前提条件'!$AB$25</f>
        <v>85367.281680493397</v>
      </c>
      <c r="H27" s="66">
        <f>'７－２　水稲部門（恋の予感）収支 '!F25*'１　対象経営の概要，２　前提条件'!$AB$26</f>
        <v>85766.767539079243</v>
      </c>
      <c r="I27" s="66">
        <f>'７－３　水稲部門（加工用，恋の予感）収支'!F25*'１　対象経営の概要，２　前提条件'!$AB$27</f>
        <v>82983.846502192639</v>
      </c>
      <c r="J27" s="66">
        <f>'７－4　イチジク部門収支'!F24*'４　経営収支'!$J$4/10</f>
        <v>25040.990512018667</v>
      </c>
      <c r="K27" s="63"/>
    </row>
    <row r="28" spans="2:11" ht="20.149999999999999" customHeight="1" x14ac:dyDescent="0.2">
      <c r="B28" s="1033"/>
      <c r="C28" s="1042"/>
      <c r="D28" s="1048" t="s">
        <v>223</v>
      </c>
      <c r="E28" s="1049"/>
      <c r="F28" s="68">
        <f>SUM(F8:F27)</f>
        <v>27915888.6233784</v>
      </c>
      <c r="G28" s="68">
        <f>SUM(G8:G27)</f>
        <v>8536728.1680493373</v>
      </c>
      <c r="H28" s="68">
        <f>SUM(H8:H27)</f>
        <v>8576676.7539079245</v>
      </c>
      <c r="I28" s="68">
        <f>SUM(I8:I27)</f>
        <v>8298384.6502192635</v>
      </c>
      <c r="J28" s="68">
        <f>SUM(J8:J27)</f>
        <v>2504099.0512018665</v>
      </c>
      <c r="K28" s="63"/>
    </row>
    <row r="29" spans="2:11" ht="20.149999999999999" customHeight="1" x14ac:dyDescent="0.2">
      <c r="B29" s="1033"/>
      <c r="C29" s="1038" t="s">
        <v>220</v>
      </c>
      <c r="D29" s="1050"/>
      <c r="E29" s="1039"/>
      <c r="F29" s="64">
        <f>F7-F28</f>
        <v>5258444.7099549361</v>
      </c>
      <c r="G29" s="64">
        <f>G7-G28</f>
        <v>643271.83195066266</v>
      </c>
      <c r="H29" s="64">
        <f>H7-H28</f>
        <v>3323.246092075482</v>
      </c>
      <c r="I29" s="64">
        <f>I7-I28</f>
        <v>-717384.65021926351</v>
      </c>
      <c r="J29" s="64">
        <f>J7-J28</f>
        <v>5329234.282131467</v>
      </c>
      <c r="K29" s="63"/>
    </row>
    <row r="30" spans="2:11" ht="20.149999999999999" customHeight="1" x14ac:dyDescent="0.2">
      <c r="B30" s="1033"/>
      <c r="C30" s="1051" t="s">
        <v>215</v>
      </c>
      <c r="D30" s="1054" t="s">
        <v>68</v>
      </c>
      <c r="E30" s="81" t="s">
        <v>3</v>
      </c>
      <c r="F30" s="69">
        <f>SUM(G30:J30)</f>
        <v>1148000</v>
      </c>
      <c r="G30" s="66">
        <f>'７－１　水稲部門（早期コシヒカリ）収支'!F27*'１　対象経営の概要，２　前提条件'!$AB$25</f>
        <v>136000</v>
      </c>
      <c r="H30" s="66">
        <f>'７－２　水稲部門（恋の予感）収支 '!F27*'１　対象経営の概要，２　前提条件'!$AB$26</f>
        <v>160000</v>
      </c>
      <c r="I30" s="66">
        <f>'７－３　水稲部門（加工用，恋の予感）収支'!F27*'１　対象経営の概要，２　前提条件'!$AB$27</f>
        <v>152000</v>
      </c>
      <c r="J30" s="66">
        <f>'７－4　イチジク部門収支'!F26*'４　経営収支'!$J$4/10</f>
        <v>700000</v>
      </c>
      <c r="K30" s="63"/>
    </row>
    <row r="31" spans="2:11" ht="20.149999999999999" customHeight="1" x14ac:dyDescent="0.2">
      <c r="B31" s="1033"/>
      <c r="C31" s="1052"/>
      <c r="D31" s="1055"/>
      <c r="E31" s="81" t="s">
        <v>4</v>
      </c>
      <c r="F31" s="69">
        <f>SUM(G31:J31)</f>
        <v>200000</v>
      </c>
      <c r="G31" s="66">
        <f>'７－１　水稲部門（早期コシヒカリ）収支'!F28*'１　対象経営の概要，２　前提条件'!$AB$25</f>
        <v>0</v>
      </c>
      <c r="H31" s="66">
        <f>'７－２　水稲部門（恋の予感）収支 '!F28*'１　対象経営の概要，２　前提条件'!$AB$26</f>
        <v>0</v>
      </c>
      <c r="I31" s="66">
        <f>'７－３　水稲部門（加工用，恋の予感）収支'!F28*'１　対象経営の概要，２　前提条件'!$AB$27</f>
        <v>0</v>
      </c>
      <c r="J31" s="66">
        <f>'７－4　イチジク部門収支'!F27*'４　経営収支'!$J$4/10</f>
        <v>200000</v>
      </c>
      <c r="K31" s="63"/>
    </row>
    <row r="32" spans="2:11" ht="20.149999999999999" customHeight="1" x14ac:dyDescent="0.2">
      <c r="B32" s="1033"/>
      <c r="C32" s="1052"/>
      <c r="D32" s="1056"/>
      <c r="E32" s="81" t="s">
        <v>8</v>
      </c>
      <c r="F32" s="69">
        <f>SUM(G32:J32)</f>
        <v>1171666.6666666667</v>
      </c>
      <c r="G32" s="66">
        <f>'７－１　水稲部門（早期コシヒカリ）収支'!F29*'１　対象経営の概要，２　前提条件'!$AB$25</f>
        <v>212500</v>
      </c>
      <c r="H32" s="66">
        <f>'７－２　水稲部門（恋の予感）収支 '!F29*'１　対象経営の概要，２　前提条件'!$AB$26</f>
        <v>50000</v>
      </c>
      <c r="I32" s="66">
        <f>'７－３　水稲部門（加工用，恋の予感）収支'!F29*'１　対象経営の概要，２　前提条件'!$AB$27</f>
        <v>47500</v>
      </c>
      <c r="J32" s="66">
        <f>'７－4　イチジク部門収支'!F28*'４　経営収支'!$J$4/10</f>
        <v>861666.66666666674</v>
      </c>
      <c r="K32" s="63"/>
    </row>
    <row r="33" spans="2:11" ht="20.149999999999999" customHeight="1" x14ac:dyDescent="0.2">
      <c r="B33" s="1033"/>
      <c r="C33" s="1052"/>
      <c r="D33" s="81" t="s">
        <v>69</v>
      </c>
      <c r="E33" s="82"/>
      <c r="F33" s="849"/>
      <c r="G33" s="66"/>
      <c r="H33" s="66">
        <f>'７－２　水稲部門（恋の予感）収支 '!F30*'１　対象経営の概要，２　前提条件'!$AB$26</f>
        <v>0</v>
      </c>
      <c r="I33" s="66">
        <f>'７－３　水稲部門（加工用，恋の予感）収支'!F30*'１　対象経営の概要，２　前提条件'!$AB$27</f>
        <v>0</v>
      </c>
      <c r="J33" s="66">
        <f>'７－4　イチジク部門収支'!F29*'４　経営収支'!$J$4/10</f>
        <v>0</v>
      </c>
      <c r="K33" s="63"/>
    </row>
    <row r="34" spans="2:11" ht="20.149999999999999" customHeight="1" x14ac:dyDescent="0.2">
      <c r="B34" s="1033"/>
      <c r="C34" s="1052"/>
      <c r="D34" s="1059" t="s">
        <v>283</v>
      </c>
      <c r="E34" s="70" t="s">
        <v>128</v>
      </c>
      <c r="F34" s="850"/>
      <c r="G34" s="66"/>
      <c r="H34" s="66">
        <f>'７－２　水稲部門（恋の予感）収支 '!F31*'１　対象経営の概要，２　前提条件'!$AB$26</f>
        <v>0</v>
      </c>
      <c r="I34" s="66">
        <f>'７－３　水稲部門（加工用，恋の予感）収支'!F31*'１　対象経営の概要，２　前提条件'!$AB$27</f>
        <v>0</v>
      </c>
      <c r="J34" s="66">
        <f>'７－4　イチジク部門収支'!F30*'４　経営収支'!$J$4/10</f>
        <v>0</v>
      </c>
      <c r="K34" s="63"/>
    </row>
    <row r="35" spans="2:11" ht="20.149999999999999" customHeight="1" x14ac:dyDescent="0.2">
      <c r="B35" s="1033"/>
      <c r="C35" s="1052"/>
      <c r="D35" s="1059"/>
      <c r="E35" s="70" t="s">
        <v>127</v>
      </c>
      <c r="F35" s="850"/>
      <c r="G35" s="66"/>
      <c r="H35" s="66">
        <f>'７－２　水稲部門（恋の予感）収支 '!F32*'１　対象経営の概要，２　前提条件'!$AB$26</f>
        <v>0</v>
      </c>
      <c r="I35" s="66">
        <f>'７－３　水稲部門（加工用，恋の予感）収支'!F32*'１　対象経営の概要，２　前提条件'!$AB$27</f>
        <v>0</v>
      </c>
      <c r="J35" s="66">
        <f>'７－4　イチジク部門収支'!F31*'４　経営収支'!$J$4/10</f>
        <v>0</v>
      </c>
      <c r="K35" s="63"/>
    </row>
    <row r="36" spans="2:11" ht="20.149999999999999" customHeight="1" x14ac:dyDescent="0.2">
      <c r="B36" s="1033"/>
      <c r="C36" s="1052"/>
      <c r="D36" s="81" t="s">
        <v>70</v>
      </c>
      <c r="E36" s="82"/>
      <c r="F36" s="849"/>
      <c r="G36" s="66"/>
      <c r="H36" s="66">
        <f>'７－２　水稲部門（恋の予感）収支 '!F33*'１　対象経営の概要，２　前提条件'!$AB$26</f>
        <v>0</v>
      </c>
      <c r="I36" s="66">
        <f>'７－３　水稲部門（加工用，恋の予感）収支'!F33*'１　対象経営の概要，２　前提条件'!$AB$27</f>
        <v>0</v>
      </c>
      <c r="J36" s="66">
        <f>'７－4　イチジク部門収支'!F32*'４　経営収支'!$J$4/10</f>
        <v>0</v>
      </c>
      <c r="K36" s="63"/>
    </row>
    <row r="37" spans="2:11" ht="20.149999999999999" customHeight="1" x14ac:dyDescent="0.2">
      <c r="B37" s="1033"/>
      <c r="C37" s="1052"/>
      <c r="D37" s="81" t="s">
        <v>96</v>
      </c>
      <c r="E37" s="82"/>
      <c r="F37" s="849"/>
      <c r="G37" s="66"/>
      <c r="H37" s="66">
        <f>'７－２　水稲部門（恋の予感）収支 '!F34*'１　対象経営の概要，２　前提条件'!$AB$26</f>
        <v>0</v>
      </c>
      <c r="I37" s="66">
        <f>'７－３　水稲部門（加工用，恋の予感）収支'!F34*'１　対象経営の概要，２　前提条件'!$AB$27</f>
        <v>0</v>
      </c>
      <c r="J37" s="66">
        <f>'７－4　イチジク部門収支'!F33*'４　経営収支'!$J$4/10</f>
        <v>0</v>
      </c>
      <c r="K37" s="63"/>
    </row>
    <row r="38" spans="2:11" ht="20.149999999999999" customHeight="1" x14ac:dyDescent="0.2">
      <c r="B38" s="1033"/>
      <c r="C38" s="1052"/>
      <c r="D38" s="81" t="s">
        <v>131</v>
      </c>
      <c r="E38" s="82"/>
      <c r="F38" s="62">
        <f>SUM(G38:J38)</f>
        <v>293601.00000000006</v>
      </c>
      <c r="G38" s="66">
        <f>'７－１　水稲部門（早期コシヒカリ）収支'!F35*'１　対象経営の概要，２　前提条件'!$AB$25</f>
        <v>99502.824858757071</v>
      </c>
      <c r="H38" s="66">
        <f>'７－２　水稲部門（恋の予感）収支 '!F35*'１　対象経営の概要，２　前提条件'!$AB$26</f>
        <v>99502.824858757071</v>
      </c>
      <c r="I38" s="66">
        <f>'７－３　水稲部門（加工用，恋の予感）収支'!F35*'１　対象経営の概要，２　前提条件'!$AB$27</f>
        <v>94527.683615819216</v>
      </c>
      <c r="J38" s="66">
        <f>'７－4　イチジク部門収支'!F34*'４　経営収支'!$J$4/10</f>
        <v>67.666666666666671</v>
      </c>
      <c r="K38" s="63"/>
    </row>
    <row r="39" spans="2:11" ht="20.149999999999999" customHeight="1" x14ac:dyDescent="0.2">
      <c r="B39" s="1033"/>
      <c r="C39" s="1052"/>
      <c r="D39" s="81" t="s">
        <v>97</v>
      </c>
      <c r="E39" s="82"/>
      <c r="F39" s="62">
        <f>SUM(G39:J39)</f>
        <v>0</v>
      </c>
      <c r="G39" s="66">
        <f>'７－１　水稲部門（早期コシヒカリ）収支'!F36*'１　対象経営の概要，２　前提条件'!$AB$25</f>
        <v>0</v>
      </c>
      <c r="H39" s="66">
        <f>'７－２　水稲部門（恋の予感）収支 '!F36*'１　対象経営の概要，２　前提条件'!$AB$26</f>
        <v>0</v>
      </c>
      <c r="I39" s="66">
        <f>'７－３　水稲部門（加工用，恋の予感）収支'!F36*'１　対象経営の概要，２　前提条件'!$AB$27</f>
        <v>0</v>
      </c>
      <c r="J39" s="66">
        <f>'７－4　イチジク部門収支'!F35*'４　経営収支'!$J$4/10</f>
        <v>0</v>
      </c>
      <c r="K39" s="63"/>
    </row>
    <row r="40" spans="2:11" ht="20.149999999999999" customHeight="1" x14ac:dyDescent="0.2">
      <c r="B40" s="1033"/>
      <c r="C40" s="1052"/>
      <c r="D40" s="81" t="s">
        <v>71</v>
      </c>
      <c r="E40" s="82"/>
      <c r="F40" s="62">
        <f>SUM(G40:J40)</f>
        <v>161353.25</v>
      </c>
      <c r="G40" s="66">
        <f>'７－１　水稲部門（早期コシヒカリ）収支'!F37*'１　対象経営の概要，２　前提条件'!$AB$25</f>
        <v>40339.689265536719</v>
      </c>
      <c r="H40" s="66">
        <f>'７－２　水稲部門（恋の予感）収支 '!F37*'１　対象経営の概要，２　前提条件'!$AB$26</f>
        <v>40339.689265536719</v>
      </c>
      <c r="I40" s="66">
        <f>'７－３　水稲部門（加工用，恋の予感）収支'!F37*'１　対象経営の概要，２　前提条件'!$AB$27</f>
        <v>38322.704802259883</v>
      </c>
      <c r="J40" s="66">
        <f>'７－4　イチジク部門収支'!F36*'４　経営収支'!$J$4/10</f>
        <v>42351.166666666672</v>
      </c>
      <c r="K40" s="63"/>
    </row>
    <row r="41" spans="2:11" ht="20.149999999999999" customHeight="1" x14ac:dyDescent="0.2">
      <c r="B41" s="1033"/>
      <c r="C41" s="1052"/>
      <c r="D41" s="81" t="s">
        <v>0</v>
      </c>
      <c r="E41" s="82"/>
      <c r="F41" s="62"/>
      <c r="G41" s="66">
        <f>'７－１　水稲部門（早期コシヒカリ）収支'!F38*'１　対象経営の概要，２　前提条件'!$AB$25</f>
        <v>0</v>
      </c>
      <c r="H41" s="66">
        <f>'７－２　水稲部門（恋の予感）収支 '!F38*'１　対象経営の概要，２　前提条件'!$AB$26</f>
        <v>0</v>
      </c>
      <c r="I41" s="66">
        <f>'７－３　水稲部門（加工用，恋の予感）収支'!F38*'１　対象経営の概要，２　前提条件'!$AB$27</f>
        <v>0</v>
      </c>
      <c r="J41" s="66">
        <f>'７－4　イチジク部門収支'!F37*'４　経営収支'!$J$4/10</f>
        <v>18223.085858585859</v>
      </c>
      <c r="K41" s="63"/>
    </row>
    <row r="42" spans="2:11" ht="20.149999999999999" customHeight="1" thickBot="1" x14ac:dyDescent="0.25">
      <c r="B42" s="1034"/>
      <c r="C42" s="1053"/>
      <c r="D42" s="1057" t="s">
        <v>221</v>
      </c>
      <c r="E42" s="1058"/>
      <c r="F42" s="72">
        <f t="shared" ref="F42:F50" si="1">SUM(G42:J42)</f>
        <v>2992844.0025252528</v>
      </c>
      <c r="G42" s="72">
        <f t="shared" ref="G42:J42" si="2">SUM(G30:G41)</f>
        <v>488342.51412429381</v>
      </c>
      <c r="H42" s="72">
        <f t="shared" ref="H42" si="3">SUM(H30:H41)</f>
        <v>349842.51412429381</v>
      </c>
      <c r="I42" s="72">
        <f t="shared" si="2"/>
        <v>332350.38841807906</v>
      </c>
      <c r="J42" s="72">
        <f t="shared" si="2"/>
        <v>1822308.585858586</v>
      </c>
      <c r="K42" s="73"/>
    </row>
    <row r="43" spans="2:11" ht="20.149999999999999" customHeight="1" thickBot="1" x14ac:dyDescent="0.25">
      <c r="B43" s="1062" t="s">
        <v>224</v>
      </c>
      <c r="C43" s="1063"/>
      <c r="D43" s="1063"/>
      <c r="E43" s="1063"/>
      <c r="F43" s="74">
        <f t="shared" si="1"/>
        <v>2265600.7074296884</v>
      </c>
      <c r="G43" s="350">
        <f t="shared" ref="G43:J43" si="4">G29-G42</f>
        <v>154929.31782636885</v>
      </c>
      <c r="H43" s="350">
        <f t="shared" ref="H43" si="5">H29-H42</f>
        <v>-346519.26803221833</v>
      </c>
      <c r="I43" s="350">
        <f t="shared" si="4"/>
        <v>-1049735.0386373426</v>
      </c>
      <c r="J43" s="350">
        <f t="shared" si="4"/>
        <v>3506925.6962728808</v>
      </c>
      <c r="K43" s="75"/>
    </row>
    <row r="44" spans="2:11" ht="20.149999999999999" customHeight="1" x14ac:dyDescent="0.2">
      <c r="B44" s="1032" t="s">
        <v>98</v>
      </c>
      <c r="C44" s="1065" t="s">
        <v>225</v>
      </c>
      <c r="D44" s="76" t="s">
        <v>130</v>
      </c>
      <c r="E44" s="77"/>
      <c r="F44" s="78">
        <f t="shared" si="1"/>
        <v>5965000</v>
      </c>
      <c r="G44" s="349">
        <f>'７－１　水稲部門（早期コシヒカリ）収支'!F40*'１　対象経営の概要，２　前提条件'!$AB$25</f>
        <v>750000</v>
      </c>
      <c r="H44" s="66">
        <f>'７－２　水稲部門（恋の予感）収支 '!F40*'１　対象経営の概要，２　前提条件'!$AB$26</f>
        <v>750000</v>
      </c>
      <c r="I44" s="876">
        <f>'７－３　水稲部門（加工用，恋の予感）収支'!F40*'１　対象経営の概要，２　前提条件'!$AB$27</f>
        <v>4465000</v>
      </c>
      <c r="J44" s="58"/>
      <c r="K44" s="59"/>
    </row>
    <row r="45" spans="2:11" ht="20.149999999999999" customHeight="1" x14ac:dyDescent="0.2">
      <c r="B45" s="1033"/>
      <c r="C45" s="1066"/>
      <c r="D45" s="60" t="s">
        <v>129</v>
      </c>
      <c r="E45" s="61"/>
      <c r="F45" s="79">
        <f t="shared" si="1"/>
        <v>0</v>
      </c>
      <c r="G45" s="349">
        <f>'７－１　水稲部門（早期コシヒカリ）収支'!F41*'１　対象経営の概要，２　前提条件'!$AB$25</f>
        <v>0</v>
      </c>
      <c r="H45" s="66">
        <f>'７－２　水稲部門（恋の予感）収支 '!F41*'１　対象経営の概要，２　前提条件'!$AB$26</f>
        <v>0</v>
      </c>
      <c r="I45" s="66">
        <f>'７－３　水稲部門（加工用，恋の予感）収支'!F41*'１　対象経営の概要，２　前提条件'!$AB$27</f>
        <v>0</v>
      </c>
      <c r="J45" s="391"/>
      <c r="K45" s="80"/>
    </row>
    <row r="46" spans="2:11" ht="20.149999999999999" customHeight="1" x14ac:dyDescent="0.2">
      <c r="B46" s="1033"/>
      <c r="C46" s="1067"/>
      <c r="D46" s="81" t="s">
        <v>72</v>
      </c>
      <c r="E46" s="61"/>
      <c r="F46" s="79">
        <f t="shared" si="1"/>
        <v>0</v>
      </c>
      <c r="G46" s="349">
        <f>'７－１　水稲部門（早期コシヒカリ）収支'!F42*'１　対象経営の概要，２　前提条件'!$AB$25</f>
        <v>0</v>
      </c>
      <c r="H46" s="66">
        <f>'７－２　水稲部門（恋の予感）収支 '!F42*'１　対象経営の概要，２　前提条件'!$AB$26</f>
        <v>0</v>
      </c>
      <c r="I46" s="66">
        <f>'７－３　水稲部門（加工用，恋の予感）収支'!F42*'１　対象経営の概要，２　前提条件'!$AB$27</f>
        <v>0</v>
      </c>
      <c r="J46" s="391"/>
      <c r="K46" s="63"/>
    </row>
    <row r="47" spans="2:11" ht="20.149999999999999" customHeight="1" x14ac:dyDescent="0.2">
      <c r="B47" s="1033"/>
      <c r="C47" s="1067" t="s">
        <v>226</v>
      </c>
      <c r="D47" s="81" t="s">
        <v>284</v>
      </c>
      <c r="E47" s="82"/>
      <c r="F47" s="79">
        <f t="shared" si="1"/>
        <v>0</v>
      </c>
      <c r="G47" s="349">
        <f>'７－１　水稲部門（早期コシヒカリ）収支'!F43*'１　対象経営の概要，２　前提条件'!$AB$25</f>
        <v>0</v>
      </c>
      <c r="H47" s="66">
        <f>'７－２　水稲部門（恋の予感）収支 '!F43*'１　対象経営の概要，２　前提条件'!$AB$26</f>
        <v>0</v>
      </c>
      <c r="I47" s="66">
        <f>'７－３　水稲部門（加工用，恋の予感）収支'!F43*'１　対象経営の概要，２　前提条件'!$AB$27</f>
        <v>0</v>
      </c>
      <c r="J47" s="391"/>
      <c r="K47" s="80"/>
    </row>
    <row r="48" spans="2:11" ht="20.149999999999999" customHeight="1" x14ac:dyDescent="0.2">
      <c r="B48" s="1033"/>
      <c r="C48" s="1051"/>
      <c r="D48" s="83" t="s">
        <v>1</v>
      </c>
      <c r="E48" s="84"/>
      <c r="F48" s="85">
        <f t="shared" si="1"/>
        <v>0</v>
      </c>
      <c r="G48" s="349">
        <f>'７－１　水稲部門（早期コシヒカリ）収支'!F44*'１　対象経営の概要，２　前提条件'!$AB$25</f>
        <v>0</v>
      </c>
      <c r="H48" s="66">
        <f>'７－２　水稲部門（恋の予感）収支 '!F44*'１　対象経営の概要，２　前提条件'!$AB$26</f>
        <v>0</v>
      </c>
      <c r="I48" s="66">
        <f>'７－３　水稲部門（加工用，恋の予感）収支'!F44*'１　対象経営の概要，２　前提条件'!$AB$27</f>
        <v>0</v>
      </c>
      <c r="J48" s="391"/>
      <c r="K48" s="86"/>
    </row>
    <row r="49" spans="2:11" ht="20.149999999999999" customHeight="1" thickBot="1" x14ac:dyDescent="0.25">
      <c r="B49" s="1064"/>
      <c r="C49" s="1057" t="s">
        <v>227</v>
      </c>
      <c r="D49" s="1068"/>
      <c r="E49" s="1058"/>
      <c r="F49" s="87">
        <f t="shared" si="1"/>
        <v>5965000</v>
      </c>
      <c r="G49" s="87">
        <f>SUM(G44:G46)-SUM(G47:G48)</f>
        <v>750000</v>
      </c>
      <c r="H49" s="87">
        <f t="shared" ref="H49" si="6">SUM(H44:H46)-SUM(H47:H48)</f>
        <v>750000</v>
      </c>
      <c r="I49" s="87">
        <f t="shared" ref="I49:J49" si="7">SUM(I44:I46)-SUM(I47:I48)</f>
        <v>4465000</v>
      </c>
      <c r="J49" s="87">
        <f t="shared" si="7"/>
        <v>0</v>
      </c>
      <c r="K49" s="73"/>
    </row>
    <row r="50" spans="2:11" ht="20.149999999999999" customHeight="1" x14ac:dyDescent="0.2">
      <c r="B50" s="1060" t="s">
        <v>228</v>
      </c>
      <c r="C50" s="1061"/>
      <c r="D50" s="1061"/>
      <c r="E50" s="1061"/>
      <c r="F50" s="88">
        <f t="shared" si="1"/>
        <v>8230600.7074296884</v>
      </c>
      <c r="G50" s="88">
        <f t="shared" ref="G50:J50" si="8">G43+G49</f>
        <v>904929.31782636885</v>
      </c>
      <c r="H50" s="88">
        <f t="shared" ref="H50" si="9">H43+H49</f>
        <v>403480.73196778167</v>
      </c>
      <c r="I50" s="392">
        <f t="shared" si="8"/>
        <v>3415264.9613626571</v>
      </c>
      <c r="J50" s="392">
        <f t="shared" si="8"/>
        <v>3506925.6962728808</v>
      </c>
      <c r="K50" s="80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K3:K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conditionalFormatting sqref="F5:J6">
    <cfRule type="cellIs" dxfId="56" priority="4" operator="equal">
      <formula>0</formula>
    </cfRule>
  </conditionalFormatting>
  <conditionalFormatting sqref="F8:J27">
    <cfRule type="cellIs" dxfId="55" priority="3" operator="equal">
      <formula>0</formula>
    </cfRule>
  </conditionalFormatting>
  <conditionalFormatting sqref="F30:J41">
    <cfRule type="cellIs" dxfId="54" priority="2" operator="equal">
      <formula>0</formula>
    </cfRule>
  </conditionalFormatting>
  <conditionalFormatting sqref="F44:J48">
    <cfRule type="cellIs" dxfId="53" priority="1" operator="equal">
      <formula>0</formula>
    </cfRule>
  </conditionalFormatting>
  <pageMargins left="0.78740157480314965" right="0" top="0.39370078740157483" bottom="0" header="0" footer="0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23"/>
  <sheetViews>
    <sheetView zoomScale="75" zoomScaleNormal="75" workbookViewId="0"/>
  </sheetViews>
  <sheetFormatPr defaultColWidth="9" defaultRowHeight="13" x14ac:dyDescent="0.2"/>
  <cols>
    <col min="1" max="1" width="1.6328125" style="90" customWidth="1"/>
    <col min="2" max="2" width="22.6328125" style="90" customWidth="1"/>
    <col min="3" max="38" width="6.08984375" style="90" customWidth="1"/>
    <col min="39" max="39" width="7" style="90" customWidth="1"/>
    <col min="40" max="40" width="1.453125" style="90" customWidth="1"/>
    <col min="41" max="16384" width="9" style="90"/>
  </cols>
  <sheetData>
    <row r="1" spans="2:59" ht="10" customHeight="1" x14ac:dyDescent="0.2"/>
    <row r="2" spans="2:59" ht="25" customHeight="1" thickBot="1" x14ac:dyDescent="0.25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54" t="s">
        <v>271</v>
      </c>
      <c r="L2" s="1069" t="s">
        <v>432</v>
      </c>
      <c r="M2" s="1069"/>
      <c r="N2" s="354" t="s">
        <v>272</v>
      </c>
      <c r="O2" s="353" t="s">
        <v>466</v>
      </c>
      <c r="P2" s="13"/>
      <c r="Q2" s="13"/>
      <c r="R2" s="13"/>
      <c r="S2" s="13"/>
      <c r="T2" s="13"/>
      <c r="U2" s="13"/>
      <c r="V2" s="9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spans="2:59" ht="20.149999999999999" customHeight="1" x14ac:dyDescent="0.2">
      <c r="B3" s="1078" t="s">
        <v>132</v>
      </c>
      <c r="C3" s="1070">
        <v>1</v>
      </c>
      <c r="D3" s="1071"/>
      <c r="E3" s="1072"/>
      <c r="F3" s="1070">
        <v>2</v>
      </c>
      <c r="G3" s="1071"/>
      <c r="H3" s="1072"/>
      <c r="I3" s="1070">
        <v>3</v>
      </c>
      <c r="J3" s="1071"/>
      <c r="K3" s="1072"/>
      <c r="L3" s="1070">
        <v>4</v>
      </c>
      <c r="M3" s="1071"/>
      <c r="N3" s="1072"/>
      <c r="O3" s="1070">
        <v>5</v>
      </c>
      <c r="P3" s="1071"/>
      <c r="Q3" s="1072"/>
      <c r="R3" s="1070">
        <v>6</v>
      </c>
      <c r="S3" s="1071"/>
      <c r="T3" s="1072"/>
      <c r="U3" s="1070">
        <v>7</v>
      </c>
      <c r="V3" s="1071"/>
      <c r="W3" s="1072"/>
      <c r="X3" s="1070">
        <v>8</v>
      </c>
      <c r="Y3" s="1071"/>
      <c r="Z3" s="1072"/>
      <c r="AA3" s="1070">
        <v>9</v>
      </c>
      <c r="AB3" s="1071"/>
      <c r="AC3" s="1072"/>
      <c r="AD3" s="1070">
        <v>10</v>
      </c>
      <c r="AE3" s="1071"/>
      <c r="AF3" s="1072"/>
      <c r="AG3" s="1070">
        <v>11</v>
      </c>
      <c r="AH3" s="1071"/>
      <c r="AI3" s="1072"/>
      <c r="AJ3" s="1070">
        <v>12</v>
      </c>
      <c r="AK3" s="1071"/>
      <c r="AL3" s="1072"/>
      <c r="AM3" s="1073" t="s">
        <v>34</v>
      </c>
      <c r="AO3" s="851" t="s">
        <v>348</v>
      </c>
      <c r="AP3" s="851" t="s">
        <v>349</v>
      </c>
      <c r="AQ3" s="851" t="s">
        <v>350</v>
      </c>
    </row>
    <row r="4" spans="2:59" ht="20.149999999999999" customHeight="1" x14ac:dyDescent="0.2">
      <c r="B4" s="1077"/>
      <c r="C4" s="119" t="s">
        <v>35</v>
      </c>
      <c r="D4" s="120" t="s">
        <v>36</v>
      </c>
      <c r="E4" s="121" t="s">
        <v>37</v>
      </c>
      <c r="F4" s="119" t="s">
        <v>35</v>
      </c>
      <c r="G4" s="121" t="s">
        <v>36</v>
      </c>
      <c r="H4" s="121" t="s">
        <v>37</v>
      </c>
      <c r="I4" s="119" t="s">
        <v>35</v>
      </c>
      <c r="J4" s="121" t="s">
        <v>36</v>
      </c>
      <c r="K4" s="121" t="s">
        <v>37</v>
      </c>
      <c r="L4" s="119" t="s">
        <v>35</v>
      </c>
      <c r="M4" s="121" t="s">
        <v>36</v>
      </c>
      <c r="N4" s="121" t="s">
        <v>37</v>
      </c>
      <c r="O4" s="119" t="s">
        <v>35</v>
      </c>
      <c r="P4" s="121" t="s">
        <v>36</v>
      </c>
      <c r="Q4" s="121" t="s">
        <v>37</v>
      </c>
      <c r="R4" s="119" t="s">
        <v>35</v>
      </c>
      <c r="S4" s="122" t="s">
        <v>36</v>
      </c>
      <c r="T4" s="122" t="s">
        <v>37</v>
      </c>
      <c r="U4" s="119" t="s">
        <v>35</v>
      </c>
      <c r="V4" s="121" t="s">
        <v>36</v>
      </c>
      <c r="W4" s="121" t="s">
        <v>37</v>
      </c>
      <c r="X4" s="119" t="s">
        <v>35</v>
      </c>
      <c r="Y4" s="121" t="s">
        <v>36</v>
      </c>
      <c r="Z4" s="121" t="s">
        <v>37</v>
      </c>
      <c r="AA4" s="119" t="s">
        <v>35</v>
      </c>
      <c r="AB4" s="121" t="s">
        <v>36</v>
      </c>
      <c r="AC4" s="121" t="s">
        <v>37</v>
      </c>
      <c r="AD4" s="119" t="s">
        <v>35</v>
      </c>
      <c r="AE4" s="121" t="s">
        <v>36</v>
      </c>
      <c r="AF4" s="121" t="s">
        <v>37</v>
      </c>
      <c r="AG4" s="119" t="s">
        <v>35</v>
      </c>
      <c r="AH4" s="121" t="s">
        <v>36</v>
      </c>
      <c r="AI4" s="121" t="s">
        <v>37</v>
      </c>
      <c r="AJ4" s="119" t="s">
        <v>35</v>
      </c>
      <c r="AK4" s="121" t="s">
        <v>36</v>
      </c>
      <c r="AL4" s="121" t="s">
        <v>37</v>
      </c>
      <c r="AM4" s="1074"/>
      <c r="AO4" s="851"/>
      <c r="AP4" s="851"/>
      <c r="AQ4" s="851"/>
    </row>
    <row r="5" spans="2:59" ht="20.149999999999999" customHeight="1" x14ac:dyDescent="0.2">
      <c r="B5" s="1075" t="s">
        <v>133</v>
      </c>
      <c r="C5" s="123"/>
      <c r="D5" s="13"/>
      <c r="E5" s="13"/>
      <c r="F5" s="13"/>
      <c r="G5" s="13"/>
      <c r="H5" s="13"/>
      <c r="I5" s="13"/>
      <c r="J5" s="13"/>
      <c r="K5" s="13"/>
      <c r="L5" s="13"/>
      <c r="M5" s="13"/>
      <c r="N5" s="92"/>
      <c r="O5" s="9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4"/>
      <c r="AO5" s="851"/>
      <c r="AP5" s="851"/>
      <c r="AQ5" s="851"/>
    </row>
    <row r="6" spans="2:59" ht="20.149999999999999" customHeight="1" x14ac:dyDescent="0.2">
      <c r="B6" s="1076"/>
      <c r="C6" s="123"/>
      <c r="D6" s="13"/>
      <c r="E6" s="13"/>
      <c r="F6" s="13"/>
      <c r="G6" s="13"/>
      <c r="H6" s="13"/>
      <c r="I6" s="13"/>
      <c r="J6" s="13"/>
      <c r="K6" s="13"/>
      <c r="M6" s="13"/>
      <c r="N6" s="531" t="s">
        <v>460</v>
      </c>
      <c r="O6" s="2"/>
      <c r="P6" s="13"/>
      <c r="Q6" s="13"/>
      <c r="R6" s="13"/>
      <c r="S6" s="13"/>
      <c r="T6" s="13"/>
      <c r="U6" s="13"/>
      <c r="V6" s="13"/>
      <c r="W6" s="13"/>
      <c r="X6" s="13"/>
      <c r="Y6" s="13"/>
      <c r="Z6" s="1079" t="s">
        <v>405</v>
      </c>
      <c r="AA6" s="1080"/>
      <c r="AB6" s="1081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24"/>
      <c r="AO6" s="851"/>
      <c r="AP6" s="851"/>
      <c r="AQ6" s="851"/>
    </row>
    <row r="7" spans="2:59" ht="20.149999999999999" customHeight="1" x14ac:dyDescent="0.2">
      <c r="B7" s="1077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O7" s="851"/>
      <c r="AP7" s="851"/>
      <c r="AQ7" s="851"/>
    </row>
    <row r="8" spans="2:59" ht="20.149999999999999" customHeight="1" x14ac:dyDescent="0.2">
      <c r="B8" s="128" t="s">
        <v>322</v>
      </c>
      <c r="C8" s="503"/>
      <c r="D8" s="532"/>
      <c r="E8" s="532"/>
      <c r="F8" s="503"/>
      <c r="G8" s="532"/>
      <c r="H8" s="532"/>
      <c r="I8" s="503"/>
      <c r="J8" s="532"/>
      <c r="K8" s="532"/>
      <c r="L8" s="503"/>
      <c r="M8" s="532"/>
      <c r="N8" s="532"/>
      <c r="O8" s="503"/>
      <c r="P8" s="532"/>
      <c r="Q8" s="532"/>
      <c r="R8" s="503"/>
      <c r="S8" s="532"/>
      <c r="T8" s="532"/>
      <c r="U8" s="503"/>
      <c r="V8" s="532"/>
      <c r="W8" s="532"/>
      <c r="X8" s="503"/>
      <c r="Y8" s="532"/>
      <c r="Z8" s="532"/>
      <c r="AA8" s="503"/>
      <c r="AB8" s="532"/>
      <c r="AC8" s="532"/>
      <c r="AD8" s="503"/>
      <c r="AE8" s="532"/>
      <c r="AF8" s="532"/>
      <c r="AG8" s="503"/>
      <c r="AH8" s="532"/>
      <c r="AI8" s="532"/>
      <c r="AJ8" s="503"/>
      <c r="AK8" s="532"/>
      <c r="AL8" s="532"/>
      <c r="AM8" s="504">
        <f>SUM(C8:AL8)</f>
        <v>0</v>
      </c>
      <c r="AO8" s="852"/>
      <c r="AP8" s="852"/>
      <c r="AQ8" s="853"/>
    </row>
    <row r="9" spans="2:59" ht="20.149999999999999" customHeight="1" x14ac:dyDescent="0.2">
      <c r="B9" s="128" t="s">
        <v>323</v>
      </c>
      <c r="C9" s="503"/>
      <c r="D9" s="532"/>
      <c r="E9" s="532"/>
      <c r="F9" s="503"/>
      <c r="G9" s="532"/>
      <c r="H9" s="532"/>
      <c r="I9" s="503"/>
      <c r="J9" s="532"/>
      <c r="K9" s="532"/>
      <c r="L9" s="503"/>
      <c r="M9" s="532"/>
      <c r="N9" s="532"/>
      <c r="O9" s="503"/>
      <c r="P9" s="532"/>
      <c r="Q9" s="532"/>
      <c r="R9" s="503"/>
      <c r="S9" s="532"/>
      <c r="T9" s="532"/>
      <c r="U9" s="503"/>
      <c r="V9" s="532"/>
      <c r="W9" s="532"/>
      <c r="X9" s="503"/>
      <c r="Y9" s="532"/>
      <c r="Z9" s="532"/>
      <c r="AA9" s="503"/>
      <c r="AB9" s="532"/>
      <c r="AC9" s="532"/>
      <c r="AD9" s="503"/>
      <c r="AE9" s="532"/>
      <c r="AF9" s="532"/>
      <c r="AG9" s="503"/>
      <c r="AH9" s="532"/>
      <c r="AI9" s="532"/>
      <c r="AJ9" s="503"/>
      <c r="AK9" s="532"/>
      <c r="AL9" s="532"/>
      <c r="AM9" s="504">
        <f t="shared" ref="AM9:AM21" si="0">SUM(C9:AL9)</f>
        <v>0</v>
      </c>
      <c r="AO9" s="852"/>
      <c r="AP9" s="852"/>
      <c r="AQ9" s="853"/>
    </row>
    <row r="10" spans="2:59" ht="20.149999999999999" customHeight="1" x14ac:dyDescent="0.2">
      <c r="B10" s="128" t="s">
        <v>324</v>
      </c>
      <c r="C10" s="503"/>
      <c r="D10" s="532"/>
      <c r="E10" s="532"/>
      <c r="F10" s="503"/>
      <c r="G10" s="532">
        <v>1.9</v>
      </c>
      <c r="H10" s="532">
        <v>1.9</v>
      </c>
      <c r="I10" s="503">
        <v>1.9</v>
      </c>
      <c r="J10" s="532">
        <v>1.9</v>
      </c>
      <c r="K10" s="532"/>
      <c r="L10" s="503"/>
      <c r="M10" s="532"/>
      <c r="N10" s="532"/>
      <c r="O10" s="503"/>
      <c r="P10" s="532"/>
      <c r="Q10" s="532"/>
      <c r="R10" s="503"/>
      <c r="S10" s="532"/>
      <c r="T10" s="532"/>
      <c r="U10" s="503"/>
      <c r="V10" s="532"/>
      <c r="W10" s="532"/>
      <c r="X10" s="503"/>
      <c r="Y10" s="532"/>
      <c r="Z10" s="532"/>
      <c r="AA10" s="503"/>
      <c r="AB10" s="532"/>
      <c r="AC10" s="532"/>
      <c r="AD10" s="503"/>
      <c r="AE10" s="532"/>
      <c r="AF10" s="532"/>
      <c r="AG10" s="503"/>
      <c r="AH10" s="532">
        <v>2.4</v>
      </c>
      <c r="AI10" s="532">
        <v>2.4</v>
      </c>
      <c r="AJ10" s="503">
        <v>2.2999999999999998</v>
      </c>
      <c r="AK10" s="532"/>
      <c r="AL10" s="532"/>
      <c r="AM10" s="504">
        <f t="shared" si="0"/>
        <v>14.7</v>
      </c>
      <c r="AO10" s="852">
        <v>14.7</v>
      </c>
      <c r="AP10" s="852"/>
      <c r="AQ10" s="853">
        <v>14.7</v>
      </c>
    </row>
    <row r="11" spans="2:59" ht="20.149999999999999" customHeight="1" x14ac:dyDescent="0.2">
      <c r="B11" s="128" t="s">
        <v>307</v>
      </c>
      <c r="C11" s="503"/>
      <c r="D11" s="532"/>
      <c r="E11" s="532"/>
      <c r="F11" s="503"/>
      <c r="G11" s="532"/>
      <c r="H11" s="532"/>
      <c r="I11" s="503"/>
      <c r="J11" s="532"/>
      <c r="K11" s="532"/>
      <c r="L11" s="503">
        <v>2.5</v>
      </c>
      <c r="M11" s="532">
        <v>2.5</v>
      </c>
      <c r="N11" s="532"/>
      <c r="O11" s="503"/>
      <c r="P11" s="532"/>
      <c r="Q11" s="532"/>
      <c r="R11" s="503"/>
      <c r="S11" s="532"/>
      <c r="T11" s="532"/>
      <c r="U11" s="503"/>
      <c r="V11" s="532"/>
      <c r="W11" s="532"/>
      <c r="X11" s="503"/>
      <c r="Y11" s="532"/>
      <c r="Z11" s="532"/>
      <c r="AA11" s="503"/>
      <c r="AB11" s="532"/>
      <c r="AC11" s="532"/>
      <c r="AD11" s="503"/>
      <c r="AE11" s="532"/>
      <c r="AF11" s="532"/>
      <c r="AG11" s="503"/>
      <c r="AH11" s="532"/>
      <c r="AI11" s="532"/>
      <c r="AJ11" s="503"/>
      <c r="AK11" s="532"/>
      <c r="AL11" s="532"/>
      <c r="AM11" s="504">
        <f t="shared" si="0"/>
        <v>5</v>
      </c>
      <c r="AO11" s="852">
        <v>5</v>
      </c>
      <c r="AP11" s="852"/>
      <c r="AQ11" s="853">
        <v>5</v>
      </c>
    </row>
    <row r="12" spans="2:59" ht="20.149999999999999" customHeight="1" x14ac:dyDescent="0.2">
      <c r="B12" s="128" t="s">
        <v>325</v>
      </c>
      <c r="C12" s="503"/>
      <c r="D12" s="532"/>
      <c r="E12" s="532"/>
      <c r="F12" s="503"/>
      <c r="G12" s="532"/>
      <c r="H12" s="532"/>
      <c r="I12" s="503"/>
      <c r="J12" s="532"/>
      <c r="K12" s="532"/>
      <c r="L12" s="503"/>
      <c r="M12" s="532"/>
      <c r="N12" s="532">
        <v>17.600000000000001</v>
      </c>
      <c r="O12" s="503"/>
      <c r="P12" s="532"/>
      <c r="Q12" s="532"/>
      <c r="R12" s="503"/>
      <c r="S12" s="532"/>
      <c r="T12" s="532"/>
      <c r="U12" s="503"/>
      <c r="V12" s="532"/>
      <c r="W12" s="532"/>
      <c r="X12" s="503"/>
      <c r="Y12" s="532"/>
      <c r="Z12" s="532"/>
      <c r="AA12" s="503"/>
      <c r="AB12" s="532"/>
      <c r="AC12" s="532"/>
      <c r="AD12" s="503"/>
      <c r="AE12" s="532"/>
      <c r="AF12" s="532"/>
      <c r="AG12" s="503"/>
      <c r="AH12" s="532"/>
      <c r="AI12" s="532"/>
      <c r="AJ12" s="503"/>
      <c r="AK12" s="532"/>
      <c r="AL12" s="532"/>
      <c r="AM12" s="504">
        <f t="shared" si="0"/>
        <v>17.600000000000001</v>
      </c>
      <c r="AO12" s="852">
        <v>4.4000000000000004</v>
      </c>
      <c r="AP12" s="852">
        <v>13.200000000000001</v>
      </c>
      <c r="AQ12" s="853">
        <v>17.600000000000001</v>
      </c>
    </row>
    <row r="13" spans="2:59" ht="20.149999999999999" customHeight="1" x14ac:dyDescent="0.2">
      <c r="B13" s="128" t="s">
        <v>326</v>
      </c>
      <c r="C13" s="503"/>
      <c r="D13" s="532"/>
      <c r="E13" s="532"/>
      <c r="F13" s="503"/>
      <c r="G13" s="532"/>
      <c r="H13" s="532"/>
      <c r="I13" s="503"/>
      <c r="J13" s="532"/>
      <c r="K13" s="532"/>
      <c r="L13" s="503"/>
      <c r="M13" s="532"/>
      <c r="N13" s="532"/>
      <c r="O13" s="503"/>
      <c r="P13" s="532"/>
      <c r="Q13" s="532"/>
      <c r="R13" s="503"/>
      <c r="S13" s="532"/>
      <c r="T13" s="532"/>
      <c r="U13" s="503"/>
      <c r="V13" s="532"/>
      <c r="W13" s="532"/>
      <c r="X13" s="503"/>
      <c r="Y13" s="532"/>
      <c r="Z13" s="532"/>
      <c r="AA13" s="503"/>
      <c r="AB13" s="532"/>
      <c r="AC13" s="532"/>
      <c r="AD13" s="503"/>
      <c r="AE13" s="532"/>
      <c r="AF13" s="532"/>
      <c r="AG13" s="503"/>
      <c r="AH13" s="532"/>
      <c r="AI13" s="532"/>
      <c r="AJ13" s="503"/>
      <c r="AK13" s="532"/>
      <c r="AL13" s="532"/>
      <c r="AM13" s="504">
        <f t="shared" si="0"/>
        <v>0</v>
      </c>
      <c r="AO13" s="852"/>
      <c r="AP13" s="852"/>
      <c r="AQ13" s="853">
        <v>0</v>
      </c>
    </row>
    <row r="14" spans="2:59" ht="20.149999999999999" customHeight="1" x14ac:dyDescent="0.2">
      <c r="B14" s="128" t="s">
        <v>327</v>
      </c>
      <c r="C14" s="503"/>
      <c r="D14" s="532"/>
      <c r="E14" s="532"/>
      <c r="F14" s="503"/>
      <c r="G14" s="532"/>
      <c r="H14" s="532"/>
      <c r="I14" s="503"/>
      <c r="J14" s="532"/>
      <c r="K14" s="532"/>
      <c r="L14" s="503"/>
      <c r="M14" s="532"/>
      <c r="N14" s="532"/>
      <c r="O14" s="503"/>
      <c r="P14" s="532"/>
      <c r="Q14" s="532"/>
      <c r="R14" s="503"/>
      <c r="S14" s="532"/>
      <c r="T14" s="532"/>
      <c r="U14" s="503"/>
      <c r="V14" s="532"/>
      <c r="W14" s="532"/>
      <c r="X14" s="503"/>
      <c r="Y14" s="532"/>
      <c r="Z14" s="532"/>
      <c r="AA14" s="503"/>
      <c r="AB14" s="532"/>
      <c r="AC14" s="532"/>
      <c r="AD14" s="503"/>
      <c r="AE14" s="532"/>
      <c r="AF14" s="532"/>
      <c r="AG14" s="503"/>
      <c r="AH14" s="532"/>
      <c r="AI14" s="532"/>
      <c r="AJ14" s="503"/>
      <c r="AK14" s="532"/>
      <c r="AL14" s="532"/>
      <c r="AM14" s="504">
        <f t="shared" si="0"/>
        <v>0</v>
      </c>
      <c r="AO14" s="852"/>
      <c r="AP14" s="852"/>
      <c r="AQ14" s="853">
        <v>0</v>
      </c>
    </row>
    <row r="15" spans="2:59" ht="20.149999999999999" customHeight="1" x14ac:dyDescent="0.2">
      <c r="B15" s="128" t="s">
        <v>328</v>
      </c>
      <c r="C15" s="503"/>
      <c r="D15" s="532"/>
      <c r="E15" s="532"/>
      <c r="F15" s="503"/>
      <c r="G15" s="532"/>
      <c r="H15" s="532"/>
      <c r="I15" s="503"/>
      <c r="J15" s="532"/>
      <c r="K15" s="532"/>
      <c r="L15" s="503"/>
      <c r="M15" s="532"/>
      <c r="N15" s="532"/>
      <c r="O15" s="503"/>
      <c r="P15" s="532"/>
      <c r="Q15" s="532"/>
      <c r="R15" s="503"/>
      <c r="S15" s="532"/>
      <c r="T15" s="532"/>
      <c r="U15" s="503">
        <v>3.4</v>
      </c>
      <c r="V15" s="532"/>
      <c r="W15" s="532">
        <v>3.4</v>
      </c>
      <c r="X15" s="503"/>
      <c r="Y15" s="532"/>
      <c r="Z15" s="532"/>
      <c r="AA15" s="503"/>
      <c r="AB15" s="532"/>
      <c r="AC15" s="532"/>
      <c r="AD15" s="503"/>
      <c r="AE15" s="532"/>
      <c r="AF15" s="532"/>
      <c r="AG15" s="503"/>
      <c r="AH15" s="532"/>
      <c r="AI15" s="532"/>
      <c r="AJ15" s="503"/>
      <c r="AK15" s="532"/>
      <c r="AL15" s="532"/>
      <c r="AM15" s="504">
        <f t="shared" si="0"/>
        <v>6.8</v>
      </c>
      <c r="AO15" s="852">
        <v>1.7</v>
      </c>
      <c r="AP15" s="852">
        <v>5.0999999999999996</v>
      </c>
      <c r="AQ15" s="853">
        <v>6.8</v>
      </c>
    </row>
    <row r="16" spans="2:59" ht="20.149999999999999" customHeight="1" x14ac:dyDescent="0.2">
      <c r="B16" s="128" t="s">
        <v>329</v>
      </c>
      <c r="C16" s="503"/>
      <c r="D16" s="532"/>
      <c r="E16" s="532"/>
      <c r="F16" s="503"/>
      <c r="G16" s="532"/>
      <c r="H16" s="532"/>
      <c r="I16" s="503"/>
      <c r="J16" s="532"/>
      <c r="K16" s="532"/>
      <c r="L16" s="503"/>
      <c r="M16" s="532"/>
      <c r="N16" s="532"/>
      <c r="O16" s="503"/>
      <c r="P16" s="532"/>
      <c r="Q16" s="532"/>
      <c r="R16" s="503"/>
      <c r="S16" s="532"/>
      <c r="T16" s="532"/>
      <c r="U16" s="503"/>
      <c r="V16" s="532"/>
      <c r="W16" s="532"/>
      <c r="X16" s="503"/>
      <c r="Y16" s="532"/>
      <c r="Z16" s="532">
        <v>6.9</v>
      </c>
      <c r="AA16" s="503">
        <v>6.9</v>
      </c>
      <c r="AB16" s="532">
        <v>6.9</v>
      </c>
      <c r="AC16" s="532"/>
      <c r="AD16" s="503"/>
      <c r="AE16" s="532"/>
      <c r="AF16" s="532"/>
      <c r="AG16" s="503"/>
      <c r="AH16" s="532"/>
      <c r="AI16" s="532"/>
      <c r="AJ16" s="503"/>
      <c r="AK16" s="532"/>
      <c r="AL16" s="532"/>
      <c r="AM16" s="504">
        <f t="shared" si="0"/>
        <v>20.700000000000003</v>
      </c>
      <c r="AO16" s="852">
        <v>6.9</v>
      </c>
      <c r="AP16" s="852">
        <v>13.8</v>
      </c>
      <c r="AQ16" s="853">
        <v>20.700000000000003</v>
      </c>
    </row>
    <row r="17" spans="2:43" ht="20.149999999999999" customHeight="1" x14ac:dyDescent="0.2">
      <c r="B17" s="128" t="s">
        <v>330</v>
      </c>
      <c r="C17" s="503"/>
      <c r="D17" s="532"/>
      <c r="E17" s="532"/>
      <c r="F17" s="503"/>
      <c r="G17" s="532"/>
      <c r="H17" s="532"/>
      <c r="I17" s="503"/>
      <c r="J17" s="532"/>
      <c r="K17" s="532"/>
      <c r="L17" s="503"/>
      <c r="M17" s="532"/>
      <c r="N17" s="532"/>
      <c r="O17" s="503"/>
      <c r="P17" s="532"/>
      <c r="Q17" s="532"/>
      <c r="R17" s="503"/>
      <c r="S17" s="532"/>
      <c r="T17" s="532"/>
      <c r="U17" s="503"/>
      <c r="V17" s="532"/>
      <c r="W17" s="532"/>
      <c r="X17" s="503"/>
      <c r="Y17" s="532"/>
      <c r="Z17" s="532">
        <v>3.2</v>
      </c>
      <c r="AA17" s="503">
        <v>3.2</v>
      </c>
      <c r="AB17" s="532">
        <v>3.1</v>
      </c>
      <c r="AC17" s="532"/>
      <c r="AD17" s="503"/>
      <c r="AE17" s="532"/>
      <c r="AF17" s="532"/>
      <c r="AG17" s="503"/>
      <c r="AH17" s="532"/>
      <c r="AI17" s="532"/>
      <c r="AJ17" s="503"/>
      <c r="AK17" s="532"/>
      <c r="AL17" s="532"/>
      <c r="AM17" s="504">
        <f t="shared" si="0"/>
        <v>9.5</v>
      </c>
      <c r="AO17" s="852"/>
      <c r="AP17" s="852">
        <v>9.5</v>
      </c>
      <c r="AQ17" s="853">
        <v>9.5</v>
      </c>
    </row>
    <row r="18" spans="2:43" ht="20.149999999999999" customHeight="1" x14ac:dyDescent="0.2">
      <c r="B18" s="128" t="s">
        <v>331</v>
      </c>
      <c r="C18" s="503"/>
      <c r="D18" s="532"/>
      <c r="E18" s="532"/>
      <c r="F18" s="503"/>
      <c r="G18" s="532"/>
      <c r="H18" s="532"/>
      <c r="I18" s="503"/>
      <c r="J18" s="532"/>
      <c r="K18" s="532"/>
      <c r="L18" s="503"/>
      <c r="M18" s="532"/>
      <c r="N18" s="532"/>
      <c r="O18" s="503"/>
      <c r="P18" s="532"/>
      <c r="Q18" s="532"/>
      <c r="R18" s="503"/>
      <c r="S18" s="532"/>
      <c r="T18" s="532"/>
      <c r="U18" s="503"/>
      <c r="V18" s="532"/>
      <c r="W18" s="532"/>
      <c r="X18" s="503"/>
      <c r="Y18" s="532"/>
      <c r="Z18" s="532"/>
      <c r="AA18" s="503"/>
      <c r="AB18" s="532"/>
      <c r="AC18" s="532"/>
      <c r="AD18" s="503"/>
      <c r="AE18" s="532"/>
      <c r="AF18" s="532"/>
      <c r="AG18" s="503">
        <v>1.2</v>
      </c>
      <c r="AH18" s="532">
        <v>1.2</v>
      </c>
      <c r="AI18" s="532"/>
      <c r="AJ18" s="503"/>
      <c r="AK18" s="532"/>
      <c r="AL18" s="532"/>
      <c r="AM18" s="504">
        <v>2.4</v>
      </c>
      <c r="AO18" s="852">
        <v>1.2</v>
      </c>
      <c r="AP18" s="852">
        <v>1.2</v>
      </c>
      <c r="AQ18" s="853">
        <v>2.4</v>
      </c>
    </row>
    <row r="19" spans="2:43" ht="20.149999999999999" customHeight="1" x14ac:dyDescent="0.2">
      <c r="B19" s="128" t="s">
        <v>191</v>
      </c>
      <c r="C19" s="503"/>
      <c r="D19" s="532"/>
      <c r="E19" s="532"/>
      <c r="F19" s="503">
        <v>2</v>
      </c>
      <c r="G19" s="532"/>
      <c r="H19" s="532"/>
      <c r="I19" s="503"/>
      <c r="J19" s="532"/>
      <c r="K19" s="532"/>
      <c r="L19" s="503"/>
      <c r="M19" s="532"/>
      <c r="N19" s="532"/>
      <c r="O19" s="503"/>
      <c r="P19" s="532"/>
      <c r="Q19" s="532"/>
      <c r="R19" s="503"/>
      <c r="S19" s="532"/>
      <c r="T19" s="532"/>
      <c r="U19" s="503"/>
      <c r="V19" s="532"/>
      <c r="W19" s="532"/>
      <c r="X19" s="503"/>
      <c r="Y19" s="532"/>
      <c r="Z19" s="532"/>
      <c r="AA19" s="503"/>
      <c r="AB19" s="532"/>
      <c r="AC19" s="532"/>
      <c r="AD19" s="503"/>
      <c r="AE19" s="532"/>
      <c r="AF19" s="532"/>
      <c r="AG19" s="503"/>
      <c r="AH19" s="532"/>
      <c r="AI19" s="532"/>
      <c r="AJ19" s="503"/>
      <c r="AK19" s="532"/>
      <c r="AL19" s="532"/>
      <c r="AM19" s="504">
        <f t="shared" si="0"/>
        <v>2</v>
      </c>
      <c r="AO19" s="852"/>
      <c r="AP19" s="852">
        <v>2</v>
      </c>
      <c r="AQ19" s="853">
        <v>2</v>
      </c>
    </row>
    <row r="20" spans="2:43" ht="20.149999999999999" customHeight="1" x14ac:dyDescent="0.2">
      <c r="B20" s="128"/>
      <c r="C20" s="503"/>
      <c r="D20" s="129"/>
      <c r="E20" s="129"/>
      <c r="F20" s="503"/>
      <c r="G20" s="129"/>
      <c r="H20" s="129"/>
      <c r="I20" s="503"/>
      <c r="J20" s="129"/>
      <c r="K20" s="129"/>
      <c r="L20" s="503"/>
      <c r="M20" s="129"/>
      <c r="N20" s="129"/>
      <c r="O20" s="503"/>
      <c r="P20" s="129"/>
      <c r="Q20" s="129"/>
      <c r="R20" s="503"/>
      <c r="S20" s="129"/>
      <c r="T20" s="129"/>
      <c r="U20" s="503"/>
      <c r="V20" s="129"/>
      <c r="W20" s="129"/>
      <c r="X20" s="503"/>
      <c r="Y20" s="129"/>
      <c r="Z20" s="129"/>
      <c r="AA20" s="503"/>
      <c r="AB20" s="129"/>
      <c r="AC20" s="129"/>
      <c r="AD20" s="503"/>
      <c r="AE20" s="129"/>
      <c r="AF20" s="129"/>
      <c r="AG20" s="503"/>
      <c r="AH20" s="129"/>
      <c r="AI20" s="129"/>
      <c r="AJ20" s="503"/>
      <c r="AK20" s="129"/>
      <c r="AL20" s="129"/>
      <c r="AM20" s="504">
        <f t="shared" si="0"/>
        <v>0</v>
      </c>
      <c r="AO20" s="853"/>
      <c r="AP20" s="853"/>
      <c r="AQ20" s="853">
        <f t="shared" ref="AQ20:AQ21" si="1">SUM(AO20:AP20)</f>
        <v>0</v>
      </c>
    </row>
    <row r="21" spans="2:43" ht="20.149999999999999" customHeight="1" x14ac:dyDescent="0.2">
      <c r="B21" s="130" t="s">
        <v>134</v>
      </c>
      <c r="C21" s="503">
        <f t="shared" ref="C21:AL21" si="2">SUM(C8:C20)</f>
        <v>0</v>
      </c>
      <c r="D21" s="131">
        <f t="shared" si="2"/>
        <v>0</v>
      </c>
      <c r="E21" s="505">
        <f t="shared" si="2"/>
        <v>0</v>
      </c>
      <c r="F21" s="503">
        <f t="shared" si="2"/>
        <v>2</v>
      </c>
      <c r="G21" s="131">
        <f t="shared" si="2"/>
        <v>1.9</v>
      </c>
      <c r="H21" s="505">
        <f t="shared" si="2"/>
        <v>1.9</v>
      </c>
      <c r="I21" s="503">
        <f t="shared" si="2"/>
        <v>1.9</v>
      </c>
      <c r="J21" s="131">
        <f t="shared" si="2"/>
        <v>1.9</v>
      </c>
      <c r="K21" s="505">
        <f t="shared" si="2"/>
        <v>0</v>
      </c>
      <c r="L21" s="503">
        <f t="shared" si="2"/>
        <v>2.5</v>
      </c>
      <c r="M21" s="131">
        <f t="shared" si="2"/>
        <v>2.5</v>
      </c>
      <c r="N21" s="505">
        <f t="shared" si="2"/>
        <v>17.600000000000001</v>
      </c>
      <c r="O21" s="503">
        <f t="shared" si="2"/>
        <v>0</v>
      </c>
      <c r="P21" s="131">
        <f t="shared" si="2"/>
        <v>0</v>
      </c>
      <c r="Q21" s="505">
        <f t="shared" si="2"/>
        <v>0</v>
      </c>
      <c r="R21" s="503">
        <f t="shared" si="2"/>
        <v>0</v>
      </c>
      <c r="S21" s="131">
        <f t="shared" si="2"/>
        <v>0</v>
      </c>
      <c r="T21" s="505">
        <f t="shared" si="2"/>
        <v>0</v>
      </c>
      <c r="U21" s="503">
        <f t="shared" si="2"/>
        <v>3.4</v>
      </c>
      <c r="V21" s="131">
        <f t="shared" si="2"/>
        <v>0</v>
      </c>
      <c r="W21" s="505">
        <f t="shared" si="2"/>
        <v>3.4</v>
      </c>
      <c r="X21" s="503">
        <f t="shared" si="2"/>
        <v>0</v>
      </c>
      <c r="Y21" s="131">
        <f t="shared" si="2"/>
        <v>0</v>
      </c>
      <c r="Z21" s="505">
        <f t="shared" si="2"/>
        <v>10.100000000000001</v>
      </c>
      <c r="AA21" s="503">
        <f t="shared" si="2"/>
        <v>10.100000000000001</v>
      </c>
      <c r="AB21" s="131">
        <f t="shared" si="2"/>
        <v>10</v>
      </c>
      <c r="AC21" s="505">
        <f t="shared" si="2"/>
        <v>0</v>
      </c>
      <c r="AD21" s="503">
        <f t="shared" si="2"/>
        <v>0</v>
      </c>
      <c r="AE21" s="131">
        <f t="shared" si="2"/>
        <v>0</v>
      </c>
      <c r="AF21" s="505">
        <f t="shared" si="2"/>
        <v>0</v>
      </c>
      <c r="AG21" s="503">
        <f t="shared" si="2"/>
        <v>1.2</v>
      </c>
      <c r="AH21" s="131">
        <f t="shared" si="2"/>
        <v>3.5999999999999996</v>
      </c>
      <c r="AI21" s="505">
        <f t="shared" si="2"/>
        <v>2.4</v>
      </c>
      <c r="AJ21" s="503">
        <f t="shared" si="2"/>
        <v>2.2999999999999998</v>
      </c>
      <c r="AK21" s="131">
        <f t="shared" si="2"/>
        <v>0</v>
      </c>
      <c r="AL21" s="505">
        <f t="shared" si="2"/>
        <v>0</v>
      </c>
      <c r="AM21" s="504">
        <f t="shared" si="0"/>
        <v>78.7</v>
      </c>
      <c r="AO21" s="853"/>
      <c r="AP21" s="853"/>
      <c r="AQ21" s="853">
        <f t="shared" si="1"/>
        <v>0</v>
      </c>
    </row>
    <row r="22" spans="2:43" ht="20.149999999999999" customHeight="1" thickBot="1" x14ac:dyDescent="0.25">
      <c r="B22" s="132" t="s">
        <v>135</v>
      </c>
      <c r="C22" s="133"/>
      <c r="D22" s="134">
        <f>SUM(C21:E21)</f>
        <v>0</v>
      </c>
      <c r="E22" s="134"/>
      <c r="F22" s="133"/>
      <c r="G22" s="134">
        <f>SUM(F21:H21)</f>
        <v>5.8</v>
      </c>
      <c r="H22" s="134"/>
      <c r="I22" s="133"/>
      <c r="J22" s="134">
        <f>SUM(I21:K21)</f>
        <v>3.8</v>
      </c>
      <c r="K22" s="134"/>
      <c r="L22" s="133"/>
      <c r="M22" s="134">
        <f>SUM(L21:N21)</f>
        <v>22.6</v>
      </c>
      <c r="N22" s="134"/>
      <c r="O22" s="133"/>
      <c r="P22" s="134">
        <f>SUM(O21:Q21)</f>
        <v>0</v>
      </c>
      <c r="Q22" s="134"/>
      <c r="R22" s="133"/>
      <c r="S22" s="134">
        <f>SUM(R21:T21)</f>
        <v>0</v>
      </c>
      <c r="T22" s="134"/>
      <c r="U22" s="133"/>
      <c r="V22" s="134">
        <f>SUM(U21:W21)</f>
        <v>6.8</v>
      </c>
      <c r="W22" s="134"/>
      <c r="X22" s="133"/>
      <c r="Y22" s="134">
        <f>SUM(X21:Z21)</f>
        <v>10.100000000000001</v>
      </c>
      <c r="Z22" s="134"/>
      <c r="AA22" s="133"/>
      <c r="AB22" s="134">
        <f>SUM(AA21:AC21)</f>
        <v>20.100000000000001</v>
      </c>
      <c r="AC22" s="134"/>
      <c r="AD22" s="133"/>
      <c r="AE22" s="134">
        <f>SUM(AD21:AF21)</f>
        <v>0</v>
      </c>
      <c r="AF22" s="134"/>
      <c r="AG22" s="133"/>
      <c r="AH22" s="134">
        <f>SUM(AG21:AI21)</f>
        <v>7.1999999999999993</v>
      </c>
      <c r="AI22" s="134"/>
      <c r="AJ22" s="133"/>
      <c r="AK22" s="134">
        <f>SUM(AJ21:AL21)</f>
        <v>2.2999999999999998</v>
      </c>
      <c r="AL22" s="134"/>
      <c r="AM22" s="135">
        <f>SUM(AM8:AM20)</f>
        <v>78.7</v>
      </c>
      <c r="AO22" s="853">
        <f>SUM(AO8:AO20)</f>
        <v>33.900000000000006</v>
      </c>
      <c r="AP22" s="853">
        <f>SUM(AP8:AP20)</f>
        <v>44.800000000000004</v>
      </c>
      <c r="AQ22" s="853">
        <f>SUM(AQ8:AQ21)</f>
        <v>78.7</v>
      </c>
    </row>
    <row r="23" spans="2:43" ht="19.5" customHeight="1" x14ac:dyDescent="0.2">
      <c r="AO23" s="514"/>
      <c r="AP23" s="514"/>
      <c r="AQ23" s="514"/>
    </row>
  </sheetData>
  <mergeCells count="17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Z6:AB6"/>
    <mergeCell ref="L2:M2"/>
    <mergeCell ref="AJ3:AL3"/>
    <mergeCell ref="AM3:AM4"/>
    <mergeCell ref="AD3:AF3"/>
    <mergeCell ref="AG3:AI3"/>
  </mergeCells>
  <phoneticPr fontId="4"/>
  <pageMargins left="0" right="0" top="0.78740157480314965" bottom="0" header="0.39370078740157483" footer="0.39370078740157483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23"/>
  <sheetViews>
    <sheetView zoomScale="75" zoomScaleNormal="75" workbookViewId="0"/>
  </sheetViews>
  <sheetFormatPr defaultColWidth="9" defaultRowHeight="13" x14ac:dyDescent="0.2"/>
  <cols>
    <col min="1" max="1" width="1.6328125" style="90" customWidth="1"/>
    <col min="2" max="2" width="22.6328125" style="90" customWidth="1"/>
    <col min="3" max="38" width="6.08984375" style="90" customWidth="1"/>
    <col min="39" max="39" width="7" style="90" customWidth="1"/>
    <col min="40" max="40" width="1.453125" style="90" customWidth="1"/>
    <col min="41" max="16384" width="9" style="90"/>
  </cols>
  <sheetData>
    <row r="1" spans="2:62" ht="10" customHeight="1" x14ac:dyDescent="0.2"/>
    <row r="2" spans="2:62" ht="25" customHeight="1" thickBot="1" x14ac:dyDescent="0.25">
      <c r="B2" s="13" t="s">
        <v>678</v>
      </c>
      <c r="C2" s="13"/>
      <c r="D2" s="13"/>
      <c r="E2" s="13"/>
      <c r="F2" s="13"/>
      <c r="G2" s="13"/>
      <c r="H2" s="13"/>
      <c r="I2" s="13"/>
      <c r="J2" s="13"/>
      <c r="K2" s="354" t="s">
        <v>271</v>
      </c>
      <c r="L2" s="1069" t="s">
        <v>433</v>
      </c>
      <c r="M2" s="1069"/>
      <c r="N2" s="354" t="s">
        <v>272</v>
      </c>
      <c r="O2" s="137" t="s">
        <v>274</v>
      </c>
      <c r="P2" s="13"/>
      <c r="Q2" s="13"/>
      <c r="R2" s="13"/>
      <c r="S2" s="13"/>
      <c r="T2" s="13"/>
      <c r="U2" s="13"/>
      <c r="V2" s="9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49999999999999" customHeight="1" x14ac:dyDescent="0.2">
      <c r="B3" s="1078" t="s">
        <v>132</v>
      </c>
      <c r="C3" s="1070">
        <v>1</v>
      </c>
      <c r="D3" s="1071"/>
      <c r="E3" s="1072"/>
      <c r="F3" s="1070">
        <v>2</v>
      </c>
      <c r="G3" s="1071"/>
      <c r="H3" s="1072"/>
      <c r="I3" s="1070">
        <v>3</v>
      </c>
      <c r="J3" s="1071"/>
      <c r="K3" s="1072"/>
      <c r="L3" s="1070">
        <v>4</v>
      </c>
      <c r="M3" s="1071"/>
      <c r="N3" s="1072"/>
      <c r="O3" s="1070">
        <v>5</v>
      </c>
      <c r="P3" s="1071"/>
      <c r="Q3" s="1072"/>
      <c r="R3" s="1070">
        <v>6</v>
      </c>
      <c r="S3" s="1071"/>
      <c r="T3" s="1072"/>
      <c r="U3" s="1070">
        <v>7</v>
      </c>
      <c r="V3" s="1071"/>
      <c r="W3" s="1072"/>
      <c r="X3" s="1070">
        <v>8</v>
      </c>
      <c r="Y3" s="1071"/>
      <c r="Z3" s="1072"/>
      <c r="AA3" s="1070">
        <v>9</v>
      </c>
      <c r="AB3" s="1071"/>
      <c r="AC3" s="1072"/>
      <c r="AD3" s="1070">
        <v>10</v>
      </c>
      <c r="AE3" s="1071"/>
      <c r="AF3" s="1072"/>
      <c r="AG3" s="1070">
        <v>11</v>
      </c>
      <c r="AH3" s="1071"/>
      <c r="AI3" s="1072"/>
      <c r="AJ3" s="1070">
        <v>12</v>
      </c>
      <c r="AK3" s="1071"/>
      <c r="AL3" s="1072"/>
      <c r="AM3" s="1073" t="s">
        <v>34</v>
      </c>
      <c r="AO3" s="851" t="s">
        <v>348</v>
      </c>
      <c r="AP3" s="851" t="s">
        <v>349</v>
      </c>
      <c r="AQ3" s="851" t="s">
        <v>25</v>
      </c>
    </row>
    <row r="4" spans="2:62" ht="20.149999999999999" customHeight="1" x14ac:dyDescent="0.2">
      <c r="B4" s="1077"/>
      <c r="C4" s="119" t="s">
        <v>35</v>
      </c>
      <c r="D4" s="120" t="s">
        <v>36</v>
      </c>
      <c r="E4" s="121" t="s">
        <v>37</v>
      </c>
      <c r="F4" s="119" t="s">
        <v>35</v>
      </c>
      <c r="G4" s="121" t="s">
        <v>36</v>
      </c>
      <c r="H4" s="121" t="s">
        <v>37</v>
      </c>
      <c r="I4" s="119" t="s">
        <v>35</v>
      </c>
      <c r="J4" s="121" t="s">
        <v>36</v>
      </c>
      <c r="K4" s="121" t="s">
        <v>37</v>
      </c>
      <c r="L4" s="119" t="s">
        <v>35</v>
      </c>
      <c r="M4" s="121" t="s">
        <v>36</v>
      </c>
      <c r="N4" s="121" t="s">
        <v>37</v>
      </c>
      <c r="O4" s="119" t="s">
        <v>35</v>
      </c>
      <c r="P4" s="121" t="s">
        <v>36</v>
      </c>
      <c r="Q4" s="121" t="s">
        <v>37</v>
      </c>
      <c r="R4" s="119" t="s">
        <v>35</v>
      </c>
      <c r="S4" s="122" t="s">
        <v>36</v>
      </c>
      <c r="T4" s="122" t="s">
        <v>37</v>
      </c>
      <c r="U4" s="119" t="s">
        <v>35</v>
      </c>
      <c r="V4" s="121" t="s">
        <v>36</v>
      </c>
      <c r="W4" s="121" t="s">
        <v>37</v>
      </c>
      <c r="X4" s="119" t="s">
        <v>35</v>
      </c>
      <c r="Y4" s="121" t="s">
        <v>36</v>
      </c>
      <c r="Z4" s="121" t="s">
        <v>37</v>
      </c>
      <c r="AA4" s="119" t="s">
        <v>35</v>
      </c>
      <c r="AB4" s="121" t="s">
        <v>36</v>
      </c>
      <c r="AC4" s="121" t="s">
        <v>37</v>
      </c>
      <c r="AD4" s="119" t="s">
        <v>35</v>
      </c>
      <c r="AE4" s="121" t="s">
        <v>36</v>
      </c>
      <c r="AF4" s="121" t="s">
        <v>37</v>
      </c>
      <c r="AG4" s="119" t="s">
        <v>35</v>
      </c>
      <c r="AH4" s="121" t="s">
        <v>36</v>
      </c>
      <c r="AI4" s="121" t="s">
        <v>37</v>
      </c>
      <c r="AJ4" s="119" t="s">
        <v>35</v>
      </c>
      <c r="AK4" s="121" t="s">
        <v>36</v>
      </c>
      <c r="AL4" s="121" t="s">
        <v>37</v>
      </c>
      <c r="AM4" s="1074"/>
      <c r="AO4" s="851"/>
      <c r="AP4" s="851"/>
      <c r="AQ4" s="851"/>
    </row>
    <row r="5" spans="2:62" ht="20.149999999999999" customHeight="1" x14ac:dyDescent="0.2">
      <c r="B5" s="1075" t="s">
        <v>133</v>
      </c>
      <c r="C5" s="123"/>
      <c r="D5" s="13"/>
      <c r="E5" s="13"/>
      <c r="F5" s="13"/>
      <c r="G5" s="13"/>
      <c r="H5" s="13"/>
      <c r="I5" s="13"/>
      <c r="J5" s="13"/>
      <c r="K5" s="13"/>
      <c r="L5" s="13"/>
      <c r="M5" s="13"/>
      <c r="N5" s="92"/>
      <c r="O5" s="9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4"/>
      <c r="AO5" s="851"/>
      <c r="AP5" s="851"/>
      <c r="AQ5" s="851"/>
    </row>
    <row r="6" spans="2:62" ht="20.149999999999999" customHeight="1" x14ac:dyDescent="0.2">
      <c r="B6" s="1076"/>
      <c r="C6" s="123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13"/>
      <c r="Q6" s="13"/>
      <c r="R6" s="13"/>
      <c r="S6" s="1082" t="s">
        <v>460</v>
      </c>
      <c r="T6" s="1083"/>
      <c r="U6" s="13"/>
      <c r="V6" s="13"/>
      <c r="W6" s="13"/>
      <c r="X6" s="13"/>
      <c r="Y6" s="13"/>
      <c r="Z6" s="13"/>
      <c r="AA6" s="13"/>
      <c r="AB6" s="2"/>
      <c r="AC6" s="13"/>
      <c r="AD6" s="13"/>
      <c r="AE6" s="1082" t="s">
        <v>461</v>
      </c>
      <c r="AF6" s="1083"/>
      <c r="AG6" s="13"/>
      <c r="AH6" s="13"/>
      <c r="AI6" s="13"/>
      <c r="AJ6" s="13"/>
      <c r="AK6" s="13"/>
      <c r="AL6" s="13"/>
      <c r="AM6" s="124"/>
      <c r="AO6" s="851"/>
      <c r="AP6" s="851"/>
      <c r="AQ6" s="851"/>
    </row>
    <row r="7" spans="2:62" ht="20.149999999999999" customHeight="1" x14ac:dyDescent="0.2">
      <c r="B7" s="1077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O7" s="851"/>
      <c r="AP7" s="851"/>
      <c r="AQ7" s="851"/>
    </row>
    <row r="8" spans="2:62" ht="20.149999999999999" customHeight="1" x14ac:dyDescent="0.2">
      <c r="B8" s="128" t="s">
        <v>322</v>
      </c>
      <c r="C8" s="503"/>
      <c r="D8" s="532"/>
      <c r="E8" s="532"/>
      <c r="F8" s="503"/>
      <c r="G8" s="532"/>
      <c r="H8" s="532"/>
      <c r="I8" s="503"/>
      <c r="J8" s="532"/>
      <c r="K8" s="532"/>
      <c r="L8" s="503"/>
      <c r="M8" s="532"/>
      <c r="N8" s="532"/>
      <c r="O8" s="503"/>
      <c r="P8" s="532"/>
      <c r="Q8" s="532">
        <v>3.2</v>
      </c>
      <c r="R8" s="503"/>
      <c r="S8" s="532"/>
      <c r="T8" s="532"/>
      <c r="U8" s="503"/>
      <c r="V8" s="532"/>
      <c r="W8" s="532"/>
      <c r="X8" s="503"/>
      <c r="Y8" s="532"/>
      <c r="Z8" s="532"/>
      <c r="AA8" s="503"/>
      <c r="AB8" s="532"/>
      <c r="AC8" s="532"/>
      <c r="AD8" s="503"/>
      <c r="AE8" s="532"/>
      <c r="AF8" s="532"/>
      <c r="AG8" s="503"/>
      <c r="AH8" s="532"/>
      <c r="AI8" s="532"/>
      <c r="AJ8" s="503"/>
      <c r="AK8" s="532"/>
      <c r="AL8" s="532"/>
      <c r="AM8" s="504">
        <f>SUM(C8:AL8)</f>
        <v>3.2</v>
      </c>
      <c r="AO8" s="852"/>
      <c r="AP8" s="852">
        <v>3.2</v>
      </c>
      <c r="AQ8" s="853">
        <v>3.2</v>
      </c>
    </row>
    <row r="9" spans="2:62" ht="20.149999999999999" customHeight="1" x14ac:dyDescent="0.2">
      <c r="B9" s="128" t="s">
        <v>323</v>
      </c>
      <c r="C9" s="503"/>
      <c r="D9" s="532"/>
      <c r="E9" s="532"/>
      <c r="F9" s="503"/>
      <c r="G9" s="532"/>
      <c r="H9" s="532"/>
      <c r="I9" s="503"/>
      <c r="J9" s="532"/>
      <c r="K9" s="532"/>
      <c r="L9" s="503"/>
      <c r="M9" s="532"/>
      <c r="N9" s="532"/>
      <c r="O9" s="503"/>
      <c r="P9" s="532"/>
      <c r="Q9" s="532">
        <v>1.2</v>
      </c>
      <c r="R9" s="503">
        <v>5.3</v>
      </c>
      <c r="S9" s="532">
        <v>5.3</v>
      </c>
      <c r="T9" s="532">
        <v>2.2000000000000002</v>
      </c>
      <c r="U9" s="503"/>
      <c r="V9" s="532"/>
      <c r="W9" s="532"/>
      <c r="X9" s="503"/>
      <c r="Y9" s="532"/>
      <c r="Z9" s="532"/>
      <c r="AA9" s="503"/>
      <c r="AB9" s="532"/>
      <c r="AC9" s="532"/>
      <c r="AD9" s="503"/>
      <c r="AE9" s="532"/>
      <c r="AF9" s="532"/>
      <c r="AG9" s="503"/>
      <c r="AH9" s="532"/>
      <c r="AI9" s="532"/>
      <c r="AJ9" s="503"/>
      <c r="AK9" s="532"/>
      <c r="AL9" s="532"/>
      <c r="AM9" s="504">
        <f t="shared" ref="AM9:AM21" si="0">SUM(C9:AL9)</f>
        <v>14</v>
      </c>
      <c r="AO9" s="852"/>
      <c r="AP9" s="852">
        <v>14</v>
      </c>
      <c r="AQ9" s="853">
        <v>14</v>
      </c>
    </row>
    <row r="10" spans="2:62" ht="20.149999999999999" customHeight="1" x14ac:dyDescent="0.2">
      <c r="B10" s="128" t="s">
        <v>324</v>
      </c>
      <c r="C10" s="503"/>
      <c r="D10" s="532"/>
      <c r="E10" s="532"/>
      <c r="F10" s="503"/>
      <c r="G10" s="532">
        <v>1.9</v>
      </c>
      <c r="H10" s="532">
        <v>1.9</v>
      </c>
      <c r="I10" s="503">
        <v>1.9</v>
      </c>
      <c r="J10" s="532">
        <v>1.9</v>
      </c>
      <c r="K10" s="532"/>
      <c r="L10" s="503"/>
      <c r="M10" s="532"/>
      <c r="N10" s="532"/>
      <c r="O10" s="503"/>
      <c r="P10" s="532"/>
      <c r="Q10" s="532"/>
      <c r="R10" s="503"/>
      <c r="S10" s="532"/>
      <c r="T10" s="532"/>
      <c r="U10" s="503"/>
      <c r="V10" s="532"/>
      <c r="W10" s="532"/>
      <c r="X10" s="503"/>
      <c r="Y10" s="532"/>
      <c r="Z10" s="532"/>
      <c r="AA10" s="503"/>
      <c r="AB10" s="532"/>
      <c r="AC10" s="532"/>
      <c r="AD10" s="503"/>
      <c r="AE10" s="532"/>
      <c r="AF10" s="532"/>
      <c r="AG10" s="503"/>
      <c r="AH10" s="532">
        <v>2.4</v>
      </c>
      <c r="AI10" s="532">
        <v>2.4</v>
      </c>
      <c r="AJ10" s="503">
        <v>2.2999999999999998</v>
      </c>
      <c r="AK10" s="532"/>
      <c r="AL10" s="532"/>
      <c r="AM10" s="504">
        <f t="shared" si="0"/>
        <v>14.7</v>
      </c>
      <c r="AO10" s="852">
        <v>14.7</v>
      </c>
      <c r="AP10" s="852"/>
      <c r="AQ10" s="853">
        <v>14.7</v>
      </c>
    </row>
    <row r="11" spans="2:62" ht="20.149999999999999" customHeight="1" x14ac:dyDescent="0.2">
      <c r="B11" s="128" t="s">
        <v>307</v>
      </c>
      <c r="C11" s="503"/>
      <c r="D11" s="532"/>
      <c r="E11" s="532"/>
      <c r="F11" s="503"/>
      <c r="G11" s="532"/>
      <c r="H11" s="532"/>
      <c r="I11" s="503"/>
      <c r="J11" s="532"/>
      <c r="K11" s="532"/>
      <c r="L11" s="503"/>
      <c r="M11" s="532"/>
      <c r="N11" s="532"/>
      <c r="O11" s="503"/>
      <c r="P11" s="532"/>
      <c r="Q11" s="532">
        <v>2.5</v>
      </c>
      <c r="R11" s="503">
        <v>2.5</v>
      </c>
      <c r="S11" s="532"/>
      <c r="T11" s="532"/>
      <c r="U11" s="503"/>
      <c r="V11" s="532"/>
      <c r="W11" s="532"/>
      <c r="X11" s="503"/>
      <c r="Y11" s="532"/>
      <c r="Z11" s="532"/>
      <c r="AA11" s="503"/>
      <c r="AB11" s="532"/>
      <c r="AC11" s="532"/>
      <c r="AD11" s="503"/>
      <c r="AE11" s="532"/>
      <c r="AF11" s="532"/>
      <c r="AG11" s="503"/>
      <c r="AH11" s="532"/>
      <c r="AI11" s="532"/>
      <c r="AJ11" s="503"/>
      <c r="AK11" s="532"/>
      <c r="AL11" s="532"/>
      <c r="AM11" s="504">
        <f t="shared" si="0"/>
        <v>5</v>
      </c>
      <c r="AO11" s="852">
        <v>5</v>
      </c>
      <c r="AP11" s="852"/>
      <c r="AQ11" s="853">
        <v>5</v>
      </c>
    </row>
    <row r="12" spans="2:62" ht="20.149999999999999" customHeight="1" x14ac:dyDescent="0.2">
      <c r="B12" s="128" t="s">
        <v>325</v>
      </c>
      <c r="C12" s="503"/>
      <c r="D12" s="532"/>
      <c r="E12" s="532"/>
      <c r="F12" s="503"/>
      <c r="G12" s="532"/>
      <c r="H12" s="532"/>
      <c r="I12" s="503"/>
      <c r="J12" s="532"/>
      <c r="K12" s="532"/>
      <c r="L12" s="503"/>
      <c r="M12" s="532"/>
      <c r="N12" s="532"/>
      <c r="O12" s="503"/>
      <c r="P12" s="532"/>
      <c r="Q12" s="532"/>
      <c r="R12" s="503"/>
      <c r="S12" s="532">
        <v>8.8000000000000007</v>
      </c>
      <c r="T12" s="532">
        <v>8.8000000000000007</v>
      </c>
      <c r="U12" s="503"/>
      <c r="V12" s="532"/>
      <c r="W12" s="532"/>
      <c r="X12" s="503"/>
      <c r="Y12" s="532"/>
      <c r="Z12" s="532"/>
      <c r="AA12" s="503"/>
      <c r="AB12" s="532"/>
      <c r="AC12" s="532"/>
      <c r="AD12" s="503"/>
      <c r="AE12" s="532"/>
      <c r="AF12" s="532"/>
      <c r="AG12" s="503"/>
      <c r="AH12" s="532"/>
      <c r="AI12" s="532"/>
      <c r="AJ12" s="503"/>
      <c r="AK12" s="532"/>
      <c r="AL12" s="532"/>
      <c r="AM12" s="504">
        <f t="shared" si="0"/>
        <v>17.600000000000001</v>
      </c>
      <c r="AO12" s="852">
        <v>4.4000000000000004</v>
      </c>
      <c r="AP12" s="852">
        <v>13.200000000000001</v>
      </c>
      <c r="AQ12" s="853">
        <v>17.600000000000001</v>
      </c>
    </row>
    <row r="13" spans="2:62" ht="20.149999999999999" customHeight="1" x14ac:dyDescent="0.2">
      <c r="B13" s="128" t="s">
        <v>326</v>
      </c>
      <c r="C13" s="503"/>
      <c r="D13" s="532"/>
      <c r="E13" s="532"/>
      <c r="F13" s="503"/>
      <c r="G13" s="532"/>
      <c r="H13" s="532"/>
      <c r="I13" s="503"/>
      <c r="J13" s="532"/>
      <c r="K13" s="532"/>
      <c r="L13" s="503"/>
      <c r="M13" s="532"/>
      <c r="N13" s="532"/>
      <c r="O13" s="503"/>
      <c r="P13" s="532"/>
      <c r="Q13" s="532"/>
      <c r="R13" s="503"/>
      <c r="S13" s="532"/>
      <c r="T13" s="532"/>
      <c r="U13" s="503"/>
      <c r="V13" s="532"/>
      <c r="W13" s="532"/>
      <c r="X13" s="503"/>
      <c r="Y13" s="532"/>
      <c r="Z13" s="532"/>
      <c r="AA13" s="503"/>
      <c r="AB13" s="532"/>
      <c r="AC13" s="532"/>
      <c r="AD13" s="503"/>
      <c r="AE13" s="532"/>
      <c r="AF13" s="532"/>
      <c r="AG13" s="503"/>
      <c r="AH13" s="532"/>
      <c r="AI13" s="532"/>
      <c r="AJ13" s="503"/>
      <c r="AK13" s="532"/>
      <c r="AL13" s="532"/>
      <c r="AM13" s="504">
        <f t="shared" si="0"/>
        <v>0</v>
      </c>
      <c r="AO13" s="852"/>
      <c r="AP13" s="852"/>
      <c r="AQ13" s="853">
        <v>0</v>
      </c>
    </row>
    <row r="14" spans="2:62" ht="20.149999999999999" customHeight="1" x14ac:dyDescent="0.2">
      <c r="B14" s="128" t="s">
        <v>327</v>
      </c>
      <c r="C14" s="503"/>
      <c r="D14" s="532"/>
      <c r="E14" s="532"/>
      <c r="F14" s="503"/>
      <c r="G14" s="532"/>
      <c r="H14" s="532"/>
      <c r="I14" s="503"/>
      <c r="J14" s="532"/>
      <c r="K14" s="532"/>
      <c r="L14" s="503"/>
      <c r="M14" s="532"/>
      <c r="N14" s="532"/>
      <c r="O14" s="503"/>
      <c r="P14" s="532"/>
      <c r="Q14" s="532"/>
      <c r="R14" s="503"/>
      <c r="S14" s="532"/>
      <c r="T14" s="532"/>
      <c r="U14" s="503"/>
      <c r="V14" s="532"/>
      <c r="W14" s="532"/>
      <c r="X14" s="503"/>
      <c r="Y14" s="532"/>
      <c r="Z14" s="532"/>
      <c r="AA14" s="503"/>
      <c r="AB14" s="532"/>
      <c r="AC14" s="532"/>
      <c r="AD14" s="503"/>
      <c r="AE14" s="532"/>
      <c r="AF14" s="532"/>
      <c r="AG14" s="503"/>
      <c r="AH14" s="532"/>
      <c r="AI14" s="532"/>
      <c r="AJ14" s="503"/>
      <c r="AK14" s="532"/>
      <c r="AL14" s="532"/>
      <c r="AM14" s="504">
        <f t="shared" si="0"/>
        <v>0</v>
      </c>
      <c r="AO14" s="852"/>
      <c r="AP14" s="852"/>
      <c r="AQ14" s="853">
        <v>0</v>
      </c>
    </row>
    <row r="15" spans="2:62" ht="20.149999999999999" customHeight="1" x14ac:dyDescent="0.2">
      <c r="B15" s="128" t="s">
        <v>328</v>
      </c>
      <c r="C15" s="503"/>
      <c r="D15" s="532"/>
      <c r="E15" s="532"/>
      <c r="F15" s="503"/>
      <c r="G15" s="532"/>
      <c r="H15" s="532"/>
      <c r="I15" s="503"/>
      <c r="J15" s="532"/>
      <c r="K15" s="532"/>
      <c r="L15" s="503"/>
      <c r="M15" s="532"/>
      <c r="N15" s="532"/>
      <c r="O15" s="503"/>
      <c r="P15" s="532"/>
      <c r="Q15" s="532"/>
      <c r="R15" s="503"/>
      <c r="S15" s="532"/>
      <c r="T15" s="532"/>
      <c r="U15" s="503"/>
      <c r="V15" s="532"/>
      <c r="W15" s="532"/>
      <c r="X15" s="503"/>
      <c r="Y15" s="532">
        <v>3.4</v>
      </c>
      <c r="Z15" s="532"/>
      <c r="AA15" s="503">
        <v>3.4</v>
      </c>
      <c r="AB15" s="532"/>
      <c r="AC15" s="532"/>
      <c r="AD15" s="503"/>
      <c r="AE15" s="532"/>
      <c r="AF15" s="532"/>
      <c r="AG15" s="503"/>
      <c r="AH15" s="532"/>
      <c r="AI15" s="532"/>
      <c r="AJ15" s="503"/>
      <c r="AK15" s="532"/>
      <c r="AL15" s="532"/>
      <c r="AM15" s="504">
        <f t="shared" si="0"/>
        <v>6.8</v>
      </c>
      <c r="AO15" s="852">
        <v>1.7</v>
      </c>
      <c r="AP15" s="852">
        <v>5.0999999999999996</v>
      </c>
      <c r="AQ15" s="853">
        <v>6.8</v>
      </c>
    </row>
    <row r="16" spans="2:62" ht="20.149999999999999" customHeight="1" x14ac:dyDescent="0.2">
      <c r="B16" s="128" t="s">
        <v>329</v>
      </c>
      <c r="C16" s="503"/>
      <c r="D16" s="532"/>
      <c r="E16" s="532"/>
      <c r="F16" s="503"/>
      <c r="G16" s="532"/>
      <c r="H16" s="532"/>
      <c r="I16" s="503"/>
      <c r="J16" s="532"/>
      <c r="K16" s="532"/>
      <c r="L16" s="503"/>
      <c r="M16" s="532"/>
      <c r="N16" s="532"/>
      <c r="O16" s="503"/>
      <c r="P16" s="532"/>
      <c r="Q16" s="532"/>
      <c r="R16" s="503"/>
      <c r="S16" s="532"/>
      <c r="T16" s="532"/>
      <c r="U16" s="503"/>
      <c r="V16" s="532"/>
      <c r="W16" s="532"/>
      <c r="X16" s="503"/>
      <c r="Y16" s="532"/>
      <c r="Z16" s="532"/>
      <c r="AA16" s="503"/>
      <c r="AB16" s="532"/>
      <c r="AC16" s="532"/>
      <c r="AD16" s="503"/>
      <c r="AE16" s="532">
        <v>10.3</v>
      </c>
      <c r="AF16" s="532">
        <v>10.4</v>
      </c>
      <c r="AG16" s="503"/>
      <c r="AH16" s="532"/>
      <c r="AI16" s="532"/>
      <c r="AJ16" s="503"/>
      <c r="AK16" s="532"/>
      <c r="AL16" s="532"/>
      <c r="AM16" s="504">
        <f t="shared" si="0"/>
        <v>20.700000000000003</v>
      </c>
      <c r="AO16" s="852">
        <v>6.9</v>
      </c>
      <c r="AP16" s="852">
        <v>13.8</v>
      </c>
      <c r="AQ16" s="853">
        <v>20.700000000000003</v>
      </c>
    </row>
    <row r="17" spans="2:43" ht="20.149999999999999" customHeight="1" x14ac:dyDescent="0.2">
      <c r="B17" s="128" t="s">
        <v>330</v>
      </c>
      <c r="C17" s="503"/>
      <c r="D17" s="532"/>
      <c r="E17" s="532"/>
      <c r="F17" s="503"/>
      <c r="G17" s="532"/>
      <c r="H17" s="532"/>
      <c r="I17" s="503"/>
      <c r="J17" s="532"/>
      <c r="K17" s="532"/>
      <c r="L17" s="503"/>
      <c r="M17" s="532"/>
      <c r="N17" s="532"/>
      <c r="O17" s="503"/>
      <c r="P17" s="532"/>
      <c r="Q17" s="532"/>
      <c r="R17" s="503"/>
      <c r="S17" s="532"/>
      <c r="T17" s="532"/>
      <c r="U17" s="503"/>
      <c r="V17" s="532"/>
      <c r="W17" s="532"/>
      <c r="X17" s="503"/>
      <c r="Y17" s="532"/>
      <c r="Z17" s="532"/>
      <c r="AA17" s="503"/>
      <c r="AB17" s="532"/>
      <c r="AC17" s="532"/>
      <c r="AD17" s="503"/>
      <c r="AE17" s="532">
        <v>4.7</v>
      </c>
      <c r="AF17" s="532">
        <v>4.8</v>
      </c>
      <c r="AG17" s="503"/>
      <c r="AH17" s="532"/>
      <c r="AI17" s="532"/>
      <c r="AJ17" s="503"/>
      <c r="AK17" s="532"/>
      <c r="AL17" s="532"/>
      <c r="AM17" s="504">
        <f t="shared" si="0"/>
        <v>9.5</v>
      </c>
      <c r="AO17" s="852"/>
      <c r="AP17" s="852">
        <v>9.5</v>
      </c>
      <c r="AQ17" s="853">
        <v>9.5</v>
      </c>
    </row>
    <row r="18" spans="2:43" ht="20.149999999999999" customHeight="1" x14ac:dyDescent="0.2">
      <c r="B18" s="128" t="s">
        <v>331</v>
      </c>
      <c r="C18" s="503"/>
      <c r="D18" s="532"/>
      <c r="E18" s="532"/>
      <c r="F18" s="503"/>
      <c r="G18" s="532"/>
      <c r="H18" s="532"/>
      <c r="I18" s="503"/>
      <c r="J18" s="532"/>
      <c r="K18" s="532"/>
      <c r="L18" s="503"/>
      <c r="M18" s="532"/>
      <c r="N18" s="532"/>
      <c r="O18" s="503"/>
      <c r="P18" s="532"/>
      <c r="Q18" s="532"/>
      <c r="R18" s="503"/>
      <c r="S18" s="532"/>
      <c r="T18" s="532"/>
      <c r="U18" s="503"/>
      <c r="V18" s="532"/>
      <c r="W18" s="532"/>
      <c r="X18" s="503"/>
      <c r="Y18" s="532"/>
      <c r="Z18" s="532"/>
      <c r="AA18" s="503"/>
      <c r="AB18" s="532"/>
      <c r="AC18" s="532"/>
      <c r="AD18" s="503"/>
      <c r="AE18" s="532"/>
      <c r="AF18" s="532"/>
      <c r="AG18" s="503">
        <v>1.2</v>
      </c>
      <c r="AH18" s="532">
        <v>1.2</v>
      </c>
      <c r="AI18" s="532"/>
      <c r="AJ18" s="503"/>
      <c r="AK18" s="532"/>
      <c r="AL18" s="532"/>
      <c r="AM18" s="504">
        <v>2.4</v>
      </c>
      <c r="AO18" s="852">
        <v>1.2</v>
      </c>
      <c r="AP18" s="852">
        <v>1.2</v>
      </c>
      <c r="AQ18" s="853">
        <v>2.4</v>
      </c>
    </row>
    <row r="19" spans="2:43" ht="20.149999999999999" customHeight="1" x14ac:dyDescent="0.2">
      <c r="B19" s="128" t="s">
        <v>191</v>
      </c>
      <c r="C19" s="503"/>
      <c r="D19" s="532"/>
      <c r="E19" s="532"/>
      <c r="F19" s="503">
        <v>2</v>
      </c>
      <c r="G19" s="532"/>
      <c r="H19" s="532"/>
      <c r="I19" s="503"/>
      <c r="J19" s="532"/>
      <c r="K19" s="532"/>
      <c r="L19" s="503"/>
      <c r="M19" s="532"/>
      <c r="N19" s="532"/>
      <c r="O19" s="503"/>
      <c r="P19" s="532"/>
      <c r="Q19" s="532"/>
      <c r="R19" s="503"/>
      <c r="S19" s="532"/>
      <c r="T19" s="532"/>
      <c r="U19" s="503"/>
      <c r="V19" s="532"/>
      <c r="W19" s="532"/>
      <c r="X19" s="503"/>
      <c r="Y19" s="532"/>
      <c r="Z19" s="532"/>
      <c r="AA19" s="503"/>
      <c r="AB19" s="532"/>
      <c r="AC19" s="532"/>
      <c r="AD19" s="503"/>
      <c r="AE19" s="532"/>
      <c r="AF19" s="532"/>
      <c r="AG19" s="503"/>
      <c r="AH19" s="532"/>
      <c r="AI19" s="532"/>
      <c r="AJ19" s="503"/>
      <c r="AK19" s="532"/>
      <c r="AL19" s="532"/>
      <c r="AM19" s="504">
        <f t="shared" si="0"/>
        <v>2</v>
      </c>
      <c r="AO19" s="852"/>
      <c r="AP19" s="852">
        <v>2</v>
      </c>
      <c r="AQ19" s="853">
        <v>2</v>
      </c>
    </row>
    <row r="20" spans="2:43" ht="20.149999999999999" customHeight="1" x14ac:dyDescent="0.2">
      <c r="B20" s="128"/>
      <c r="C20" s="503"/>
      <c r="D20" s="129"/>
      <c r="E20" s="129"/>
      <c r="F20" s="503"/>
      <c r="G20" s="129"/>
      <c r="H20" s="129"/>
      <c r="I20" s="503"/>
      <c r="J20" s="129"/>
      <c r="K20" s="129"/>
      <c r="L20" s="503"/>
      <c r="M20" s="129"/>
      <c r="N20" s="129"/>
      <c r="O20" s="503"/>
      <c r="P20" s="129"/>
      <c r="Q20" s="129"/>
      <c r="R20" s="503"/>
      <c r="S20" s="129"/>
      <c r="T20" s="129"/>
      <c r="U20" s="503"/>
      <c r="V20" s="129"/>
      <c r="W20" s="129"/>
      <c r="X20" s="503"/>
      <c r="Y20" s="129"/>
      <c r="Z20" s="129"/>
      <c r="AA20" s="503"/>
      <c r="AB20" s="129"/>
      <c r="AC20" s="129"/>
      <c r="AD20" s="503"/>
      <c r="AE20" s="129"/>
      <c r="AF20" s="129"/>
      <c r="AG20" s="503"/>
      <c r="AH20" s="129"/>
      <c r="AI20" s="129"/>
      <c r="AJ20" s="503"/>
      <c r="AK20" s="129"/>
      <c r="AL20" s="129"/>
      <c r="AM20" s="504">
        <f t="shared" si="0"/>
        <v>0</v>
      </c>
      <c r="AO20" s="853"/>
      <c r="AP20" s="853"/>
      <c r="AQ20" s="853">
        <f t="shared" ref="AQ20:AQ21" si="1">SUM(AO20:AP20)</f>
        <v>0</v>
      </c>
    </row>
    <row r="21" spans="2:43" ht="20.149999999999999" customHeight="1" x14ac:dyDescent="0.2">
      <c r="B21" s="130" t="s">
        <v>134</v>
      </c>
      <c r="C21" s="503">
        <f t="shared" ref="C21:AL21" si="2">SUM(C8:C20)</f>
        <v>0</v>
      </c>
      <c r="D21" s="131">
        <f t="shared" si="2"/>
        <v>0</v>
      </c>
      <c r="E21" s="505">
        <f t="shared" si="2"/>
        <v>0</v>
      </c>
      <c r="F21" s="503">
        <f t="shared" si="2"/>
        <v>2</v>
      </c>
      <c r="G21" s="131">
        <f t="shared" si="2"/>
        <v>1.9</v>
      </c>
      <c r="H21" s="505">
        <f t="shared" si="2"/>
        <v>1.9</v>
      </c>
      <c r="I21" s="503">
        <f t="shared" si="2"/>
        <v>1.9</v>
      </c>
      <c r="J21" s="131">
        <f t="shared" si="2"/>
        <v>1.9</v>
      </c>
      <c r="K21" s="505">
        <f t="shared" si="2"/>
        <v>0</v>
      </c>
      <c r="L21" s="503">
        <f t="shared" si="2"/>
        <v>0</v>
      </c>
      <c r="M21" s="131">
        <f t="shared" si="2"/>
        <v>0</v>
      </c>
      <c r="N21" s="505">
        <f t="shared" si="2"/>
        <v>0</v>
      </c>
      <c r="O21" s="503">
        <f t="shared" si="2"/>
        <v>0</v>
      </c>
      <c r="P21" s="131">
        <f t="shared" si="2"/>
        <v>0</v>
      </c>
      <c r="Q21" s="505">
        <f t="shared" si="2"/>
        <v>6.9</v>
      </c>
      <c r="R21" s="503">
        <f t="shared" si="2"/>
        <v>7.8</v>
      </c>
      <c r="S21" s="131">
        <f t="shared" si="2"/>
        <v>14.100000000000001</v>
      </c>
      <c r="T21" s="505">
        <f t="shared" si="2"/>
        <v>11</v>
      </c>
      <c r="U21" s="503">
        <f t="shared" si="2"/>
        <v>0</v>
      </c>
      <c r="V21" s="131">
        <f t="shared" si="2"/>
        <v>0</v>
      </c>
      <c r="W21" s="505">
        <f t="shared" si="2"/>
        <v>0</v>
      </c>
      <c r="X21" s="503">
        <f t="shared" si="2"/>
        <v>0</v>
      </c>
      <c r="Y21" s="131">
        <f t="shared" si="2"/>
        <v>3.4</v>
      </c>
      <c r="Z21" s="505">
        <f t="shared" si="2"/>
        <v>0</v>
      </c>
      <c r="AA21" s="503">
        <f t="shared" si="2"/>
        <v>3.4</v>
      </c>
      <c r="AB21" s="131">
        <f t="shared" si="2"/>
        <v>0</v>
      </c>
      <c r="AC21" s="505">
        <f t="shared" si="2"/>
        <v>0</v>
      </c>
      <c r="AD21" s="503">
        <f t="shared" si="2"/>
        <v>0</v>
      </c>
      <c r="AE21" s="131">
        <f t="shared" si="2"/>
        <v>15</v>
      </c>
      <c r="AF21" s="505">
        <f t="shared" si="2"/>
        <v>15.2</v>
      </c>
      <c r="AG21" s="503">
        <f t="shared" si="2"/>
        <v>1.2</v>
      </c>
      <c r="AH21" s="131">
        <f t="shared" si="2"/>
        <v>3.5999999999999996</v>
      </c>
      <c r="AI21" s="505">
        <f t="shared" si="2"/>
        <v>2.4</v>
      </c>
      <c r="AJ21" s="503">
        <f t="shared" si="2"/>
        <v>2.2999999999999998</v>
      </c>
      <c r="AK21" s="131">
        <f t="shared" si="2"/>
        <v>0</v>
      </c>
      <c r="AL21" s="505">
        <f t="shared" si="2"/>
        <v>0</v>
      </c>
      <c r="AM21" s="504">
        <f t="shared" si="0"/>
        <v>95.9</v>
      </c>
      <c r="AO21" s="853"/>
      <c r="AP21" s="853"/>
      <c r="AQ21" s="853">
        <f t="shared" si="1"/>
        <v>0</v>
      </c>
    </row>
    <row r="22" spans="2:43" ht="20.149999999999999" customHeight="1" thickBot="1" x14ac:dyDescent="0.25">
      <c r="B22" s="132" t="s">
        <v>135</v>
      </c>
      <c r="C22" s="133"/>
      <c r="D22" s="134">
        <f>SUM(C21:E21)</f>
        <v>0</v>
      </c>
      <c r="E22" s="134"/>
      <c r="F22" s="133"/>
      <c r="G22" s="134">
        <f>SUM(F21:H21)</f>
        <v>5.8</v>
      </c>
      <c r="H22" s="134"/>
      <c r="I22" s="133"/>
      <c r="J22" s="134">
        <f>SUM(I21:K21)</f>
        <v>3.8</v>
      </c>
      <c r="K22" s="134"/>
      <c r="L22" s="133"/>
      <c r="M22" s="134">
        <f>SUM(L21:N21)</f>
        <v>0</v>
      </c>
      <c r="N22" s="134"/>
      <c r="O22" s="133"/>
      <c r="P22" s="134">
        <f>SUM(O21:Q21)</f>
        <v>6.9</v>
      </c>
      <c r="Q22" s="134"/>
      <c r="R22" s="133"/>
      <c r="S22" s="134">
        <f>SUM(R21:T21)</f>
        <v>32.900000000000006</v>
      </c>
      <c r="T22" s="134"/>
      <c r="U22" s="133"/>
      <c r="V22" s="134">
        <f>SUM(U21:W21)</f>
        <v>0</v>
      </c>
      <c r="W22" s="134"/>
      <c r="X22" s="133"/>
      <c r="Y22" s="134">
        <f>SUM(X21:Z21)</f>
        <v>3.4</v>
      </c>
      <c r="Z22" s="134"/>
      <c r="AA22" s="133"/>
      <c r="AB22" s="134">
        <f>SUM(AA21:AC21)</f>
        <v>3.4</v>
      </c>
      <c r="AC22" s="134"/>
      <c r="AD22" s="133"/>
      <c r="AE22" s="134">
        <f>SUM(AD21:AF21)</f>
        <v>30.2</v>
      </c>
      <c r="AF22" s="134"/>
      <c r="AG22" s="133"/>
      <c r="AH22" s="134">
        <f>SUM(AG21:AI21)</f>
        <v>7.1999999999999993</v>
      </c>
      <c r="AI22" s="134"/>
      <c r="AJ22" s="133"/>
      <c r="AK22" s="134">
        <f>SUM(AJ21:AL21)</f>
        <v>2.2999999999999998</v>
      </c>
      <c r="AL22" s="134"/>
      <c r="AM22" s="135">
        <f>SUM(AM8:AM20)</f>
        <v>95.9</v>
      </c>
      <c r="AO22" s="853">
        <f>SUM(AO8:AO20)</f>
        <v>33.900000000000006</v>
      </c>
      <c r="AP22" s="853">
        <f>SUM(AP8:AP20)</f>
        <v>62</v>
      </c>
      <c r="AQ22" s="853">
        <f>SUM(AQ8:AQ21)</f>
        <v>95.9</v>
      </c>
    </row>
    <row r="23" spans="2:43" x14ac:dyDescent="0.2">
      <c r="AO23" s="514"/>
      <c r="AP23" s="514"/>
      <c r="AQ23" s="514"/>
    </row>
  </sheetData>
  <mergeCells count="18">
    <mergeCell ref="AE6:AF6"/>
    <mergeCell ref="L2:M2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S6:T6"/>
  </mergeCells>
  <phoneticPr fontId="4"/>
  <pageMargins left="0" right="0" top="0.78740157480314965" bottom="0" header="0.39370078740157483" footer="0.39370078740157483"/>
  <pageSetup paperSize="9" scale="5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23"/>
  <sheetViews>
    <sheetView zoomScale="75" zoomScaleNormal="75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.6328125" style="90" customWidth="1"/>
    <col min="2" max="2" width="22.6328125" style="90" customWidth="1"/>
    <col min="3" max="38" width="6.08984375" style="90" customWidth="1"/>
    <col min="39" max="39" width="7" style="90" customWidth="1"/>
    <col min="40" max="40" width="1.453125" style="90" customWidth="1"/>
    <col min="41" max="16384" width="9" style="90"/>
  </cols>
  <sheetData>
    <row r="1" spans="2:62" ht="10" customHeight="1" x14ac:dyDescent="0.2"/>
    <row r="2" spans="2:62" ht="25" customHeight="1" thickBot="1" x14ac:dyDescent="0.25">
      <c r="B2" s="13" t="s">
        <v>677</v>
      </c>
      <c r="C2" s="13"/>
      <c r="D2" s="13"/>
      <c r="E2" s="13"/>
      <c r="F2" s="13"/>
      <c r="G2" s="13"/>
      <c r="H2" s="13"/>
      <c r="I2" s="13"/>
      <c r="J2" s="13"/>
      <c r="K2" s="354" t="s">
        <v>271</v>
      </c>
      <c r="L2" s="1069" t="s">
        <v>474</v>
      </c>
      <c r="M2" s="1069"/>
      <c r="N2" s="354" t="s">
        <v>272</v>
      </c>
      <c r="O2" s="137" t="s">
        <v>274</v>
      </c>
      <c r="P2" s="13"/>
      <c r="Q2" s="13"/>
      <c r="R2" s="13"/>
      <c r="S2" s="13"/>
      <c r="T2" s="13"/>
      <c r="U2" s="13"/>
      <c r="V2" s="9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49999999999999" customHeight="1" x14ac:dyDescent="0.2">
      <c r="B3" s="1078" t="s">
        <v>132</v>
      </c>
      <c r="C3" s="1070">
        <v>1</v>
      </c>
      <c r="D3" s="1071"/>
      <c r="E3" s="1072"/>
      <c r="F3" s="1070">
        <v>2</v>
      </c>
      <c r="G3" s="1071"/>
      <c r="H3" s="1072"/>
      <c r="I3" s="1070">
        <v>3</v>
      </c>
      <c r="J3" s="1071"/>
      <c r="K3" s="1072"/>
      <c r="L3" s="1070">
        <v>4</v>
      </c>
      <c r="M3" s="1071"/>
      <c r="N3" s="1072"/>
      <c r="O3" s="1070">
        <v>5</v>
      </c>
      <c r="P3" s="1071"/>
      <c r="Q3" s="1072"/>
      <c r="R3" s="1070">
        <v>6</v>
      </c>
      <c r="S3" s="1071"/>
      <c r="T3" s="1072"/>
      <c r="U3" s="1070">
        <v>7</v>
      </c>
      <c r="V3" s="1071"/>
      <c r="W3" s="1072"/>
      <c r="X3" s="1070">
        <v>8</v>
      </c>
      <c r="Y3" s="1071"/>
      <c r="Z3" s="1072"/>
      <c r="AA3" s="1070">
        <v>9</v>
      </c>
      <c r="AB3" s="1071"/>
      <c r="AC3" s="1072"/>
      <c r="AD3" s="1070">
        <v>10</v>
      </c>
      <c r="AE3" s="1071"/>
      <c r="AF3" s="1072"/>
      <c r="AG3" s="1070">
        <v>11</v>
      </c>
      <c r="AH3" s="1071"/>
      <c r="AI3" s="1072"/>
      <c r="AJ3" s="1070">
        <v>12</v>
      </c>
      <c r="AK3" s="1071"/>
      <c r="AL3" s="1072"/>
      <c r="AM3" s="1073" t="s">
        <v>34</v>
      </c>
      <c r="AO3" s="851" t="s">
        <v>348</v>
      </c>
      <c r="AP3" s="851" t="s">
        <v>349</v>
      </c>
      <c r="AQ3" s="851" t="s">
        <v>25</v>
      </c>
    </row>
    <row r="4" spans="2:62" ht="20.149999999999999" customHeight="1" x14ac:dyDescent="0.2">
      <c r="B4" s="1077"/>
      <c r="C4" s="119" t="s">
        <v>35</v>
      </c>
      <c r="D4" s="120" t="s">
        <v>36</v>
      </c>
      <c r="E4" s="121" t="s">
        <v>37</v>
      </c>
      <c r="F4" s="119" t="s">
        <v>35</v>
      </c>
      <c r="G4" s="121" t="s">
        <v>36</v>
      </c>
      <c r="H4" s="121" t="s">
        <v>37</v>
      </c>
      <c r="I4" s="119" t="s">
        <v>35</v>
      </c>
      <c r="J4" s="121" t="s">
        <v>36</v>
      </c>
      <c r="K4" s="121" t="s">
        <v>37</v>
      </c>
      <c r="L4" s="119" t="s">
        <v>35</v>
      </c>
      <c r="M4" s="121" t="s">
        <v>36</v>
      </c>
      <c r="N4" s="121" t="s">
        <v>37</v>
      </c>
      <c r="O4" s="119" t="s">
        <v>35</v>
      </c>
      <c r="P4" s="121" t="s">
        <v>36</v>
      </c>
      <c r="Q4" s="121" t="s">
        <v>37</v>
      </c>
      <c r="R4" s="119" t="s">
        <v>35</v>
      </c>
      <c r="S4" s="122" t="s">
        <v>36</v>
      </c>
      <c r="T4" s="122" t="s">
        <v>37</v>
      </c>
      <c r="U4" s="119" t="s">
        <v>35</v>
      </c>
      <c r="V4" s="121" t="s">
        <v>36</v>
      </c>
      <c r="W4" s="121" t="s">
        <v>37</v>
      </c>
      <c r="X4" s="119" t="s">
        <v>35</v>
      </c>
      <c r="Y4" s="121" t="s">
        <v>36</v>
      </c>
      <c r="Z4" s="121" t="s">
        <v>37</v>
      </c>
      <c r="AA4" s="119" t="s">
        <v>35</v>
      </c>
      <c r="AB4" s="121" t="s">
        <v>36</v>
      </c>
      <c r="AC4" s="121" t="s">
        <v>37</v>
      </c>
      <c r="AD4" s="119" t="s">
        <v>35</v>
      </c>
      <c r="AE4" s="121" t="s">
        <v>36</v>
      </c>
      <c r="AF4" s="121" t="s">
        <v>37</v>
      </c>
      <c r="AG4" s="119" t="s">
        <v>35</v>
      </c>
      <c r="AH4" s="121" t="s">
        <v>36</v>
      </c>
      <c r="AI4" s="121" t="s">
        <v>37</v>
      </c>
      <c r="AJ4" s="119" t="s">
        <v>35</v>
      </c>
      <c r="AK4" s="121" t="s">
        <v>36</v>
      </c>
      <c r="AL4" s="121" t="s">
        <v>37</v>
      </c>
      <c r="AM4" s="1074"/>
      <c r="AO4" s="851"/>
      <c r="AP4" s="851"/>
      <c r="AQ4" s="851"/>
    </row>
    <row r="5" spans="2:62" ht="20.149999999999999" customHeight="1" x14ac:dyDescent="0.2">
      <c r="B5" s="1075" t="s">
        <v>133</v>
      </c>
      <c r="C5" s="123"/>
      <c r="D5" s="13"/>
      <c r="E5" s="13"/>
      <c r="F5" s="13"/>
      <c r="G5" s="13"/>
      <c r="H5" s="13"/>
      <c r="I5" s="13"/>
      <c r="J5" s="13"/>
      <c r="K5" s="13"/>
      <c r="L5" s="13"/>
      <c r="M5" s="13"/>
      <c r="N5" s="92"/>
      <c r="O5" s="9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4"/>
      <c r="AO5" s="851"/>
      <c r="AP5" s="851"/>
      <c r="AQ5" s="851"/>
    </row>
    <row r="6" spans="2:62" ht="20.149999999999999" customHeight="1" x14ac:dyDescent="0.2">
      <c r="B6" s="1076"/>
      <c r="C6" s="123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13"/>
      <c r="Q6" s="1082" t="s">
        <v>460</v>
      </c>
      <c r="R6" s="1083"/>
      <c r="S6" s="13"/>
      <c r="T6" s="13"/>
      <c r="U6" s="13"/>
      <c r="V6" s="13"/>
      <c r="W6" s="13"/>
      <c r="X6" s="13"/>
      <c r="Y6" s="13"/>
      <c r="Z6" s="13"/>
      <c r="AA6" s="13"/>
      <c r="AB6" s="2"/>
      <c r="AC6" s="1082" t="s">
        <v>461</v>
      </c>
      <c r="AD6" s="1083"/>
      <c r="AE6" s="13"/>
      <c r="AF6" s="13"/>
      <c r="AG6" s="13"/>
      <c r="AH6" s="13"/>
      <c r="AI6" s="13"/>
      <c r="AJ6" s="13"/>
      <c r="AK6" s="13"/>
      <c r="AL6" s="13"/>
      <c r="AM6" s="124"/>
      <c r="AO6" s="851"/>
      <c r="AP6" s="851"/>
      <c r="AQ6" s="851"/>
    </row>
    <row r="7" spans="2:62" ht="20.149999999999999" customHeight="1" x14ac:dyDescent="0.2">
      <c r="B7" s="1077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O7" s="851"/>
      <c r="AP7" s="851"/>
      <c r="AQ7" s="851"/>
    </row>
    <row r="8" spans="2:62" ht="20.149999999999999" customHeight="1" x14ac:dyDescent="0.2">
      <c r="B8" s="128" t="s">
        <v>322</v>
      </c>
      <c r="C8" s="503"/>
      <c r="D8" s="129"/>
      <c r="E8" s="129"/>
      <c r="F8" s="503"/>
      <c r="G8" s="129"/>
      <c r="H8" s="129"/>
      <c r="I8" s="503"/>
      <c r="J8" s="129"/>
      <c r="K8" s="129"/>
      <c r="L8" s="503"/>
      <c r="M8" s="129"/>
      <c r="N8" s="129"/>
      <c r="O8" s="503">
        <v>3.2</v>
      </c>
      <c r="P8" s="129"/>
      <c r="Q8" s="129"/>
      <c r="R8" s="503"/>
      <c r="S8" s="129"/>
      <c r="T8" s="129"/>
      <c r="U8" s="503"/>
      <c r="V8" s="129"/>
      <c r="W8" s="129"/>
      <c r="X8" s="503"/>
      <c r="Y8" s="129"/>
      <c r="Z8" s="129"/>
      <c r="AA8" s="503"/>
      <c r="AB8" s="129"/>
      <c r="AC8" s="129"/>
      <c r="AD8" s="503"/>
      <c r="AE8" s="129"/>
      <c r="AF8" s="129"/>
      <c r="AG8" s="503"/>
      <c r="AH8" s="129"/>
      <c r="AI8" s="129"/>
      <c r="AJ8" s="503"/>
      <c r="AK8" s="129"/>
      <c r="AL8" s="129"/>
      <c r="AM8" s="504">
        <f>SUM(C8:AL8)</f>
        <v>3.2</v>
      </c>
      <c r="AO8" s="852"/>
      <c r="AP8" s="852">
        <v>3.2</v>
      </c>
      <c r="AQ8" s="853">
        <v>3.2</v>
      </c>
      <c r="AS8" s="91"/>
      <c r="AT8" s="91"/>
      <c r="AU8" s="91"/>
    </row>
    <row r="9" spans="2:62" ht="20.149999999999999" customHeight="1" x14ac:dyDescent="0.2">
      <c r="B9" s="128" t="s">
        <v>323</v>
      </c>
      <c r="C9" s="503"/>
      <c r="D9" s="129"/>
      <c r="E9" s="129"/>
      <c r="F9" s="503"/>
      <c r="G9" s="129"/>
      <c r="H9" s="129"/>
      <c r="I9" s="503"/>
      <c r="J9" s="129"/>
      <c r="K9" s="129"/>
      <c r="L9" s="503"/>
      <c r="M9" s="129"/>
      <c r="N9" s="129"/>
      <c r="O9" s="503">
        <v>1.2</v>
      </c>
      <c r="P9" s="129">
        <v>5.3</v>
      </c>
      <c r="Q9" s="129">
        <v>5.3</v>
      </c>
      <c r="R9" s="503">
        <v>2.2000000000000002</v>
      </c>
      <c r="S9" s="129"/>
      <c r="T9" s="129"/>
      <c r="U9" s="503"/>
      <c r="V9" s="129"/>
      <c r="W9" s="129"/>
      <c r="X9" s="503"/>
      <c r="Y9" s="129"/>
      <c r="Z9" s="129"/>
      <c r="AA9" s="503"/>
      <c r="AB9" s="129"/>
      <c r="AC9" s="129"/>
      <c r="AD9" s="503"/>
      <c r="AE9" s="129"/>
      <c r="AF9" s="129"/>
      <c r="AG9" s="503"/>
      <c r="AH9" s="129"/>
      <c r="AI9" s="129"/>
      <c r="AJ9" s="503"/>
      <c r="AK9" s="129"/>
      <c r="AL9" s="129"/>
      <c r="AM9" s="504">
        <f t="shared" ref="AM9:AM21" si="0">SUM(C9:AL9)</f>
        <v>14</v>
      </c>
      <c r="AO9" s="852"/>
      <c r="AP9" s="852">
        <v>14</v>
      </c>
      <c r="AQ9" s="853">
        <v>14</v>
      </c>
      <c r="AS9" s="91"/>
      <c r="AT9" s="91"/>
      <c r="AU9" s="91"/>
    </row>
    <row r="10" spans="2:62" ht="20.149999999999999" customHeight="1" x14ac:dyDescent="0.2">
      <c r="B10" s="128" t="s">
        <v>324</v>
      </c>
      <c r="C10" s="503"/>
      <c r="D10" s="129"/>
      <c r="E10" s="129"/>
      <c r="F10" s="503"/>
      <c r="G10" s="129">
        <v>1.9</v>
      </c>
      <c r="H10" s="129">
        <v>1.9</v>
      </c>
      <c r="I10" s="503">
        <v>1.9</v>
      </c>
      <c r="J10" s="129">
        <v>1.9</v>
      </c>
      <c r="K10" s="129"/>
      <c r="L10" s="503"/>
      <c r="M10" s="129"/>
      <c r="N10" s="129"/>
      <c r="O10" s="503"/>
      <c r="P10" s="129"/>
      <c r="Q10" s="129"/>
      <c r="R10" s="503"/>
      <c r="S10" s="129"/>
      <c r="T10" s="129"/>
      <c r="U10" s="503"/>
      <c r="V10" s="129"/>
      <c r="W10" s="129"/>
      <c r="X10" s="503"/>
      <c r="Y10" s="129"/>
      <c r="Z10" s="129"/>
      <c r="AA10" s="503"/>
      <c r="AB10" s="129"/>
      <c r="AC10" s="129"/>
      <c r="AD10" s="503"/>
      <c r="AE10" s="129"/>
      <c r="AF10" s="129"/>
      <c r="AG10" s="503"/>
      <c r="AH10" s="129">
        <v>2.4</v>
      </c>
      <c r="AI10" s="129">
        <v>2.4</v>
      </c>
      <c r="AJ10" s="503">
        <v>2.2999999999999998</v>
      </c>
      <c r="AK10" s="129"/>
      <c r="AL10" s="129"/>
      <c r="AM10" s="504">
        <f t="shared" si="0"/>
        <v>14.7</v>
      </c>
      <c r="AO10" s="852">
        <v>14.7</v>
      </c>
      <c r="AP10" s="852"/>
      <c r="AQ10" s="853">
        <v>14.7</v>
      </c>
      <c r="AS10" s="91"/>
      <c r="AT10" s="91"/>
      <c r="AU10" s="91"/>
    </row>
    <row r="11" spans="2:62" ht="20.149999999999999" customHeight="1" x14ac:dyDescent="0.2">
      <c r="B11" s="128" t="s">
        <v>307</v>
      </c>
      <c r="C11" s="503"/>
      <c r="D11" s="129"/>
      <c r="E11" s="129"/>
      <c r="F11" s="503"/>
      <c r="G11" s="129"/>
      <c r="H11" s="129"/>
      <c r="I11" s="503"/>
      <c r="J11" s="129"/>
      <c r="K11" s="129"/>
      <c r="L11" s="503"/>
      <c r="M11" s="129"/>
      <c r="N11" s="129"/>
      <c r="O11" s="503">
        <v>2.5</v>
      </c>
      <c r="P11" s="129">
        <v>2.5</v>
      </c>
      <c r="Q11" s="129"/>
      <c r="R11" s="503"/>
      <c r="S11" s="129"/>
      <c r="T11" s="129"/>
      <c r="U11" s="503"/>
      <c r="V11" s="129"/>
      <c r="W11" s="129"/>
      <c r="X11" s="503"/>
      <c r="Y11" s="129"/>
      <c r="Z11" s="129"/>
      <c r="AA11" s="503"/>
      <c r="AB11" s="129"/>
      <c r="AC11" s="129"/>
      <c r="AD11" s="503"/>
      <c r="AE11" s="129"/>
      <c r="AF11" s="129"/>
      <c r="AG11" s="503"/>
      <c r="AH11" s="129"/>
      <c r="AI11" s="129"/>
      <c r="AJ11" s="503"/>
      <c r="AK11" s="129"/>
      <c r="AL11" s="129"/>
      <c r="AM11" s="504">
        <f t="shared" si="0"/>
        <v>5</v>
      </c>
      <c r="AO11" s="852">
        <v>5</v>
      </c>
      <c r="AP11" s="852"/>
      <c r="AQ11" s="853">
        <v>5</v>
      </c>
      <c r="AS11" s="91"/>
      <c r="AT11" s="91"/>
      <c r="AU11" s="91"/>
    </row>
    <row r="12" spans="2:62" ht="20.149999999999999" customHeight="1" x14ac:dyDescent="0.2">
      <c r="B12" s="128" t="s">
        <v>325</v>
      </c>
      <c r="C12" s="503"/>
      <c r="D12" s="129"/>
      <c r="E12" s="129"/>
      <c r="F12" s="503"/>
      <c r="G12" s="129"/>
      <c r="H12" s="129"/>
      <c r="I12" s="503"/>
      <c r="J12" s="129"/>
      <c r="K12" s="129"/>
      <c r="L12" s="503"/>
      <c r="M12" s="129"/>
      <c r="N12" s="129"/>
      <c r="O12" s="503"/>
      <c r="P12" s="129"/>
      <c r="Q12" s="129">
        <v>8.8000000000000007</v>
      </c>
      <c r="R12" s="503">
        <v>8.8000000000000007</v>
      </c>
      <c r="S12" s="129"/>
      <c r="T12" s="129"/>
      <c r="U12" s="503"/>
      <c r="V12" s="129"/>
      <c r="W12" s="129"/>
      <c r="X12" s="503"/>
      <c r="Y12" s="129"/>
      <c r="Z12" s="129"/>
      <c r="AA12" s="503"/>
      <c r="AB12" s="129"/>
      <c r="AC12" s="129"/>
      <c r="AD12" s="503"/>
      <c r="AE12" s="129"/>
      <c r="AF12" s="129"/>
      <c r="AG12" s="503"/>
      <c r="AH12" s="129"/>
      <c r="AI12" s="129"/>
      <c r="AJ12" s="503"/>
      <c r="AK12" s="129"/>
      <c r="AL12" s="129"/>
      <c r="AM12" s="504">
        <f t="shared" si="0"/>
        <v>17.600000000000001</v>
      </c>
      <c r="AO12" s="852">
        <v>4.4000000000000004</v>
      </c>
      <c r="AP12" s="852">
        <v>13.200000000000001</v>
      </c>
      <c r="AQ12" s="853">
        <v>17.600000000000001</v>
      </c>
      <c r="AS12" s="91"/>
      <c r="AT12" s="91"/>
      <c r="AU12" s="91"/>
    </row>
    <row r="13" spans="2:62" ht="20.149999999999999" customHeight="1" x14ac:dyDescent="0.2">
      <c r="B13" s="128" t="s">
        <v>326</v>
      </c>
      <c r="C13" s="503"/>
      <c r="D13" s="129"/>
      <c r="E13" s="129"/>
      <c r="F13" s="503"/>
      <c r="G13" s="129"/>
      <c r="H13" s="129"/>
      <c r="I13" s="503"/>
      <c r="J13" s="129"/>
      <c r="K13" s="129"/>
      <c r="L13" s="503"/>
      <c r="M13" s="129"/>
      <c r="N13" s="129"/>
      <c r="O13" s="503"/>
      <c r="P13" s="129"/>
      <c r="Q13" s="129"/>
      <c r="R13" s="503"/>
      <c r="S13" s="129"/>
      <c r="T13" s="129"/>
      <c r="U13" s="503"/>
      <c r="V13" s="129"/>
      <c r="W13" s="129"/>
      <c r="X13" s="503"/>
      <c r="Y13" s="129"/>
      <c r="Z13" s="129"/>
      <c r="AA13" s="503"/>
      <c r="AB13" s="129"/>
      <c r="AC13" s="129"/>
      <c r="AD13" s="503"/>
      <c r="AE13" s="129"/>
      <c r="AF13" s="129"/>
      <c r="AG13" s="503"/>
      <c r="AH13" s="129"/>
      <c r="AI13" s="129"/>
      <c r="AJ13" s="503"/>
      <c r="AK13" s="129"/>
      <c r="AL13" s="129"/>
      <c r="AM13" s="504">
        <f t="shared" si="0"/>
        <v>0</v>
      </c>
      <c r="AO13" s="852"/>
      <c r="AP13" s="852"/>
      <c r="AQ13" s="853">
        <v>0</v>
      </c>
      <c r="AS13" s="91"/>
      <c r="AT13" s="91"/>
      <c r="AU13" s="91"/>
    </row>
    <row r="14" spans="2:62" ht="20.149999999999999" customHeight="1" x14ac:dyDescent="0.2">
      <c r="B14" s="128" t="s">
        <v>327</v>
      </c>
      <c r="C14" s="503"/>
      <c r="D14" s="129"/>
      <c r="E14" s="129"/>
      <c r="F14" s="503"/>
      <c r="G14" s="129"/>
      <c r="H14" s="129"/>
      <c r="I14" s="503"/>
      <c r="J14" s="129"/>
      <c r="K14" s="129"/>
      <c r="L14" s="503"/>
      <c r="M14" s="129"/>
      <c r="N14" s="129"/>
      <c r="O14" s="503"/>
      <c r="P14" s="129"/>
      <c r="Q14" s="129"/>
      <c r="R14" s="503"/>
      <c r="S14" s="129"/>
      <c r="T14" s="129"/>
      <c r="U14" s="503"/>
      <c r="V14" s="129"/>
      <c r="W14" s="129"/>
      <c r="X14" s="503"/>
      <c r="Y14" s="129"/>
      <c r="Z14" s="129"/>
      <c r="AA14" s="503"/>
      <c r="AB14" s="129"/>
      <c r="AC14" s="129"/>
      <c r="AD14" s="503"/>
      <c r="AE14" s="129"/>
      <c r="AF14" s="129"/>
      <c r="AG14" s="503"/>
      <c r="AH14" s="129"/>
      <c r="AI14" s="129"/>
      <c r="AJ14" s="503"/>
      <c r="AK14" s="129"/>
      <c r="AL14" s="129"/>
      <c r="AM14" s="504">
        <f t="shared" si="0"/>
        <v>0</v>
      </c>
      <c r="AO14" s="852"/>
      <c r="AP14" s="852"/>
      <c r="AQ14" s="853">
        <v>0</v>
      </c>
      <c r="AS14" s="91"/>
      <c r="AT14" s="91"/>
      <c r="AU14" s="91"/>
    </row>
    <row r="15" spans="2:62" ht="20.149999999999999" customHeight="1" x14ac:dyDescent="0.2">
      <c r="B15" s="128" t="s">
        <v>328</v>
      </c>
      <c r="C15" s="503"/>
      <c r="D15" s="129"/>
      <c r="E15" s="129"/>
      <c r="F15" s="503"/>
      <c r="G15" s="129"/>
      <c r="H15" s="129"/>
      <c r="I15" s="503"/>
      <c r="J15" s="129"/>
      <c r="K15" s="129"/>
      <c r="L15" s="503"/>
      <c r="M15" s="129"/>
      <c r="N15" s="129"/>
      <c r="O15" s="503"/>
      <c r="P15" s="129"/>
      <c r="Q15" s="129"/>
      <c r="R15" s="503"/>
      <c r="S15" s="129"/>
      <c r="T15" s="129"/>
      <c r="U15" s="503"/>
      <c r="V15" s="129"/>
      <c r="W15" s="129"/>
      <c r="X15" s="503">
        <v>3.4</v>
      </c>
      <c r="Y15" s="129"/>
      <c r="Z15" s="129">
        <v>3.4</v>
      </c>
      <c r="AA15" s="503"/>
      <c r="AB15" s="129"/>
      <c r="AC15" s="129"/>
      <c r="AD15" s="503"/>
      <c r="AE15" s="129"/>
      <c r="AF15" s="129"/>
      <c r="AG15" s="503"/>
      <c r="AH15" s="129"/>
      <c r="AI15" s="129"/>
      <c r="AJ15" s="503"/>
      <c r="AK15" s="129"/>
      <c r="AL15" s="129"/>
      <c r="AM15" s="504">
        <f t="shared" si="0"/>
        <v>6.8</v>
      </c>
      <c r="AO15" s="852">
        <v>1.7</v>
      </c>
      <c r="AP15" s="852">
        <v>5.0999999999999996</v>
      </c>
      <c r="AQ15" s="853">
        <v>6.8</v>
      </c>
      <c r="AS15" s="91"/>
      <c r="AT15" s="91"/>
      <c r="AU15" s="91"/>
    </row>
    <row r="16" spans="2:62" ht="20.149999999999999" customHeight="1" x14ac:dyDescent="0.2">
      <c r="B16" s="128" t="s">
        <v>329</v>
      </c>
      <c r="C16" s="503"/>
      <c r="D16" s="129"/>
      <c r="E16" s="129"/>
      <c r="F16" s="503"/>
      <c r="G16" s="129"/>
      <c r="H16" s="129"/>
      <c r="I16" s="503"/>
      <c r="J16" s="129"/>
      <c r="K16" s="129"/>
      <c r="L16" s="503"/>
      <c r="M16" s="129"/>
      <c r="N16" s="129"/>
      <c r="O16" s="503"/>
      <c r="P16" s="129"/>
      <c r="Q16" s="129"/>
      <c r="R16" s="503"/>
      <c r="S16" s="129"/>
      <c r="T16" s="129"/>
      <c r="U16" s="503"/>
      <c r="V16" s="129"/>
      <c r="W16" s="129"/>
      <c r="X16" s="503"/>
      <c r="Y16" s="129"/>
      <c r="Z16" s="129"/>
      <c r="AA16" s="503"/>
      <c r="AB16" s="129"/>
      <c r="AC16" s="129">
        <v>10.3</v>
      </c>
      <c r="AD16" s="503">
        <v>10.4</v>
      </c>
      <c r="AE16" s="129"/>
      <c r="AF16" s="129"/>
      <c r="AG16" s="503"/>
      <c r="AH16" s="129"/>
      <c r="AI16" s="129"/>
      <c r="AJ16" s="503"/>
      <c r="AK16" s="129"/>
      <c r="AL16" s="129"/>
      <c r="AM16" s="504">
        <f t="shared" si="0"/>
        <v>20.700000000000003</v>
      </c>
      <c r="AO16" s="852">
        <v>6.9</v>
      </c>
      <c r="AP16" s="852">
        <v>13.8</v>
      </c>
      <c r="AQ16" s="853">
        <v>20.700000000000003</v>
      </c>
      <c r="AS16" s="91"/>
      <c r="AT16" s="91"/>
      <c r="AU16" s="91"/>
    </row>
    <row r="17" spans="2:47" ht="20.149999999999999" customHeight="1" x14ac:dyDescent="0.2">
      <c r="B17" s="128" t="s">
        <v>330</v>
      </c>
      <c r="C17" s="503"/>
      <c r="D17" s="129"/>
      <c r="E17" s="129"/>
      <c r="F17" s="503"/>
      <c r="G17" s="129"/>
      <c r="H17" s="129"/>
      <c r="I17" s="503"/>
      <c r="J17" s="129"/>
      <c r="K17" s="129"/>
      <c r="L17" s="503"/>
      <c r="M17" s="129"/>
      <c r="N17" s="129"/>
      <c r="O17" s="503"/>
      <c r="P17" s="129"/>
      <c r="Q17" s="129"/>
      <c r="R17" s="503"/>
      <c r="S17" s="129"/>
      <c r="T17" s="129"/>
      <c r="U17" s="503"/>
      <c r="V17" s="129"/>
      <c r="W17" s="129"/>
      <c r="X17" s="503"/>
      <c r="Y17" s="129"/>
      <c r="Z17" s="129"/>
      <c r="AA17" s="503"/>
      <c r="AB17" s="129"/>
      <c r="AC17" s="129">
        <v>4.7</v>
      </c>
      <c r="AD17" s="503">
        <v>4.8</v>
      </c>
      <c r="AE17" s="129"/>
      <c r="AF17" s="129"/>
      <c r="AG17" s="503"/>
      <c r="AH17" s="129"/>
      <c r="AI17" s="129"/>
      <c r="AJ17" s="503"/>
      <c r="AK17" s="129"/>
      <c r="AL17" s="129"/>
      <c r="AM17" s="504">
        <f t="shared" si="0"/>
        <v>9.5</v>
      </c>
      <c r="AO17" s="852"/>
      <c r="AP17" s="852">
        <v>9.5</v>
      </c>
      <c r="AQ17" s="853">
        <v>9.5</v>
      </c>
      <c r="AS17" s="91"/>
      <c r="AT17" s="91"/>
      <c r="AU17" s="91"/>
    </row>
    <row r="18" spans="2:47" ht="20.149999999999999" customHeight="1" x14ac:dyDescent="0.2">
      <c r="B18" s="128" t="s">
        <v>331</v>
      </c>
      <c r="C18" s="503"/>
      <c r="D18" s="129"/>
      <c r="E18" s="129"/>
      <c r="F18" s="503"/>
      <c r="G18" s="129"/>
      <c r="H18" s="129"/>
      <c r="I18" s="503"/>
      <c r="J18" s="129"/>
      <c r="K18" s="129"/>
      <c r="L18" s="503"/>
      <c r="M18" s="129"/>
      <c r="N18" s="129"/>
      <c r="O18" s="503"/>
      <c r="P18" s="129"/>
      <c r="Q18" s="129"/>
      <c r="R18" s="503"/>
      <c r="S18" s="129"/>
      <c r="T18" s="129"/>
      <c r="U18" s="503"/>
      <c r="V18" s="129"/>
      <c r="W18" s="129"/>
      <c r="X18" s="503"/>
      <c r="Y18" s="129"/>
      <c r="Z18" s="129"/>
      <c r="AA18" s="503"/>
      <c r="AB18" s="129"/>
      <c r="AC18" s="129"/>
      <c r="AD18" s="503"/>
      <c r="AE18" s="129"/>
      <c r="AF18" s="129"/>
      <c r="AG18" s="503">
        <v>1.2</v>
      </c>
      <c r="AH18" s="129">
        <v>1.2</v>
      </c>
      <c r="AI18" s="129"/>
      <c r="AJ18" s="503"/>
      <c r="AK18" s="129"/>
      <c r="AL18" s="129"/>
      <c r="AM18" s="504">
        <v>2.4</v>
      </c>
      <c r="AO18" s="852">
        <v>1.2</v>
      </c>
      <c r="AP18" s="852">
        <v>1.2</v>
      </c>
      <c r="AQ18" s="853">
        <v>2.4</v>
      </c>
      <c r="AS18" s="91"/>
      <c r="AT18" s="91"/>
      <c r="AU18" s="91"/>
    </row>
    <row r="19" spans="2:47" ht="20.149999999999999" customHeight="1" x14ac:dyDescent="0.2">
      <c r="B19" s="128" t="s">
        <v>191</v>
      </c>
      <c r="C19" s="503"/>
      <c r="D19" s="129"/>
      <c r="E19" s="129"/>
      <c r="F19" s="503">
        <v>2</v>
      </c>
      <c r="G19" s="129"/>
      <c r="H19" s="129"/>
      <c r="I19" s="503"/>
      <c r="J19" s="129"/>
      <c r="K19" s="129"/>
      <c r="L19" s="503"/>
      <c r="M19" s="129"/>
      <c r="N19" s="129"/>
      <c r="O19" s="503"/>
      <c r="P19" s="129"/>
      <c r="Q19" s="129"/>
      <c r="R19" s="503"/>
      <c r="S19" s="129"/>
      <c r="T19" s="129"/>
      <c r="U19" s="503"/>
      <c r="V19" s="129"/>
      <c r="W19" s="129"/>
      <c r="X19" s="503"/>
      <c r="Y19" s="129"/>
      <c r="Z19" s="129"/>
      <c r="AA19" s="503"/>
      <c r="AB19" s="129"/>
      <c r="AC19" s="129"/>
      <c r="AD19" s="503"/>
      <c r="AE19" s="129"/>
      <c r="AF19" s="129"/>
      <c r="AG19" s="503"/>
      <c r="AH19" s="129"/>
      <c r="AI19" s="129"/>
      <c r="AJ19" s="503"/>
      <c r="AK19" s="129"/>
      <c r="AL19" s="129"/>
      <c r="AM19" s="504">
        <f t="shared" si="0"/>
        <v>2</v>
      </c>
      <c r="AO19" s="852"/>
      <c r="AP19" s="852">
        <v>2</v>
      </c>
      <c r="AQ19" s="853">
        <v>2</v>
      </c>
      <c r="AS19" s="91"/>
      <c r="AT19" s="91"/>
      <c r="AU19" s="91"/>
    </row>
    <row r="20" spans="2:47" ht="20.149999999999999" customHeight="1" x14ac:dyDescent="0.2">
      <c r="B20" s="128"/>
      <c r="C20" s="503"/>
      <c r="D20" s="129"/>
      <c r="E20" s="129"/>
      <c r="F20" s="503"/>
      <c r="G20" s="129"/>
      <c r="H20" s="129"/>
      <c r="I20" s="503"/>
      <c r="J20" s="129"/>
      <c r="K20" s="129"/>
      <c r="L20" s="503"/>
      <c r="M20" s="129"/>
      <c r="N20" s="129"/>
      <c r="O20" s="503"/>
      <c r="P20" s="129"/>
      <c r="Q20" s="129"/>
      <c r="R20" s="503"/>
      <c r="S20" s="129"/>
      <c r="T20" s="129"/>
      <c r="U20" s="503"/>
      <c r="V20" s="129"/>
      <c r="W20" s="129"/>
      <c r="X20" s="503"/>
      <c r="Y20" s="129"/>
      <c r="Z20" s="129"/>
      <c r="AA20" s="503"/>
      <c r="AB20" s="129"/>
      <c r="AC20" s="129"/>
      <c r="AD20" s="503"/>
      <c r="AE20" s="129"/>
      <c r="AF20" s="129"/>
      <c r="AG20" s="503"/>
      <c r="AH20" s="129"/>
      <c r="AI20" s="129"/>
      <c r="AJ20" s="503"/>
      <c r="AK20" s="129"/>
      <c r="AL20" s="129"/>
      <c r="AM20" s="504">
        <f t="shared" si="0"/>
        <v>0</v>
      </c>
      <c r="AO20" s="853"/>
      <c r="AP20" s="853"/>
      <c r="AQ20" s="853">
        <f t="shared" ref="AQ20:AQ21" si="1">SUM(AO20:AP20)</f>
        <v>0</v>
      </c>
    </row>
    <row r="21" spans="2:47" ht="20.149999999999999" customHeight="1" x14ac:dyDescent="0.2">
      <c r="B21" s="130" t="s">
        <v>134</v>
      </c>
      <c r="C21" s="503">
        <f t="shared" ref="C21:AL21" si="2">SUM(C8:C20)</f>
        <v>0</v>
      </c>
      <c r="D21" s="131">
        <f t="shared" si="2"/>
        <v>0</v>
      </c>
      <c r="E21" s="505">
        <f t="shared" si="2"/>
        <v>0</v>
      </c>
      <c r="F21" s="503">
        <f t="shared" si="2"/>
        <v>2</v>
      </c>
      <c r="G21" s="131">
        <f t="shared" si="2"/>
        <v>1.9</v>
      </c>
      <c r="H21" s="505">
        <f t="shared" si="2"/>
        <v>1.9</v>
      </c>
      <c r="I21" s="503">
        <f t="shared" si="2"/>
        <v>1.9</v>
      </c>
      <c r="J21" s="131">
        <f t="shared" si="2"/>
        <v>1.9</v>
      </c>
      <c r="K21" s="505">
        <f t="shared" si="2"/>
        <v>0</v>
      </c>
      <c r="L21" s="503">
        <f t="shared" si="2"/>
        <v>0</v>
      </c>
      <c r="M21" s="131">
        <f t="shared" si="2"/>
        <v>0</v>
      </c>
      <c r="N21" s="505">
        <f t="shared" si="2"/>
        <v>0</v>
      </c>
      <c r="O21" s="503">
        <f t="shared" si="2"/>
        <v>6.9</v>
      </c>
      <c r="P21" s="131">
        <f t="shared" si="2"/>
        <v>7.8</v>
      </c>
      <c r="Q21" s="505">
        <f t="shared" si="2"/>
        <v>14.100000000000001</v>
      </c>
      <c r="R21" s="503">
        <f t="shared" si="2"/>
        <v>11</v>
      </c>
      <c r="S21" s="131">
        <f t="shared" si="2"/>
        <v>0</v>
      </c>
      <c r="T21" s="505">
        <f t="shared" si="2"/>
        <v>0</v>
      </c>
      <c r="U21" s="503">
        <f t="shared" si="2"/>
        <v>0</v>
      </c>
      <c r="V21" s="131">
        <f t="shared" si="2"/>
        <v>0</v>
      </c>
      <c r="W21" s="505">
        <f t="shared" si="2"/>
        <v>0</v>
      </c>
      <c r="X21" s="503">
        <f t="shared" si="2"/>
        <v>3.4</v>
      </c>
      <c r="Y21" s="131">
        <f t="shared" si="2"/>
        <v>0</v>
      </c>
      <c r="Z21" s="505">
        <f t="shared" si="2"/>
        <v>3.4</v>
      </c>
      <c r="AA21" s="503">
        <f t="shared" si="2"/>
        <v>0</v>
      </c>
      <c r="AB21" s="131">
        <f t="shared" si="2"/>
        <v>0</v>
      </c>
      <c r="AC21" s="505">
        <f t="shared" si="2"/>
        <v>15</v>
      </c>
      <c r="AD21" s="503">
        <f t="shared" si="2"/>
        <v>15.2</v>
      </c>
      <c r="AE21" s="131">
        <f t="shared" si="2"/>
        <v>0</v>
      </c>
      <c r="AF21" s="505">
        <f t="shared" si="2"/>
        <v>0</v>
      </c>
      <c r="AG21" s="503">
        <f t="shared" si="2"/>
        <v>1.2</v>
      </c>
      <c r="AH21" s="131">
        <f t="shared" si="2"/>
        <v>3.5999999999999996</v>
      </c>
      <c r="AI21" s="505">
        <f t="shared" si="2"/>
        <v>2.4</v>
      </c>
      <c r="AJ21" s="503">
        <f t="shared" si="2"/>
        <v>2.2999999999999998</v>
      </c>
      <c r="AK21" s="131">
        <f t="shared" si="2"/>
        <v>0</v>
      </c>
      <c r="AL21" s="505">
        <f t="shared" si="2"/>
        <v>0</v>
      </c>
      <c r="AM21" s="504">
        <f t="shared" si="0"/>
        <v>95.9</v>
      </c>
      <c r="AO21" s="853"/>
      <c r="AP21" s="853"/>
      <c r="AQ21" s="853">
        <f t="shared" si="1"/>
        <v>0</v>
      </c>
    </row>
    <row r="22" spans="2:47" ht="20.149999999999999" customHeight="1" thickBot="1" x14ac:dyDescent="0.25">
      <c r="B22" s="132" t="s">
        <v>135</v>
      </c>
      <c r="C22" s="133"/>
      <c r="D22" s="134">
        <f>SUM(C21:E21)</f>
        <v>0</v>
      </c>
      <c r="E22" s="134"/>
      <c r="F22" s="133"/>
      <c r="G22" s="134">
        <f>SUM(F21:H21)</f>
        <v>5.8</v>
      </c>
      <c r="H22" s="134"/>
      <c r="I22" s="133"/>
      <c r="J22" s="134">
        <f>SUM(I21:K21)</f>
        <v>3.8</v>
      </c>
      <c r="K22" s="134"/>
      <c r="L22" s="133"/>
      <c r="M22" s="134">
        <f>SUM(L21:N21)</f>
        <v>0</v>
      </c>
      <c r="N22" s="134"/>
      <c r="O22" s="133"/>
      <c r="P22" s="134">
        <f>SUM(O21:Q21)</f>
        <v>28.8</v>
      </c>
      <c r="Q22" s="134"/>
      <c r="R22" s="133"/>
      <c r="S22" s="134">
        <f>SUM(R21:T21)</f>
        <v>11</v>
      </c>
      <c r="T22" s="134"/>
      <c r="U22" s="133"/>
      <c r="V22" s="134">
        <f>SUM(U21:W21)</f>
        <v>0</v>
      </c>
      <c r="W22" s="134"/>
      <c r="X22" s="133"/>
      <c r="Y22" s="134">
        <f>SUM(X21:Z21)</f>
        <v>6.8</v>
      </c>
      <c r="Z22" s="134"/>
      <c r="AA22" s="133"/>
      <c r="AB22" s="134">
        <f>SUM(AA21:AC21)</f>
        <v>15</v>
      </c>
      <c r="AC22" s="134"/>
      <c r="AD22" s="133"/>
      <c r="AE22" s="134">
        <f>SUM(AD21:AF21)</f>
        <v>15.2</v>
      </c>
      <c r="AF22" s="134"/>
      <c r="AG22" s="133"/>
      <c r="AH22" s="134">
        <f>SUM(AG21:AI21)</f>
        <v>7.1999999999999993</v>
      </c>
      <c r="AI22" s="134"/>
      <c r="AJ22" s="133"/>
      <c r="AK22" s="134">
        <f>SUM(AJ21:AL21)</f>
        <v>2.2999999999999998</v>
      </c>
      <c r="AL22" s="134"/>
      <c r="AM22" s="135">
        <f>SUM(AM8:AM20)</f>
        <v>95.9</v>
      </c>
      <c r="AO22" s="853">
        <f>SUM(AO8:AO20)</f>
        <v>33.900000000000006</v>
      </c>
      <c r="AP22" s="853">
        <f>SUM(AP8:AP20)</f>
        <v>62</v>
      </c>
      <c r="AQ22" s="853">
        <f>SUM(AQ8:AQ21)</f>
        <v>95.9</v>
      </c>
    </row>
    <row r="23" spans="2:47" x14ac:dyDescent="0.2">
      <c r="AO23" s="514"/>
      <c r="AP23" s="514"/>
      <c r="AQ23" s="514"/>
    </row>
  </sheetData>
  <mergeCells count="18">
    <mergeCell ref="L2:M2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Q6:R6"/>
    <mergeCell ref="AC6:AD6"/>
  </mergeCells>
  <phoneticPr fontId="4"/>
  <pageMargins left="0" right="0" top="0.78740157480314965" bottom="0" header="0.39370078740157483" footer="0.39370078740157483"/>
  <pageSetup paperSize="9" scale="5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17"/>
  <sheetViews>
    <sheetView showZeros="0" zoomScale="75" zoomScaleNormal="75" zoomScaleSheetLayoutView="70" workbookViewId="0"/>
  </sheetViews>
  <sheetFormatPr defaultColWidth="9" defaultRowHeight="13" x14ac:dyDescent="0.2"/>
  <cols>
    <col min="1" max="1" width="1.6328125" style="90" customWidth="1"/>
    <col min="2" max="2" width="22.6328125" style="90" customWidth="1"/>
    <col min="3" max="38" width="6.08984375" style="90" customWidth="1"/>
    <col min="39" max="39" width="7" style="90" customWidth="1"/>
    <col min="40" max="40" width="1.453125" style="90" customWidth="1"/>
    <col min="41" max="16384" width="9" style="90"/>
  </cols>
  <sheetData>
    <row r="1" spans="2:62" ht="25" customHeight="1" thickBot="1" x14ac:dyDescent="0.25">
      <c r="B1" s="13" t="s">
        <v>676</v>
      </c>
      <c r="C1" s="13"/>
      <c r="D1" s="13"/>
      <c r="E1" s="13"/>
      <c r="F1" s="13"/>
      <c r="G1" s="13"/>
      <c r="H1" s="13"/>
      <c r="I1" s="13"/>
      <c r="J1" s="13"/>
      <c r="K1" s="354" t="s">
        <v>271</v>
      </c>
      <c r="L1" s="353" t="s">
        <v>663</v>
      </c>
      <c r="M1" s="137"/>
      <c r="N1" s="354" t="s">
        <v>272</v>
      </c>
      <c r="O1" s="353" t="s">
        <v>480</v>
      </c>
      <c r="P1" s="13"/>
      <c r="Q1" s="13"/>
      <c r="R1" s="13"/>
      <c r="S1" s="13"/>
      <c r="T1" s="13"/>
      <c r="U1" s="13"/>
      <c r="V1" s="9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2:62" ht="20.149999999999999" customHeight="1" x14ac:dyDescent="0.2">
      <c r="B2" s="1092" t="s">
        <v>664</v>
      </c>
      <c r="C2" s="1084">
        <v>1</v>
      </c>
      <c r="D2" s="1085"/>
      <c r="E2" s="1086"/>
      <c r="F2" s="1084">
        <v>2</v>
      </c>
      <c r="G2" s="1085"/>
      <c r="H2" s="1086"/>
      <c r="I2" s="1084">
        <v>3</v>
      </c>
      <c r="J2" s="1085"/>
      <c r="K2" s="1086"/>
      <c r="L2" s="1084">
        <v>4</v>
      </c>
      <c r="M2" s="1085"/>
      <c r="N2" s="1086"/>
      <c r="O2" s="1084">
        <v>5</v>
      </c>
      <c r="P2" s="1085"/>
      <c r="Q2" s="1086"/>
      <c r="R2" s="1084">
        <v>6</v>
      </c>
      <c r="S2" s="1085"/>
      <c r="T2" s="1086"/>
      <c r="U2" s="1084">
        <v>7</v>
      </c>
      <c r="V2" s="1085"/>
      <c r="W2" s="1086"/>
      <c r="X2" s="1084">
        <v>8</v>
      </c>
      <c r="Y2" s="1085"/>
      <c r="Z2" s="1086"/>
      <c r="AA2" s="1084">
        <v>9</v>
      </c>
      <c r="AB2" s="1085"/>
      <c r="AC2" s="1086"/>
      <c r="AD2" s="1084">
        <v>10</v>
      </c>
      <c r="AE2" s="1085"/>
      <c r="AF2" s="1086"/>
      <c r="AG2" s="1084">
        <v>11</v>
      </c>
      <c r="AH2" s="1085"/>
      <c r="AI2" s="1086"/>
      <c r="AJ2" s="1084">
        <v>12</v>
      </c>
      <c r="AK2" s="1085"/>
      <c r="AL2" s="1086"/>
      <c r="AM2" s="1087" t="s">
        <v>34</v>
      </c>
    </row>
    <row r="3" spans="2:62" ht="20.149999999999999" customHeight="1" x14ac:dyDescent="0.2">
      <c r="B3" s="1091"/>
      <c r="C3" s="805" t="s">
        <v>35</v>
      </c>
      <c r="D3" s="120" t="s">
        <v>36</v>
      </c>
      <c r="E3" s="806" t="s">
        <v>37</v>
      </c>
      <c r="F3" s="805" t="s">
        <v>35</v>
      </c>
      <c r="G3" s="806" t="s">
        <v>36</v>
      </c>
      <c r="H3" s="806" t="s">
        <v>37</v>
      </c>
      <c r="I3" s="805" t="s">
        <v>35</v>
      </c>
      <c r="J3" s="806" t="s">
        <v>36</v>
      </c>
      <c r="K3" s="806" t="s">
        <v>37</v>
      </c>
      <c r="L3" s="805" t="s">
        <v>35</v>
      </c>
      <c r="M3" s="806" t="s">
        <v>36</v>
      </c>
      <c r="N3" s="806" t="s">
        <v>37</v>
      </c>
      <c r="O3" s="805" t="s">
        <v>35</v>
      </c>
      <c r="P3" s="806" t="s">
        <v>36</v>
      </c>
      <c r="Q3" s="806" t="s">
        <v>37</v>
      </c>
      <c r="R3" s="805" t="s">
        <v>35</v>
      </c>
      <c r="S3" s="807" t="s">
        <v>36</v>
      </c>
      <c r="T3" s="807" t="s">
        <v>37</v>
      </c>
      <c r="U3" s="805" t="s">
        <v>35</v>
      </c>
      <c r="V3" s="806" t="s">
        <v>36</v>
      </c>
      <c r="W3" s="806" t="s">
        <v>37</v>
      </c>
      <c r="X3" s="805" t="s">
        <v>35</v>
      </c>
      <c r="Y3" s="806" t="s">
        <v>36</v>
      </c>
      <c r="Z3" s="806" t="s">
        <v>37</v>
      </c>
      <c r="AA3" s="805" t="s">
        <v>35</v>
      </c>
      <c r="AB3" s="806" t="s">
        <v>36</v>
      </c>
      <c r="AC3" s="806" t="s">
        <v>37</v>
      </c>
      <c r="AD3" s="805" t="s">
        <v>35</v>
      </c>
      <c r="AE3" s="806" t="s">
        <v>36</v>
      </c>
      <c r="AF3" s="806" t="s">
        <v>37</v>
      </c>
      <c r="AG3" s="805" t="s">
        <v>35</v>
      </c>
      <c r="AH3" s="806" t="s">
        <v>36</v>
      </c>
      <c r="AI3" s="806" t="s">
        <v>37</v>
      </c>
      <c r="AJ3" s="805" t="s">
        <v>35</v>
      </c>
      <c r="AK3" s="806" t="s">
        <v>36</v>
      </c>
      <c r="AL3" s="806" t="s">
        <v>37</v>
      </c>
      <c r="AM3" s="1088"/>
    </row>
    <row r="4" spans="2:62" ht="20.149999999999999" customHeight="1" x14ac:dyDescent="0.2">
      <c r="B4" s="1089" t="s">
        <v>665</v>
      </c>
      <c r="C4" s="123"/>
      <c r="D4" s="13"/>
      <c r="E4" s="13"/>
      <c r="F4" s="13"/>
      <c r="G4" s="13"/>
      <c r="H4" s="13"/>
      <c r="I4" s="13"/>
      <c r="J4" s="13"/>
      <c r="K4" s="13"/>
      <c r="L4" s="13"/>
      <c r="M4" s="13"/>
      <c r="N4" s="92"/>
      <c r="O4" s="9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808"/>
    </row>
    <row r="5" spans="2:62" ht="20.149999999999999" customHeight="1" x14ac:dyDescent="0.2">
      <c r="B5" s="1090"/>
      <c r="C5" s="12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808"/>
    </row>
    <row r="6" spans="2:62" ht="20.149999999999999" customHeight="1" x14ac:dyDescent="0.2">
      <c r="B6" s="1091"/>
      <c r="C6" s="809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0"/>
      <c r="AJ6" s="810"/>
      <c r="AK6" s="810"/>
      <c r="AL6" s="810"/>
      <c r="AM6" s="811"/>
    </row>
    <row r="7" spans="2:62" ht="20.149999999999999" customHeight="1" x14ac:dyDescent="0.2">
      <c r="B7" s="812" t="s">
        <v>666</v>
      </c>
      <c r="C7" s="503"/>
      <c r="D7" s="532">
        <v>8</v>
      </c>
      <c r="E7" s="532">
        <v>8</v>
      </c>
      <c r="F7" s="503">
        <v>8</v>
      </c>
      <c r="G7" s="532"/>
      <c r="H7" s="532"/>
      <c r="I7" s="503"/>
      <c r="J7" s="532"/>
      <c r="K7" s="532"/>
      <c r="L7" s="503"/>
      <c r="M7" s="532"/>
      <c r="N7" s="532"/>
      <c r="O7" s="503"/>
      <c r="P7" s="532"/>
      <c r="Q7" s="532"/>
      <c r="R7" s="503"/>
      <c r="S7" s="532"/>
      <c r="T7" s="532"/>
      <c r="U7" s="503"/>
      <c r="V7" s="532"/>
      <c r="W7" s="532"/>
      <c r="X7" s="503"/>
      <c r="Y7" s="532"/>
      <c r="Z7" s="532"/>
      <c r="AA7" s="503"/>
      <c r="AB7" s="532"/>
      <c r="AC7" s="532"/>
      <c r="AD7" s="503"/>
      <c r="AE7" s="532"/>
      <c r="AF7" s="532"/>
      <c r="AG7" s="503"/>
      <c r="AH7" s="532"/>
      <c r="AI7" s="532"/>
      <c r="AJ7" s="503"/>
      <c r="AK7" s="532"/>
      <c r="AL7" s="532"/>
      <c r="AM7" s="813">
        <f>SUM(C7:AL7)</f>
        <v>24</v>
      </c>
    </row>
    <row r="8" spans="2:62" ht="20.149999999999999" customHeight="1" x14ac:dyDescent="0.2">
      <c r="B8" s="812" t="s">
        <v>667</v>
      </c>
      <c r="C8" s="503"/>
      <c r="D8" s="532"/>
      <c r="E8" s="532"/>
      <c r="F8" s="503"/>
      <c r="G8" s="532"/>
      <c r="H8" s="532"/>
      <c r="I8" s="503"/>
      <c r="J8" s="532">
        <v>2</v>
      </c>
      <c r="K8" s="532"/>
      <c r="L8" s="503"/>
      <c r="M8" s="532">
        <v>2</v>
      </c>
      <c r="N8" s="532"/>
      <c r="O8" s="503"/>
      <c r="P8" s="532"/>
      <c r="Q8" s="532">
        <v>2</v>
      </c>
      <c r="R8" s="503">
        <v>2</v>
      </c>
      <c r="S8" s="532">
        <v>2</v>
      </c>
      <c r="T8" s="532">
        <v>2</v>
      </c>
      <c r="U8" s="503">
        <v>2</v>
      </c>
      <c r="V8" s="532"/>
      <c r="W8" s="532"/>
      <c r="X8" s="503"/>
      <c r="Y8" s="532"/>
      <c r="Z8" s="532"/>
      <c r="AA8" s="503"/>
      <c r="AB8" s="532"/>
      <c r="AC8" s="532"/>
      <c r="AD8" s="503"/>
      <c r="AE8" s="532"/>
      <c r="AF8" s="532"/>
      <c r="AG8" s="503"/>
      <c r="AH8" s="532"/>
      <c r="AI8" s="532"/>
      <c r="AJ8" s="503"/>
      <c r="AK8" s="532"/>
      <c r="AL8" s="532">
        <v>4</v>
      </c>
      <c r="AM8" s="813">
        <f t="shared" ref="AM8:AM16" si="0">SUM(C8:AL8)</f>
        <v>18</v>
      </c>
    </row>
    <row r="9" spans="2:62" ht="20.149999999999999" customHeight="1" x14ac:dyDescent="0.2">
      <c r="B9" s="812" t="s">
        <v>668</v>
      </c>
      <c r="C9" s="503"/>
      <c r="D9" s="532"/>
      <c r="E9" s="532"/>
      <c r="F9" s="503"/>
      <c r="G9" s="532"/>
      <c r="H9" s="532"/>
      <c r="I9" s="503"/>
      <c r="J9" s="532"/>
      <c r="K9" s="532"/>
      <c r="L9" s="503"/>
      <c r="M9" s="532"/>
      <c r="N9" s="532"/>
      <c r="O9" s="503"/>
      <c r="P9" s="532"/>
      <c r="Q9" s="532"/>
      <c r="R9" s="503"/>
      <c r="S9" s="532">
        <v>2</v>
      </c>
      <c r="T9" s="532"/>
      <c r="U9" s="503"/>
      <c r="V9" s="532">
        <v>2</v>
      </c>
      <c r="W9" s="532"/>
      <c r="X9" s="503"/>
      <c r="Y9" s="532"/>
      <c r="Z9" s="532"/>
      <c r="AA9" s="503"/>
      <c r="AB9" s="532">
        <v>2</v>
      </c>
      <c r="AC9" s="532"/>
      <c r="AD9" s="503"/>
      <c r="AE9" s="532"/>
      <c r="AF9" s="532"/>
      <c r="AG9" s="503"/>
      <c r="AH9" s="532">
        <v>2</v>
      </c>
      <c r="AI9" s="532"/>
      <c r="AJ9" s="503"/>
      <c r="AK9" s="532"/>
      <c r="AL9" s="532"/>
      <c r="AM9" s="813">
        <f t="shared" si="0"/>
        <v>8</v>
      </c>
    </row>
    <row r="10" spans="2:62" ht="20.149999999999999" customHeight="1" x14ac:dyDescent="0.2">
      <c r="B10" s="812" t="s">
        <v>669</v>
      </c>
      <c r="C10" s="503"/>
      <c r="D10" s="532"/>
      <c r="E10" s="532"/>
      <c r="F10" s="503"/>
      <c r="G10" s="532"/>
      <c r="H10" s="532"/>
      <c r="I10" s="503"/>
      <c r="J10" s="532"/>
      <c r="K10" s="532"/>
      <c r="L10" s="503">
        <v>6</v>
      </c>
      <c r="M10" s="532"/>
      <c r="N10" s="532"/>
      <c r="O10" s="503"/>
      <c r="P10" s="532">
        <v>6</v>
      </c>
      <c r="Q10" s="532"/>
      <c r="R10" s="503"/>
      <c r="S10" s="532">
        <v>6</v>
      </c>
      <c r="T10" s="532"/>
      <c r="U10" s="503"/>
      <c r="V10" s="532"/>
      <c r="W10" s="532"/>
      <c r="X10" s="503"/>
      <c r="Y10" s="532"/>
      <c r="Z10" s="532"/>
      <c r="AA10" s="503"/>
      <c r="AB10" s="532"/>
      <c r="AC10" s="532"/>
      <c r="AD10" s="503"/>
      <c r="AE10" s="532"/>
      <c r="AF10" s="532"/>
      <c r="AG10" s="503"/>
      <c r="AH10" s="532"/>
      <c r="AI10" s="532"/>
      <c r="AJ10" s="503"/>
      <c r="AK10" s="532"/>
      <c r="AL10" s="532"/>
      <c r="AM10" s="813">
        <f t="shared" si="0"/>
        <v>18</v>
      </c>
    </row>
    <row r="11" spans="2:62" ht="20.149999999999999" customHeight="1" x14ac:dyDescent="0.2">
      <c r="B11" s="812" t="s">
        <v>670</v>
      </c>
      <c r="C11" s="503"/>
      <c r="D11" s="532"/>
      <c r="E11" s="532"/>
      <c r="F11" s="503"/>
      <c r="G11" s="532"/>
      <c r="H11" s="532"/>
      <c r="I11" s="503"/>
      <c r="J11" s="532"/>
      <c r="K11" s="532"/>
      <c r="L11" s="503">
        <v>8</v>
      </c>
      <c r="M11" s="532"/>
      <c r="N11" s="532">
        <v>2</v>
      </c>
      <c r="O11" s="503"/>
      <c r="P11" s="532"/>
      <c r="Q11" s="532">
        <v>2</v>
      </c>
      <c r="R11" s="503"/>
      <c r="S11" s="532"/>
      <c r="T11" s="532">
        <v>2</v>
      </c>
      <c r="U11" s="503"/>
      <c r="V11" s="532"/>
      <c r="W11" s="532">
        <v>6</v>
      </c>
      <c r="X11" s="503">
        <v>4</v>
      </c>
      <c r="Y11" s="532">
        <v>4</v>
      </c>
      <c r="Z11" s="532">
        <v>2</v>
      </c>
      <c r="AA11" s="503"/>
      <c r="AB11" s="532"/>
      <c r="AC11" s="532">
        <v>2</v>
      </c>
      <c r="AD11" s="503"/>
      <c r="AE11" s="532"/>
      <c r="AF11" s="532"/>
      <c r="AG11" s="503"/>
      <c r="AH11" s="532"/>
      <c r="AI11" s="532"/>
      <c r="AJ11" s="503"/>
      <c r="AK11" s="532"/>
      <c r="AL11" s="532"/>
      <c r="AM11" s="813">
        <f t="shared" si="0"/>
        <v>32</v>
      </c>
    </row>
    <row r="12" spans="2:62" ht="20.149999999999999" customHeight="1" x14ac:dyDescent="0.2">
      <c r="B12" s="812" t="s">
        <v>671</v>
      </c>
      <c r="C12" s="503"/>
      <c r="D12" s="532"/>
      <c r="E12" s="532"/>
      <c r="F12" s="503"/>
      <c r="G12" s="532"/>
      <c r="H12" s="532"/>
      <c r="I12" s="503"/>
      <c r="J12" s="532"/>
      <c r="K12" s="532"/>
      <c r="L12" s="503"/>
      <c r="M12" s="532"/>
      <c r="N12" s="532"/>
      <c r="O12" s="503"/>
      <c r="P12" s="532"/>
      <c r="Q12" s="532"/>
      <c r="R12" s="503"/>
      <c r="S12" s="532"/>
      <c r="T12" s="532"/>
      <c r="U12" s="503"/>
      <c r="V12" s="532"/>
      <c r="W12" s="532"/>
      <c r="X12" s="503"/>
      <c r="Y12" s="532">
        <v>10</v>
      </c>
      <c r="Z12" s="532">
        <v>20</v>
      </c>
      <c r="AA12" s="503">
        <v>40</v>
      </c>
      <c r="AB12" s="532">
        <v>40</v>
      </c>
      <c r="AC12" s="532">
        <v>40</v>
      </c>
      <c r="AD12" s="503">
        <v>20</v>
      </c>
      <c r="AE12" s="532">
        <v>12</v>
      </c>
      <c r="AF12" s="532">
        <v>6</v>
      </c>
      <c r="AG12" s="503"/>
      <c r="AH12" s="532"/>
      <c r="AI12" s="532"/>
      <c r="AJ12" s="503"/>
      <c r="AK12" s="532"/>
      <c r="AL12" s="532"/>
      <c r="AM12" s="813">
        <f t="shared" si="0"/>
        <v>188</v>
      </c>
    </row>
    <row r="13" spans="2:62" ht="20.149999999999999" customHeight="1" x14ac:dyDescent="0.2">
      <c r="B13" s="812" t="s">
        <v>672</v>
      </c>
      <c r="C13" s="503"/>
      <c r="D13" s="532"/>
      <c r="E13" s="532">
        <v>2</v>
      </c>
      <c r="F13" s="503"/>
      <c r="G13" s="532"/>
      <c r="H13" s="532">
        <v>2</v>
      </c>
      <c r="I13" s="503"/>
      <c r="J13" s="532"/>
      <c r="K13" s="532"/>
      <c r="L13" s="503"/>
      <c r="M13" s="532"/>
      <c r="N13" s="532"/>
      <c r="O13" s="503"/>
      <c r="P13" s="532"/>
      <c r="Q13" s="532">
        <v>2</v>
      </c>
      <c r="R13" s="503"/>
      <c r="S13" s="532">
        <v>4</v>
      </c>
      <c r="T13" s="532"/>
      <c r="U13" s="503">
        <v>2</v>
      </c>
      <c r="V13" s="532"/>
      <c r="W13" s="532">
        <v>2</v>
      </c>
      <c r="X13" s="503"/>
      <c r="Y13" s="532"/>
      <c r="Z13" s="532"/>
      <c r="AA13" s="503"/>
      <c r="AB13" s="532"/>
      <c r="AC13" s="532"/>
      <c r="AD13" s="503"/>
      <c r="AE13" s="532"/>
      <c r="AF13" s="532"/>
      <c r="AG13" s="503"/>
      <c r="AH13" s="532"/>
      <c r="AI13" s="532"/>
      <c r="AJ13" s="503"/>
      <c r="AK13" s="532"/>
      <c r="AL13" s="532"/>
      <c r="AM13" s="813">
        <f t="shared" si="0"/>
        <v>14</v>
      </c>
    </row>
    <row r="14" spans="2:62" ht="20.149999999999999" customHeight="1" x14ac:dyDescent="0.2">
      <c r="B14" s="812"/>
      <c r="C14" s="503"/>
      <c r="D14" s="532"/>
      <c r="E14" s="532"/>
      <c r="F14" s="503"/>
      <c r="G14" s="532"/>
      <c r="H14" s="532"/>
      <c r="I14" s="503"/>
      <c r="J14" s="532"/>
      <c r="K14" s="532"/>
      <c r="L14" s="503"/>
      <c r="M14" s="532"/>
      <c r="N14" s="532"/>
      <c r="O14" s="503"/>
      <c r="P14" s="532"/>
      <c r="Q14" s="532"/>
      <c r="R14" s="503"/>
      <c r="S14" s="532"/>
      <c r="T14" s="532"/>
      <c r="U14" s="503"/>
      <c r="V14" s="532"/>
      <c r="W14" s="532"/>
      <c r="X14" s="503"/>
      <c r="Y14" s="532"/>
      <c r="Z14" s="532"/>
      <c r="AA14" s="503"/>
      <c r="AB14" s="532"/>
      <c r="AC14" s="532"/>
      <c r="AD14" s="503"/>
      <c r="AE14" s="532"/>
      <c r="AF14" s="532"/>
      <c r="AG14" s="503"/>
      <c r="AH14" s="532"/>
      <c r="AI14" s="532"/>
      <c r="AJ14" s="503"/>
      <c r="AK14" s="532"/>
      <c r="AL14" s="532"/>
      <c r="AM14" s="813">
        <f t="shared" si="0"/>
        <v>0</v>
      </c>
    </row>
    <row r="15" spans="2:62" ht="20.149999999999999" customHeight="1" x14ac:dyDescent="0.2">
      <c r="B15" s="812"/>
      <c r="C15" s="503"/>
      <c r="D15" s="532"/>
      <c r="E15" s="532"/>
      <c r="F15" s="503"/>
      <c r="G15" s="532"/>
      <c r="H15" s="532"/>
      <c r="I15" s="503"/>
      <c r="J15" s="532"/>
      <c r="K15" s="532"/>
      <c r="L15" s="503"/>
      <c r="M15" s="532"/>
      <c r="N15" s="532"/>
      <c r="O15" s="503"/>
      <c r="P15" s="532"/>
      <c r="Q15" s="532"/>
      <c r="R15" s="503"/>
      <c r="S15" s="532"/>
      <c r="T15" s="532"/>
      <c r="U15" s="503"/>
      <c r="V15" s="532"/>
      <c r="W15" s="532"/>
      <c r="X15" s="503"/>
      <c r="Y15" s="532"/>
      <c r="Z15" s="532"/>
      <c r="AA15" s="503"/>
      <c r="AB15" s="532"/>
      <c r="AC15" s="532"/>
      <c r="AD15" s="503"/>
      <c r="AE15" s="532"/>
      <c r="AF15" s="532"/>
      <c r="AG15" s="503"/>
      <c r="AH15" s="532"/>
      <c r="AI15" s="532"/>
      <c r="AJ15" s="503"/>
      <c r="AK15" s="532"/>
      <c r="AL15" s="532"/>
      <c r="AM15" s="813">
        <f t="shared" si="0"/>
        <v>0</v>
      </c>
    </row>
    <row r="16" spans="2:62" ht="20.149999999999999" customHeight="1" x14ac:dyDescent="0.2">
      <c r="B16" s="814" t="s">
        <v>673</v>
      </c>
      <c r="C16" s="503">
        <f t="shared" ref="C16:AL16" si="1">SUM(C7:C15)</f>
        <v>0</v>
      </c>
      <c r="D16" s="131">
        <f t="shared" si="1"/>
        <v>8</v>
      </c>
      <c r="E16" s="505">
        <f t="shared" si="1"/>
        <v>10</v>
      </c>
      <c r="F16" s="503">
        <f t="shared" si="1"/>
        <v>8</v>
      </c>
      <c r="G16" s="131">
        <f t="shared" si="1"/>
        <v>0</v>
      </c>
      <c r="H16" s="505">
        <f t="shared" si="1"/>
        <v>2</v>
      </c>
      <c r="I16" s="503">
        <f t="shared" si="1"/>
        <v>0</v>
      </c>
      <c r="J16" s="131">
        <f t="shared" si="1"/>
        <v>2</v>
      </c>
      <c r="K16" s="505">
        <f t="shared" si="1"/>
        <v>0</v>
      </c>
      <c r="L16" s="503">
        <f t="shared" si="1"/>
        <v>14</v>
      </c>
      <c r="M16" s="131">
        <f t="shared" si="1"/>
        <v>2</v>
      </c>
      <c r="N16" s="505">
        <f t="shared" si="1"/>
        <v>2</v>
      </c>
      <c r="O16" s="503">
        <f t="shared" si="1"/>
        <v>0</v>
      </c>
      <c r="P16" s="131">
        <f t="shared" si="1"/>
        <v>6</v>
      </c>
      <c r="Q16" s="505">
        <f t="shared" si="1"/>
        <v>6</v>
      </c>
      <c r="R16" s="503">
        <f t="shared" si="1"/>
        <v>2</v>
      </c>
      <c r="S16" s="131">
        <f t="shared" si="1"/>
        <v>14</v>
      </c>
      <c r="T16" s="505">
        <f t="shared" si="1"/>
        <v>4</v>
      </c>
      <c r="U16" s="503">
        <f t="shared" si="1"/>
        <v>4</v>
      </c>
      <c r="V16" s="131">
        <f t="shared" si="1"/>
        <v>2</v>
      </c>
      <c r="W16" s="505">
        <f t="shared" si="1"/>
        <v>8</v>
      </c>
      <c r="X16" s="503">
        <f t="shared" si="1"/>
        <v>4</v>
      </c>
      <c r="Y16" s="131">
        <f t="shared" si="1"/>
        <v>14</v>
      </c>
      <c r="Z16" s="505">
        <f t="shared" si="1"/>
        <v>22</v>
      </c>
      <c r="AA16" s="503">
        <f t="shared" si="1"/>
        <v>40</v>
      </c>
      <c r="AB16" s="131">
        <f t="shared" si="1"/>
        <v>42</v>
      </c>
      <c r="AC16" s="505">
        <f t="shared" si="1"/>
        <v>42</v>
      </c>
      <c r="AD16" s="503">
        <f t="shared" si="1"/>
        <v>20</v>
      </c>
      <c r="AE16" s="131">
        <f t="shared" si="1"/>
        <v>12</v>
      </c>
      <c r="AF16" s="505">
        <f t="shared" si="1"/>
        <v>6</v>
      </c>
      <c r="AG16" s="503">
        <f t="shared" si="1"/>
        <v>0</v>
      </c>
      <c r="AH16" s="131">
        <f t="shared" si="1"/>
        <v>2</v>
      </c>
      <c r="AI16" s="505">
        <f t="shared" si="1"/>
        <v>0</v>
      </c>
      <c r="AJ16" s="503">
        <f t="shared" si="1"/>
        <v>0</v>
      </c>
      <c r="AK16" s="131">
        <f t="shared" si="1"/>
        <v>0</v>
      </c>
      <c r="AL16" s="505">
        <f t="shared" si="1"/>
        <v>4</v>
      </c>
      <c r="AM16" s="813">
        <f t="shared" si="0"/>
        <v>302</v>
      </c>
    </row>
    <row r="17" spans="2:39" ht="20.149999999999999" customHeight="1" thickBot="1" x14ac:dyDescent="0.25">
      <c r="B17" s="815" t="s">
        <v>674</v>
      </c>
      <c r="C17" s="816"/>
      <c r="D17" s="817">
        <f>SUM(C16:E16)</f>
        <v>18</v>
      </c>
      <c r="E17" s="817"/>
      <c r="F17" s="816"/>
      <c r="G17" s="817">
        <f>SUM(F16:H16)</f>
        <v>10</v>
      </c>
      <c r="H17" s="817"/>
      <c r="I17" s="816"/>
      <c r="J17" s="817">
        <f>SUM(I16:K16)</f>
        <v>2</v>
      </c>
      <c r="K17" s="817"/>
      <c r="L17" s="816"/>
      <c r="M17" s="817">
        <f>SUM(L16:N16)</f>
        <v>18</v>
      </c>
      <c r="N17" s="817"/>
      <c r="O17" s="816"/>
      <c r="P17" s="817">
        <f>SUM(O16:Q16)</f>
        <v>12</v>
      </c>
      <c r="Q17" s="817"/>
      <c r="R17" s="816"/>
      <c r="S17" s="817">
        <f>SUM(R16:T16)</f>
        <v>20</v>
      </c>
      <c r="T17" s="817"/>
      <c r="U17" s="816"/>
      <c r="V17" s="817">
        <f>SUM(U16:W16)</f>
        <v>14</v>
      </c>
      <c r="W17" s="817"/>
      <c r="X17" s="816"/>
      <c r="Y17" s="817">
        <f>SUM(X16:Z16)</f>
        <v>40</v>
      </c>
      <c r="Z17" s="817"/>
      <c r="AA17" s="816"/>
      <c r="AB17" s="817">
        <f>SUM(AA16:AC16)</f>
        <v>124</v>
      </c>
      <c r="AC17" s="817"/>
      <c r="AD17" s="816"/>
      <c r="AE17" s="817">
        <f>SUM(AD16:AF16)</f>
        <v>38</v>
      </c>
      <c r="AF17" s="817"/>
      <c r="AG17" s="816"/>
      <c r="AH17" s="817">
        <f>SUM(AG16:AI16)</f>
        <v>2</v>
      </c>
      <c r="AI17" s="817"/>
      <c r="AJ17" s="816"/>
      <c r="AK17" s="817">
        <f>SUM(AJ16:AL16)</f>
        <v>4</v>
      </c>
      <c r="AL17" s="817"/>
      <c r="AM17" s="818">
        <f>SUM(AM7:AM15)</f>
        <v>302</v>
      </c>
    </row>
  </sheetData>
  <mergeCells count="15">
    <mergeCell ref="AJ2:AL2"/>
    <mergeCell ref="AM2:AM3"/>
    <mergeCell ref="B4:B6"/>
    <mergeCell ref="R2:T2"/>
    <mergeCell ref="U2:W2"/>
    <mergeCell ref="X2:Z2"/>
    <mergeCell ref="AA2:AC2"/>
    <mergeCell ref="AD2:AF2"/>
    <mergeCell ref="AG2:AI2"/>
    <mergeCell ref="B2:B3"/>
    <mergeCell ref="C2:E2"/>
    <mergeCell ref="F2:H2"/>
    <mergeCell ref="I2:K2"/>
    <mergeCell ref="L2:N2"/>
    <mergeCell ref="O2:Q2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SheetLayoutView="85" workbookViewId="0"/>
  </sheetViews>
  <sheetFormatPr defaultColWidth="9" defaultRowHeight="13" x14ac:dyDescent="0.2"/>
  <cols>
    <col min="1" max="1" width="1.6328125" style="90" customWidth="1"/>
    <col min="2" max="2" width="5" style="90" customWidth="1"/>
    <col min="3" max="3" width="18.08984375" style="90" customWidth="1"/>
    <col min="4" max="4" width="24.26953125" style="90" customWidth="1"/>
    <col min="5" max="6" width="6" style="90" bestFit="1" customWidth="1"/>
    <col min="7" max="7" width="17.6328125" style="90" customWidth="1"/>
    <col min="8" max="8" width="10.6328125" style="90" customWidth="1"/>
    <col min="9" max="9" width="17.6328125" style="90" customWidth="1"/>
    <col min="10" max="10" width="10.6328125" style="90" customWidth="1"/>
    <col min="11" max="11" width="15.08984375" style="91" bestFit="1" customWidth="1"/>
    <col min="12" max="12" width="17.6328125" style="90" customWidth="1"/>
    <col min="13" max="13" width="10.6328125" style="90" customWidth="1"/>
    <col min="14" max="14" width="17.6328125" style="90" customWidth="1"/>
    <col min="15" max="15" width="10.6328125" style="90" customWidth="1"/>
    <col min="16" max="16" width="19.7265625" style="90" bestFit="1" customWidth="1"/>
    <col min="17" max="16384" width="9" style="90"/>
  </cols>
  <sheetData>
    <row r="1" spans="2:16" ht="10" customHeight="1" x14ac:dyDescent="0.2"/>
    <row r="2" spans="2:16" ht="25" customHeight="1" thickBot="1" x14ac:dyDescent="0.25">
      <c r="B2" s="2" t="s">
        <v>275</v>
      </c>
      <c r="C2" s="13"/>
      <c r="D2" s="13"/>
      <c r="E2" s="92"/>
      <c r="F2" s="1096"/>
      <c r="G2" s="1097"/>
      <c r="H2" s="93"/>
      <c r="I2" s="93"/>
      <c r="J2" s="94"/>
      <c r="K2" s="95"/>
      <c r="L2" s="94"/>
      <c r="M2" s="96"/>
      <c r="P2" s="94"/>
    </row>
    <row r="3" spans="2:16" x14ac:dyDescent="0.2">
      <c r="B3" s="1101" t="s">
        <v>138</v>
      </c>
      <c r="C3" s="1103" t="s">
        <v>38</v>
      </c>
      <c r="D3" s="1103" t="s">
        <v>137</v>
      </c>
      <c r="E3" s="1098" t="s">
        <v>39</v>
      </c>
      <c r="F3" s="1099"/>
      <c r="G3" s="97" t="s">
        <v>40</v>
      </c>
      <c r="H3" s="97" t="s">
        <v>140</v>
      </c>
      <c r="I3" s="97" t="s">
        <v>139</v>
      </c>
      <c r="J3" s="1103" t="s">
        <v>100</v>
      </c>
      <c r="K3" s="98" t="s">
        <v>164</v>
      </c>
      <c r="L3" s="97" t="s">
        <v>41</v>
      </c>
      <c r="M3" s="97" t="s">
        <v>144</v>
      </c>
      <c r="N3" s="97" t="s">
        <v>42</v>
      </c>
      <c r="O3" s="97" t="s">
        <v>43</v>
      </c>
      <c r="P3" s="382" t="s">
        <v>44</v>
      </c>
    </row>
    <row r="4" spans="2:16" x14ac:dyDescent="0.2">
      <c r="B4" s="1102"/>
      <c r="C4" s="1104"/>
      <c r="D4" s="1104"/>
      <c r="E4" s="99" t="s">
        <v>102</v>
      </c>
      <c r="F4" s="99" t="s">
        <v>9</v>
      </c>
      <c r="G4" s="100" t="s">
        <v>165</v>
      </c>
      <c r="H4" s="100" t="s">
        <v>166</v>
      </c>
      <c r="I4" s="100" t="s">
        <v>148</v>
      </c>
      <c r="J4" s="1104"/>
      <c r="K4" s="101" t="s">
        <v>167</v>
      </c>
      <c r="L4" s="100" t="s">
        <v>168</v>
      </c>
      <c r="M4" s="100" t="s">
        <v>169</v>
      </c>
      <c r="N4" s="100" t="s">
        <v>150</v>
      </c>
      <c r="O4" s="100" t="s">
        <v>170</v>
      </c>
      <c r="P4" s="383" t="s">
        <v>171</v>
      </c>
    </row>
    <row r="5" spans="2:16" x14ac:dyDescent="0.2">
      <c r="B5" s="1100" t="s">
        <v>210</v>
      </c>
      <c r="C5" s="1105" t="str">
        <f>'（参考）水稲資本装備'!C5</f>
        <v>農機具庫</v>
      </c>
      <c r="D5" s="1105" t="str">
        <f>'（参考）水稲資本装備'!D5</f>
        <v>鉄骨　スレート</v>
      </c>
      <c r="E5" s="1105">
        <f>'（参考）水稲資本装備'!E5</f>
        <v>100</v>
      </c>
      <c r="F5" s="1105" t="s">
        <v>172</v>
      </c>
      <c r="G5" s="1105">
        <f>'（参考）水稲資本装備'!G5</f>
        <v>5940000</v>
      </c>
      <c r="H5" s="1110">
        <v>0</v>
      </c>
      <c r="I5" s="1105">
        <f>G5*(1-H5)</f>
        <v>5940000</v>
      </c>
      <c r="J5" s="801">
        <v>29.5</v>
      </c>
      <c r="K5" s="102">
        <f>'（参考）水稲資本装備'!K5</f>
        <v>3.3898305084745763E-2</v>
      </c>
      <c r="L5" s="89">
        <f>I5*K5</f>
        <v>201355.93220338982</v>
      </c>
      <c r="M5" s="103">
        <v>0</v>
      </c>
      <c r="N5" s="89">
        <f t="shared" ref="N5:N11" si="0">L5*M5/100</f>
        <v>0</v>
      </c>
      <c r="O5" s="89">
        <v>25</v>
      </c>
      <c r="P5" s="199">
        <f>IF(O5="","",(L5-N5)/O5)</f>
        <v>8054.2372881355932</v>
      </c>
    </row>
    <row r="6" spans="2:16" x14ac:dyDescent="0.2">
      <c r="B6" s="1094"/>
      <c r="C6" s="1106"/>
      <c r="D6" s="1106"/>
      <c r="E6" s="1106"/>
      <c r="F6" s="1106"/>
      <c r="G6" s="1106"/>
      <c r="H6" s="1111"/>
      <c r="I6" s="1106"/>
      <c r="J6" s="802"/>
      <c r="K6" s="102"/>
      <c r="L6" s="89">
        <f>I5*K6</f>
        <v>0</v>
      </c>
      <c r="M6" s="103"/>
      <c r="N6" s="89"/>
      <c r="O6" s="89"/>
      <c r="P6" s="199" t="str">
        <f t="shared" ref="P6:P14" si="1">IF(O6="","",(L6-N6)/O6)</f>
        <v/>
      </c>
    </row>
    <row r="7" spans="2:16" x14ac:dyDescent="0.2">
      <c r="B7" s="1094"/>
      <c r="C7" s="1107"/>
      <c r="D7" s="1107"/>
      <c r="E7" s="1107"/>
      <c r="F7" s="1107"/>
      <c r="G7" s="1107"/>
      <c r="H7" s="1112"/>
      <c r="I7" s="1107"/>
      <c r="J7" s="803"/>
      <c r="K7" s="102"/>
      <c r="L7" s="89">
        <f>I5*K7</f>
        <v>0</v>
      </c>
      <c r="M7" s="103"/>
      <c r="N7" s="89"/>
      <c r="O7" s="89"/>
      <c r="P7" s="199" t="str">
        <f t="shared" si="1"/>
        <v/>
      </c>
    </row>
    <row r="8" spans="2:16" x14ac:dyDescent="0.2">
      <c r="B8" s="1094"/>
      <c r="C8" s="89" t="str">
        <f>'（参考）水稲資本装備'!C6</f>
        <v>乾燥調製施設</v>
      </c>
      <c r="D8" s="89" t="str">
        <f>'（参考）水稲資本装備'!D6</f>
        <v>鉄骨　スレート</v>
      </c>
      <c r="E8" s="104">
        <f>'（参考）水稲資本装備'!E6</f>
        <v>180</v>
      </c>
      <c r="F8" s="105" t="s">
        <v>106</v>
      </c>
      <c r="G8" s="89">
        <f>'（参考）水稲資本装備'!G6</f>
        <v>10692000</v>
      </c>
      <c r="H8" s="103">
        <v>0</v>
      </c>
      <c r="I8" s="89">
        <f t="shared" ref="I8:I11" si="2">G8*(1-H8)</f>
        <v>10692000</v>
      </c>
      <c r="J8" s="801">
        <v>29.5</v>
      </c>
      <c r="K8" s="102">
        <f>'（参考）水稲資本装備'!K6</f>
        <v>3.3898305084745763E-2</v>
      </c>
      <c r="L8" s="89">
        <f t="shared" ref="L8:L24" si="3">I8*K8</f>
        <v>362440.67796610168</v>
      </c>
      <c r="M8" s="103">
        <v>0</v>
      </c>
      <c r="N8" s="89">
        <f t="shared" si="0"/>
        <v>0</v>
      </c>
      <c r="O8" s="89">
        <v>25</v>
      </c>
      <c r="P8" s="199">
        <f t="shared" si="1"/>
        <v>14497.627118644066</v>
      </c>
    </row>
    <row r="9" spans="2:16" x14ac:dyDescent="0.2">
      <c r="B9" s="1094"/>
      <c r="C9" s="89" t="str">
        <f>'（参考）水稲資本装備'!C7</f>
        <v>育苗ハウス</v>
      </c>
      <c r="D9" s="89" t="str">
        <f>'（参考）水稲資本装備'!D7</f>
        <v>鉄パイプ</v>
      </c>
      <c r="E9" s="104">
        <f>'（参考）水稲資本装備'!E7</f>
        <v>725</v>
      </c>
      <c r="F9" s="105" t="s">
        <v>172</v>
      </c>
      <c r="G9" s="89">
        <f>'（参考）水稲資本装備'!G7</f>
        <v>1761750</v>
      </c>
      <c r="H9" s="103">
        <v>0</v>
      </c>
      <c r="I9" s="89">
        <f t="shared" si="2"/>
        <v>1761750</v>
      </c>
      <c r="J9" s="801">
        <v>29.5</v>
      </c>
      <c r="K9" s="102">
        <f>'（参考）水稲資本装備'!K7</f>
        <v>3.3898305084745763E-2</v>
      </c>
      <c r="L9" s="89">
        <f t="shared" si="3"/>
        <v>59720.338983050846</v>
      </c>
      <c r="M9" s="103">
        <v>0</v>
      </c>
      <c r="N9" s="89">
        <f t="shared" si="0"/>
        <v>0</v>
      </c>
      <c r="O9" s="89">
        <v>10</v>
      </c>
      <c r="P9" s="199">
        <f t="shared" si="1"/>
        <v>5972.0338983050842</v>
      </c>
    </row>
    <row r="10" spans="2:16" x14ac:dyDescent="0.2">
      <c r="B10" s="1094"/>
      <c r="C10" s="89" t="str">
        <f>'（参考）イチジク資本装備'!C5</f>
        <v>作業場</v>
      </c>
      <c r="D10" s="89" t="str">
        <f>'（参考）イチジク資本装備'!D5</f>
        <v>鉄骨・ルーフデッキ</v>
      </c>
      <c r="E10" s="89">
        <f>'（参考）イチジク資本装備'!E5</f>
        <v>70</v>
      </c>
      <c r="F10" s="89" t="str">
        <f>'（参考）イチジク資本装備'!F5</f>
        <v>㎡</v>
      </c>
      <c r="G10" s="89">
        <f>'（参考）イチジク資本装備'!G5</f>
        <v>3024000</v>
      </c>
      <c r="H10" s="103">
        <v>0</v>
      </c>
      <c r="I10" s="89">
        <f t="shared" si="2"/>
        <v>3024000</v>
      </c>
      <c r="J10" s="100" t="s">
        <v>657</v>
      </c>
      <c r="K10" s="102">
        <v>2</v>
      </c>
      <c r="L10" s="89">
        <f t="shared" si="3"/>
        <v>6048000</v>
      </c>
      <c r="M10" s="103">
        <v>0</v>
      </c>
      <c r="N10" s="89">
        <f t="shared" si="0"/>
        <v>0</v>
      </c>
      <c r="O10" s="89">
        <v>31</v>
      </c>
      <c r="P10" s="199">
        <f t="shared" si="1"/>
        <v>195096.77419354839</v>
      </c>
    </row>
    <row r="11" spans="2:16" x14ac:dyDescent="0.2">
      <c r="B11" s="1094"/>
      <c r="C11" s="89" t="str">
        <f>'（参考）イチジク資本装備'!C6</f>
        <v>潅水施設一式</v>
      </c>
      <c r="D11" s="89" t="str">
        <f>'（参考）イチジク資本装備'!D6</f>
        <v>ドリップかん水</v>
      </c>
      <c r="E11" s="89">
        <f>'（参考）イチジク資本装備'!E6</f>
        <v>100</v>
      </c>
      <c r="F11" s="89" t="str">
        <f>'（参考）イチジク資本装備'!F6</f>
        <v>m</v>
      </c>
      <c r="G11" s="89">
        <f>'（参考）イチジク資本装備'!G6</f>
        <v>236000</v>
      </c>
      <c r="H11" s="103">
        <v>0</v>
      </c>
      <c r="I11" s="89">
        <f t="shared" si="2"/>
        <v>236000</v>
      </c>
      <c r="J11" s="100" t="s">
        <v>658</v>
      </c>
      <c r="K11" s="102">
        <v>2</v>
      </c>
      <c r="L11" s="89">
        <f t="shared" si="3"/>
        <v>472000</v>
      </c>
      <c r="M11" s="103">
        <v>0</v>
      </c>
      <c r="N11" s="89">
        <f t="shared" si="0"/>
        <v>0</v>
      </c>
      <c r="O11" s="89">
        <v>5</v>
      </c>
      <c r="P11" s="199">
        <f t="shared" si="1"/>
        <v>94400</v>
      </c>
    </row>
    <row r="12" spans="2:16" x14ac:dyDescent="0.2">
      <c r="B12" s="1094"/>
      <c r="C12" s="89"/>
      <c r="D12" s="89"/>
      <c r="E12" s="89"/>
      <c r="F12" s="89"/>
      <c r="G12" s="89"/>
      <c r="H12" s="103"/>
      <c r="I12" s="89"/>
      <c r="J12" s="100"/>
      <c r="K12" s="102"/>
      <c r="L12" s="89"/>
      <c r="M12" s="103"/>
      <c r="N12" s="89"/>
      <c r="O12" s="89"/>
      <c r="P12" s="199"/>
    </row>
    <row r="13" spans="2:16" x14ac:dyDescent="0.2">
      <c r="B13" s="1094"/>
      <c r="C13" s="89"/>
      <c r="D13" s="89"/>
      <c r="E13" s="89"/>
      <c r="F13" s="89"/>
      <c r="G13" s="89"/>
      <c r="H13" s="103"/>
      <c r="I13" s="89"/>
      <c r="J13" s="100"/>
      <c r="K13" s="102"/>
      <c r="L13" s="89">
        <f t="shared" si="3"/>
        <v>0</v>
      </c>
      <c r="M13" s="103"/>
      <c r="N13" s="89"/>
      <c r="O13" s="89"/>
      <c r="P13" s="199" t="str">
        <f t="shared" si="1"/>
        <v/>
      </c>
    </row>
    <row r="14" spans="2:16" x14ac:dyDescent="0.2">
      <c r="B14" s="1094"/>
      <c r="C14" s="89"/>
      <c r="D14" s="89"/>
      <c r="E14" s="89"/>
      <c r="F14" s="89"/>
      <c r="G14" s="89"/>
      <c r="H14" s="103"/>
      <c r="I14" s="89"/>
      <c r="J14" s="100"/>
      <c r="K14" s="102"/>
      <c r="L14" s="89">
        <f t="shared" si="3"/>
        <v>0</v>
      </c>
      <c r="M14" s="103"/>
      <c r="N14" s="89"/>
      <c r="O14" s="89"/>
      <c r="P14" s="199" t="str">
        <f t="shared" si="1"/>
        <v/>
      </c>
    </row>
    <row r="15" spans="2:16" x14ac:dyDescent="0.2">
      <c r="B15" s="1095"/>
      <c r="C15" s="106" t="s">
        <v>45</v>
      </c>
      <c r="D15" s="107"/>
      <c r="E15" s="107"/>
      <c r="F15" s="108"/>
      <c r="G15" s="107">
        <f>SUM(G5:G14)</f>
        <v>21653750</v>
      </c>
      <c r="H15" s="107"/>
      <c r="I15" s="107">
        <f>SUM(I5:I14)</f>
        <v>21653750</v>
      </c>
      <c r="J15" s="106"/>
      <c r="K15" s="109"/>
      <c r="L15" s="107">
        <f>SUM(L5:L14)</f>
        <v>7143516.9491525423</v>
      </c>
      <c r="M15" s="107"/>
      <c r="N15" s="107"/>
      <c r="O15" s="107"/>
      <c r="P15" s="384">
        <f>SUM(P5:P14)</f>
        <v>318020.67249863315</v>
      </c>
    </row>
    <row r="16" spans="2:16" x14ac:dyDescent="0.2">
      <c r="B16" s="1100" t="s">
        <v>211</v>
      </c>
      <c r="C16" s="549" t="str">
        <f>'（参考）水稲資本装備'!C10</f>
        <v>トラクター</v>
      </c>
      <c r="D16" s="549" t="str">
        <f>'（参考）水稲資本装備'!D10</f>
        <v>46psキャビン付（ﾛｰﾀﾘｰ）</v>
      </c>
      <c r="E16" s="549">
        <f>'（参考）水稲資本装備'!E10</f>
        <v>1</v>
      </c>
      <c r="F16" s="549" t="str">
        <f>'（参考）水稲資本装備'!F10</f>
        <v>台</v>
      </c>
      <c r="G16" s="551">
        <f>'（参考）水稲資本装備'!G10</f>
        <v>5726160</v>
      </c>
      <c r="H16" s="550">
        <v>0</v>
      </c>
      <c r="I16" s="854">
        <f>G16*(1-H16)*E16</f>
        <v>5726160</v>
      </c>
      <c r="J16" s="801">
        <f>'（参考）水稲資本装備'!J10</f>
        <v>29.5</v>
      </c>
      <c r="K16" s="102">
        <f>'（参考）水稲資本装備'!K10</f>
        <v>3.3898305084745763E-2</v>
      </c>
      <c r="L16" s="89">
        <f>I16*K16</f>
        <v>194107.11864406778</v>
      </c>
      <c r="M16" s="110">
        <v>0</v>
      </c>
      <c r="N16" s="89">
        <f>L16*M16</f>
        <v>0</v>
      </c>
      <c r="O16" s="111">
        <v>7</v>
      </c>
      <c r="P16" s="199">
        <f t="shared" ref="P16:P31" si="4">IF(O16="","",(L16-N16)/O16)</f>
        <v>27729.588377723969</v>
      </c>
    </row>
    <row r="17" spans="2:16" x14ac:dyDescent="0.2">
      <c r="B17" s="1094"/>
      <c r="C17" s="549" t="str">
        <f>'（参考）水稲資本装備'!C11</f>
        <v>トラクター</v>
      </c>
      <c r="D17" s="549" t="str">
        <f>'（参考）水稲資本装備'!D11</f>
        <v>32ｐｓ（ﾛｰﾀﾘｰ）</v>
      </c>
      <c r="E17" s="549">
        <f>'（参考）水稲資本装備'!E11</f>
        <v>1</v>
      </c>
      <c r="F17" s="549" t="str">
        <f>'（参考）水稲資本装備'!F11</f>
        <v>台</v>
      </c>
      <c r="G17" s="551">
        <f>'（参考）水稲資本装備'!G11</f>
        <v>4626720</v>
      </c>
      <c r="H17" s="550">
        <v>0</v>
      </c>
      <c r="I17" s="854">
        <f t="shared" ref="I17:I27" si="5">G17*(1-H17)*E17</f>
        <v>4626720</v>
      </c>
      <c r="J17" s="801">
        <f>'（参考）水稲資本装備'!J11</f>
        <v>29.5</v>
      </c>
      <c r="K17" s="102">
        <f>'（参考）水稲資本装備'!K11</f>
        <v>3.3898305084745763E-2</v>
      </c>
      <c r="L17" s="89">
        <f t="shared" si="3"/>
        <v>156837.96610169491</v>
      </c>
      <c r="M17" s="110">
        <v>0</v>
      </c>
      <c r="N17" s="89">
        <f t="shared" ref="N17:N30" si="6">L17*M17</f>
        <v>0</v>
      </c>
      <c r="O17" s="111">
        <v>7</v>
      </c>
      <c r="P17" s="199">
        <f t="shared" si="4"/>
        <v>22405.423728813559</v>
      </c>
    </row>
    <row r="18" spans="2:16" x14ac:dyDescent="0.2">
      <c r="B18" s="1094"/>
      <c r="C18" s="460" t="str">
        <f>'（参考）水稲資本装備'!C12</f>
        <v>ドライブハロー</v>
      </c>
      <c r="D18" s="395" t="str">
        <f>'（参考）水稲資本装備'!D12</f>
        <v>2.8m幅</v>
      </c>
      <c r="E18" s="395">
        <f>'（参考）水稲資本装備'!E12</f>
        <v>1</v>
      </c>
      <c r="F18" s="395" t="str">
        <f>'（参考）水稲資本装備'!F12</f>
        <v>台</v>
      </c>
      <c r="G18" s="485">
        <f>'（参考）水稲資本装備'!G12</f>
        <v>772200</v>
      </c>
      <c r="H18" s="461">
        <v>0</v>
      </c>
      <c r="I18" s="854">
        <f t="shared" si="5"/>
        <v>772200</v>
      </c>
      <c r="J18" s="801">
        <f>'（参考）水稲資本装備'!J14</f>
        <v>29.5</v>
      </c>
      <c r="K18" s="102">
        <f>'（参考）水稲資本装備'!K12</f>
        <v>3.3898305084745763E-2</v>
      </c>
      <c r="L18" s="89">
        <f t="shared" si="3"/>
        <v>26176.271186440677</v>
      </c>
      <c r="M18" s="110">
        <v>0</v>
      </c>
      <c r="N18" s="89">
        <f t="shared" si="6"/>
        <v>0</v>
      </c>
      <c r="O18" s="111">
        <v>7</v>
      </c>
      <c r="P18" s="199">
        <f t="shared" si="4"/>
        <v>3739.4673123486682</v>
      </c>
    </row>
    <row r="19" spans="2:16" x14ac:dyDescent="0.2">
      <c r="B19" s="1094"/>
      <c r="C19" s="551" t="s">
        <v>55</v>
      </c>
      <c r="D19" s="551" t="str">
        <f>'（参考）水稲資本装備'!D13</f>
        <v>2.4m幅</v>
      </c>
      <c r="E19" s="551">
        <f>'（参考）水稲資本装備'!E13</f>
        <v>1</v>
      </c>
      <c r="F19" s="551" t="str">
        <f>'（参考）水稲資本装備'!F13</f>
        <v>台</v>
      </c>
      <c r="G19" s="551">
        <f>'（参考）水稲資本装備'!G13</f>
        <v>583200</v>
      </c>
      <c r="H19" s="552">
        <v>0</v>
      </c>
      <c r="I19" s="855">
        <f t="shared" si="5"/>
        <v>583200</v>
      </c>
      <c r="J19" s="801">
        <f>'（参考）水稲資本装備'!J13</f>
        <v>29.5</v>
      </c>
      <c r="K19" s="102">
        <f>'（参考）水稲資本装備'!K13</f>
        <v>3.3898305084745763E-2</v>
      </c>
      <c r="L19" s="89">
        <f>I19*K19</f>
        <v>19769.491525423728</v>
      </c>
      <c r="M19" s="110">
        <v>0</v>
      </c>
      <c r="N19" s="89">
        <f t="shared" si="6"/>
        <v>0</v>
      </c>
      <c r="O19" s="111">
        <v>7</v>
      </c>
      <c r="P19" s="199">
        <f t="shared" si="4"/>
        <v>2824.2130750605324</v>
      </c>
    </row>
    <row r="20" spans="2:16" x14ac:dyDescent="0.2">
      <c r="B20" s="1094"/>
      <c r="C20" s="89" t="str">
        <f>'（参考）水稲資本装備'!C14</f>
        <v>乗用田植機</v>
      </c>
      <c r="D20" s="89" t="str">
        <f>'（参考）水稲資本装備'!D14</f>
        <v>8条側条施肥機付き</v>
      </c>
      <c r="E20" s="89">
        <f>'（参考）水稲資本装備'!E14</f>
        <v>1</v>
      </c>
      <c r="F20" s="89" t="str">
        <f>'（参考）水稲資本装備'!F14</f>
        <v>台</v>
      </c>
      <c r="G20" s="89">
        <f>'（参考）水稲資本装備'!G14</f>
        <v>4158000.0000000005</v>
      </c>
      <c r="H20" s="103">
        <v>0</v>
      </c>
      <c r="I20" s="111">
        <f t="shared" si="5"/>
        <v>4158000.0000000005</v>
      </c>
      <c r="J20" s="801">
        <f>'（参考）水稲資本装備'!J14</f>
        <v>29.5</v>
      </c>
      <c r="K20" s="102">
        <f>'（参考）水稲資本装備'!K14</f>
        <v>3.3898305084745763E-2</v>
      </c>
      <c r="L20" s="89">
        <f t="shared" si="3"/>
        <v>140949.1525423729</v>
      </c>
      <c r="M20" s="110">
        <v>0</v>
      </c>
      <c r="N20" s="89">
        <f t="shared" si="6"/>
        <v>0</v>
      </c>
      <c r="O20" s="111">
        <v>7</v>
      </c>
      <c r="P20" s="199">
        <f t="shared" si="4"/>
        <v>20135.593220338986</v>
      </c>
    </row>
    <row r="21" spans="2:16" x14ac:dyDescent="0.2">
      <c r="B21" s="1094"/>
      <c r="C21" s="89" t="str">
        <f>'（参考）水稲資本装備'!C15</f>
        <v>コンバイン</v>
      </c>
      <c r="D21" s="89" t="str">
        <f>'（参考）水稲資本装備'!D15</f>
        <v>5条刈</v>
      </c>
      <c r="E21" s="89">
        <f>'（参考）水稲資本装備'!E15</f>
        <v>1</v>
      </c>
      <c r="F21" s="89" t="str">
        <f>'（参考）水稲資本装備'!F15</f>
        <v>台</v>
      </c>
      <c r="G21" s="89">
        <f>'（参考）水稲資本装備'!G15</f>
        <v>10638000</v>
      </c>
      <c r="H21" s="103">
        <v>0</v>
      </c>
      <c r="I21" s="111">
        <f t="shared" si="5"/>
        <v>10638000</v>
      </c>
      <c r="J21" s="801">
        <f>'（参考）水稲資本装備'!J15</f>
        <v>29.5</v>
      </c>
      <c r="K21" s="102">
        <f>'（参考）水稲資本装備'!K15</f>
        <v>3.3898305084745763E-2</v>
      </c>
      <c r="L21" s="89">
        <f t="shared" si="3"/>
        <v>360610.16949152545</v>
      </c>
      <c r="M21" s="110">
        <v>0</v>
      </c>
      <c r="N21" s="89">
        <f t="shared" si="6"/>
        <v>0</v>
      </c>
      <c r="O21" s="111">
        <v>7</v>
      </c>
      <c r="P21" s="199">
        <f t="shared" si="4"/>
        <v>51515.738498789353</v>
      </c>
    </row>
    <row r="22" spans="2:16" x14ac:dyDescent="0.2">
      <c r="B22" s="1094"/>
      <c r="C22" s="89" t="str">
        <f>'（参考）水稲資本装備'!C19</f>
        <v>播種覆土一連機械</v>
      </c>
      <c r="D22" s="89" t="str">
        <f>'（参考）水稲資本装備'!D19</f>
        <v>（260箱/時間）</v>
      </c>
      <c r="E22" s="89">
        <f>'（参考）水稲資本装備'!E19</f>
        <v>1</v>
      </c>
      <c r="F22" s="89" t="str">
        <f>'（参考）水稲資本装備'!F19</f>
        <v>台</v>
      </c>
      <c r="G22" s="89">
        <f>'（参考）水稲資本装備'!G19</f>
        <v>366120</v>
      </c>
      <c r="H22" s="103">
        <v>0</v>
      </c>
      <c r="I22" s="111">
        <f t="shared" si="5"/>
        <v>366120</v>
      </c>
      <c r="J22" s="801">
        <f>'（参考）水稲資本装備'!J19</f>
        <v>29.5</v>
      </c>
      <c r="K22" s="102">
        <f>'（参考）水稲資本装備'!K19</f>
        <v>3.3898305084745763E-2</v>
      </c>
      <c r="L22" s="89">
        <f t="shared" si="3"/>
        <v>12410.847457627118</v>
      </c>
      <c r="M22" s="110">
        <v>0</v>
      </c>
      <c r="N22" s="89">
        <f t="shared" si="6"/>
        <v>0</v>
      </c>
      <c r="O22" s="111">
        <v>7</v>
      </c>
      <c r="P22" s="199">
        <f t="shared" si="4"/>
        <v>1772.9782082324455</v>
      </c>
    </row>
    <row r="23" spans="2:16" x14ac:dyDescent="0.2">
      <c r="B23" s="1094"/>
      <c r="C23" s="89" t="str">
        <f>'（参考）水稲資本装備'!C20</f>
        <v>育苗箱</v>
      </c>
      <c r="D23" s="89" t="str">
        <f>'（参考）水稲資本装備'!D20</f>
        <v>450円/箱</v>
      </c>
      <c r="E23" s="89">
        <f>'（参考）水稲資本装備'!E20</f>
        <v>2620</v>
      </c>
      <c r="F23" s="89" t="str">
        <f>'（参考）水稲資本装備'!F20</f>
        <v>箱</v>
      </c>
      <c r="G23" s="89">
        <f>'（参考）水稲資本装備'!G20</f>
        <v>1273320.0000000002</v>
      </c>
      <c r="H23" s="103">
        <v>0</v>
      </c>
      <c r="I23" s="111">
        <f>G23*(1-H23)</f>
        <v>1273320.0000000002</v>
      </c>
      <c r="J23" s="801">
        <f>'（参考）水稲資本装備'!J20</f>
        <v>29.5</v>
      </c>
      <c r="K23" s="102">
        <f>'（参考）水稲資本装備'!K20</f>
        <v>3.3898305084745763E-2</v>
      </c>
      <c r="L23" s="89">
        <f t="shared" si="3"/>
        <v>43163.38983050848</v>
      </c>
      <c r="M23" s="110">
        <v>0</v>
      </c>
      <c r="N23" s="89">
        <f t="shared" si="6"/>
        <v>0</v>
      </c>
      <c r="O23" s="111">
        <v>7</v>
      </c>
      <c r="P23" s="484">
        <f t="shared" si="4"/>
        <v>6166.1985472154975</v>
      </c>
    </row>
    <row r="24" spans="2:16" x14ac:dyDescent="0.2">
      <c r="B24" s="1094"/>
      <c r="C24" s="89" t="str">
        <f>'（参考）水稲資本装備'!C21</f>
        <v>乾燥調製一式</v>
      </c>
      <c r="D24" s="89" t="str">
        <f>'（参考）水稲資本装備'!D21</f>
        <v>一式</v>
      </c>
      <c r="E24" s="89">
        <f>'（参考）水稲資本装備'!E21</f>
        <v>1</v>
      </c>
      <c r="F24" s="89" t="str">
        <f>'（参考）水稲資本装備'!F21</f>
        <v>台</v>
      </c>
      <c r="G24" s="89">
        <f>'（参考）水稲資本装備'!G21</f>
        <v>15000000.120000001</v>
      </c>
      <c r="H24" s="103">
        <v>0</v>
      </c>
      <c r="I24" s="111">
        <f t="shared" si="5"/>
        <v>15000000.120000001</v>
      </c>
      <c r="J24" s="801">
        <f>'（参考）水稲資本装備'!J21</f>
        <v>29.5</v>
      </c>
      <c r="K24" s="102">
        <f>'（参考）水稲資本装備'!K21</f>
        <v>3.3898305084745763E-2</v>
      </c>
      <c r="L24" s="89">
        <f t="shared" si="3"/>
        <v>508474.5803389831</v>
      </c>
      <c r="M24" s="110">
        <v>0</v>
      </c>
      <c r="N24" s="89">
        <f t="shared" si="6"/>
        <v>0</v>
      </c>
      <c r="O24" s="111">
        <v>7</v>
      </c>
      <c r="P24" s="199">
        <f t="shared" si="4"/>
        <v>72639.225762711867</v>
      </c>
    </row>
    <row r="25" spans="2:16" x14ac:dyDescent="0.2">
      <c r="B25" s="1094"/>
      <c r="C25" s="549" t="str">
        <f>'（参考）水稲資本装備'!C16</f>
        <v>乗用管理機</v>
      </c>
      <c r="D25" s="549" t="str">
        <f>'（参考）水稲資本装備'!D16</f>
        <v>散布巾10ｍ</v>
      </c>
      <c r="E25" s="549">
        <f>'（参考）水稲資本装備'!E16</f>
        <v>1</v>
      </c>
      <c r="F25" s="549" t="str">
        <f>'（参考）水稲資本装備'!F16</f>
        <v>台</v>
      </c>
      <c r="G25" s="549">
        <f>'（参考）水稲資本装備'!G16</f>
        <v>3780000.0000000005</v>
      </c>
      <c r="H25" s="552">
        <v>0</v>
      </c>
      <c r="I25" s="854">
        <f t="shared" si="5"/>
        <v>3780000.0000000005</v>
      </c>
      <c r="J25" s="801">
        <f>'（参考）水稲資本装備'!J16</f>
        <v>29.5</v>
      </c>
      <c r="K25" s="102">
        <f>'（参考）水稲資本装備'!K16</f>
        <v>3.3898305084745763E-2</v>
      </c>
      <c r="L25" s="89">
        <f>I25*K25</f>
        <v>128135.593220339</v>
      </c>
      <c r="M25" s="110">
        <v>0</v>
      </c>
      <c r="N25" s="89">
        <f t="shared" si="6"/>
        <v>0</v>
      </c>
      <c r="O25" s="111">
        <v>7</v>
      </c>
      <c r="P25" s="199">
        <f t="shared" si="4"/>
        <v>18305.084745762713</v>
      </c>
    </row>
    <row r="26" spans="2:16" x14ac:dyDescent="0.2">
      <c r="B26" s="1094"/>
      <c r="C26" s="549" t="str">
        <f>'（参考）水稲資本装備'!C17</f>
        <v>ブロードキャスター</v>
      </c>
      <c r="D26" s="549" t="str">
        <f>'（参考）水稲資本装備'!D17</f>
        <v>400リットル</v>
      </c>
      <c r="E26" s="549">
        <f>'（参考）水稲資本装備'!E17</f>
        <v>1</v>
      </c>
      <c r="F26" s="549" t="str">
        <f>'（参考）水稲資本装備'!F17</f>
        <v>台</v>
      </c>
      <c r="G26" s="549">
        <f>'（参考）水稲資本装備'!G17</f>
        <v>303480</v>
      </c>
      <c r="H26" s="552">
        <v>0</v>
      </c>
      <c r="I26" s="854">
        <f t="shared" si="5"/>
        <v>303480</v>
      </c>
      <c r="J26" s="801">
        <f>'（参考）水稲資本装備'!J17</f>
        <v>29.5</v>
      </c>
      <c r="K26" s="102">
        <f>'（参考）水稲資本装備'!K17</f>
        <v>3.3898305084745763E-2</v>
      </c>
      <c r="L26" s="89">
        <f t="shared" ref="L26" si="7">I26*K26</f>
        <v>10287.457627118643</v>
      </c>
      <c r="M26" s="110">
        <v>0</v>
      </c>
      <c r="N26" s="89">
        <f t="shared" si="6"/>
        <v>0</v>
      </c>
      <c r="O26" s="111">
        <v>7</v>
      </c>
      <c r="P26" s="199">
        <f t="shared" si="4"/>
        <v>1469.6368038740918</v>
      </c>
    </row>
    <row r="27" spans="2:16" x14ac:dyDescent="0.2">
      <c r="B27" s="1094"/>
      <c r="C27" s="551" t="str">
        <f>'（参考）水稲資本装備'!C22</f>
        <v>ﾌｫｰｸﾘﾌﾄ</v>
      </c>
      <c r="D27" s="551"/>
      <c r="E27" s="551">
        <f>'（参考）水稲資本装備'!E22</f>
        <v>1</v>
      </c>
      <c r="F27" s="551" t="str">
        <f>'（参考）水稲資本装備'!F22</f>
        <v>台</v>
      </c>
      <c r="G27" s="551">
        <f>'（参考）水稲資本装備'!G22</f>
        <v>500000</v>
      </c>
      <c r="H27" s="552">
        <v>0</v>
      </c>
      <c r="I27" s="854">
        <f t="shared" si="5"/>
        <v>500000</v>
      </c>
      <c r="J27" s="801">
        <f>'（参考）水稲資本装備'!J22</f>
        <v>29.5</v>
      </c>
      <c r="K27" s="102">
        <f>'（参考）水稲資本装備'!K23</f>
        <v>3.3898305084745763E-2</v>
      </c>
      <c r="L27" s="89">
        <f>I27*K27</f>
        <v>16949.152542372882</v>
      </c>
      <c r="M27" s="110">
        <v>0</v>
      </c>
      <c r="N27" s="89">
        <f t="shared" si="6"/>
        <v>0</v>
      </c>
      <c r="O27" s="111">
        <v>7</v>
      </c>
      <c r="P27" s="199">
        <f t="shared" si="4"/>
        <v>2421.3075060532688</v>
      </c>
    </row>
    <row r="28" spans="2:16" x14ac:dyDescent="0.2">
      <c r="B28" s="1094"/>
      <c r="C28" s="551" t="str">
        <f>'（参考）水稲資本装備'!C23</f>
        <v>普通トラック</v>
      </c>
      <c r="D28" s="551"/>
      <c r="E28" s="551">
        <f>'（参考）水稲資本装備'!E23</f>
        <v>1</v>
      </c>
      <c r="F28" s="551" t="str">
        <f>'（参考）水稲資本装備'!F23</f>
        <v>台</v>
      </c>
      <c r="G28" s="551">
        <f>'（参考）水稲資本装備'!G23</f>
        <v>1500000</v>
      </c>
      <c r="H28" s="552">
        <v>0</v>
      </c>
      <c r="I28" s="854">
        <f t="shared" ref="I28:I30" si="8">G28*(1-H28)</f>
        <v>1500000</v>
      </c>
      <c r="J28" s="801">
        <f>'（参考）水稲資本装備'!J23</f>
        <v>29.5</v>
      </c>
      <c r="K28" s="102">
        <v>3.4000000000000002E-2</v>
      </c>
      <c r="L28" s="89">
        <f t="shared" ref="L28" si="9">I28*K28</f>
        <v>51000.000000000007</v>
      </c>
      <c r="M28" s="110">
        <v>0</v>
      </c>
      <c r="N28" s="89">
        <f t="shared" si="6"/>
        <v>0</v>
      </c>
      <c r="O28" s="111">
        <v>7</v>
      </c>
      <c r="P28" s="199">
        <f t="shared" si="4"/>
        <v>7285.7142857142871</v>
      </c>
    </row>
    <row r="29" spans="2:16" x14ac:dyDescent="0.2">
      <c r="B29" s="1094"/>
      <c r="C29" s="1108" t="str">
        <f>'（参考）水稲資本装備'!C24</f>
        <v>軽トラック</v>
      </c>
      <c r="D29" s="1108" t="s">
        <v>685</v>
      </c>
      <c r="E29" s="1108">
        <f>'（参考）水稲資本装備'!E24</f>
        <v>1</v>
      </c>
      <c r="F29" s="1108" t="str">
        <f>'（参考）水稲資本装備'!F24</f>
        <v>台</v>
      </c>
      <c r="G29" s="1108">
        <f>'（参考）水稲資本装備'!G24</f>
        <v>920000</v>
      </c>
      <c r="H29" s="1115">
        <v>0</v>
      </c>
      <c r="I29" s="1113">
        <f t="shared" si="8"/>
        <v>920000</v>
      </c>
      <c r="J29" s="801">
        <f>'（参考）水稲資本装備'!J24</f>
        <v>29.5</v>
      </c>
      <c r="K29" s="102">
        <f>'（参考）水稲資本装備'!K24</f>
        <v>3.3333333333333333E-2</v>
      </c>
      <c r="L29" s="89">
        <f t="shared" ref="L29" si="10">I29*K29</f>
        <v>30666.666666666668</v>
      </c>
      <c r="M29" s="110">
        <v>0</v>
      </c>
      <c r="N29" s="89">
        <f t="shared" si="6"/>
        <v>0</v>
      </c>
      <c r="O29" s="111">
        <v>7</v>
      </c>
      <c r="P29" s="199">
        <f t="shared" si="4"/>
        <v>4380.9523809523807</v>
      </c>
    </row>
    <row r="30" spans="2:16" x14ac:dyDescent="0.2">
      <c r="B30" s="1094"/>
      <c r="C30" s="1109"/>
      <c r="D30" s="1109"/>
      <c r="E30" s="1109"/>
      <c r="F30" s="1109"/>
      <c r="G30" s="1109"/>
      <c r="H30" s="1116"/>
      <c r="I30" s="1114">
        <f t="shared" si="8"/>
        <v>0</v>
      </c>
      <c r="J30" s="100" t="s">
        <v>659</v>
      </c>
      <c r="K30" s="102">
        <f>'（参考）イチジク資本装備'!K12*10</f>
        <v>3.3333333333333333E-2</v>
      </c>
      <c r="L30" s="89">
        <f>I29*K30</f>
        <v>30666.666666666668</v>
      </c>
      <c r="M30" s="110">
        <v>0</v>
      </c>
      <c r="N30" s="89">
        <f t="shared" si="6"/>
        <v>0</v>
      </c>
      <c r="O30" s="111">
        <v>7</v>
      </c>
      <c r="P30" s="199">
        <f t="shared" si="4"/>
        <v>4380.9523809523807</v>
      </c>
    </row>
    <row r="31" spans="2:16" x14ac:dyDescent="0.2">
      <c r="B31" s="1094"/>
      <c r="C31" s="643" t="str">
        <f>'（参考）イチジク資本装備'!C11</f>
        <v>動力噴霧機</v>
      </c>
      <c r="D31" s="643" t="str">
        <f>'（参考）イチジク資本装備'!D11</f>
        <v>可搬式4.5ｐｓ</v>
      </c>
      <c r="E31" s="643">
        <f>'（参考）イチジク資本装備'!E11</f>
        <v>1</v>
      </c>
      <c r="F31" s="643" t="str">
        <f>'（参考）イチジク資本装備'!F11</f>
        <v>台</v>
      </c>
      <c r="G31" s="643">
        <f>'（参考）イチジク資本装備'!G11</f>
        <v>248000</v>
      </c>
      <c r="H31" s="798">
        <v>0</v>
      </c>
      <c r="I31" s="856">
        <f>G31</f>
        <v>248000</v>
      </c>
      <c r="J31" s="100" t="s">
        <v>686</v>
      </c>
      <c r="K31" s="102">
        <v>2</v>
      </c>
      <c r="L31" s="89">
        <f t="shared" ref="L31" si="11">I31*K31</f>
        <v>496000</v>
      </c>
      <c r="M31" s="110">
        <v>0</v>
      </c>
      <c r="N31" s="89">
        <f t="shared" ref="N31" si="12">L31*M31</f>
        <v>0</v>
      </c>
      <c r="O31" s="111">
        <v>7</v>
      </c>
      <c r="P31" s="199">
        <f t="shared" si="4"/>
        <v>70857.142857142855</v>
      </c>
    </row>
    <row r="32" spans="2:16" x14ac:dyDescent="0.2">
      <c r="B32" s="1094"/>
      <c r="C32" s="643"/>
      <c r="D32" s="643"/>
      <c r="E32" s="643"/>
      <c r="F32" s="643"/>
      <c r="G32" s="643"/>
      <c r="H32" s="798"/>
      <c r="I32" s="856"/>
      <c r="J32" s="644"/>
      <c r="K32" s="799"/>
      <c r="L32" s="643"/>
      <c r="M32" s="800"/>
      <c r="N32" s="643"/>
      <c r="O32" s="643"/>
      <c r="P32" s="484"/>
    </row>
    <row r="33" spans="2:16" x14ac:dyDescent="0.2">
      <c r="B33" s="1095"/>
      <c r="C33" s="107" t="s">
        <v>46</v>
      </c>
      <c r="D33" s="107"/>
      <c r="E33" s="107"/>
      <c r="F33" s="108"/>
      <c r="G33" s="107">
        <f>SUM(G16:G30)</f>
        <v>50147200.120000005</v>
      </c>
      <c r="H33" s="107"/>
      <c r="I33" s="107">
        <f>SUM(I16:I30)</f>
        <v>50147200.120000005</v>
      </c>
      <c r="J33" s="106"/>
      <c r="K33" s="109"/>
      <c r="L33" s="107">
        <f>SUM(L16:L30)</f>
        <v>1730204.5238418081</v>
      </c>
      <c r="M33" s="107"/>
      <c r="N33" s="107"/>
      <c r="O33" s="107"/>
      <c r="P33" s="384">
        <f>SUM(P16:P30)</f>
        <v>247172.07483454401</v>
      </c>
    </row>
    <row r="34" spans="2:16" x14ac:dyDescent="0.2">
      <c r="B34" s="1093" t="s">
        <v>147</v>
      </c>
      <c r="C34" s="89" t="s">
        <v>706</v>
      </c>
      <c r="D34" s="89"/>
      <c r="E34" s="89"/>
      <c r="F34" s="89"/>
      <c r="G34" s="89">
        <v>146300</v>
      </c>
      <c r="H34" s="798">
        <v>0</v>
      </c>
      <c r="I34" s="856">
        <f>G34</f>
        <v>146300</v>
      </c>
      <c r="J34" s="100" t="s">
        <v>686</v>
      </c>
      <c r="K34" s="102">
        <v>2</v>
      </c>
      <c r="L34" s="89">
        <f t="shared" ref="L34" si="13">I34*K34</f>
        <v>292600</v>
      </c>
      <c r="M34" s="110">
        <v>0.05</v>
      </c>
      <c r="N34" s="89">
        <f>L34*M34</f>
        <v>14630</v>
      </c>
      <c r="O34" s="89">
        <v>10</v>
      </c>
      <c r="P34" s="199">
        <f>IF(O34="","",(L34-N34)/O34)</f>
        <v>27797</v>
      </c>
    </row>
    <row r="35" spans="2:16" x14ac:dyDescent="0.2">
      <c r="B35" s="1094"/>
      <c r="C35" s="89"/>
      <c r="D35" s="89"/>
      <c r="E35" s="89"/>
      <c r="F35" s="89"/>
      <c r="G35" s="89"/>
      <c r="H35" s="112"/>
      <c r="I35" s="89"/>
      <c r="J35" s="100"/>
      <c r="K35" s="102"/>
      <c r="L35" s="89">
        <f>I35*K35</f>
        <v>0</v>
      </c>
      <c r="M35" s="112"/>
      <c r="N35" s="89"/>
      <c r="O35" s="89"/>
      <c r="P35" s="199" t="str">
        <f>IF(O35="","",(L35-N35)/O35)</f>
        <v/>
      </c>
    </row>
    <row r="36" spans="2:16" x14ac:dyDescent="0.2">
      <c r="B36" s="1094"/>
      <c r="C36" s="89"/>
      <c r="D36" s="89"/>
      <c r="E36" s="89"/>
      <c r="F36" s="89"/>
      <c r="G36" s="89"/>
      <c r="H36" s="112"/>
      <c r="I36" s="89"/>
      <c r="J36" s="100"/>
      <c r="K36" s="102"/>
      <c r="L36" s="89">
        <f>I36*K36</f>
        <v>0</v>
      </c>
      <c r="M36" s="112"/>
      <c r="N36" s="89"/>
      <c r="O36" s="89"/>
      <c r="P36" s="199" t="str">
        <f>IF(O36="","",(L36-N36)/O36)</f>
        <v/>
      </c>
    </row>
    <row r="37" spans="2:16" x14ac:dyDescent="0.2">
      <c r="B37" s="1094"/>
      <c r="C37" s="89"/>
      <c r="D37" s="89"/>
      <c r="E37" s="89"/>
      <c r="F37" s="89"/>
      <c r="G37" s="89"/>
      <c r="H37" s="112"/>
      <c r="I37" s="89"/>
      <c r="J37" s="100"/>
      <c r="K37" s="102"/>
      <c r="L37" s="89">
        <f>I37*K37</f>
        <v>0</v>
      </c>
      <c r="M37" s="112"/>
      <c r="N37" s="89"/>
      <c r="O37" s="89"/>
      <c r="P37" s="199" t="str">
        <f>IF(O37="","",(L37-N37)/O37)</f>
        <v/>
      </c>
    </row>
    <row r="38" spans="2:16" x14ac:dyDescent="0.2">
      <c r="B38" s="1095"/>
      <c r="C38" s="113" t="s">
        <v>46</v>
      </c>
      <c r="D38" s="107"/>
      <c r="E38" s="107"/>
      <c r="F38" s="108"/>
      <c r="G38" s="107">
        <f>SUM(G34:G37)</f>
        <v>146300</v>
      </c>
      <c r="H38" s="107"/>
      <c r="I38" s="107">
        <f>SUM(I34:I37)</f>
        <v>146300</v>
      </c>
      <c r="J38" s="106"/>
      <c r="K38" s="109"/>
      <c r="L38" s="107">
        <f>SUM(L34:L37)</f>
        <v>292600</v>
      </c>
      <c r="M38" s="107"/>
      <c r="N38" s="107"/>
      <c r="O38" s="107"/>
      <c r="P38" s="384">
        <f>SUM(P34:P37)</f>
        <v>27797</v>
      </c>
    </row>
    <row r="39" spans="2:16" ht="13.5" thickBot="1" x14ac:dyDescent="0.25">
      <c r="B39" s="114"/>
      <c r="C39" s="115" t="s">
        <v>173</v>
      </c>
      <c r="D39" s="116"/>
      <c r="E39" s="116"/>
      <c r="F39" s="117"/>
      <c r="G39" s="116">
        <f>G15+G33+G38</f>
        <v>71947250.120000005</v>
      </c>
      <c r="H39" s="116"/>
      <c r="I39" s="116">
        <f>I15+I33+I38</f>
        <v>71947250.120000005</v>
      </c>
      <c r="J39" s="804"/>
      <c r="K39" s="118"/>
      <c r="L39" s="116">
        <f>L15+L33+L38</f>
        <v>9166321.4729943499</v>
      </c>
      <c r="M39" s="116"/>
      <c r="N39" s="116"/>
      <c r="O39" s="116"/>
      <c r="P39" s="385">
        <f>P15+P33+P38</f>
        <v>592989.74733317713</v>
      </c>
    </row>
    <row r="40" spans="2:16" ht="11.25" customHeight="1" x14ac:dyDescent="0.2"/>
  </sheetData>
  <mergeCells count="23">
    <mergeCell ref="J3:J4"/>
    <mergeCell ref="C29:C30"/>
    <mergeCell ref="D29:D30"/>
    <mergeCell ref="E29:E30"/>
    <mergeCell ref="F29:F30"/>
    <mergeCell ref="G29:G30"/>
    <mergeCell ref="H5:H7"/>
    <mergeCell ref="I5:I7"/>
    <mergeCell ref="I29:I30"/>
    <mergeCell ref="H29:H30"/>
    <mergeCell ref="B34:B38"/>
    <mergeCell ref="F2:G2"/>
    <mergeCell ref="E3:F3"/>
    <mergeCell ref="B5:B15"/>
    <mergeCell ref="B3:B4"/>
    <mergeCell ref="B16:B33"/>
    <mergeCell ref="C3:C4"/>
    <mergeCell ref="D3:D4"/>
    <mergeCell ref="C5:C7"/>
    <mergeCell ref="D5:D7"/>
    <mergeCell ref="E5:E7"/>
    <mergeCell ref="F5:F7"/>
    <mergeCell ref="G5:G7"/>
  </mergeCells>
  <phoneticPr fontId="4"/>
  <conditionalFormatting sqref="L5:L14">
    <cfRule type="cellIs" dxfId="52" priority="3" operator="equal">
      <formula>0</formula>
    </cfRule>
  </conditionalFormatting>
  <conditionalFormatting sqref="L34:L37">
    <cfRule type="cellIs" dxfId="51" priority="2" operator="equal">
      <formula>0</formula>
    </cfRule>
  </conditionalFormatting>
  <conditionalFormatting sqref="P5:P14">
    <cfRule type="cellIs" dxfId="50" priority="1" operator="equal">
      <formula>0</formula>
    </cfRule>
  </conditionalFormatting>
  <pageMargins left="0.78740157480314965" right="0.39370078740157483" top="0.78740157480314965" bottom="0" header="0.39370078740157483" footer="0.39370078740157483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90625" defaultRowHeight="13" x14ac:dyDescent="0.2"/>
  <cols>
    <col min="1" max="1" width="1.6328125" style="159" customWidth="1"/>
    <col min="2" max="2" width="5.90625" style="159" customWidth="1"/>
    <col min="3" max="3" width="10.6328125" style="159" customWidth="1"/>
    <col min="4" max="4" width="12.36328125" style="159" customWidth="1"/>
    <col min="5" max="5" width="14.6328125" style="159" customWidth="1"/>
    <col min="6" max="7" width="15.90625" style="159" customWidth="1"/>
    <col min="8" max="8" width="10.90625" style="159"/>
    <col min="9" max="9" width="11.36328125" style="159" bestFit="1" customWidth="1"/>
    <col min="10" max="10" width="13.36328125" style="159" customWidth="1"/>
    <col min="11" max="11" width="7.08984375" style="159" customWidth="1"/>
    <col min="12" max="12" width="15.36328125" style="159" customWidth="1"/>
    <col min="13" max="13" width="9.36328125" style="159" bestFit="1" customWidth="1"/>
    <col min="14" max="14" width="10.90625" style="159"/>
    <col min="15" max="15" width="7.26953125" style="159" customWidth="1"/>
    <col min="16" max="16" width="9.6328125" style="159" customWidth="1"/>
    <col min="17" max="17" width="10.90625" style="159" customWidth="1"/>
    <col min="18" max="18" width="7.453125" style="159" customWidth="1"/>
    <col min="19" max="19" width="3.7265625" style="159" customWidth="1"/>
    <col min="20" max="16384" width="10.90625" style="159"/>
  </cols>
  <sheetData>
    <row r="1" spans="2:19" s="160" customFormat="1" ht="10" customHeight="1" x14ac:dyDescent="0.2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2:19" s="160" customFormat="1" ht="25" customHeight="1" thickBot="1" x14ac:dyDescent="0.25">
      <c r="B2" s="160" t="s">
        <v>108</v>
      </c>
      <c r="H2" s="161" t="s">
        <v>271</v>
      </c>
      <c r="I2" s="3" t="s">
        <v>432</v>
      </c>
      <c r="K2" s="161" t="s">
        <v>272</v>
      </c>
      <c r="L2" s="3" t="s">
        <v>466</v>
      </c>
      <c r="N2" s="159"/>
      <c r="O2" s="159"/>
      <c r="Q2" s="4"/>
      <c r="R2" s="4"/>
    </row>
    <row r="3" spans="2:19" s="160" customFormat="1" ht="18" customHeight="1" x14ac:dyDescent="0.2">
      <c r="B3" s="1159" t="s">
        <v>20</v>
      </c>
      <c r="C3" s="1160"/>
      <c r="D3" s="1160"/>
      <c r="E3" s="1161"/>
      <c r="F3" s="190" t="s">
        <v>21</v>
      </c>
      <c r="G3" s="163"/>
      <c r="H3" s="164" t="s">
        <v>22</v>
      </c>
      <c r="I3" s="162"/>
      <c r="J3" s="162"/>
      <c r="K3" s="1149" t="s">
        <v>238</v>
      </c>
      <c r="L3" s="1150"/>
      <c r="M3" s="1150"/>
      <c r="N3" s="1150"/>
      <c r="O3" s="1150"/>
      <c r="P3" s="1150"/>
      <c r="Q3" s="1150"/>
      <c r="R3" s="1150"/>
      <c r="S3" s="1151"/>
    </row>
    <row r="4" spans="2:19" s="160" customFormat="1" ht="18" customHeight="1" x14ac:dyDescent="0.2">
      <c r="B4" s="1157" t="s">
        <v>23</v>
      </c>
      <c r="C4" s="1158"/>
      <c r="D4" s="261" t="s">
        <v>231</v>
      </c>
      <c r="E4" s="280"/>
      <c r="F4" s="273">
        <f>+R11</f>
        <v>918000</v>
      </c>
      <c r="G4" s="261" t="s">
        <v>212</v>
      </c>
      <c r="H4" s="175"/>
      <c r="I4" s="175"/>
      <c r="J4" s="175"/>
      <c r="K4" s="269" t="s">
        <v>57</v>
      </c>
      <c r="L4" s="355" t="s">
        <v>278</v>
      </c>
      <c r="M4" s="270" t="s">
        <v>24</v>
      </c>
      <c r="N4" s="270" t="s">
        <v>23</v>
      </c>
      <c r="O4" s="270" t="s">
        <v>57</v>
      </c>
      <c r="P4" s="355" t="s">
        <v>279</v>
      </c>
      <c r="Q4" s="270" t="s">
        <v>24</v>
      </c>
      <c r="R4" s="1152" t="s">
        <v>23</v>
      </c>
      <c r="S4" s="1153"/>
    </row>
    <row r="5" spans="2:19" s="160" customFormat="1" ht="18" customHeight="1" x14ac:dyDescent="0.2">
      <c r="B5" s="1157"/>
      <c r="C5" s="1158"/>
      <c r="D5" s="261" t="s">
        <v>92</v>
      </c>
      <c r="E5" s="280"/>
      <c r="F5" s="273"/>
      <c r="G5" s="227"/>
      <c r="H5" s="281"/>
      <c r="I5" s="281"/>
      <c r="J5" s="281"/>
      <c r="K5" s="272" t="s">
        <v>368</v>
      </c>
      <c r="L5" s="273">
        <v>5100</v>
      </c>
      <c r="M5" s="273">
        <v>180</v>
      </c>
      <c r="N5" s="273">
        <f>L5*M5</f>
        <v>918000</v>
      </c>
      <c r="O5" s="273"/>
      <c r="P5" s="273"/>
      <c r="Q5" s="273"/>
      <c r="R5" s="1126"/>
      <c r="S5" s="1119"/>
    </row>
    <row r="6" spans="2:19" s="160" customFormat="1" ht="18" customHeight="1" x14ac:dyDescent="0.2">
      <c r="B6" s="1165" t="s">
        <v>236</v>
      </c>
      <c r="C6" s="1162" t="s">
        <v>222</v>
      </c>
      <c r="D6" s="273" t="s">
        <v>59</v>
      </c>
      <c r="E6" s="282"/>
      <c r="F6" s="273">
        <f>+P13</f>
        <v>91000</v>
      </c>
      <c r="G6" s="227" t="s">
        <v>213</v>
      </c>
      <c r="H6" s="281"/>
      <c r="I6" s="281"/>
      <c r="J6" s="281"/>
      <c r="K6" s="279"/>
      <c r="L6" s="446"/>
      <c r="M6" s="273"/>
      <c r="N6" s="273"/>
      <c r="O6" s="273"/>
      <c r="P6" s="273"/>
      <c r="Q6" s="273"/>
      <c r="R6" s="1126"/>
      <c r="S6" s="1119"/>
    </row>
    <row r="7" spans="2:19" s="160" customFormat="1" ht="18" customHeight="1" x14ac:dyDescent="0.2">
      <c r="B7" s="1166"/>
      <c r="C7" s="1163"/>
      <c r="D7" s="273" t="s">
        <v>60</v>
      </c>
      <c r="E7" s="282"/>
      <c r="F7" s="273">
        <f>P22</f>
        <v>94750</v>
      </c>
      <c r="G7" s="261" t="s">
        <v>468</v>
      </c>
      <c r="H7" s="175"/>
      <c r="I7" s="175"/>
      <c r="J7" s="283"/>
      <c r="K7" s="277"/>
      <c r="L7" s="447"/>
      <c r="M7" s="273"/>
      <c r="N7" s="273"/>
      <c r="O7" s="273"/>
      <c r="P7" s="273"/>
      <c r="Q7" s="273"/>
      <c r="R7" s="1126"/>
      <c r="S7" s="1119"/>
    </row>
    <row r="8" spans="2:19" s="160" customFormat="1" ht="18" customHeight="1" x14ac:dyDescent="0.2">
      <c r="B8" s="1166"/>
      <c r="C8" s="1163"/>
      <c r="D8" s="273" t="s">
        <v>61</v>
      </c>
      <c r="E8" s="282"/>
      <c r="F8" s="273">
        <f>P28</f>
        <v>62757.266666666663</v>
      </c>
      <c r="G8" s="261" t="s">
        <v>468</v>
      </c>
      <c r="H8" s="248"/>
      <c r="I8" s="248"/>
      <c r="J8" s="284"/>
      <c r="K8" s="275"/>
      <c r="L8" s="273"/>
      <c r="M8" s="273"/>
      <c r="N8" s="273"/>
      <c r="O8" s="273"/>
      <c r="P8" s="273"/>
      <c r="Q8" s="273"/>
      <c r="R8" s="1126"/>
      <c r="S8" s="1119"/>
    </row>
    <row r="9" spans="2:19" s="160" customFormat="1" ht="18" customHeight="1" x14ac:dyDescent="0.2">
      <c r="B9" s="1166"/>
      <c r="C9" s="1163"/>
      <c r="D9" s="273" t="s">
        <v>93</v>
      </c>
      <c r="E9" s="282"/>
      <c r="F9" s="273">
        <f>P37</f>
        <v>51400.786899999999</v>
      </c>
      <c r="G9" s="261" t="s">
        <v>468</v>
      </c>
      <c r="H9" s="248"/>
      <c r="I9" s="248"/>
      <c r="J9" s="284"/>
      <c r="K9" s="275"/>
      <c r="L9" s="273"/>
      <c r="M9" s="273"/>
      <c r="N9" s="273"/>
      <c r="O9" s="273"/>
      <c r="P9" s="273"/>
      <c r="Q9" s="273"/>
      <c r="R9" s="1126"/>
      <c r="S9" s="1119"/>
    </row>
    <row r="10" spans="2:19" s="160" customFormat="1" ht="18" customHeight="1" x14ac:dyDescent="0.2">
      <c r="B10" s="1166"/>
      <c r="C10" s="1163"/>
      <c r="D10" s="273" t="s">
        <v>62</v>
      </c>
      <c r="E10" s="282"/>
      <c r="F10" s="273">
        <f>'８－１　水稲算出基礎（早期コシヒカリ）'!V21</f>
        <v>2000</v>
      </c>
      <c r="G10" s="1117" t="s">
        <v>216</v>
      </c>
      <c r="H10" s="1118"/>
      <c r="I10" s="1118"/>
      <c r="J10" s="1119"/>
      <c r="K10" s="275"/>
      <c r="L10" s="273"/>
      <c r="M10" s="273"/>
      <c r="N10" s="273"/>
      <c r="O10" s="273"/>
      <c r="P10" s="273"/>
      <c r="Q10" s="273"/>
      <c r="R10" s="1126"/>
      <c r="S10" s="1119"/>
    </row>
    <row r="11" spans="2:19" s="160" customFormat="1" ht="18" customHeight="1" thickBot="1" x14ac:dyDescent="0.25">
      <c r="B11" s="1166"/>
      <c r="C11" s="1163"/>
      <c r="D11" s="273" t="s">
        <v>6</v>
      </c>
      <c r="E11" s="282"/>
      <c r="F11" s="273">
        <f>'８－１　水稲算出基礎（早期コシヒカリ）'!V34</f>
        <v>84.745762711864401</v>
      </c>
      <c r="G11" s="1117" t="s">
        <v>216</v>
      </c>
      <c r="H11" s="1118"/>
      <c r="I11" s="1118"/>
      <c r="J11" s="1119"/>
      <c r="K11" s="181"/>
      <c r="L11" s="166"/>
      <c r="M11" s="166"/>
      <c r="N11" s="165"/>
      <c r="O11" s="167" t="s">
        <v>25</v>
      </c>
      <c r="P11" s="168">
        <f>SUM(L5:L11,P5:Q10)</f>
        <v>5100</v>
      </c>
      <c r="Q11" s="169">
        <f>R11/P11</f>
        <v>180</v>
      </c>
      <c r="R11" s="1138">
        <f>SUM(N5:N11,R5:S10)</f>
        <v>918000</v>
      </c>
      <c r="S11" s="1139"/>
    </row>
    <row r="12" spans="2:19" s="160" customFormat="1" ht="18" customHeight="1" thickTop="1" x14ac:dyDescent="0.2">
      <c r="B12" s="1166"/>
      <c r="C12" s="1163"/>
      <c r="D12" s="273" t="s">
        <v>7</v>
      </c>
      <c r="E12" s="282"/>
      <c r="F12" s="273"/>
      <c r="G12" s="233"/>
      <c r="H12" s="248"/>
      <c r="I12" s="248"/>
      <c r="J12" s="284"/>
      <c r="K12" s="1129" t="s">
        <v>237</v>
      </c>
      <c r="L12" s="263" t="s">
        <v>182</v>
      </c>
      <c r="M12" s="264" t="s">
        <v>9</v>
      </c>
      <c r="N12" s="357" t="s">
        <v>277</v>
      </c>
      <c r="O12" s="265" t="s">
        <v>24</v>
      </c>
      <c r="P12" s="265" t="s">
        <v>27</v>
      </c>
      <c r="Q12" s="1140" t="s">
        <v>28</v>
      </c>
      <c r="R12" s="1141"/>
      <c r="S12" s="1142"/>
    </row>
    <row r="13" spans="2:19" s="160" customFormat="1" ht="18" customHeight="1" x14ac:dyDescent="0.2">
      <c r="B13" s="1166"/>
      <c r="C13" s="1163"/>
      <c r="D13" s="1154" t="s">
        <v>63</v>
      </c>
      <c r="E13" s="285" t="s">
        <v>208</v>
      </c>
      <c r="F13" s="439">
        <f>'（参考）水稲資本装備'!L9*'７－１　水稲部門（早期コシヒカリ）収支'!H13</f>
        <v>6235.1694915254238</v>
      </c>
      <c r="G13" s="233" t="s">
        <v>214</v>
      </c>
      <c r="H13" s="530">
        <v>0.01</v>
      </c>
      <c r="I13" s="1127" t="s">
        <v>217</v>
      </c>
      <c r="J13" s="1128"/>
      <c r="K13" s="1130"/>
      <c r="L13" s="268" t="s">
        <v>152</v>
      </c>
      <c r="M13" s="262" t="s">
        <v>428</v>
      </c>
      <c r="N13" s="193">
        <v>130</v>
      </c>
      <c r="O13" s="193">
        <v>700</v>
      </c>
      <c r="P13" s="193">
        <f>N13*O13</f>
        <v>91000</v>
      </c>
      <c r="Q13" s="1120"/>
      <c r="R13" s="1121"/>
      <c r="S13" s="1122"/>
    </row>
    <row r="14" spans="2:19" s="160" customFormat="1" ht="18" customHeight="1" x14ac:dyDescent="0.2">
      <c r="B14" s="1166"/>
      <c r="C14" s="1163"/>
      <c r="D14" s="1155"/>
      <c r="E14" s="285" t="s">
        <v>209</v>
      </c>
      <c r="F14" s="273">
        <f>'（参考）水稲資本装備'!L26*'７－１　水稲部門（早期コシヒカリ）収支'!H14</f>
        <v>85468.994553672339</v>
      </c>
      <c r="G14" s="233" t="s">
        <v>214</v>
      </c>
      <c r="H14" s="530">
        <v>0.05</v>
      </c>
      <c r="I14" s="1127" t="s">
        <v>217</v>
      </c>
      <c r="J14" s="1128"/>
      <c r="K14" s="1130"/>
      <c r="L14" s="268"/>
      <c r="M14" s="262"/>
      <c r="N14" s="193"/>
      <c r="O14" s="193"/>
      <c r="P14" s="193"/>
      <c r="Q14" s="1120"/>
      <c r="R14" s="1121"/>
      <c r="S14" s="1122"/>
    </row>
    <row r="15" spans="2:19" s="160" customFormat="1" ht="18" customHeight="1" thickBot="1" x14ac:dyDescent="0.25">
      <c r="B15" s="1166"/>
      <c r="C15" s="1163"/>
      <c r="D15" s="1154" t="s">
        <v>94</v>
      </c>
      <c r="E15" s="285" t="s">
        <v>208</v>
      </c>
      <c r="F15" s="273">
        <f>'（参考）水稲資本装備'!P9</f>
        <v>24940.677966101692</v>
      </c>
      <c r="G15" s="233" t="s">
        <v>217</v>
      </c>
      <c r="H15" s="240"/>
      <c r="I15" s="240"/>
      <c r="J15" s="241"/>
      <c r="K15" s="1130"/>
      <c r="L15" s="172" t="s">
        <v>29</v>
      </c>
      <c r="M15" s="171"/>
      <c r="N15" s="172"/>
      <c r="O15" s="172"/>
      <c r="P15" s="172">
        <f>SUM(P13:P14)</f>
        <v>91000</v>
      </c>
      <c r="Q15" s="1132"/>
      <c r="R15" s="1133"/>
      <c r="S15" s="1134"/>
    </row>
    <row r="16" spans="2:19" s="160" customFormat="1" ht="18" customHeight="1" thickTop="1" x14ac:dyDescent="0.2">
      <c r="B16" s="1166"/>
      <c r="C16" s="1163"/>
      <c r="D16" s="1156"/>
      <c r="E16" s="285" t="s">
        <v>209</v>
      </c>
      <c r="F16" s="273">
        <f>'（参考）水稲資本装備'!P26</f>
        <v>244197.12729620666</v>
      </c>
      <c r="G16" s="233" t="s">
        <v>217</v>
      </c>
      <c r="H16" s="240"/>
      <c r="I16" s="240"/>
      <c r="J16" s="241"/>
      <c r="K16" s="1130"/>
      <c r="L16" s="257" t="s">
        <v>183</v>
      </c>
      <c r="M16" s="258"/>
      <c r="N16" s="356" t="s">
        <v>277</v>
      </c>
      <c r="O16" s="454" t="s">
        <v>24</v>
      </c>
      <c r="P16" s="260" t="s">
        <v>27</v>
      </c>
      <c r="Q16" s="1135" t="s">
        <v>28</v>
      </c>
      <c r="R16" s="1136"/>
      <c r="S16" s="1137"/>
    </row>
    <row r="17" spans="1:19" s="160" customFormat="1" ht="18" customHeight="1" x14ac:dyDescent="0.2">
      <c r="B17" s="1166"/>
      <c r="C17" s="1163"/>
      <c r="D17" s="1155"/>
      <c r="E17" s="273" t="s">
        <v>64</v>
      </c>
      <c r="F17" s="273">
        <f>'（参考）水稲資本装備'!P31</f>
        <v>0</v>
      </c>
      <c r="G17" s="233" t="s">
        <v>217</v>
      </c>
      <c r="H17" s="240"/>
      <c r="I17" s="240"/>
      <c r="J17" s="241"/>
      <c r="K17" s="1130"/>
      <c r="L17" s="261" t="s">
        <v>189</v>
      </c>
      <c r="M17" s="262"/>
      <c r="N17" s="233" t="s">
        <v>334</v>
      </c>
      <c r="O17" s="252"/>
      <c r="P17" s="250">
        <f>'８－１　水稲算出基礎（早期コシヒカリ）'!G7</f>
        <v>0</v>
      </c>
      <c r="Q17" s="1123"/>
      <c r="R17" s="1124"/>
      <c r="S17" s="1125"/>
    </row>
    <row r="18" spans="1:19" s="160" customFormat="1" ht="18" customHeight="1" x14ac:dyDescent="0.2">
      <c r="A18" s="159"/>
      <c r="B18" s="1166"/>
      <c r="C18" s="1163"/>
      <c r="D18" s="1179" t="s">
        <v>282</v>
      </c>
      <c r="E18" s="278" t="s">
        <v>128</v>
      </c>
      <c r="F18" s="273"/>
      <c r="G18" s="233"/>
      <c r="H18" s="240"/>
      <c r="I18" s="240"/>
      <c r="J18" s="241"/>
      <c r="K18" s="1130"/>
      <c r="L18" s="261" t="s">
        <v>187</v>
      </c>
      <c r="M18" s="262"/>
      <c r="N18" s="233" t="s">
        <v>298</v>
      </c>
      <c r="O18" s="252"/>
      <c r="P18" s="250">
        <f>'８－１　水稲算出基礎（早期コシヒカリ）'!G11</f>
        <v>38400</v>
      </c>
      <c r="Q18" s="1123"/>
      <c r="R18" s="1124"/>
      <c r="S18" s="1125"/>
    </row>
    <row r="19" spans="1:19" s="160" customFormat="1" ht="18" customHeight="1" x14ac:dyDescent="0.2">
      <c r="A19" s="159"/>
      <c r="B19" s="1166"/>
      <c r="C19" s="1163"/>
      <c r="D19" s="1179"/>
      <c r="E19" s="278" t="s">
        <v>124</v>
      </c>
      <c r="F19" s="273">
        <f>J19*'５－１　水稲（早期コシヒカリ）作業時間'!AO22</f>
        <v>37290.000000000007</v>
      </c>
      <c r="G19" s="233"/>
      <c r="H19" s="248"/>
      <c r="I19" s="296" t="s">
        <v>346</v>
      </c>
      <c r="J19" s="519">
        <v>1100</v>
      </c>
      <c r="K19" s="1130"/>
      <c r="L19" s="233" t="s">
        <v>188</v>
      </c>
      <c r="M19" s="248"/>
      <c r="N19" s="233" t="s">
        <v>298</v>
      </c>
      <c r="O19" s="252"/>
      <c r="P19" s="250">
        <f>'８－１　水稲算出基礎（早期コシヒカリ）'!G16</f>
        <v>56350</v>
      </c>
      <c r="Q19" s="1123"/>
      <c r="R19" s="1124"/>
      <c r="S19" s="1125"/>
    </row>
    <row r="20" spans="1:19" s="160" customFormat="1" ht="18" customHeight="1" x14ac:dyDescent="0.2">
      <c r="A20" s="159"/>
      <c r="B20" s="1166"/>
      <c r="C20" s="1163"/>
      <c r="D20" s="1179"/>
      <c r="E20" s="278" t="s">
        <v>125</v>
      </c>
      <c r="F20" s="273">
        <f>J20*'５－１　水稲（早期コシヒカリ）作業時間'!AP22</f>
        <v>40320.000000000007</v>
      </c>
      <c r="G20" s="233"/>
      <c r="H20" s="248"/>
      <c r="I20" s="296" t="s">
        <v>347</v>
      </c>
      <c r="J20" s="519">
        <v>900</v>
      </c>
      <c r="K20" s="1130"/>
      <c r="L20" s="233" t="s">
        <v>714</v>
      </c>
      <c r="M20" s="248"/>
      <c r="N20" s="233"/>
      <c r="O20" s="252"/>
      <c r="P20" s="250">
        <f>'８－１　水稲算出基礎（早期コシヒカリ）'!G20</f>
        <v>0</v>
      </c>
      <c r="Q20" s="1123"/>
      <c r="R20" s="1124"/>
      <c r="S20" s="1125"/>
    </row>
    <row r="21" spans="1:19" s="160" customFormat="1" ht="18" customHeight="1" x14ac:dyDescent="0.2">
      <c r="A21" s="159"/>
      <c r="B21" s="1166"/>
      <c r="C21" s="1163"/>
      <c r="D21" s="1179"/>
      <c r="E21" s="278" t="s">
        <v>126</v>
      </c>
      <c r="F21" s="273">
        <f>(F19+F20)*0.012</f>
        <v>931.32000000000016</v>
      </c>
      <c r="G21" s="233"/>
      <c r="H21" s="248"/>
      <c r="I21" s="248"/>
      <c r="J21" s="284"/>
      <c r="K21" s="1130"/>
      <c r="L21" s="233" t="s">
        <v>707</v>
      </c>
      <c r="M21" s="248"/>
      <c r="N21" s="233"/>
      <c r="O21" s="250"/>
      <c r="P21" s="250">
        <f>'８－１　水稲算出基礎（早期コシヒカリ）'!G24</f>
        <v>0</v>
      </c>
      <c r="Q21" s="1123"/>
      <c r="R21" s="1124"/>
      <c r="S21" s="1125"/>
    </row>
    <row r="22" spans="1:19" s="160" customFormat="1" ht="18" customHeight="1" thickBot="1" x14ac:dyDescent="0.25">
      <c r="A22" s="159"/>
      <c r="B22" s="1166"/>
      <c r="C22" s="1163"/>
      <c r="D22" s="1179" t="s">
        <v>65</v>
      </c>
      <c r="E22" s="278" t="s">
        <v>66</v>
      </c>
      <c r="F22" s="273">
        <f t="shared" ref="F22:F23" si="0">I22*10</f>
        <v>23760</v>
      </c>
      <c r="G22" s="233"/>
      <c r="H22" s="248"/>
      <c r="I22" s="248">
        <v>2376</v>
      </c>
      <c r="J22" s="284" t="s">
        <v>345</v>
      </c>
      <c r="K22" s="1130"/>
      <c r="L22" s="172" t="s">
        <v>29</v>
      </c>
      <c r="M22" s="171"/>
      <c r="N22" s="172"/>
      <c r="O22" s="172"/>
      <c r="P22" s="172">
        <f>SUM(P17:P21)</f>
        <v>94750</v>
      </c>
      <c r="Q22" s="1132"/>
      <c r="R22" s="1133"/>
      <c r="S22" s="1134"/>
    </row>
    <row r="23" spans="1:19" s="160" customFormat="1" ht="18" customHeight="1" thickTop="1" x14ac:dyDescent="0.2">
      <c r="A23" s="159"/>
      <c r="B23" s="1166"/>
      <c r="C23" s="1163"/>
      <c r="D23" s="1179"/>
      <c r="E23" s="278" t="s">
        <v>95</v>
      </c>
      <c r="F23" s="273">
        <f t="shared" si="0"/>
        <v>50000</v>
      </c>
      <c r="G23" s="233"/>
      <c r="H23" s="248"/>
      <c r="I23" s="248">
        <v>5000</v>
      </c>
      <c r="J23" s="284" t="s">
        <v>345</v>
      </c>
      <c r="K23" s="1130"/>
      <c r="L23" s="233" t="s">
        <v>184</v>
      </c>
      <c r="M23" s="248"/>
      <c r="N23" s="249" t="s">
        <v>26</v>
      </c>
      <c r="O23" s="249" t="s">
        <v>24</v>
      </c>
      <c r="P23" s="249" t="s">
        <v>27</v>
      </c>
      <c r="Q23" s="1135" t="s">
        <v>28</v>
      </c>
      <c r="R23" s="1136"/>
      <c r="S23" s="1137"/>
    </row>
    <row r="24" spans="1:19" s="160" customFormat="1" ht="18" customHeight="1" x14ac:dyDescent="0.2">
      <c r="A24" s="159"/>
      <c r="B24" s="1166"/>
      <c r="C24" s="1163"/>
      <c r="D24" s="273" t="s">
        <v>67</v>
      </c>
      <c r="E24" s="282"/>
      <c r="F24" s="273">
        <f>I24*10</f>
        <v>30000</v>
      </c>
      <c r="G24" s="233"/>
      <c r="H24" s="248"/>
      <c r="I24" s="520">
        <v>3000</v>
      </c>
      <c r="J24" s="284" t="s">
        <v>345</v>
      </c>
      <c r="K24" s="1130"/>
      <c r="L24" s="250" t="s">
        <v>30</v>
      </c>
      <c r="M24" s="248"/>
      <c r="N24" s="233" t="s">
        <v>336</v>
      </c>
      <c r="O24" s="250"/>
      <c r="P24" s="250">
        <f>'８－１　水稲算出基礎（早期コシヒカリ）'!G38</f>
        <v>5512.1</v>
      </c>
      <c r="Q24" s="1123"/>
      <c r="R24" s="1124"/>
      <c r="S24" s="1125"/>
    </row>
    <row r="25" spans="1:19" s="160" customFormat="1" ht="18" customHeight="1" x14ac:dyDescent="0.2">
      <c r="A25" s="159"/>
      <c r="B25" s="1166"/>
      <c r="C25" s="1163"/>
      <c r="D25" s="273" t="s">
        <v>186</v>
      </c>
      <c r="E25" s="282"/>
      <c r="F25" s="273">
        <f>SUM(F6:F24)/99</f>
        <v>8536.7281680493397</v>
      </c>
      <c r="G25" s="287" t="s">
        <v>239</v>
      </c>
      <c r="H25" s="301">
        <v>0.01</v>
      </c>
      <c r="I25" s="174"/>
      <c r="J25" s="16"/>
      <c r="K25" s="1130"/>
      <c r="L25" s="250" t="s">
        <v>337</v>
      </c>
      <c r="M25" s="248"/>
      <c r="N25" s="233" t="s">
        <v>338</v>
      </c>
      <c r="O25" s="250"/>
      <c r="P25" s="250">
        <f>'８－１　水稲算出基礎（早期コシヒカリ）'!G49</f>
        <v>4975</v>
      </c>
      <c r="Q25" s="1123"/>
      <c r="R25" s="1124"/>
      <c r="S25" s="1125"/>
    </row>
    <row r="26" spans="1:19" s="160" customFormat="1" ht="18" customHeight="1" x14ac:dyDescent="0.2">
      <c r="A26" s="159"/>
      <c r="B26" s="1166"/>
      <c r="C26" s="1164"/>
      <c r="D26" s="1185" t="s">
        <v>230</v>
      </c>
      <c r="E26" s="1186"/>
      <c r="F26" s="191">
        <f>SUM(F6:F25)</f>
        <v>853672.81680493394</v>
      </c>
      <c r="G26" s="242"/>
      <c r="H26" s="174"/>
      <c r="I26" s="174"/>
      <c r="J26" s="177"/>
      <c r="K26" s="1130"/>
      <c r="L26" s="250" t="s">
        <v>32</v>
      </c>
      <c r="M26" s="248"/>
      <c r="N26" s="233" t="s">
        <v>334</v>
      </c>
      <c r="O26" s="250"/>
      <c r="P26" s="250">
        <f>'８－１　水稲算出基礎（早期コシヒカリ）'!G53</f>
        <v>24330</v>
      </c>
      <c r="Q26" s="1123"/>
      <c r="R26" s="1124"/>
      <c r="S26" s="1125"/>
    </row>
    <row r="27" spans="1:19" s="160" customFormat="1" ht="18" customHeight="1" x14ac:dyDescent="0.2">
      <c r="A27" s="159"/>
      <c r="B27" s="1166"/>
      <c r="C27" s="1180" t="s">
        <v>215</v>
      </c>
      <c r="D27" s="1043" t="s">
        <v>68</v>
      </c>
      <c r="E27" s="60" t="s">
        <v>3</v>
      </c>
      <c r="F27" s="165">
        <f>P11/30*J27</f>
        <v>13600</v>
      </c>
      <c r="G27" s="261"/>
      <c r="H27" s="248"/>
      <c r="I27" s="170" t="s">
        <v>352</v>
      </c>
      <c r="J27" s="442">
        <v>80</v>
      </c>
      <c r="K27" s="1130"/>
      <c r="L27" s="250" t="s">
        <v>335</v>
      </c>
      <c r="M27" s="248"/>
      <c r="N27" s="233" t="s">
        <v>338</v>
      </c>
      <c r="O27" s="250"/>
      <c r="P27" s="250">
        <f>'８－１　水稲算出基礎（早期コシヒカリ）'!G57</f>
        <v>27940.166666666664</v>
      </c>
      <c r="Q27" s="1123"/>
      <c r="R27" s="1124"/>
      <c r="S27" s="1125"/>
    </row>
    <row r="28" spans="1:19" s="160" customFormat="1" ht="18" customHeight="1" thickBot="1" x14ac:dyDescent="0.25">
      <c r="A28" s="159"/>
      <c r="B28" s="1166"/>
      <c r="C28" s="1181"/>
      <c r="D28" s="1046"/>
      <c r="E28" s="60" t="s">
        <v>4</v>
      </c>
      <c r="F28" s="192"/>
      <c r="G28" s="261"/>
      <c r="H28" s="288"/>
      <c r="I28" s="288"/>
      <c r="J28" s="289"/>
      <c r="K28" s="1130"/>
      <c r="L28" s="172" t="s">
        <v>29</v>
      </c>
      <c r="M28" s="171"/>
      <c r="N28" s="172"/>
      <c r="O28" s="172"/>
      <c r="P28" s="172">
        <f>SUM(P24:P27)</f>
        <v>62757.266666666663</v>
      </c>
      <c r="Q28" s="1132"/>
      <c r="R28" s="1133"/>
      <c r="S28" s="1134"/>
    </row>
    <row r="29" spans="1:19" s="160" customFormat="1" ht="18" customHeight="1" thickTop="1" x14ac:dyDescent="0.2">
      <c r="A29" s="159"/>
      <c r="B29" s="1166"/>
      <c r="C29" s="1181"/>
      <c r="D29" s="1044"/>
      <c r="E29" s="60" t="s">
        <v>8</v>
      </c>
      <c r="F29" s="165">
        <f>P11/30*J29</f>
        <v>21250</v>
      </c>
      <c r="G29" s="261"/>
      <c r="H29" s="175"/>
      <c r="I29" s="288" t="s">
        <v>353</v>
      </c>
      <c r="J29" s="443">
        <v>125</v>
      </c>
      <c r="K29" s="1130"/>
      <c r="L29" s="233" t="s">
        <v>185</v>
      </c>
      <c r="M29" s="248"/>
      <c r="N29" s="249" t="s">
        <v>26</v>
      </c>
      <c r="O29" s="249" t="s">
        <v>24</v>
      </c>
      <c r="P29" s="249" t="s">
        <v>27</v>
      </c>
      <c r="Q29" s="1135" t="s">
        <v>28</v>
      </c>
      <c r="R29" s="1136"/>
      <c r="S29" s="1137"/>
    </row>
    <row r="30" spans="1:19" s="160" customFormat="1" ht="18" customHeight="1" x14ac:dyDescent="0.2">
      <c r="A30" s="159"/>
      <c r="B30" s="1166"/>
      <c r="C30" s="1181"/>
      <c r="D30" s="60" t="s">
        <v>69</v>
      </c>
      <c r="E30" s="61"/>
      <c r="F30" s="165"/>
      <c r="G30" s="261" t="s">
        <v>218</v>
      </c>
      <c r="H30" s="175"/>
      <c r="I30" s="288"/>
      <c r="J30" s="290"/>
      <c r="K30" s="1130"/>
      <c r="L30" s="250" t="s">
        <v>175</v>
      </c>
      <c r="M30" s="251"/>
      <c r="N30" s="233" t="s">
        <v>339</v>
      </c>
      <c r="O30" s="252"/>
      <c r="P30" s="250">
        <f>'８－１　水稲算出基礎（早期コシヒカリ）'!N12</f>
        <v>20052.724999999999</v>
      </c>
      <c r="Q30" s="1146"/>
      <c r="R30" s="1147"/>
      <c r="S30" s="1148"/>
    </row>
    <row r="31" spans="1:19" s="160" customFormat="1" ht="18" customHeight="1" x14ac:dyDescent="0.2">
      <c r="A31" s="159"/>
      <c r="B31" s="1166"/>
      <c r="C31" s="1181"/>
      <c r="D31" s="1059" t="s">
        <v>283</v>
      </c>
      <c r="E31" s="70" t="s">
        <v>128</v>
      </c>
      <c r="F31" s="192"/>
      <c r="G31" s="261" t="s">
        <v>218</v>
      </c>
      <c r="H31" s="291"/>
      <c r="I31" s="291"/>
      <c r="J31" s="292"/>
      <c r="K31" s="1130"/>
      <c r="L31" s="250" t="s">
        <v>176</v>
      </c>
      <c r="M31" s="251"/>
      <c r="N31" s="233" t="s">
        <v>340</v>
      </c>
      <c r="O31" s="252"/>
      <c r="P31" s="250">
        <f>'８－１　水稲算出基礎（早期コシヒカリ）'!N16</f>
        <v>3044.4480000000003</v>
      </c>
      <c r="Q31" s="1146"/>
      <c r="R31" s="1147"/>
      <c r="S31" s="1148"/>
    </row>
    <row r="32" spans="1:19" s="160" customFormat="1" ht="18" customHeight="1" x14ac:dyDescent="0.2">
      <c r="A32" s="159"/>
      <c r="B32" s="1166"/>
      <c r="C32" s="1181"/>
      <c r="D32" s="1059"/>
      <c r="E32" s="70" t="s">
        <v>127</v>
      </c>
      <c r="F32" s="192"/>
      <c r="G32" s="261" t="s">
        <v>218</v>
      </c>
      <c r="H32" s="293"/>
      <c r="I32" s="293"/>
      <c r="J32" s="294"/>
      <c r="K32" s="1130"/>
      <c r="L32" s="250" t="s">
        <v>178</v>
      </c>
      <c r="M32" s="248"/>
      <c r="N32" s="252"/>
      <c r="O32" s="252"/>
      <c r="P32" s="250">
        <f>SUM(P30:P31)*R32</f>
        <v>6929.1518999999998</v>
      </c>
      <c r="Q32" s="253" t="s">
        <v>177</v>
      </c>
      <c r="R32" s="254">
        <v>0.3</v>
      </c>
      <c r="S32" s="176"/>
    </row>
    <row r="33" spans="1:23" ht="18" customHeight="1" x14ac:dyDescent="0.2">
      <c r="B33" s="1166"/>
      <c r="C33" s="1181"/>
      <c r="D33" s="60" t="s">
        <v>70</v>
      </c>
      <c r="E33" s="71"/>
      <c r="F33" s="192"/>
      <c r="G33" s="261" t="s">
        <v>218</v>
      </c>
      <c r="H33" s="295"/>
      <c r="I33" s="296"/>
      <c r="J33" s="290"/>
      <c r="K33" s="1130"/>
      <c r="L33" s="250" t="s">
        <v>179</v>
      </c>
      <c r="M33" s="251"/>
      <c r="N33" s="233"/>
      <c r="O33" s="252"/>
      <c r="P33" s="250">
        <f>'８－１　水稲算出基礎（早期コシヒカリ）'!N20</f>
        <v>0</v>
      </c>
      <c r="Q33" s="1123"/>
      <c r="R33" s="1124"/>
      <c r="S33" s="1125"/>
    </row>
    <row r="34" spans="1:23" ht="18" customHeight="1" x14ac:dyDescent="0.2">
      <c r="B34" s="1166"/>
      <c r="C34" s="1181"/>
      <c r="D34" s="60" t="s">
        <v>96</v>
      </c>
      <c r="E34" s="71"/>
      <c r="F34" s="192"/>
      <c r="G34" s="261" t="s">
        <v>218</v>
      </c>
      <c r="H34" s="297"/>
      <c r="I34" s="298"/>
      <c r="J34" s="299"/>
      <c r="K34" s="1130"/>
      <c r="L34" s="250" t="s">
        <v>180</v>
      </c>
      <c r="M34" s="251"/>
      <c r="N34" s="233" t="s">
        <v>340</v>
      </c>
      <c r="O34" s="252"/>
      <c r="P34" s="250">
        <f>'８－１　水稲算出基礎（早期コシヒカリ）'!N24</f>
        <v>17563.241999999998</v>
      </c>
      <c r="Q34" s="1123"/>
      <c r="R34" s="1124"/>
      <c r="S34" s="1125"/>
    </row>
    <row r="35" spans="1:23" ht="18" customHeight="1" x14ac:dyDescent="0.2">
      <c r="B35" s="1166"/>
      <c r="C35" s="1181"/>
      <c r="D35" s="60" t="s">
        <v>131</v>
      </c>
      <c r="E35" s="61"/>
      <c r="F35" s="192">
        <f>'８－１　水稲算出基礎（早期コシヒカリ）'!V57</f>
        <v>9950.2824858757067</v>
      </c>
      <c r="G35" s="348" t="s">
        <v>216</v>
      </c>
      <c r="H35" s="346"/>
      <c r="I35" s="346"/>
      <c r="J35" s="347"/>
      <c r="K35" s="1130"/>
      <c r="L35" s="250" t="s">
        <v>281</v>
      </c>
      <c r="M35" s="251"/>
      <c r="N35" s="233"/>
      <c r="O35" s="252"/>
      <c r="P35" s="250">
        <f>'８－１　水稲算出基礎（早期コシヒカリ）'!N28</f>
        <v>0</v>
      </c>
      <c r="Q35" s="1123"/>
      <c r="R35" s="1124"/>
      <c r="S35" s="1125"/>
    </row>
    <row r="36" spans="1:23" ht="18" customHeight="1" x14ac:dyDescent="0.2">
      <c r="B36" s="1166"/>
      <c r="C36" s="1181"/>
      <c r="D36" s="81" t="s">
        <v>97</v>
      </c>
      <c r="E36" s="82"/>
      <c r="F36" s="300"/>
      <c r="G36" s="233"/>
      <c r="H36" s="297"/>
      <c r="I36" s="298"/>
      <c r="J36" s="290"/>
      <c r="K36" s="1130"/>
      <c r="L36" s="250" t="s">
        <v>181</v>
      </c>
      <c r="M36" s="248"/>
      <c r="N36" s="233" t="s">
        <v>341</v>
      </c>
      <c r="O36" s="252"/>
      <c r="P36" s="250">
        <f>'８－１　水稲算出基礎（早期コシヒカリ）'!N32</f>
        <v>3811.2200000000003</v>
      </c>
      <c r="Q36" s="1123"/>
      <c r="R36" s="1124"/>
      <c r="S36" s="1125"/>
    </row>
    <row r="37" spans="1:23" ht="18" customHeight="1" thickBot="1" x14ac:dyDescent="0.25">
      <c r="B37" s="1166"/>
      <c r="C37" s="1181"/>
      <c r="D37" s="60" t="s">
        <v>71</v>
      </c>
      <c r="E37" s="61"/>
      <c r="F37" s="192">
        <f>'８－１　水稲算出基礎（早期コシヒカリ）'!N57</f>
        <v>4033.9689265536717</v>
      </c>
      <c r="G37" s="348" t="s">
        <v>216</v>
      </c>
      <c r="H37" s="346"/>
      <c r="I37" s="346"/>
      <c r="J37" s="347"/>
      <c r="K37" s="1131"/>
      <c r="L37" s="184" t="s">
        <v>29</v>
      </c>
      <c r="M37" s="183"/>
      <c r="N37" s="184"/>
      <c r="O37" s="184"/>
      <c r="P37" s="184">
        <f>SUM(P30:P36)</f>
        <v>51400.786899999999</v>
      </c>
      <c r="Q37" s="1143"/>
      <c r="R37" s="1144"/>
      <c r="S37" s="1145"/>
    </row>
    <row r="38" spans="1:23" s="178" customFormat="1" ht="18" customHeight="1" x14ac:dyDescent="0.2">
      <c r="A38" s="159"/>
      <c r="B38" s="1166"/>
      <c r="C38" s="1181"/>
      <c r="D38" s="60" t="s">
        <v>0</v>
      </c>
      <c r="E38" s="71"/>
      <c r="F38" s="192"/>
      <c r="G38" s="15" t="s">
        <v>218</v>
      </c>
      <c r="H38" s="244"/>
      <c r="I38" s="245"/>
      <c r="J38" s="243"/>
    </row>
    <row r="39" spans="1:23" s="178" customFormat="1" ht="18" customHeight="1" thickBot="1" x14ac:dyDescent="0.25">
      <c r="A39" s="159"/>
      <c r="B39" s="1167"/>
      <c r="C39" s="1182"/>
      <c r="D39" s="1183" t="s">
        <v>229</v>
      </c>
      <c r="E39" s="1184"/>
      <c r="F39" s="235">
        <f>SUM(F27:F38)</f>
        <v>48834.251412429381</v>
      </c>
      <c r="G39" s="236"/>
      <c r="H39" s="237"/>
      <c r="I39" s="238"/>
      <c r="J39" s="239"/>
      <c r="T39" s="179"/>
    </row>
    <row r="40" spans="1:23" s="178" customFormat="1" ht="18" customHeight="1" x14ac:dyDescent="0.2">
      <c r="A40" s="159"/>
      <c r="B40" s="1168" t="s">
        <v>233</v>
      </c>
      <c r="C40" s="1171" t="s">
        <v>73</v>
      </c>
      <c r="D40" s="230" t="s">
        <v>130</v>
      </c>
      <c r="E40" s="231"/>
      <c r="F40" s="232">
        <f>J40*10</f>
        <v>75000</v>
      </c>
      <c r="G40" s="233"/>
      <c r="H40" s="234"/>
      <c r="I40" s="444" t="s">
        <v>354</v>
      </c>
      <c r="J40" s="445">
        <v>7500</v>
      </c>
      <c r="T40" s="160"/>
      <c r="U40" s="160"/>
      <c r="V40" s="160"/>
      <c r="W40" s="160"/>
    </row>
    <row r="41" spans="1:23" s="178" customFormat="1" ht="18" customHeight="1" x14ac:dyDescent="0.2">
      <c r="A41" s="159"/>
      <c r="B41" s="1169"/>
      <c r="C41" s="1172"/>
      <c r="D41" s="60" t="s">
        <v>129</v>
      </c>
      <c r="E41" s="61"/>
      <c r="F41" s="224"/>
      <c r="G41" s="233"/>
      <c r="H41" s="185"/>
      <c r="I41" s="185"/>
      <c r="J41" s="246"/>
      <c r="T41" s="180"/>
      <c r="U41" s="181"/>
      <c r="V41" s="182"/>
      <c r="W41" s="180"/>
    </row>
    <row r="42" spans="1:23" s="178" customFormat="1" ht="18" customHeight="1" x14ac:dyDescent="0.2">
      <c r="A42" s="159"/>
      <c r="B42" s="1169"/>
      <c r="C42" s="1173"/>
      <c r="D42" s="81" t="s">
        <v>72</v>
      </c>
      <c r="E42" s="61"/>
      <c r="F42" s="225"/>
      <c r="G42" s="233"/>
      <c r="H42" s="185"/>
      <c r="I42" s="185"/>
      <c r="J42" s="246"/>
      <c r="T42" s="160"/>
      <c r="U42" s="160"/>
      <c r="V42" s="160"/>
      <c r="W42" s="160"/>
    </row>
    <row r="43" spans="1:23" s="178" customFormat="1" ht="18" customHeight="1" x14ac:dyDescent="0.2">
      <c r="B43" s="1169"/>
      <c r="C43" s="1174" t="s">
        <v>232</v>
      </c>
      <c r="D43" s="81" t="s">
        <v>284</v>
      </c>
      <c r="E43" s="82"/>
      <c r="F43" s="225"/>
      <c r="G43" s="233"/>
      <c r="H43" s="185"/>
      <c r="I43" s="185"/>
      <c r="J43" s="246"/>
      <c r="T43" s="161"/>
      <c r="U43" s="179"/>
      <c r="V43" s="160"/>
      <c r="W43" s="180"/>
    </row>
    <row r="44" spans="1:23" s="178" customFormat="1" ht="18" customHeight="1" x14ac:dyDescent="0.2">
      <c r="B44" s="1169"/>
      <c r="C44" s="1175"/>
      <c r="D44" s="83" t="s">
        <v>1</v>
      </c>
      <c r="E44" s="84"/>
      <c r="F44" s="225"/>
      <c r="G44" s="233"/>
      <c r="H44" s="185"/>
      <c r="I44" s="185"/>
      <c r="J44" s="246"/>
      <c r="T44" s="161"/>
      <c r="U44" s="179"/>
      <c r="V44" s="160"/>
      <c r="W44" s="180"/>
    </row>
    <row r="45" spans="1:23" s="178" customFormat="1" ht="18" customHeight="1" thickBot="1" x14ac:dyDescent="0.25">
      <c r="B45" s="1170"/>
      <c r="C45" s="1176" t="s">
        <v>99</v>
      </c>
      <c r="D45" s="1177"/>
      <c r="E45" s="1178"/>
      <c r="F45" s="226">
        <f>SUM(F40:F42)-SUM(F43:F44)</f>
        <v>75000</v>
      </c>
      <c r="G45" s="186"/>
      <c r="H45" s="187"/>
      <c r="I45" s="187"/>
      <c r="J45" s="247"/>
      <c r="T45" s="160"/>
      <c r="U45" s="160"/>
      <c r="V45" s="181"/>
      <c r="W45" s="160"/>
    </row>
    <row r="49" spans="4:6" x14ac:dyDescent="0.2">
      <c r="D49" s="862" t="s">
        <v>343</v>
      </c>
      <c r="E49" s="862"/>
      <c r="F49" s="862">
        <f>F4-F26</f>
        <v>64327.183195066056</v>
      </c>
    </row>
  </sheetData>
  <mergeCells count="56"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  <mergeCell ref="D13:D14"/>
    <mergeCell ref="D15:D17"/>
    <mergeCell ref="B4:C5"/>
    <mergeCell ref="B3:E3"/>
    <mergeCell ref="C6:C26"/>
    <mergeCell ref="B6:B39"/>
    <mergeCell ref="K3:S3"/>
    <mergeCell ref="R6:S6"/>
    <mergeCell ref="R7:S7"/>
    <mergeCell ref="R8:S8"/>
    <mergeCell ref="R9:S9"/>
    <mergeCell ref="R4:S4"/>
    <mergeCell ref="R5:S5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</mergeCells>
  <phoneticPr fontId="4"/>
  <conditionalFormatting sqref="F17">
    <cfRule type="cellIs" dxfId="49" priority="3" operator="equal">
      <formula>0</formula>
    </cfRule>
  </conditionalFormatting>
  <conditionalFormatting sqref="P17:P21">
    <cfRule type="cellIs" dxfId="48" priority="2" operator="equal">
      <formula>0</formula>
    </cfRule>
  </conditionalFormatting>
  <conditionalFormatting sqref="P30:P36">
    <cfRule type="cellIs" dxfId="47" priority="1" operator="equal">
      <formula>0</formula>
    </cfRule>
  </conditionalFormatting>
  <pageMargins left="0" right="0" top="0.78740157480314965" bottom="0" header="0.39370078740157483" footer="0.39370078740157483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90625" defaultRowHeight="13" x14ac:dyDescent="0.2"/>
  <cols>
    <col min="1" max="1" width="1.6328125" style="159" customWidth="1"/>
    <col min="2" max="2" width="5.90625" style="159" customWidth="1"/>
    <col min="3" max="3" width="10.6328125" style="159" customWidth="1"/>
    <col min="4" max="4" width="12.36328125" style="159" customWidth="1"/>
    <col min="5" max="5" width="14.6328125" style="159" customWidth="1"/>
    <col min="6" max="7" width="15.90625" style="159" customWidth="1"/>
    <col min="8" max="8" width="10.90625" style="159"/>
    <col min="9" max="9" width="11.36328125" style="159" bestFit="1" customWidth="1"/>
    <col min="10" max="10" width="13.36328125" style="159" customWidth="1"/>
    <col min="11" max="11" width="7.08984375" style="159" customWidth="1"/>
    <col min="12" max="12" width="15.36328125" style="159" customWidth="1"/>
    <col min="13" max="13" width="9.36328125" style="159" bestFit="1" customWidth="1"/>
    <col min="14" max="14" width="10.90625" style="159"/>
    <col min="15" max="15" width="7.26953125" style="159" customWidth="1"/>
    <col min="16" max="16" width="9.6328125" style="159" customWidth="1"/>
    <col min="17" max="17" width="10.90625" style="159" customWidth="1"/>
    <col min="18" max="18" width="7.453125" style="159" customWidth="1"/>
    <col min="19" max="19" width="3.7265625" style="159" customWidth="1"/>
    <col min="20" max="16384" width="10.90625" style="159"/>
  </cols>
  <sheetData>
    <row r="1" spans="2:19" s="160" customFormat="1" ht="10" customHeight="1" x14ac:dyDescent="0.2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2:19" s="160" customFormat="1" ht="25" customHeight="1" thickBot="1" x14ac:dyDescent="0.25">
      <c r="B2" s="160" t="s">
        <v>412</v>
      </c>
      <c r="H2" s="161" t="s">
        <v>271</v>
      </c>
      <c r="I2" s="3" t="s">
        <v>433</v>
      </c>
      <c r="K2" s="161" t="s">
        <v>272</v>
      </c>
      <c r="L2" s="3" t="s">
        <v>274</v>
      </c>
      <c r="N2" s="159"/>
      <c r="O2" s="159"/>
      <c r="Q2" s="4"/>
      <c r="R2" s="4"/>
    </row>
    <row r="3" spans="2:19" s="160" customFormat="1" ht="18" customHeight="1" x14ac:dyDescent="0.2">
      <c r="B3" s="1159" t="s">
        <v>20</v>
      </c>
      <c r="C3" s="1160"/>
      <c r="D3" s="1160"/>
      <c r="E3" s="1161"/>
      <c r="F3" s="376" t="s">
        <v>21</v>
      </c>
      <c r="G3" s="163"/>
      <c r="H3" s="164" t="s">
        <v>22</v>
      </c>
      <c r="I3" s="162"/>
      <c r="J3" s="162"/>
      <c r="K3" s="1149" t="s">
        <v>238</v>
      </c>
      <c r="L3" s="1150"/>
      <c r="M3" s="1150"/>
      <c r="N3" s="1150"/>
      <c r="O3" s="1150"/>
      <c r="P3" s="1150"/>
      <c r="Q3" s="1150"/>
      <c r="R3" s="1150"/>
      <c r="S3" s="1151"/>
    </row>
    <row r="4" spans="2:19" s="160" customFormat="1" ht="18" customHeight="1" x14ac:dyDescent="0.2">
      <c r="B4" s="1157" t="s">
        <v>23</v>
      </c>
      <c r="C4" s="1158"/>
      <c r="D4" s="261" t="s">
        <v>231</v>
      </c>
      <c r="E4" s="280"/>
      <c r="F4" s="273">
        <f>+R11</f>
        <v>858000</v>
      </c>
      <c r="G4" s="261" t="s">
        <v>212</v>
      </c>
      <c r="H4" s="370"/>
      <c r="I4" s="370"/>
      <c r="J4" s="370"/>
      <c r="K4" s="269" t="s">
        <v>57</v>
      </c>
      <c r="L4" s="355" t="s">
        <v>278</v>
      </c>
      <c r="M4" s="366" t="s">
        <v>24</v>
      </c>
      <c r="N4" s="366" t="s">
        <v>23</v>
      </c>
      <c r="O4" s="366" t="s">
        <v>57</v>
      </c>
      <c r="P4" s="355" t="s">
        <v>278</v>
      </c>
      <c r="Q4" s="366" t="s">
        <v>24</v>
      </c>
      <c r="R4" s="1152" t="s">
        <v>23</v>
      </c>
      <c r="S4" s="1153"/>
    </row>
    <row r="5" spans="2:19" s="160" customFormat="1" ht="18" customHeight="1" x14ac:dyDescent="0.2">
      <c r="B5" s="1157"/>
      <c r="C5" s="1158"/>
      <c r="D5" s="261" t="s">
        <v>92</v>
      </c>
      <c r="E5" s="280"/>
      <c r="F5" s="273"/>
      <c r="G5" s="227"/>
      <c r="H5" s="281"/>
      <c r="I5" s="281"/>
      <c r="J5" s="281"/>
      <c r="K5" s="272" t="s">
        <v>369</v>
      </c>
      <c r="L5" s="273">
        <v>6000</v>
      </c>
      <c r="M5" s="273">
        <v>143</v>
      </c>
      <c r="N5" s="273">
        <f>L5*M5</f>
        <v>858000</v>
      </c>
      <c r="O5" s="273"/>
      <c r="P5" s="273"/>
      <c r="Q5" s="273"/>
      <c r="R5" s="1126"/>
      <c r="S5" s="1119"/>
    </row>
    <row r="6" spans="2:19" s="160" customFormat="1" ht="18" customHeight="1" x14ac:dyDescent="0.2">
      <c r="B6" s="1165" t="s">
        <v>236</v>
      </c>
      <c r="C6" s="1162" t="s">
        <v>222</v>
      </c>
      <c r="D6" s="273" t="s">
        <v>59</v>
      </c>
      <c r="E6" s="282"/>
      <c r="F6" s="273">
        <f>P15</f>
        <v>19250</v>
      </c>
      <c r="G6" s="227" t="s">
        <v>213</v>
      </c>
      <c r="H6" s="281"/>
      <c r="I6" s="281"/>
      <c r="J6" s="281"/>
      <c r="K6" s="279"/>
      <c r="L6" s="276"/>
      <c r="M6" s="273"/>
      <c r="N6" s="273"/>
      <c r="O6" s="273"/>
      <c r="P6" s="273"/>
      <c r="Q6" s="273"/>
      <c r="R6" s="1126"/>
      <c r="S6" s="1119"/>
    </row>
    <row r="7" spans="2:19" s="160" customFormat="1" ht="18" customHeight="1" x14ac:dyDescent="0.2">
      <c r="B7" s="1166"/>
      <c r="C7" s="1163"/>
      <c r="D7" s="273" t="s">
        <v>60</v>
      </c>
      <c r="E7" s="282"/>
      <c r="F7" s="273">
        <f>P22</f>
        <v>154789.15</v>
      </c>
      <c r="G7" s="261" t="s">
        <v>467</v>
      </c>
      <c r="H7" s="370"/>
      <c r="I7" s="370"/>
      <c r="J7" s="371"/>
      <c r="K7" s="277"/>
      <c r="L7" s="364"/>
      <c r="M7" s="273"/>
      <c r="N7" s="273"/>
      <c r="O7" s="273"/>
      <c r="P7" s="273"/>
      <c r="Q7" s="273"/>
      <c r="R7" s="1126"/>
      <c r="S7" s="1119"/>
    </row>
    <row r="8" spans="2:19" s="160" customFormat="1" ht="18" customHeight="1" x14ac:dyDescent="0.2">
      <c r="B8" s="1166"/>
      <c r="C8" s="1163"/>
      <c r="D8" s="273" t="s">
        <v>61</v>
      </c>
      <c r="E8" s="282"/>
      <c r="F8" s="273">
        <f>P28</f>
        <v>62757.266666666663</v>
      </c>
      <c r="G8" s="233" t="s">
        <v>467</v>
      </c>
      <c r="H8" s="248"/>
      <c r="I8" s="248"/>
      <c r="J8" s="284"/>
      <c r="K8" s="275"/>
      <c r="L8" s="273"/>
      <c r="M8" s="273"/>
      <c r="N8" s="273"/>
      <c r="O8" s="273"/>
      <c r="P8" s="273"/>
      <c r="Q8" s="273"/>
      <c r="R8" s="1126"/>
      <c r="S8" s="1119"/>
    </row>
    <row r="9" spans="2:19" s="160" customFormat="1" ht="18" customHeight="1" x14ac:dyDescent="0.2">
      <c r="B9" s="1166"/>
      <c r="C9" s="1163"/>
      <c r="D9" s="273" t="s">
        <v>93</v>
      </c>
      <c r="E9" s="282"/>
      <c r="F9" s="273">
        <f>P37</f>
        <v>51400.786899999999</v>
      </c>
      <c r="G9" s="233" t="s">
        <v>467</v>
      </c>
      <c r="H9" s="248"/>
      <c r="I9" s="248"/>
      <c r="J9" s="284"/>
      <c r="K9" s="275"/>
      <c r="L9" s="273"/>
      <c r="M9" s="273"/>
      <c r="N9" s="273"/>
      <c r="O9" s="273"/>
      <c r="P9" s="273"/>
      <c r="Q9" s="273"/>
      <c r="R9" s="1126"/>
      <c r="S9" s="1119"/>
    </row>
    <row r="10" spans="2:19" s="160" customFormat="1" ht="18" customHeight="1" x14ac:dyDescent="0.2">
      <c r="B10" s="1166"/>
      <c r="C10" s="1163"/>
      <c r="D10" s="273" t="s">
        <v>62</v>
      </c>
      <c r="E10" s="282"/>
      <c r="F10" s="273">
        <f>'８－２　水稲算出基礎（恋の予感） '!V21</f>
        <v>2000</v>
      </c>
      <c r="G10" s="1117" t="s">
        <v>216</v>
      </c>
      <c r="H10" s="1118"/>
      <c r="I10" s="1118"/>
      <c r="J10" s="1119"/>
      <c r="K10" s="275"/>
      <c r="L10" s="273"/>
      <c r="M10" s="273"/>
      <c r="N10" s="273"/>
      <c r="O10" s="273"/>
      <c r="P10" s="273"/>
      <c r="Q10" s="273"/>
      <c r="R10" s="1126"/>
      <c r="S10" s="1119"/>
    </row>
    <row r="11" spans="2:19" s="160" customFormat="1" ht="18" customHeight="1" thickBot="1" x14ac:dyDescent="0.25">
      <c r="B11" s="1166"/>
      <c r="C11" s="1163"/>
      <c r="D11" s="273" t="s">
        <v>6</v>
      </c>
      <c r="E11" s="282"/>
      <c r="F11" s="273">
        <f>'８－２　水稲算出基礎（恋の予感） '!V34</f>
        <v>84.745762711864401</v>
      </c>
      <c r="G11" s="1117" t="s">
        <v>216</v>
      </c>
      <c r="H11" s="1118"/>
      <c r="I11" s="1118"/>
      <c r="J11" s="1119"/>
      <c r="K11" s="181"/>
      <c r="L11" s="166"/>
      <c r="M11" s="166"/>
      <c r="N11" s="165"/>
      <c r="O11" s="167" t="s">
        <v>25</v>
      </c>
      <c r="P11" s="168">
        <f>SUM(L5:L11,P5:Q10)</f>
        <v>6000</v>
      </c>
      <c r="Q11" s="169">
        <f>R11/P11</f>
        <v>143</v>
      </c>
      <c r="R11" s="1138">
        <f>SUM(N5:N11,R5:S10)</f>
        <v>858000</v>
      </c>
      <c r="S11" s="1139"/>
    </row>
    <row r="12" spans="2:19" s="160" customFormat="1" ht="18" customHeight="1" thickTop="1" x14ac:dyDescent="0.2">
      <c r="B12" s="1166"/>
      <c r="C12" s="1163"/>
      <c r="D12" s="273" t="s">
        <v>7</v>
      </c>
      <c r="E12" s="282"/>
      <c r="F12" s="273"/>
      <c r="G12" s="233"/>
      <c r="H12" s="248"/>
      <c r="I12" s="248"/>
      <c r="J12" s="284"/>
      <c r="K12" s="1129" t="s">
        <v>237</v>
      </c>
      <c r="L12" s="263" t="s">
        <v>182</v>
      </c>
      <c r="M12" s="368" t="s">
        <v>9</v>
      </c>
      <c r="N12" s="357" t="s">
        <v>277</v>
      </c>
      <c r="O12" s="367" t="s">
        <v>24</v>
      </c>
      <c r="P12" s="367" t="s">
        <v>27</v>
      </c>
      <c r="Q12" s="1140" t="s">
        <v>28</v>
      </c>
      <c r="R12" s="1141"/>
      <c r="S12" s="1142"/>
    </row>
    <row r="13" spans="2:19" s="160" customFormat="1" ht="18" customHeight="1" x14ac:dyDescent="0.2">
      <c r="B13" s="1166"/>
      <c r="C13" s="1163"/>
      <c r="D13" s="1154" t="s">
        <v>63</v>
      </c>
      <c r="E13" s="285" t="s">
        <v>208</v>
      </c>
      <c r="F13" s="273">
        <f>'（参考）水稲資本装備'!L9*'７－２　水稲部門（恋の予感）収支 '!H13</f>
        <v>6235.1694915254238</v>
      </c>
      <c r="G13" s="233" t="s">
        <v>214</v>
      </c>
      <c r="H13" s="530">
        <v>0.01</v>
      </c>
      <c r="I13" s="1127" t="s">
        <v>217</v>
      </c>
      <c r="J13" s="1128"/>
      <c r="K13" s="1130"/>
      <c r="L13" s="365" t="s">
        <v>369</v>
      </c>
      <c r="M13" s="262" t="s">
        <v>174</v>
      </c>
      <c r="N13" s="375">
        <v>35</v>
      </c>
      <c r="O13" s="375">
        <v>550</v>
      </c>
      <c r="P13" s="375">
        <f>N13*O13</f>
        <v>19250</v>
      </c>
      <c r="Q13" s="1120" t="s">
        <v>270</v>
      </c>
      <c r="R13" s="1121"/>
      <c r="S13" s="1122"/>
    </row>
    <row r="14" spans="2:19" s="160" customFormat="1" ht="18" customHeight="1" x14ac:dyDescent="0.2">
      <c r="B14" s="1166"/>
      <c r="C14" s="1163"/>
      <c r="D14" s="1155"/>
      <c r="E14" s="285" t="s">
        <v>209</v>
      </c>
      <c r="F14" s="273">
        <f>'（参考）水稲資本装備'!L26*'７－２　水稲部門（恋の予感）収支 '!H14</f>
        <v>85468.994553672339</v>
      </c>
      <c r="G14" s="233" t="s">
        <v>214</v>
      </c>
      <c r="H14" s="530">
        <v>0.05</v>
      </c>
      <c r="I14" s="1127" t="s">
        <v>217</v>
      </c>
      <c r="J14" s="1128"/>
      <c r="K14" s="1130"/>
      <c r="L14" s="365"/>
      <c r="M14" s="262"/>
      <c r="N14" s="375"/>
      <c r="O14" s="375"/>
      <c r="P14" s="375"/>
      <c r="Q14" s="1120"/>
      <c r="R14" s="1121"/>
      <c r="S14" s="1122"/>
    </row>
    <row r="15" spans="2:19" s="160" customFormat="1" ht="18" customHeight="1" thickBot="1" x14ac:dyDescent="0.25">
      <c r="B15" s="1166"/>
      <c r="C15" s="1163"/>
      <c r="D15" s="1154" t="s">
        <v>94</v>
      </c>
      <c r="E15" s="285" t="s">
        <v>208</v>
      </c>
      <c r="F15" s="273">
        <f>'（参考）水稲資本装備'!P9</f>
        <v>24940.677966101692</v>
      </c>
      <c r="G15" s="233" t="s">
        <v>217</v>
      </c>
      <c r="H15" s="240"/>
      <c r="I15" s="240"/>
      <c r="J15" s="241"/>
      <c r="K15" s="1130"/>
      <c r="L15" s="172" t="s">
        <v>29</v>
      </c>
      <c r="M15" s="171"/>
      <c r="N15" s="172"/>
      <c r="O15" s="172"/>
      <c r="P15" s="172">
        <f>SUM(P13:P14)</f>
        <v>19250</v>
      </c>
      <c r="Q15" s="1132"/>
      <c r="R15" s="1133"/>
      <c r="S15" s="1134"/>
    </row>
    <row r="16" spans="2:19" s="160" customFormat="1" ht="18" customHeight="1" thickTop="1" x14ac:dyDescent="0.2">
      <c r="B16" s="1166"/>
      <c r="C16" s="1163"/>
      <c r="D16" s="1156"/>
      <c r="E16" s="285" t="s">
        <v>209</v>
      </c>
      <c r="F16" s="273">
        <f>'（参考）水稲資本装備'!P26</f>
        <v>244197.12729620666</v>
      </c>
      <c r="G16" s="233" t="s">
        <v>217</v>
      </c>
      <c r="H16" s="240"/>
      <c r="I16" s="240"/>
      <c r="J16" s="241"/>
      <c r="K16" s="1130"/>
      <c r="L16" s="257" t="s">
        <v>183</v>
      </c>
      <c r="M16" s="258"/>
      <c r="N16" s="356" t="s">
        <v>277</v>
      </c>
      <c r="O16" s="374" t="s">
        <v>24</v>
      </c>
      <c r="P16" s="260" t="s">
        <v>27</v>
      </c>
      <c r="Q16" s="1135" t="s">
        <v>28</v>
      </c>
      <c r="R16" s="1136"/>
      <c r="S16" s="1137"/>
    </row>
    <row r="17" spans="1:19" s="160" customFormat="1" ht="18" customHeight="1" x14ac:dyDescent="0.2">
      <c r="B17" s="1166"/>
      <c r="C17" s="1163"/>
      <c r="D17" s="1155"/>
      <c r="E17" s="273" t="s">
        <v>64</v>
      </c>
      <c r="F17" s="273">
        <f>'（参考）水稲資本装備'!P31</f>
        <v>0</v>
      </c>
      <c r="G17" s="233" t="s">
        <v>217</v>
      </c>
      <c r="H17" s="240"/>
      <c r="I17" s="240"/>
      <c r="J17" s="241"/>
      <c r="K17" s="1130"/>
      <c r="L17" s="261" t="s">
        <v>189</v>
      </c>
      <c r="M17" s="262"/>
      <c r="N17" s="233" t="s">
        <v>334</v>
      </c>
      <c r="O17" s="252"/>
      <c r="P17" s="250">
        <f>'８－２　水稲算出基礎（恋の予感） '!G7</f>
        <v>0</v>
      </c>
      <c r="Q17" s="1123"/>
      <c r="R17" s="1124"/>
      <c r="S17" s="1125"/>
    </row>
    <row r="18" spans="1:19" s="160" customFormat="1" ht="18" customHeight="1" x14ac:dyDescent="0.2">
      <c r="A18" s="159"/>
      <c r="B18" s="1166"/>
      <c r="C18" s="1163"/>
      <c r="D18" s="1179" t="s">
        <v>282</v>
      </c>
      <c r="E18" s="364" t="s">
        <v>128</v>
      </c>
      <c r="F18" s="273"/>
      <c r="G18" s="233"/>
      <c r="H18" s="240"/>
      <c r="I18" s="240"/>
      <c r="J18" s="241"/>
      <c r="K18" s="1130"/>
      <c r="L18" s="261" t="s">
        <v>187</v>
      </c>
      <c r="M18" s="262"/>
      <c r="N18" s="233" t="s">
        <v>298</v>
      </c>
      <c r="O18" s="252"/>
      <c r="P18" s="250">
        <f>'８－２　水稲算出基礎（恋の予感） '!G11</f>
        <v>38400</v>
      </c>
      <c r="Q18" s="1123"/>
      <c r="R18" s="1124"/>
      <c r="S18" s="1125"/>
    </row>
    <row r="19" spans="1:19" s="160" customFormat="1" ht="18" customHeight="1" x14ac:dyDescent="0.2">
      <c r="A19" s="159"/>
      <c r="B19" s="1166"/>
      <c r="C19" s="1163"/>
      <c r="D19" s="1179"/>
      <c r="E19" s="364" t="s">
        <v>124</v>
      </c>
      <c r="F19" s="273">
        <f>J19*'５－２　水稲（恋の予感）作業時間'!AO22</f>
        <v>37290.000000000007</v>
      </c>
      <c r="G19" s="233"/>
      <c r="H19" s="240"/>
      <c r="I19" s="173" t="s">
        <v>346</v>
      </c>
      <c r="J19" s="519">
        <v>1100</v>
      </c>
      <c r="K19" s="1130"/>
      <c r="L19" s="233" t="s">
        <v>188</v>
      </c>
      <c r="M19" s="248"/>
      <c r="N19" s="233" t="s">
        <v>298</v>
      </c>
      <c r="O19" s="252"/>
      <c r="P19" s="250">
        <f>'８－２　水稲算出基礎（恋の予感） '!G16</f>
        <v>102025</v>
      </c>
      <c r="Q19" s="1123"/>
      <c r="R19" s="1124"/>
      <c r="S19" s="1125"/>
    </row>
    <row r="20" spans="1:19" s="160" customFormat="1" ht="18" customHeight="1" x14ac:dyDescent="0.2">
      <c r="A20" s="159"/>
      <c r="B20" s="1166"/>
      <c r="C20" s="1163"/>
      <c r="D20" s="1179"/>
      <c r="E20" s="364" t="s">
        <v>125</v>
      </c>
      <c r="F20" s="273">
        <f>J20*'５－２　水稲（恋の予感）作業時間'!AP22</f>
        <v>55800</v>
      </c>
      <c r="G20" s="233"/>
      <c r="H20" s="240"/>
      <c r="I20" s="173" t="s">
        <v>347</v>
      </c>
      <c r="J20" s="441">
        <v>900</v>
      </c>
      <c r="K20" s="1130"/>
      <c r="L20" s="233" t="s">
        <v>714</v>
      </c>
      <c r="M20" s="248"/>
      <c r="N20" s="233"/>
      <c r="O20" s="252"/>
      <c r="P20" s="250">
        <f>'８－２　水稲算出基礎（恋の予感） '!G20</f>
        <v>0</v>
      </c>
      <c r="Q20" s="1123"/>
      <c r="R20" s="1124"/>
      <c r="S20" s="1125"/>
    </row>
    <row r="21" spans="1:19" s="160" customFormat="1" ht="18" customHeight="1" x14ac:dyDescent="0.2">
      <c r="A21" s="159"/>
      <c r="B21" s="1166"/>
      <c r="C21" s="1163"/>
      <c r="D21" s="1179"/>
      <c r="E21" s="364" t="s">
        <v>126</v>
      </c>
      <c r="F21" s="273">
        <f>(F19+F20)*0.012</f>
        <v>1117.08</v>
      </c>
      <c r="G21" s="233"/>
      <c r="H21" s="240"/>
      <c r="I21" s="240"/>
      <c r="J21" s="241"/>
      <c r="K21" s="1130"/>
      <c r="L21" s="233" t="s">
        <v>707</v>
      </c>
      <c r="M21" s="248"/>
      <c r="N21" s="233" t="s">
        <v>708</v>
      </c>
      <c r="O21" s="250"/>
      <c r="P21" s="250">
        <f>'８－２　水稲算出基礎（恋の予感） '!G24</f>
        <v>14364.15</v>
      </c>
      <c r="Q21" s="1123"/>
      <c r="R21" s="1124"/>
      <c r="S21" s="1125"/>
    </row>
    <row r="22" spans="1:19" s="160" customFormat="1" ht="18" customHeight="1" thickBot="1" x14ac:dyDescent="0.25">
      <c r="A22" s="159"/>
      <c r="B22" s="1166"/>
      <c r="C22" s="1163"/>
      <c r="D22" s="1179" t="s">
        <v>65</v>
      </c>
      <c r="E22" s="364" t="s">
        <v>66</v>
      </c>
      <c r="F22" s="273">
        <f t="shared" ref="F22:F23" si="0">I22*10</f>
        <v>23760</v>
      </c>
      <c r="G22" s="233"/>
      <c r="H22" s="240"/>
      <c r="I22" s="248">
        <v>2376</v>
      </c>
      <c r="J22" s="241" t="s">
        <v>345</v>
      </c>
      <c r="K22" s="1130"/>
      <c r="L22" s="172" t="s">
        <v>29</v>
      </c>
      <c r="M22" s="171"/>
      <c r="N22" s="172"/>
      <c r="O22" s="172"/>
      <c r="P22" s="172">
        <f>SUM(P17:P21)</f>
        <v>154789.15</v>
      </c>
      <c r="Q22" s="1132"/>
      <c r="R22" s="1133"/>
      <c r="S22" s="1134"/>
    </row>
    <row r="23" spans="1:19" s="160" customFormat="1" ht="18" customHeight="1" thickTop="1" x14ac:dyDescent="0.2">
      <c r="A23" s="159"/>
      <c r="B23" s="1166"/>
      <c r="C23" s="1163"/>
      <c r="D23" s="1179"/>
      <c r="E23" s="364" t="s">
        <v>95</v>
      </c>
      <c r="F23" s="273">
        <f t="shared" si="0"/>
        <v>50000</v>
      </c>
      <c r="G23" s="233"/>
      <c r="H23" s="240"/>
      <c r="I23" s="248">
        <v>5000</v>
      </c>
      <c r="J23" s="241" t="s">
        <v>345</v>
      </c>
      <c r="K23" s="1130"/>
      <c r="L23" s="233" t="s">
        <v>184</v>
      </c>
      <c r="M23" s="248"/>
      <c r="N23" s="249" t="s">
        <v>26</v>
      </c>
      <c r="O23" s="249" t="s">
        <v>24</v>
      </c>
      <c r="P23" s="249" t="s">
        <v>27</v>
      </c>
      <c r="Q23" s="1135" t="s">
        <v>28</v>
      </c>
      <c r="R23" s="1136"/>
      <c r="S23" s="1137"/>
    </row>
    <row r="24" spans="1:19" s="160" customFormat="1" ht="18" customHeight="1" x14ac:dyDescent="0.2">
      <c r="A24" s="159"/>
      <c r="B24" s="1166"/>
      <c r="C24" s="1163"/>
      <c r="D24" s="273" t="s">
        <v>67</v>
      </c>
      <c r="E24" s="282"/>
      <c r="F24" s="273">
        <f>I24*10</f>
        <v>30000</v>
      </c>
      <c r="G24" s="233"/>
      <c r="H24" s="240"/>
      <c r="I24" s="520">
        <v>3000</v>
      </c>
      <c r="J24" s="241" t="s">
        <v>345</v>
      </c>
      <c r="K24" s="1130"/>
      <c r="L24" s="250" t="s">
        <v>30</v>
      </c>
      <c r="M24" s="248"/>
      <c r="N24" s="233" t="s">
        <v>336</v>
      </c>
      <c r="O24" s="250"/>
      <c r="P24" s="250">
        <f>'８－２　水稲算出基礎（恋の予感） '!G38</f>
        <v>5512.1</v>
      </c>
      <c r="Q24" s="1123"/>
      <c r="R24" s="1124"/>
      <c r="S24" s="1125"/>
    </row>
    <row r="25" spans="1:19" s="160" customFormat="1" ht="18" customHeight="1" x14ac:dyDescent="0.2">
      <c r="A25" s="159"/>
      <c r="B25" s="1166"/>
      <c r="C25" s="1163"/>
      <c r="D25" s="273" t="s">
        <v>186</v>
      </c>
      <c r="E25" s="282"/>
      <c r="F25" s="273">
        <f>SUM(F6:F24)/99</f>
        <v>8576.6767539079246</v>
      </c>
      <c r="G25" s="287" t="s">
        <v>239</v>
      </c>
      <c r="H25" s="301">
        <v>0.01</v>
      </c>
      <c r="I25" s="372"/>
      <c r="J25" s="18"/>
      <c r="K25" s="1130"/>
      <c r="L25" s="250" t="s">
        <v>31</v>
      </c>
      <c r="M25" s="248"/>
      <c r="N25" s="233" t="s">
        <v>338</v>
      </c>
      <c r="O25" s="250"/>
      <c r="P25" s="250">
        <f>'８－２　水稲算出基礎（恋の予感） '!G49</f>
        <v>4975</v>
      </c>
      <c r="Q25" s="1123"/>
      <c r="R25" s="1124"/>
      <c r="S25" s="1125"/>
    </row>
    <row r="26" spans="1:19" s="160" customFormat="1" ht="18" customHeight="1" x14ac:dyDescent="0.2">
      <c r="A26" s="159"/>
      <c r="B26" s="1166"/>
      <c r="C26" s="1164"/>
      <c r="D26" s="1185" t="s">
        <v>230</v>
      </c>
      <c r="E26" s="1186"/>
      <c r="F26" s="191">
        <f>SUM(F6:F25)</f>
        <v>857667.67539079243</v>
      </c>
      <c r="G26" s="242"/>
      <c r="H26" s="372"/>
      <c r="I26" s="372"/>
      <c r="J26" s="373"/>
      <c r="K26" s="1130"/>
      <c r="L26" s="250" t="s">
        <v>32</v>
      </c>
      <c r="M26" s="248"/>
      <c r="N26" s="233" t="s">
        <v>334</v>
      </c>
      <c r="O26" s="250"/>
      <c r="P26" s="250">
        <f>'８－２　水稲算出基礎（恋の予感） '!G53</f>
        <v>24330</v>
      </c>
      <c r="Q26" s="1123"/>
      <c r="R26" s="1124"/>
      <c r="S26" s="1125"/>
    </row>
    <row r="27" spans="1:19" s="160" customFormat="1" ht="18" customHeight="1" x14ac:dyDescent="0.2">
      <c r="A27" s="159"/>
      <c r="B27" s="1166"/>
      <c r="C27" s="1180" t="s">
        <v>215</v>
      </c>
      <c r="D27" s="1043" t="s">
        <v>68</v>
      </c>
      <c r="E27" s="60" t="s">
        <v>3</v>
      </c>
      <c r="F27" s="165">
        <f>P11/30*J27</f>
        <v>16000</v>
      </c>
      <c r="G27" s="261"/>
      <c r="H27" s="248"/>
      <c r="I27" s="170" t="s">
        <v>352</v>
      </c>
      <c r="J27" s="442">
        <v>80</v>
      </c>
      <c r="K27" s="1130"/>
      <c r="L27" s="250" t="s">
        <v>335</v>
      </c>
      <c r="M27" s="248"/>
      <c r="N27" s="233" t="s">
        <v>338</v>
      </c>
      <c r="O27" s="250"/>
      <c r="P27" s="250">
        <f>'８－２　水稲算出基礎（恋の予感） '!G57</f>
        <v>27940.166666666664</v>
      </c>
      <c r="Q27" s="1123"/>
      <c r="R27" s="1124"/>
      <c r="S27" s="1125"/>
    </row>
    <row r="28" spans="1:19" s="160" customFormat="1" ht="18" customHeight="1" thickBot="1" x14ac:dyDescent="0.25">
      <c r="A28" s="159"/>
      <c r="B28" s="1166"/>
      <c r="C28" s="1181"/>
      <c r="D28" s="1046"/>
      <c r="E28" s="60" t="s">
        <v>4</v>
      </c>
      <c r="F28" s="192"/>
      <c r="G28" s="261"/>
      <c r="H28" s="288"/>
      <c r="I28" s="288"/>
      <c r="J28" s="289"/>
      <c r="K28" s="1130"/>
      <c r="L28" s="172" t="s">
        <v>29</v>
      </c>
      <c r="M28" s="171"/>
      <c r="N28" s="172"/>
      <c r="O28" s="172"/>
      <c r="P28" s="172">
        <f>SUM(P24:P27)</f>
        <v>62757.266666666663</v>
      </c>
      <c r="Q28" s="1132"/>
      <c r="R28" s="1133"/>
      <c r="S28" s="1134"/>
    </row>
    <row r="29" spans="1:19" s="160" customFormat="1" ht="18" customHeight="1" thickTop="1" x14ac:dyDescent="0.2">
      <c r="A29" s="159"/>
      <c r="B29" s="1166"/>
      <c r="C29" s="1181"/>
      <c r="D29" s="1044"/>
      <c r="E29" s="60" t="s">
        <v>8</v>
      </c>
      <c r="F29" s="165">
        <f>P11/30*J29</f>
        <v>5000</v>
      </c>
      <c r="G29" s="261"/>
      <c r="H29" s="370"/>
      <c r="I29" s="288" t="s">
        <v>353</v>
      </c>
      <c r="J29" s="443">
        <v>25</v>
      </c>
      <c r="K29" s="1130"/>
      <c r="L29" s="233" t="s">
        <v>185</v>
      </c>
      <c r="M29" s="248"/>
      <c r="N29" s="249" t="s">
        <v>26</v>
      </c>
      <c r="O29" s="249" t="s">
        <v>24</v>
      </c>
      <c r="P29" s="249" t="s">
        <v>27</v>
      </c>
      <c r="Q29" s="1135" t="s">
        <v>28</v>
      </c>
      <c r="R29" s="1136"/>
      <c r="S29" s="1137"/>
    </row>
    <row r="30" spans="1:19" s="160" customFormat="1" ht="18" customHeight="1" x14ac:dyDescent="0.2">
      <c r="A30" s="159"/>
      <c r="B30" s="1166"/>
      <c r="C30" s="1181"/>
      <c r="D30" s="60" t="s">
        <v>69</v>
      </c>
      <c r="E30" s="61"/>
      <c r="F30" s="165"/>
      <c r="G30" s="261" t="s">
        <v>218</v>
      </c>
      <c r="H30" s="370"/>
      <c r="I30" s="288"/>
      <c r="J30" s="290"/>
      <c r="K30" s="1130"/>
      <c r="L30" s="250" t="s">
        <v>49</v>
      </c>
      <c r="M30" s="251"/>
      <c r="N30" s="233" t="s">
        <v>339</v>
      </c>
      <c r="O30" s="252"/>
      <c r="P30" s="250">
        <f>'８－２　水稲算出基礎（恋の予感） '!N12</f>
        <v>20052.724999999999</v>
      </c>
      <c r="Q30" s="1146"/>
      <c r="R30" s="1147"/>
      <c r="S30" s="1148"/>
    </row>
    <row r="31" spans="1:19" s="160" customFormat="1" ht="18" customHeight="1" x14ac:dyDescent="0.2">
      <c r="A31" s="159"/>
      <c r="B31" s="1166"/>
      <c r="C31" s="1181"/>
      <c r="D31" s="1059" t="s">
        <v>283</v>
      </c>
      <c r="E31" s="363" t="s">
        <v>128</v>
      </c>
      <c r="F31" s="192"/>
      <c r="G31" s="261" t="s">
        <v>218</v>
      </c>
      <c r="H31" s="291"/>
      <c r="I31" s="291"/>
      <c r="J31" s="292"/>
      <c r="K31" s="1130"/>
      <c r="L31" s="250" t="s">
        <v>48</v>
      </c>
      <c r="M31" s="251"/>
      <c r="N31" s="233" t="s">
        <v>340</v>
      </c>
      <c r="O31" s="252"/>
      <c r="P31" s="250">
        <f>'８－２　水稲算出基礎（恋の予感） '!N16</f>
        <v>3044.4480000000003</v>
      </c>
      <c r="Q31" s="1146"/>
      <c r="R31" s="1147"/>
      <c r="S31" s="1148"/>
    </row>
    <row r="32" spans="1:19" s="160" customFormat="1" ht="18" customHeight="1" x14ac:dyDescent="0.2">
      <c r="A32" s="159"/>
      <c r="B32" s="1166"/>
      <c r="C32" s="1181"/>
      <c r="D32" s="1059"/>
      <c r="E32" s="363" t="s">
        <v>127</v>
      </c>
      <c r="F32" s="192"/>
      <c r="G32" s="261" t="s">
        <v>218</v>
      </c>
      <c r="H32" s="293"/>
      <c r="I32" s="293"/>
      <c r="J32" s="294"/>
      <c r="K32" s="1130"/>
      <c r="L32" s="250" t="s">
        <v>50</v>
      </c>
      <c r="M32" s="248"/>
      <c r="N32" s="252"/>
      <c r="O32" s="252"/>
      <c r="P32" s="250">
        <f>SUM(P30:P31)*R32</f>
        <v>6929.1518999999998</v>
      </c>
      <c r="Q32" s="369" t="s">
        <v>33</v>
      </c>
      <c r="R32" s="254">
        <v>0.3</v>
      </c>
      <c r="S32" s="176"/>
    </row>
    <row r="33" spans="1:23" ht="18" customHeight="1" x14ac:dyDescent="0.2">
      <c r="B33" s="1166"/>
      <c r="C33" s="1181"/>
      <c r="D33" s="60" t="s">
        <v>70</v>
      </c>
      <c r="E33" s="71"/>
      <c r="F33" s="192"/>
      <c r="G33" s="261" t="s">
        <v>218</v>
      </c>
      <c r="H33" s="295"/>
      <c r="I33" s="296"/>
      <c r="J33" s="290"/>
      <c r="K33" s="1130"/>
      <c r="L33" s="250" t="s">
        <v>51</v>
      </c>
      <c r="M33" s="251"/>
      <c r="N33" s="233"/>
      <c r="O33" s="252"/>
      <c r="P33" s="250">
        <f>'８－２　水稲算出基礎（恋の予感） '!N20</f>
        <v>0</v>
      </c>
      <c r="Q33" s="1123"/>
      <c r="R33" s="1124"/>
      <c r="S33" s="1125"/>
    </row>
    <row r="34" spans="1:23" ht="18" customHeight="1" x14ac:dyDescent="0.2">
      <c r="B34" s="1166"/>
      <c r="C34" s="1181"/>
      <c r="D34" s="60" t="s">
        <v>96</v>
      </c>
      <c r="E34" s="71"/>
      <c r="F34" s="192"/>
      <c r="G34" s="261" t="s">
        <v>218</v>
      </c>
      <c r="H34" s="297"/>
      <c r="I34" s="298"/>
      <c r="J34" s="299"/>
      <c r="K34" s="1130"/>
      <c r="L34" s="250" t="s">
        <v>52</v>
      </c>
      <c r="M34" s="251"/>
      <c r="N34" s="233" t="s">
        <v>340</v>
      </c>
      <c r="O34" s="252"/>
      <c r="P34" s="250">
        <f>'８－２　水稲算出基礎（恋の予感） '!N24</f>
        <v>17563.241999999998</v>
      </c>
      <c r="Q34" s="1123"/>
      <c r="R34" s="1124"/>
      <c r="S34" s="1125"/>
    </row>
    <row r="35" spans="1:23" ht="18" customHeight="1" x14ac:dyDescent="0.2">
      <c r="B35" s="1166"/>
      <c r="C35" s="1181"/>
      <c r="D35" s="60" t="s">
        <v>131</v>
      </c>
      <c r="E35" s="61"/>
      <c r="F35" s="192">
        <f>'８－２　水稲算出基礎（恋の予感） '!V57</f>
        <v>9950.2824858757067</v>
      </c>
      <c r="G35" s="348" t="s">
        <v>713</v>
      </c>
      <c r="H35" s="346"/>
      <c r="I35" s="346"/>
      <c r="J35" s="347"/>
      <c r="K35" s="1130"/>
      <c r="L35" s="250" t="s">
        <v>280</v>
      </c>
      <c r="M35" s="251"/>
      <c r="N35" s="233"/>
      <c r="O35" s="252"/>
      <c r="P35" s="250">
        <f>'８－２　水稲算出基礎（恋の予感） '!N28</f>
        <v>0</v>
      </c>
      <c r="Q35" s="1123"/>
      <c r="R35" s="1124"/>
      <c r="S35" s="1125"/>
    </row>
    <row r="36" spans="1:23" ht="18" customHeight="1" x14ac:dyDescent="0.2">
      <c r="B36" s="1166"/>
      <c r="C36" s="1181"/>
      <c r="D36" s="81" t="s">
        <v>97</v>
      </c>
      <c r="E36" s="82"/>
      <c r="F36" s="300"/>
      <c r="G36" s="233"/>
      <c r="H36" s="297"/>
      <c r="I36" s="298"/>
      <c r="J36" s="290"/>
      <c r="K36" s="1130"/>
      <c r="L36" s="250" t="s">
        <v>53</v>
      </c>
      <c r="M36" s="248"/>
      <c r="N36" s="233" t="s">
        <v>341</v>
      </c>
      <c r="O36" s="252"/>
      <c r="P36" s="250">
        <f>'８－２　水稲算出基礎（恋の予感） '!N32</f>
        <v>3811.2200000000003</v>
      </c>
      <c r="Q36" s="1123"/>
      <c r="R36" s="1124"/>
      <c r="S36" s="1125"/>
    </row>
    <row r="37" spans="1:23" ht="18" customHeight="1" thickBot="1" x14ac:dyDescent="0.25">
      <c r="B37" s="1166"/>
      <c r="C37" s="1181"/>
      <c r="D37" s="60" t="s">
        <v>71</v>
      </c>
      <c r="E37" s="61"/>
      <c r="F37" s="192">
        <f>'８－２　水稲算出基礎（恋の予感） '!N57</f>
        <v>4033.9689265536717</v>
      </c>
      <c r="G37" s="348" t="s">
        <v>713</v>
      </c>
      <c r="H37" s="346"/>
      <c r="I37" s="346"/>
      <c r="J37" s="347"/>
      <c r="K37" s="1131"/>
      <c r="L37" s="184" t="s">
        <v>29</v>
      </c>
      <c r="M37" s="183"/>
      <c r="N37" s="184"/>
      <c r="O37" s="184"/>
      <c r="P37" s="184">
        <f>SUM(P30:P36)</f>
        <v>51400.786899999999</v>
      </c>
      <c r="Q37" s="1143"/>
      <c r="R37" s="1144"/>
      <c r="S37" s="1145"/>
    </row>
    <row r="38" spans="1:23" s="178" customFormat="1" ht="18" customHeight="1" x14ac:dyDescent="0.2">
      <c r="A38" s="159"/>
      <c r="B38" s="1166"/>
      <c r="C38" s="1181"/>
      <c r="D38" s="60" t="s">
        <v>0</v>
      </c>
      <c r="E38" s="71"/>
      <c r="F38" s="192"/>
      <c r="G38" s="17" t="s">
        <v>218</v>
      </c>
      <c r="H38" s="244"/>
      <c r="I38" s="245"/>
      <c r="J38" s="243"/>
    </row>
    <row r="39" spans="1:23" s="178" customFormat="1" ht="18" customHeight="1" thickBot="1" x14ac:dyDescent="0.25">
      <c r="A39" s="159"/>
      <c r="B39" s="1167"/>
      <c r="C39" s="1182"/>
      <c r="D39" s="1183" t="s">
        <v>229</v>
      </c>
      <c r="E39" s="1184"/>
      <c r="F39" s="235">
        <f>SUM(F27:F38)</f>
        <v>34984.251412429381</v>
      </c>
      <c r="G39" s="236"/>
      <c r="H39" s="237"/>
      <c r="I39" s="238"/>
      <c r="J39" s="239"/>
      <c r="T39" s="179"/>
    </row>
    <row r="40" spans="1:23" s="178" customFormat="1" ht="18" customHeight="1" x14ac:dyDescent="0.2">
      <c r="A40" s="159"/>
      <c r="B40" s="1168" t="s">
        <v>233</v>
      </c>
      <c r="C40" s="1171" t="s">
        <v>73</v>
      </c>
      <c r="D40" s="230" t="s">
        <v>130</v>
      </c>
      <c r="E40" s="231"/>
      <c r="F40" s="232">
        <f>J40*10</f>
        <v>75000</v>
      </c>
      <c r="G40" s="233"/>
      <c r="H40" s="234"/>
      <c r="I40" s="234" t="s">
        <v>355</v>
      </c>
      <c r="J40" s="445">
        <v>7500</v>
      </c>
      <c r="T40" s="160"/>
      <c r="U40" s="160"/>
      <c r="V40" s="160"/>
      <c r="W40" s="160"/>
    </row>
    <row r="41" spans="1:23" s="178" customFormat="1" ht="18" customHeight="1" x14ac:dyDescent="0.2">
      <c r="A41" s="159"/>
      <c r="B41" s="1169"/>
      <c r="C41" s="1172"/>
      <c r="D41" s="60" t="s">
        <v>129</v>
      </c>
      <c r="E41" s="61"/>
      <c r="F41" s="224"/>
      <c r="G41" s="233"/>
      <c r="H41" s="185"/>
      <c r="I41" s="185"/>
      <c r="J41" s="246"/>
      <c r="T41" s="180"/>
      <c r="U41" s="181"/>
      <c r="V41" s="182"/>
      <c r="W41" s="180"/>
    </row>
    <row r="42" spans="1:23" s="178" customFormat="1" ht="18" customHeight="1" x14ac:dyDescent="0.2">
      <c r="A42" s="159"/>
      <c r="B42" s="1169"/>
      <c r="C42" s="1173"/>
      <c r="D42" s="81" t="s">
        <v>72</v>
      </c>
      <c r="E42" s="61"/>
      <c r="F42" s="225"/>
      <c r="G42" s="233"/>
      <c r="H42" s="185"/>
      <c r="I42" s="185"/>
      <c r="J42" s="246"/>
      <c r="T42" s="160"/>
      <c r="U42" s="160"/>
      <c r="V42" s="160"/>
      <c r="W42" s="160"/>
    </row>
    <row r="43" spans="1:23" s="178" customFormat="1" ht="18" customHeight="1" x14ac:dyDescent="0.2">
      <c r="B43" s="1169"/>
      <c r="C43" s="1174" t="s">
        <v>232</v>
      </c>
      <c r="D43" s="81" t="s">
        <v>284</v>
      </c>
      <c r="E43" s="82"/>
      <c r="F43" s="225"/>
      <c r="G43" s="233"/>
      <c r="H43" s="185"/>
      <c r="I43" s="185"/>
      <c r="J43" s="246"/>
      <c r="T43" s="161"/>
      <c r="U43" s="179"/>
      <c r="V43" s="160"/>
      <c r="W43" s="180"/>
    </row>
    <row r="44" spans="1:23" s="178" customFormat="1" ht="18" customHeight="1" x14ac:dyDescent="0.2">
      <c r="B44" s="1169"/>
      <c r="C44" s="1175"/>
      <c r="D44" s="83" t="s">
        <v>1</v>
      </c>
      <c r="E44" s="84"/>
      <c r="F44" s="225"/>
      <c r="G44" s="233"/>
      <c r="H44" s="185"/>
      <c r="I44" s="185"/>
      <c r="J44" s="246"/>
      <c r="T44" s="161"/>
      <c r="U44" s="179"/>
      <c r="V44" s="160"/>
      <c r="W44" s="180"/>
    </row>
    <row r="45" spans="1:23" s="178" customFormat="1" ht="18" customHeight="1" thickBot="1" x14ac:dyDescent="0.25">
      <c r="B45" s="1170"/>
      <c r="C45" s="1176" t="s">
        <v>99</v>
      </c>
      <c r="D45" s="1177"/>
      <c r="E45" s="1178"/>
      <c r="F45" s="226">
        <f>SUM(F40:F42)-SUM(F43:F44)</f>
        <v>75000</v>
      </c>
      <c r="G45" s="186"/>
      <c r="H45" s="187"/>
      <c r="I45" s="187"/>
      <c r="J45" s="247"/>
      <c r="T45" s="160"/>
      <c r="U45" s="160"/>
      <c r="V45" s="181"/>
      <c r="W45" s="160"/>
    </row>
    <row r="49" spans="4:6" x14ac:dyDescent="0.2">
      <c r="D49" s="862" t="s">
        <v>343</v>
      </c>
      <c r="E49" s="862"/>
      <c r="F49" s="862">
        <f>F4-F26</f>
        <v>332.32460920757148</v>
      </c>
    </row>
  </sheetData>
  <mergeCells count="56">
    <mergeCell ref="Q36:S36"/>
    <mergeCell ref="Q37:S37"/>
    <mergeCell ref="D39:E39"/>
    <mergeCell ref="B40:B45"/>
    <mergeCell ref="C40:C42"/>
    <mergeCell ref="C43:C44"/>
    <mergeCell ref="C45:E45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18:S18"/>
    <mergeCell ref="Q19:S19"/>
    <mergeCell ref="Q20:S20"/>
    <mergeCell ref="Q21:S21"/>
    <mergeCell ref="D22:D23"/>
    <mergeCell ref="Q22:S22"/>
    <mergeCell ref="Q23:S23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R9:S9"/>
    <mergeCell ref="G10:J10"/>
    <mergeCell ref="R10:S10"/>
    <mergeCell ref="G11:J11"/>
    <mergeCell ref="R11:S11"/>
    <mergeCell ref="B3:E3"/>
    <mergeCell ref="K3:S3"/>
    <mergeCell ref="B4:C5"/>
    <mergeCell ref="R4:S4"/>
    <mergeCell ref="R5:S5"/>
  </mergeCells>
  <phoneticPr fontId="4"/>
  <conditionalFormatting sqref="F17">
    <cfRule type="cellIs" dxfId="46" priority="3" operator="equal">
      <formula>0</formula>
    </cfRule>
  </conditionalFormatting>
  <conditionalFormatting sqref="P17:P21">
    <cfRule type="cellIs" dxfId="45" priority="2" operator="equal">
      <formula>0</formula>
    </cfRule>
  </conditionalFormatting>
  <conditionalFormatting sqref="P30:P36">
    <cfRule type="cellIs" dxfId="44" priority="1" operator="equal">
      <formula>0</formula>
    </cfRule>
  </conditionalFormatting>
  <pageMargins left="0" right="0" top="0.78740157480314965" bottom="0" header="0.39370078740157483" footer="0.39370078740157483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90625" defaultRowHeight="13" x14ac:dyDescent="0.2"/>
  <cols>
    <col min="1" max="1" width="1.6328125" style="159" customWidth="1"/>
    <col min="2" max="2" width="5.90625" style="159" customWidth="1"/>
    <col min="3" max="3" width="10.6328125" style="159" customWidth="1"/>
    <col min="4" max="4" width="12.36328125" style="159" customWidth="1"/>
    <col min="5" max="5" width="14.6328125" style="159" customWidth="1"/>
    <col min="6" max="7" width="15.90625" style="159" customWidth="1"/>
    <col min="8" max="8" width="10.90625" style="159"/>
    <col min="9" max="9" width="11.36328125" style="159" bestFit="1" customWidth="1"/>
    <col min="10" max="10" width="13.36328125" style="159" customWidth="1"/>
    <col min="11" max="11" width="7.08984375" style="159" customWidth="1"/>
    <col min="12" max="12" width="15.36328125" style="159" customWidth="1"/>
    <col min="13" max="13" width="9.36328125" style="159" bestFit="1" customWidth="1"/>
    <col min="14" max="14" width="10.90625" style="159"/>
    <col min="15" max="15" width="7.26953125" style="159" customWidth="1"/>
    <col min="16" max="16" width="9.6328125" style="159" customWidth="1"/>
    <col min="17" max="17" width="10.90625" style="159" customWidth="1"/>
    <col min="18" max="18" width="7.453125" style="159" customWidth="1"/>
    <col min="19" max="19" width="3.7265625" style="159" customWidth="1"/>
    <col min="20" max="16384" width="10.90625" style="159"/>
  </cols>
  <sheetData>
    <row r="1" spans="2:19" s="160" customFormat="1" ht="10" customHeight="1" x14ac:dyDescent="0.2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2:19" s="160" customFormat="1" ht="25" customHeight="1" thickBot="1" x14ac:dyDescent="0.25">
      <c r="B2" s="3" t="s">
        <v>413</v>
      </c>
      <c r="H2" s="161" t="s">
        <v>271</v>
      </c>
      <c r="I2" s="3" t="s">
        <v>344</v>
      </c>
      <c r="K2" s="161" t="s">
        <v>272</v>
      </c>
      <c r="L2" s="3" t="s">
        <v>274</v>
      </c>
      <c r="N2" s="159"/>
      <c r="O2" s="159"/>
      <c r="Q2" s="4"/>
      <c r="R2" s="4"/>
    </row>
    <row r="3" spans="2:19" s="160" customFormat="1" ht="18" customHeight="1" x14ac:dyDescent="0.2">
      <c r="B3" s="1159" t="s">
        <v>20</v>
      </c>
      <c r="C3" s="1160"/>
      <c r="D3" s="1160"/>
      <c r="E3" s="1161"/>
      <c r="F3" s="190" t="s">
        <v>21</v>
      </c>
      <c r="G3" s="163"/>
      <c r="H3" s="164" t="s">
        <v>22</v>
      </c>
      <c r="I3" s="162"/>
      <c r="J3" s="162"/>
      <c r="K3" s="1149" t="s">
        <v>238</v>
      </c>
      <c r="L3" s="1150"/>
      <c r="M3" s="1150"/>
      <c r="N3" s="1150"/>
      <c r="O3" s="1150"/>
      <c r="P3" s="1150"/>
      <c r="Q3" s="1150"/>
      <c r="R3" s="1150"/>
      <c r="S3" s="1151"/>
    </row>
    <row r="4" spans="2:19" s="160" customFormat="1" ht="18" customHeight="1" x14ac:dyDescent="0.2">
      <c r="B4" s="1157" t="s">
        <v>23</v>
      </c>
      <c r="C4" s="1158"/>
      <c r="D4" s="261" t="s">
        <v>231</v>
      </c>
      <c r="E4" s="280"/>
      <c r="F4" s="273">
        <f>+R11</f>
        <v>798000</v>
      </c>
      <c r="G4" s="261" t="s">
        <v>212</v>
      </c>
      <c r="H4" s="256"/>
      <c r="I4" s="256"/>
      <c r="J4" s="256"/>
      <c r="K4" s="269" t="s">
        <v>57</v>
      </c>
      <c r="L4" s="355" t="s">
        <v>278</v>
      </c>
      <c r="M4" s="271" t="s">
        <v>24</v>
      </c>
      <c r="N4" s="271" t="s">
        <v>23</v>
      </c>
      <c r="O4" s="271" t="s">
        <v>57</v>
      </c>
      <c r="P4" s="355" t="s">
        <v>279</v>
      </c>
      <c r="Q4" s="271" t="s">
        <v>24</v>
      </c>
      <c r="R4" s="1152" t="s">
        <v>23</v>
      </c>
      <c r="S4" s="1153"/>
    </row>
    <row r="5" spans="2:19" s="160" customFormat="1" ht="18" customHeight="1" x14ac:dyDescent="0.2">
      <c r="B5" s="1157"/>
      <c r="C5" s="1158"/>
      <c r="D5" s="261" t="s">
        <v>92</v>
      </c>
      <c r="E5" s="280"/>
      <c r="F5" s="273"/>
      <c r="G5" s="227"/>
      <c r="H5" s="281"/>
      <c r="I5" s="281"/>
      <c r="J5" s="281"/>
      <c r="K5" s="351" t="s">
        <v>370</v>
      </c>
      <c r="L5" s="273">
        <f>6000*'１　対象経営の概要，２　前提条件'!$AB$27/'１　対象経営の概要，２　前提条件'!$AB$27</f>
        <v>6000</v>
      </c>
      <c r="M5" s="273">
        <v>133</v>
      </c>
      <c r="N5" s="273">
        <f>L5*M5</f>
        <v>798000</v>
      </c>
      <c r="O5" s="273"/>
      <c r="P5" s="273"/>
      <c r="Q5" s="273"/>
      <c r="R5" s="1126"/>
      <c r="S5" s="1119"/>
    </row>
    <row r="6" spans="2:19" s="160" customFormat="1" ht="18" customHeight="1" x14ac:dyDescent="0.2">
      <c r="B6" s="1165" t="s">
        <v>236</v>
      </c>
      <c r="C6" s="1162" t="s">
        <v>222</v>
      </c>
      <c r="D6" s="273" t="s">
        <v>59</v>
      </c>
      <c r="E6" s="282"/>
      <c r="F6" s="273">
        <f>P15</f>
        <v>19250</v>
      </c>
      <c r="G6" s="227" t="s">
        <v>213</v>
      </c>
      <c r="H6" s="281"/>
      <c r="I6" s="281"/>
      <c r="J6" s="281"/>
      <c r="K6" s="279"/>
      <c r="L6" s="276"/>
      <c r="M6" s="273"/>
      <c r="N6" s="273"/>
      <c r="O6" s="273"/>
      <c r="P6" s="273"/>
      <c r="Q6" s="273"/>
      <c r="R6" s="1126"/>
      <c r="S6" s="1119"/>
    </row>
    <row r="7" spans="2:19" s="160" customFormat="1" ht="18" customHeight="1" x14ac:dyDescent="0.2">
      <c r="B7" s="1166"/>
      <c r="C7" s="1163"/>
      <c r="D7" s="273" t="s">
        <v>60</v>
      </c>
      <c r="E7" s="282"/>
      <c r="F7" s="273">
        <f>P22</f>
        <v>161148.85</v>
      </c>
      <c r="G7" s="261" t="s">
        <v>709</v>
      </c>
      <c r="H7" s="256"/>
      <c r="I7" s="256"/>
      <c r="J7" s="283"/>
      <c r="K7" s="277"/>
      <c r="L7" s="286"/>
      <c r="M7" s="273"/>
      <c r="N7" s="273"/>
      <c r="O7" s="273"/>
      <c r="P7" s="273"/>
      <c r="Q7" s="273"/>
      <c r="R7" s="1126"/>
      <c r="S7" s="1119"/>
    </row>
    <row r="8" spans="2:19" s="160" customFormat="1" ht="18" customHeight="1" x14ac:dyDescent="0.2">
      <c r="B8" s="1166"/>
      <c r="C8" s="1163"/>
      <c r="D8" s="273" t="s">
        <v>61</v>
      </c>
      <c r="E8" s="282"/>
      <c r="F8" s="273">
        <f>P28</f>
        <v>72085.600000000006</v>
      </c>
      <c r="G8" s="233" t="s">
        <v>710</v>
      </c>
      <c r="H8" s="248"/>
      <c r="I8" s="248"/>
      <c r="J8" s="284"/>
      <c r="K8" s="275"/>
      <c r="L8" s="273"/>
      <c r="M8" s="273"/>
      <c r="N8" s="273"/>
      <c r="O8" s="273"/>
      <c r="P8" s="273"/>
      <c r="Q8" s="273"/>
      <c r="R8" s="1126"/>
      <c r="S8" s="1119"/>
    </row>
    <row r="9" spans="2:19" s="160" customFormat="1" ht="18" customHeight="1" x14ac:dyDescent="0.2">
      <c r="B9" s="1166"/>
      <c r="C9" s="1163"/>
      <c r="D9" s="273" t="s">
        <v>93</v>
      </c>
      <c r="E9" s="282"/>
      <c r="F9" s="273">
        <f>P37</f>
        <v>51400.786899999999</v>
      </c>
      <c r="G9" s="233" t="s">
        <v>711</v>
      </c>
      <c r="H9" s="248"/>
      <c r="I9" s="248"/>
      <c r="J9" s="284"/>
      <c r="K9" s="275"/>
      <c r="L9" s="273"/>
      <c r="M9" s="273"/>
      <c r="N9" s="273"/>
      <c r="O9" s="273"/>
      <c r="P9" s="273"/>
      <c r="Q9" s="273"/>
      <c r="R9" s="1126"/>
      <c r="S9" s="1119"/>
    </row>
    <row r="10" spans="2:19" s="160" customFormat="1" ht="18" customHeight="1" x14ac:dyDescent="0.2">
      <c r="B10" s="1166"/>
      <c r="C10" s="1163"/>
      <c r="D10" s="273" t="s">
        <v>62</v>
      </c>
      <c r="E10" s="282"/>
      <c r="F10" s="273">
        <f>'８－３　水稲算出基礎（加工用米，恋の予感）'!V21</f>
        <v>2000</v>
      </c>
      <c r="G10" s="1117" t="s">
        <v>712</v>
      </c>
      <c r="H10" s="1118"/>
      <c r="I10" s="1118"/>
      <c r="J10" s="1119"/>
      <c r="K10" s="275"/>
      <c r="L10" s="273"/>
      <c r="M10" s="273"/>
      <c r="N10" s="273"/>
      <c r="O10" s="273"/>
      <c r="P10" s="273"/>
      <c r="Q10" s="273"/>
      <c r="R10" s="1126"/>
      <c r="S10" s="1119"/>
    </row>
    <row r="11" spans="2:19" s="160" customFormat="1" ht="18" customHeight="1" thickBot="1" x14ac:dyDescent="0.25">
      <c r="B11" s="1166"/>
      <c r="C11" s="1163"/>
      <c r="D11" s="273" t="s">
        <v>6</v>
      </c>
      <c r="E11" s="282"/>
      <c r="F11" s="273">
        <f>'８－３　水稲算出基礎（加工用米，恋の予感）'!V34</f>
        <v>84.745762711864401</v>
      </c>
      <c r="G11" s="1117" t="s">
        <v>712</v>
      </c>
      <c r="H11" s="1118"/>
      <c r="I11" s="1118"/>
      <c r="J11" s="1119"/>
      <c r="K11" s="181"/>
      <c r="L11" s="166"/>
      <c r="M11" s="166"/>
      <c r="N11" s="165"/>
      <c r="O11" s="167" t="s">
        <v>25</v>
      </c>
      <c r="P11" s="168">
        <f>SUM(L5:L11,P5:Q10)</f>
        <v>6000</v>
      </c>
      <c r="Q11" s="169">
        <f>R11/P11</f>
        <v>133</v>
      </c>
      <c r="R11" s="1138">
        <f>SUM(N5:N11,R5:S10)</f>
        <v>798000</v>
      </c>
      <c r="S11" s="1139"/>
    </row>
    <row r="12" spans="2:19" s="160" customFormat="1" ht="18" customHeight="1" thickTop="1" x14ac:dyDescent="0.2">
      <c r="B12" s="1166"/>
      <c r="C12" s="1163"/>
      <c r="D12" s="273" t="s">
        <v>7</v>
      </c>
      <c r="E12" s="282"/>
      <c r="F12" s="273"/>
      <c r="G12" s="233"/>
      <c r="H12" s="248"/>
      <c r="I12" s="248"/>
      <c r="J12" s="284"/>
      <c r="K12" s="1129" t="s">
        <v>237</v>
      </c>
      <c r="L12" s="263" t="s">
        <v>182</v>
      </c>
      <c r="M12" s="267" t="s">
        <v>9</v>
      </c>
      <c r="N12" s="357" t="s">
        <v>277</v>
      </c>
      <c r="O12" s="266" t="s">
        <v>24</v>
      </c>
      <c r="P12" s="266" t="s">
        <v>27</v>
      </c>
      <c r="Q12" s="1140" t="s">
        <v>28</v>
      </c>
      <c r="R12" s="1141"/>
      <c r="S12" s="1142"/>
    </row>
    <row r="13" spans="2:19" s="160" customFormat="1" ht="18" customHeight="1" x14ac:dyDescent="0.2">
      <c r="B13" s="1166"/>
      <c r="C13" s="1163"/>
      <c r="D13" s="1154" t="s">
        <v>63</v>
      </c>
      <c r="E13" s="285" t="s">
        <v>208</v>
      </c>
      <c r="F13" s="273">
        <f>'（参考）水稲資本装備'!L9*'７－３　水稲部門（加工用，恋の予感）収支'!H13</f>
        <v>6235.1694915254238</v>
      </c>
      <c r="G13" s="233" t="s">
        <v>214</v>
      </c>
      <c r="H13" s="530">
        <v>0.01</v>
      </c>
      <c r="I13" s="1127" t="s">
        <v>217</v>
      </c>
      <c r="J13" s="1128"/>
      <c r="K13" s="1166"/>
      <c r="L13" s="448" t="s">
        <v>369</v>
      </c>
      <c r="M13" s="262" t="s">
        <v>174</v>
      </c>
      <c r="N13" s="194">
        <v>35</v>
      </c>
      <c r="O13" s="194">
        <v>550</v>
      </c>
      <c r="P13" s="194">
        <f>N13*O13</f>
        <v>19250</v>
      </c>
      <c r="Q13" s="1120" t="s">
        <v>270</v>
      </c>
      <c r="R13" s="1121"/>
      <c r="S13" s="1122"/>
    </row>
    <row r="14" spans="2:19" s="160" customFormat="1" ht="18" customHeight="1" x14ac:dyDescent="0.2">
      <c r="B14" s="1166"/>
      <c r="C14" s="1163"/>
      <c r="D14" s="1155"/>
      <c r="E14" s="285" t="s">
        <v>209</v>
      </c>
      <c r="F14" s="273">
        <f>'（参考）水稲資本装備'!L26*'７－３　水稲部門（加工用，恋の予感）収支'!H14</f>
        <v>85468.994553672339</v>
      </c>
      <c r="G14" s="233" t="s">
        <v>214</v>
      </c>
      <c r="H14" s="530">
        <v>0.05</v>
      </c>
      <c r="I14" s="1127" t="s">
        <v>217</v>
      </c>
      <c r="J14" s="1128"/>
      <c r="K14" s="1130"/>
      <c r="L14" s="274"/>
      <c r="M14" s="262"/>
      <c r="N14" s="194"/>
      <c r="O14" s="194"/>
      <c r="P14" s="194"/>
      <c r="Q14" s="1187"/>
      <c r="R14" s="1121"/>
      <c r="S14" s="1122"/>
    </row>
    <row r="15" spans="2:19" s="160" customFormat="1" ht="18" customHeight="1" thickBot="1" x14ac:dyDescent="0.25">
      <c r="B15" s="1166"/>
      <c r="C15" s="1163"/>
      <c r="D15" s="1154" t="s">
        <v>94</v>
      </c>
      <c r="E15" s="285" t="s">
        <v>208</v>
      </c>
      <c r="F15" s="273">
        <f>'（参考）水稲資本装備'!P9</f>
        <v>24940.677966101692</v>
      </c>
      <c r="G15" s="233" t="s">
        <v>217</v>
      </c>
      <c r="H15" s="240"/>
      <c r="I15" s="240"/>
      <c r="J15" s="241"/>
      <c r="K15" s="1130"/>
      <c r="L15" s="172" t="s">
        <v>29</v>
      </c>
      <c r="M15" s="171"/>
      <c r="N15" s="172"/>
      <c r="O15" s="172"/>
      <c r="P15" s="172">
        <f>SUM(P13:P14)</f>
        <v>19250</v>
      </c>
      <c r="Q15" s="1132"/>
      <c r="R15" s="1133"/>
      <c r="S15" s="1134"/>
    </row>
    <row r="16" spans="2:19" s="160" customFormat="1" ht="18" customHeight="1" thickTop="1" x14ac:dyDescent="0.2">
      <c r="B16" s="1166"/>
      <c r="C16" s="1163"/>
      <c r="D16" s="1156"/>
      <c r="E16" s="285" t="s">
        <v>209</v>
      </c>
      <c r="F16" s="273">
        <f>'（参考）水稲資本装備'!P26</f>
        <v>244197.12729620666</v>
      </c>
      <c r="G16" s="233" t="s">
        <v>217</v>
      </c>
      <c r="H16" s="240"/>
      <c r="I16" s="240"/>
      <c r="J16" s="241"/>
      <c r="K16" s="1130"/>
      <c r="L16" s="257" t="s">
        <v>183</v>
      </c>
      <c r="M16" s="258"/>
      <c r="N16" s="356" t="s">
        <v>277</v>
      </c>
      <c r="O16" s="259" t="s">
        <v>24</v>
      </c>
      <c r="P16" s="260" t="s">
        <v>27</v>
      </c>
      <c r="Q16" s="1135" t="s">
        <v>28</v>
      </c>
      <c r="R16" s="1136"/>
      <c r="S16" s="1137"/>
    </row>
    <row r="17" spans="1:19" s="160" customFormat="1" ht="18" customHeight="1" x14ac:dyDescent="0.2">
      <c r="B17" s="1166"/>
      <c r="C17" s="1163"/>
      <c r="D17" s="1155"/>
      <c r="E17" s="273" t="s">
        <v>64</v>
      </c>
      <c r="F17" s="273">
        <f>'（参考）水稲資本装備'!P31</f>
        <v>0</v>
      </c>
      <c r="G17" s="233" t="s">
        <v>217</v>
      </c>
      <c r="H17" s="240"/>
      <c r="I17" s="240"/>
      <c r="J17" s="241"/>
      <c r="K17" s="1130"/>
      <c r="L17" s="261" t="s">
        <v>189</v>
      </c>
      <c r="M17" s="262"/>
      <c r="N17" s="233" t="s">
        <v>334</v>
      </c>
      <c r="O17" s="252"/>
      <c r="P17" s="250">
        <f>'８－３　水稲算出基礎（加工用米，恋の予感）'!G7</f>
        <v>0</v>
      </c>
      <c r="Q17" s="1123"/>
      <c r="R17" s="1124"/>
      <c r="S17" s="1125"/>
    </row>
    <row r="18" spans="1:19" s="160" customFormat="1" ht="18" customHeight="1" x14ac:dyDescent="0.2">
      <c r="A18" s="159"/>
      <c r="B18" s="1166"/>
      <c r="C18" s="1163"/>
      <c r="D18" s="1179" t="s">
        <v>282</v>
      </c>
      <c r="E18" s="286" t="s">
        <v>128</v>
      </c>
      <c r="F18" s="273"/>
      <c r="G18" s="233"/>
      <c r="H18" s="240"/>
      <c r="I18" s="240"/>
      <c r="J18" s="241"/>
      <c r="K18" s="1130"/>
      <c r="L18" s="261" t="s">
        <v>187</v>
      </c>
      <c r="M18" s="262"/>
      <c r="N18" s="233" t="s">
        <v>298</v>
      </c>
      <c r="O18" s="252"/>
      <c r="P18" s="250">
        <f>'８－３　水稲算出基礎（加工用米，恋の予感）'!G11</f>
        <v>38400</v>
      </c>
      <c r="Q18" s="1123"/>
      <c r="R18" s="1124"/>
      <c r="S18" s="1125"/>
    </row>
    <row r="19" spans="1:19" s="160" customFormat="1" ht="18" customHeight="1" x14ac:dyDescent="0.2">
      <c r="A19" s="159"/>
      <c r="B19" s="1166"/>
      <c r="C19" s="1163"/>
      <c r="D19" s="1179"/>
      <c r="E19" s="286" t="s">
        <v>124</v>
      </c>
      <c r="F19" s="273">
        <f>J19*'５－３　水稲（加工用米，恋の予感）作業時間'!AO22</f>
        <v>37290.000000000007</v>
      </c>
      <c r="G19" s="233"/>
      <c r="H19" s="240"/>
      <c r="I19" s="173" t="s">
        <v>346</v>
      </c>
      <c r="J19" s="441">
        <v>1100</v>
      </c>
      <c r="K19" s="1130"/>
      <c r="L19" s="233" t="s">
        <v>188</v>
      </c>
      <c r="M19" s="248"/>
      <c r="N19" s="233" t="s">
        <v>298</v>
      </c>
      <c r="O19" s="252"/>
      <c r="P19" s="250">
        <f>'８－３　水稲算出基礎（加工用米，恋の予感）'!G16</f>
        <v>102025</v>
      </c>
      <c r="Q19" s="1123"/>
      <c r="R19" s="1124"/>
      <c r="S19" s="1125"/>
    </row>
    <row r="20" spans="1:19" s="160" customFormat="1" ht="18" customHeight="1" x14ac:dyDescent="0.2">
      <c r="A20" s="159"/>
      <c r="B20" s="1166"/>
      <c r="C20" s="1163"/>
      <c r="D20" s="1179"/>
      <c r="E20" s="286" t="s">
        <v>125</v>
      </c>
      <c r="F20" s="273">
        <f>J20*'５－３　水稲（加工用米，恋の予感）作業時間'!AP22</f>
        <v>55800</v>
      </c>
      <c r="G20" s="233"/>
      <c r="H20" s="240"/>
      <c r="I20" s="173" t="s">
        <v>347</v>
      </c>
      <c r="J20" s="441">
        <v>900</v>
      </c>
      <c r="K20" s="1130"/>
      <c r="L20" s="233" t="s">
        <v>190</v>
      </c>
      <c r="M20" s="248"/>
      <c r="N20" s="233"/>
      <c r="O20" s="252"/>
      <c r="P20" s="250">
        <f>'８－３　水稲算出基礎（加工用米，恋の予感）'!G20</f>
        <v>0</v>
      </c>
      <c r="Q20" s="1123"/>
      <c r="R20" s="1124"/>
      <c r="S20" s="1125"/>
    </row>
    <row r="21" spans="1:19" s="160" customFormat="1" ht="18" customHeight="1" x14ac:dyDescent="0.2">
      <c r="A21" s="159"/>
      <c r="B21" s="1166"/>
      <c r="C21" s="1163"/>
      <c r="D21" s="1179"/>
      <c r="E21" s="286" t="s">
        <v>126</v>
      </c>
      <c r="F21" s="273">
        <f>(F19+F20)*0.012</f>
        <v>1117.08</v>
      </c>
      <c r="G21" s="233"/>
      <c r="H21" s="240"/>
      <c r="I21" s="240"/>
      <c r="J21" s="241"/>
      <c r="K21" s="1130"/>
      <c r="L21" s="233" t="s">
        <v>191</v>
      </c>
      <c r="M21" s="248"/>
      <c r="N21" s="233" t="s">
        <v>334</v>
      </c>
      <c r="O21" s="250"/>
      <c r="P21" s="250">
        <f>'８－３　水稲算出基礎（加工用米，恋の予感）'!G24</f>
        <v>20723.849999999999</v>
      </c>
      <c r="Q21" s="1123"/>
      <c r="R21" s="1124"/>
      <c r="S21" s="1125"/>
    </row>
    <row r="22" spans="1:19" s="160" customFormat="1" ht="18" customHeight="1" thickBot="1" x14ac:dyDescent="0.25">
      <c r="A22" s="159"/>
      <c r="B22" s="1166"/>
      <c r="C22" s="1163"/>
      <c r="D22" s="1179" t="s">
        <v>65</v>
      </c>
      <c r="E22" s="286" t="s">
        <v>66</v>
      </c>
      <c r="F22" s="273">
        <f t="shared" ref="F22:F23" si="0">I22*10</f>
        <v>23760</v>
      </c>
      <c r="G22" s="233"/>
      <c r="H22" s="240"/>
      <c r="I22" s="248">
        <v>2376</v>
      </c>
      <c r="J22" s="241" t="s">
        <v>345</v>
      </c>
      <c r="K22" s="1130"/>
      <c r="L22" s="172" t="s">
        <v>29</v>
      </c>
      <c r="M22" s="171"/>
      <c r="N22" s="172"/>
      <c r="O22" s="172"/>
      <c r="P22" s="172">
        <f>SUM(P17:P21)</f>
        <v>161148.85</v>
      </c>
      <c r="Q22" s="1132"/>
      <c r="R22" s="1133"/>
      <c r="S22" s="1134"/>
    </row>
    <row r="23" spans="1:19" s="160" customFormat="1" ht="18" customHeight="1" thickTop="1" x14ac:dyDescent="0.2">
      <c r="A23" s="159"/>
      <c r="B23" s="1166"/>
      <c r="C23" s="1163"/>
      <c r="D23" s="1179"/>
      <c r="E23" s="286" t="s">
        <v>95</v>
      </c>
      <c r="F23" s="273">
        <f t="shared" si="0"/>
        <v>50000</v>
      </c>
      <c r="G23" s="233"/>
      <c r="H23" s="240"/>
      <c r="I23" s="248">
        <v>5000</v>
      </c>
      <c r="J23" s="241" t="s">
        <v>345</v>
      </c>
      <c r="K23" s="1130"/>
      <c r="L23" s="233" t="s">
        <v>184</v>
      </c>
      <c r="M23" s="248"/>
      <c r="N23" s="249" t="s">
        <v>26</v>
      </c>
      <c r="O23" s="249" t="s">
        <v>24</v>
      </c>
      <c r="P23" s="249" t="s">
        <v>27</v>
      </c>
      <c r="Q23" s="1135" t="s">
        <v>28</v>
      </c>
      <c r="R23" s="1136"/>
      <c r="S23" s="1137"/>
    </row>
    <row r="24" spans="1:19" s="160" customFormat="1" ht="18" customHeight="1" x14ac:dyDescent="0.2">
      <c r="A24" s="159"/>
      <c r="B24" s="1166"/>
      <c r="C24" s="1163"/>
      <c r="D24" s="273" t="s">
        <v>67</v>
      </c>
      <c r="E24" s="282"/>
      <c r="F24" s="273">
        <f>I24*10</f>
        <v>30000</v>
      </c>
      <c r="G24" s="233"/>
      <c r="H24" s="240"/>
      <c r="I24" s="520">
        <v>3000</v>
      </c>
      <c r="J24" s="241" t="s">
        <v>345</v>
      </c>
      <c r="K24" s="1130"/>
      <c r="L24" s="250" t="s">
        <v>30</v>
      </c>
      <c r="M24" s="248"/>
      <c r="N24" s="233" t="s">
        <v>336</v>
      </c>
      <c r="O24" s="250"/>
      <c r="P24" s="250">
        <f>'８－３　水稲算出基礎（加工用米，恋の予感）'!G38</f>
        <v>5512.1</v>
      </c>
      <c r="Q24" s="1123"/>
      <c r="R24" s="1124"/>
      <c r="S24" s="1125"/>
    </row>
    <row r="25" spans="1:19" s="160" customFormat="1" ht="18" customHeight="1" x14ac:dyDescent="0.2">
      <c r="A25" s="159"/>
      <c r="B25" s="1166"/>
      <c r="C25" s="1163"/>
      <c r="D25" s="273" t="s">
        <v>186</v>
      </c>
      <c r="E25" s="282"/>
      <c r="F25" s="273">
        <f>SUM(F6:F24)/99</f>
        <v>8735.1417370729087</v>
      </c>
      <c r="G25" s="287" t="s">
        <v>239</v>
      </c>
      <c r="H25" s="301">
        <v>0.01</v>
      </c>
      <c r="I25" s="174"/>
      <c r="J25" s="18"/>
      <c r="K25" s="1130"/>
      <c r="L25" s="250" t="s">
        <v>31</v>
      </c>
      <c r="M25" s="248"/>
      <c r="N25" s="233" t="s">
        <v>338</v>
      </c>
      <c r="O25" s="250"/>
      <c r="P25" s="250">
        <f>'８－３　水稲算出基礎（加工用米，恋の予感）'!G49</f>
        <v>4975</v>
      </c>
      <c r="Q25" s="1123"/>
      <c r="R25" s="1124"/>
      <c r="S25" s="1125"/>
    </row>
    <row r="26" spans="1:19" s="160" customFormat="1" ht="18" customHeight="1" x14ac:dyDescent="0.2">
      <c r="A26" s="159"/>
      <c r="B26" s="1166"/>
      <c r="C26" s="1164"/>
      <c r="D26" s="1185" t="s">
        <v>230</v>
      </c>
      <c r="E26" s="1186"/>
      <c r="F26" s="191">
        <f>SUM(F6:F25)</f>
        <v>873514.1737072909</v>
      </c>
      <c r="G26" s="242"/>
      <c r="H26" s="174"/>
      <c r="I26" s="174"/>
      <c r="J26" s="177"/>
      <c r="K26" s="1130"/>
      <c r="L26" s="250" t="s">
        <v>32</v>
      </c>
      <c r="M26" s="248"/>
      <c r="N26" s="233" t="s">
        <v>334</v>
      </c>
      <c r="O26" s="250"/>
      <c r="P26" s="250">
        <f>'８－３　水稲算出基礎（加工用米，恋の予感）'!G53</f>
        <v>24330</v>
      </c>
      <c r="Q26" s="1123"/>
      <c r="R26" s="1124"/>
      <c r="S26" s="1125"/>
    </row>
    <row r="27" spans="1:19" s="160" customFormat="1" ht="18" customHeight="1" x14ac:dyDescent="0.2">
      <c r="A27" s="159"/>
      <c r="B27" s="1166"/>
      <c r="C27" s="1180" t="s">
        <v>215</v>
      </c>
      <c r="D27" s="1043" t="s">
        <v>68</v>
      </c>
      <c r="E27" s="60" t="s">
        <v>3</v>
      </c>
      <c r="F27" s="165">
        <f>P11/30*J27</f>
        <v>16000</v>
      </c>
      <c r="G27" s="261"/>
      <c r="H27" s="248"/>
      <c r="I27" s="170" t="s">
        <v>352</v>
      </c>
      <c r="J27" s="442">
        <v>80</v>
      </c>
      <c r="K27" s="1130"/>
      <c r="L27" s="250" t="s">
        <v>335</v>
      </c>
      <c r="M27" s="248"/>
      <c r="N27" s="233" t="s">
        <v>338</v>
      </c>
      <c r="O27" s="250"/>
      <c r="P27" s="250">
        <f>'８－３　水稲算出基礎（加工用米，恋の予感）'!G57</f>
        <v>37268.5</v>
      </c>
      <c r="Q27" s="1123"/>
      <c r="R27" s="1124"/>
      <c r="S27" s="1125"/>
    </row>
    <row r="28" spans="1:19" s="160" customFormat="1" ht="18" customHeight="1" thickBot="1" x14ac:dyDescent="0.25">
      <c r="A28" s="159"/>
      <c r="B28" s="1166"/>
      <c r="C28" s="1181"/>
      <c r="D28" s="1046"/>
      <c r="E28" s="60" t="s">
        <v>4</v>
      </c>
      <c r="F28" s="192"/>
      <c r="G28" s="261"/>
      <c r="H28" s="288"/>
      <c r="I28" s="288"/>
      <c r="J28" s="289"/>
      <c r="K28" s="1130"/>
      <c r="L28" s="172" t="s">
        <v>29</v>
      </c>
      <c r="M28" s="171"/>
      <c r="N28" s="172"/>
      <c r="O28" s="172"/>
      <c r="P28" s="172">
        <f>SUM(P24:P27)</f>
        <v>72085.600000000006</v>
      </c>
      <c r="Q28" s="1132"/>
      <c r="R28" s="1133"/>
      <c r="S28" s="1134"/>
    </row>
    <row r="29" spans="1:19" s="160" customFormat="1" ht="18" customHeight="1" thickTop="1" x14ac:dyDescent="0.2">
      <c r="A29" s="159"/>
      <c r="B29" s="1166"/>
      <c r="C29" s="1181"/>
      <c r="D29" s="1044"/>
      <c r="E29" s="60" t="s">
        <v>8</v>
      </c>
      <c r="F29" s="165">
        <f>P11/30*J29</f>
        <v>5000</v>
      </c>
      <c r="G29" s="261"/>
      <c r="H29" s="256"/>
      <c r="I29" s="288" t="s">
        <v>353</v>
      </c>
      <c r="J29" s="443">
        <v>25</v>
      </c>
      <c r="K29" s="1130"/>
      <c r="L29" s="233" t="s">
        <v>185</v>
      </c>
      <c r="M29" s="248"/>
      <c r="N29" s="249" t="s">
        <v>26</v>
      </c>
      <c r="O29" s="249" t="s">
        <v>24</v>
      </c>
      <c r="P29" s="249" t="s">
        <v>27</v>
      </c>
      <c r="Q29" s="1135" t="s">
        <v>28</v>
      </c>
      <c r="R29" s="1136"/>
      <c r="S29" s="1137"/>
    </row>
    <row r="30" spans="1:19" s="160" customFormat="1" ht="18" customHeight="1" x14ac:dyDescent="0.2">
      <c r="A30" s="159"/>
      <c r="B30" s="1166"/>
      <c r="C30" s="1181"/>
      <c r="D30" s="60" t="s">
        <v>69</v>
      </c>
      <c r="E30" s="61"/>
      <c r="F30" s="165"/>
      <c r="G30" s="261" t="s">
        <v>218</v>
      </c>
      <c r="H30" s="256"/>
      <c r="I30" s="288"/>
      <c r="J30" s="290"/>
      <c r="K30" s="1130"/>
      <c r="L30" s="250" t="s">
        <v>49</v>
      </c>
      <c r="M30" s="251"/>
      <c r="N30" s="233" t="s">
        <v>339</v>
      </c>
      <c r="O30" s="252"/>
      <c r="P30" s="250">
        <f>'８－３　水稲算出基礎（加工用米，恋の予感）'!N12</f>
        <v>20052.724999999999</v>
      </c>
      <c r="Q30" s="1146"/>
      <c r="R30" s="1147"/>
      <c r="S30" s="1148"/>
    </row>
    <row r="31" spans="1:19" s="160" customFormat="1" ht="18" customHeight="1" x14ac:dyDescent="0.2">
      <c r="A31" s="159"/>
      <c r="B31" s="1166"/>
      <c r="C31" s="1181"/>
      <c r="D31" s="1059" t="s">
        <v>283</v>
      </c>
      <c r="E31" s="70" t="s">
        <v>128</v>
      </c>
      <c r="F31" s="192"/>
      <c r="G31" s="261" t="s">
        <v>218</v>
      </c>
      <c r="H31" s="291"/>
      <c r="I31" s="291"/>
      <c r="J31" s="292"/>
      <c r="K31" s="1130"/>
      <c r="L31" s="250" t="s">
        <v>48</v>
      </c>
      <c r="M31" s="251"/>
      <c r="N31" s="233" t="s">
        <v>340</v>
      </c>
      <c r="O31" s="252"/>
      <c r="P31" s="250">
        <f>'８－３　水稲算出基礎（加工用米，恋の予感）'!N16</f>
        <v>3044.4480000000003</v>
      </c>
      <c r="Q31" s="1146"/>
      <c r="R31" s="1147"/>
      <c r="S31" s="1148"/>
    </row>
    <row r="32" spans="1:19" s="160" customFormat="1" ht="18" customHeight="1" x14ac:dyDescent="0.2">
      <c r="A32" s="159"/>
      <c r="B32" s="1166"/>
      <c r="C32" s="1181"/>
      <c r="D32" s="1059"/>
      <c r="E32" s="70" t="s">
        <v>127</v>
      </c>
      <c r="F32" s="192"/>
      <c r="G32" s="261" t="s">
        <v>218</v>
      </c>
      <c r="H32" s="293"/>
      <c r="I32" s="293"/>
      <c r="J32" s="294"/>
      <c r="K32" s="1130"/>
      <c r="L32" s="250" t="s">
        <v>50</v>
      </c>
      <c r="M32" s="248"/>
      <c r="N32" s="252"/>
      <c r="O32" s="252"/>
      <c r="P32" s="250">
        <f>SUM(P30:P31)*R32</f>
        <v>6929.1518999999998</v>
      </c>
      <c r="Q32" s="255" t="s">
        <v>33</v>
      </c>
      <c r="R32" s="254">
        <v>0.3</v>
      </c>
      <c r="S32" s="176"/>
    </row>
    <row r="33" spans="1:23" ht="18" customHeight="1" x14ac:dyDescent="0.2">
      <c r="B33" s="1166"/>
      <c r="C33" s="1181"/>
      <c r="D33" s="60" t="s">
        <v>70</v>
      </c>
      <c r="E33" s="71"/>
      <c r="F33" s="192"/>
      <c r="G33" s="261" t="s">
        <v>218</v>
      </c>
      <c r="H33" s="295"/>
      <c r="I33" s="296"/>
      <c r="J33" s="290"/>
      <c r="K33" s="1130"/>
      <c r="L33" s="250" t="s">
        <v>51</v>
      </c>
      <c r="M33" s="251"/>
      <c r="N33" s="233"/>
      <c r="O33" s="252"/>
      <c r="P33" s="250">
        <f>'８－３　水稲算出基礎（加工用米，恋の予感）'!N20</f>
        <v>0</v>
      </c>
      <c r="Q33" s="1123"/>
      <c r="R33" s="1124"/>
      <c r="S33" s="1125"/>
    </row>
    <row r="34" spans="1:23" ht="18" customHeight="1" x14ac:dyDescent="0.2">
      <c r="B34" s="1166"/>
      <c r="C34" s="1181"/>
      <c r="D34" s="60" t="s">
        <v>96</v>
      </c>
      <c r="E34" s="71"/>
      <c r="F34" s="192"/>
      <c r="G34" s="261" t="s">
        <v>218</v>
      </c>
      <c r="H34" s="297"/>
      <c r="I34" s="298"/>
      <c r="J34" s="299"/>
      <c r="K34" s="1130"/>
      <c r="L34" s="250" t="s">
        <v>52</v>
      </c>
      <c r="M34" s="251"/>
      <c r="N34" s="233" t="s">
        <v>340</v>
      </c>
      <c r="O34" s="252"/>
      <c r="P34" s="250">
        <f>'８－３　水稲算出基礎（加工用米，恋の予感）'!N24</f>
        <v>17563.241999999998</v>
      </c>
      <c r="Q34" s="1123"/>
      <c r="R34" s="1124"/>
      <c r="S34" s="1125"/>
    </row>
    <row r="35" spans="1:23" ht="18" customHeight="1" x14ac:dyDescent="0.2">
      <c r="B35" s="1166"/>
      <c r="C35" s="1181"/>
      <c r="D35" s="60" t="s">
        <v>131</v>
      </c>
      <c r="E35" s="61"/>
      <c r="F35" s="192">
        <f>'８－３　水稲算出基礎（加工用米，恋の予感）'!V57</f>
        <v>9950.2824858757067</v>
      </c>
      <c r="G35" s="1117" t="s">
        <v>712</v>
      </c>
      <c r="H35" s="1118"/>
      <c r="I35" s="1118"/>
      <c r="J35" s="1119"/>
      <c r="K35" s="1130"/>
      <c r="L35" s="250" t="s">
        <v>281</v>
      </c>
      <c r="M35" s="251"/>
      <c r="N35" s="233"/>
      <c r="O35" s="252"/>
      <c r="P35" s="250">
        <f>'８－３　水稲算出基礎（加工用米，恋の予感）'!N28</f>
        <v>0</v>
      </c>
      <c r="Q35" s="1123"/>
      <c r="R35" s="1124"/>
      <c r="S35" s="1125"/>
    </row>
    <row r="36" spans="1:23" ht="18" customHeight="1" x14ac:dyDescent="0.2">
      <c r="B36" s="1166"/>
      <c r="C36" s="1181"/>
      <c r="D36" s="81" t="s">
        <v>97</v>
      </c>
      <c r="E36" s="82"/>
      <c r="F36" s="300"/>
      <c r="G36" s="233"/>
      <c r="H36" s="297"/>
      <c r="I36" s="298"/>
      <c r="J36" s="290"/>
      <c r="K36" s="1130"/>
      <c r="L36" s="250" t="s">
        <v>53</v>
      </c>
      <c r="M36" s="248"/>
      <c r="N36" s="233" t="s">
        <v>341</v>
      </c>
      <c r="O36" s="252"/>
      <c r="P36" s="250">
        <f>'８－３　水稲算出基礎（加工用米，恋の予感）'!N32</f>
        <v>3811.2200000000003</v>
      </c>
      <c r="Q36" s="1123"/>
      <c r="R36" s="1124"/>
      <c r="S36" s="1125"/>
    </row>
    <row r="37" spans="1:23" ht="18" customHeight="1" thickBot="1" x14ac:dyDescent="0.25">
      <c r="B37" s="1166"/>
      <c r="C37" s="1181"/>
      <c r="D37" s="60" t="s">
        <v>71</v>
      </c>
      <c r="E37" s="61"/>
      <c r="F37" s="192">
        <f>'８－３　水稲算出基礎（加工用米，恋の予感）'!N57</f>
        <v>4033.9689265536717</v>
      </c>
      <c r="G37" s="1117" t="s">
        <v>712</v>
      </c>
      <c r="H37" s="1118"/>
      <c r="I37" s="1118"/>
      <c r="J37" s="1119"/>
      <c r="K37" s="1131"/>
      <c r="L37" s="184" t="s">
        <v>29</v>
      </c>
      <c r="M37" s="183"/>
      <c r="N37" s="184"/>
      <c r="O37" s="184"/>
      <c r="P37" s="184">
        <f>SUM(P30:P36)</f>
        <v>51400.786899999999</v>
      </c>
      <c r="Q37" s="1143"/>
      <c r="R37" s="1144"/>
      <c r="S37" s="1145"/>
    </row>
    <row r="38" spans="1:23" s="178" customFormat="1" ht="18" customHeight="1" x14ac:dyDescent="0.2">
      <c r="A38" s="159"/>
      <c r="B38" s="1166"/>
      <c r="C38" s="1181"/>
      <c r="D38" s="60" t="s">
        <v>0</v>
      </c>
      <c r="E38" s="71"/>
      <c r="F38" s="192"/>
      <c r="G38" s="17" t="s">
        <v>218</v>
      </c>
      <c r="H38" s="244"/>
      <c r="I38" s="245"/>
      <c r="J38" s="243"/>
    </row>
    <row r="39" spans="1:23" s="178" customFormat="1" ht="18" customHeight="1" thickBot="1" x14ac:dyDescent="0.25">
      <c r="A39" s="159"/>
      <c r="B39" s="1167"/>
      <c r="C39" s="1182"/>
      <c r="D39" s="1183" t="s">
        <v>229</v>
      </c>
      <c r="E39" s="1184"/>
      <c r="F39" s="235">
        <f>SUM(F27:F38)</f>
        <v>34984.251412429381</v>
      </c>
      <c r="G39" s="236"/>
      <c r="H39" s="237"/>
      <c r="I39" s="238"/>
      <c r="J39" s="239"/>
      <c r="T39" s="179"/>
    </row>
    <row r="40" spans="1:23" s="178" customFormat="1" ht="18" customHeight="1" x14ac:dyDescent="0.2">
      <c r="A40" s="159"/>
      <c r="B40" s="1168" t="s">
        <v>233</v>
      </c>
      <c r="C40" s="1171" t="s">
        <v>73</v>
      </c>
      <c r="D40" s="230" t="s">
        <v>130</v>
      </c>
      <c r="E40" s="231"/>
      <c r="F40" s="232">
        <f>J40*10</f>
        <v>470000</v>
      </c>
      <c r="G40" s="233"/>
      <c r="H40" s="234"/>
      <c r="I40" s="234" t="s">
        <v>356</v>
      </c>
      <c r="J40" s="445">
        <v>47000</v>
      </c>
      <c r="T40" s="160"/>
      <c r="U40" s="160"/>
      <c r="V40" s="160"/>
      <c r="W40" s="160"/>
    </row>
    <row r="41" spans="1:23" s="178" customFormat="1" ht="18" customHeight="1" x14ac:dyDescent="0.2">
      <c r="A41" s="159"/>
      <c r="B41" s="1169"/>
      <c r="C41" s="1172"/>
      <c r="D41" s="60" t="s">
        <v>129</v>
      </c>
      <c r="E41" s="61"/>
      <c r="F41" s="224"/>
      <c r="G41" s="233"/>
      <c r="H41" s="185"/>
      <c r="I41" s="185"/>
      <c r="J41" s="246"/>
      <c r="T41" s="180"/>
      <c r="U41" s="181"/>
      <c r="V41" s="182"/>
      <c r="W41" s="180"/>
    </row>
    <row r="42" spans="1:23" s="178" customFormat="1" ht="18" customHeight="1" x14ac:dyDescent="0.2">
      <c r="A42" s="159"/>
      <c r="B42" s="1169"/>
      <c r="C42" s="1173"/>
      <c r="D42" s="81" t="s">
        <v>72</v>
      </c>
      <c r="E42" s="61"/>
      <c r="F42" s="225"/>
      <c r="G42" s="233"/>
      <c r="H42" s="185"/>
      <c r="I42" s="185"/>
      <c r="J42" s="246"/>
      <c r="T42" s="160"/>
      <c r="U42" s="160"/>
      <c r="V42" s="160"/>
      <c r="W42" s="160"/>
    </row>
    <row r="43" spans="1:23" s="178" customFormat="1" ht="18" customHeight="1" x14ac:dyDescent="0.2">
      <c r="B43" s="1169"/>
      <c r="C43" s="1174" t="s">
        <v>232</v>
      </c>
      <c r="D43" s="81" t="s">
        <v>284</v>
      </c>
      <c r="E43" s="82"/>
      <c r="F43" s="225"/>
      <c r="G43" s="233"/>
      <c r="H43" s="185"/>
      <c r="I43" s="185"/>
      <c r="J43" s="246"/>
      <c r="T43" s="161"/>
      <c r="U43" s="179"/>
      <c r="V43" s="160"/>
      <c r="W43" s="180"/>
    </row>
    <row r="44" spans="1:23" s="178" customFormat="1" ht="18" customHeight="1" x14ac:dyDescent="0.2">
      <c r="B44" s="1169"/>
      <c r="C44" s="1175"/>
      <c r="D44" s="83" t="s">
        <v>1</v>
      </c>
      <c r="E44" s="84"/>
      <c r="F44" s="225"/>
      <c r="G44" s="233"/>
      <c r="H44" s="185"/>
      <c r="I44" s="185"/>
      <c r="J44" s="246"/>
      <c r="T44" s="161"/>
      <c r="U44" s="179"/>
      <c r="V44" s="160"/>
      <c r="W44" s="180"/>
    </row>
    <row r="45" spans="1:23" s="178" customFormat="1" ht="18" customHeight="1" thickBot="1" x14ac:dyDescent="0.25">
      <c r="B45" s="1170"/>
      <c r="C45" s="1176" t="s">
        <v>99</v>
      </c>
      <c r="D45" s="1177"/>
      <c r="E45" s="1178"/>
      <c r="F45" s="226">
        <f>SUM(F40:F42)-SUM(F43:F44)</f>
        <v>470000</v>
      </c>
      <c r="G45" s="186"/>
      <c r="H45" s="187"/>
      <c r="I45" s="187"/>
      <c r="J45" s="247"/>
      <c r="T45" s="160"/>
      <c r="U45" s="160"/>
      <c r="V45" s="181"/>
      <c r="W45" s="160"/>
    </row>
    <row r="49" spans="4:6" x14ac:dyDescent="0.2">
      <c r="D49" s="862" t="s">
        <v>343</v>
      </c>
      <c r="E49" s="862"/>
      <c r="F49" s="862">
        <f>F4-F26</f>
        <v>-75514.173707290902</v>
      </c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4"/>
  <conditionalFormatting sqref="P17:P21">
    <cfRule type="cellIs" dxfId="43" priority="2" operator="equal">
      <formula>0</formula>
    </cfRule>
  </conditionalFormatting>
  <conditionalFormatting sqref="P30:P36">
    <cfRule type="cellIs" dxfId="42" priority="1" operator="equal">
      <formula>0</formula>
    </cfRule>
  </conditionalFormatting>
  <pageMargins left="0" right="0" top="0.78740157480314965" bottom="0" header="0.39370078740157483" footer="0.39370078740157483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zoomScaleSheetLayoutView="80" workbookViewId="0">
      <selection activeCell="N26" sqref="N26"/>
    </sheetView>
  </sheetViews>
  <sheetFormatPr defaultColWidth="10.90625" defaultRowHeight="13" x14ac:dyDescent="0.2"/>
  <cols>
    <col min="1" max="1" width="1.6328125" style="159" customWidth="1"/>
    <col min="2" max="2" width="5.90625" style="159" customWidth="1"/>
    <col min="3" max="3" width="10.6328125" style="159" customWidth="1"/>
    <col min="4" max="4" width="12.36328125" style="159" customWidth="1"/>
    <col min="5" max="5" width="14.6328125" style="159" customWidth="1"/>
    <col min="6" max="7" width="15.90625" style="159" customWidth="1"/>
    <col min="8" max="8" width="10.90625" style="159"/>
    <col min="9" max="9" width="11.36328125" style="159" bestFit="1" customWidth="1"/>
    <col min="10" max="10" width="13.36328125" style="159" customWidth="1"/>
    <col min="11" max="11" width="7.08984375" style="159" customWidth="1"/>
    <col min="12" max="12" width="15.36328125" style="159" customWidth="1"/>
    <col min="13" max="13" width="9.36328125" style="159" bestFit="1" customWidth="1"/>
    <col min="14" max="14" width="10.90625" style="159"/>
    <col min="15" max="15" width="7.26953125" style="159" customWidth="1"/>
    <col min="16" max="16" width="11.6328125" style="159" customWidth="1"/>
    <col min="17" max="17" width="10.90625" style="159" customWidth="1"/>
    <col min="18" max="18" width="7.453125" style="159" customWidth="1"/>
    <col min="19" max="19" width="3.7265625" style="159" customWidth="1"/>
    <col min="20" max="16384" width="10.90625" style="159"/>
  </cols>
  <sheetData>
    <row r="1" spans="2:19" s="160" customFormat="1" ht="25" customHeight="1" thickBot="1" x14ac:dyDescent="0.25">
      <c r="B1" s="3" t="s">
        <v>662</v>
      </c>
      <c r="H1" s="161" t="s">
        <v>271</v>
      </c>
      <c r="I1" s="3" t="s">
        <v>479</v>
      </c>
      <c r="K1" s="161" t="s">
        <v>272</v>
      </c>
      <c r="L1" s="3" t="s">
        <v>480</v>
      </c>
      <c r="N1" s="159"/>
      <c r="O1" s="159"/>
      <c r="Q1" s="4"/>
      <c r="R1" s="4"/>
    </row>
    <row r="2" spans="2:19" s="160" customFormat="1" ht="18" customHeight="1" x14ac:dyDescent="0.2">
      <c r="B2" s="1159" t="s">
        <v>20</v>
      </c>
      <c r="C2" s="1160"/>
      <c r="D2" s="1160"/>
      <c r="E2" s="1161"/>
      <c r="F2" s="597" t="s">
        <v>21</v>
      </c>
      <c r="G2" s="598"/>
      <c r="H2" s="164" t="s">
        <v>22</v>
      </c>
      <c r="I2" s="162"/>
      <c r="J2" s="162"/>
      <c r="K2" s="1149" t="s">
        <v>526</v>
      </c>
      <c r="L2" s="1150"/>
      <c r="M2" s="1150"/>
      <c r="N2" s="1150"/>
      <c r="O2" s="1150"/>
      <c r="P2" s="1150"/>
      <c r="Q2" s="1150"/>
      <c r="R2" s="1150"/>
      <c r="S2" s="1151"/>
    </row>
    <row r="3" spans="2:19" s="160" customFormat="1" ht="18" customHeight="1" x14ac:dyDescent="0.2">
      <c r="B3" s="1157" t="s">
        <v>23</v>
      </c>
      <c r="C3" s="1188"/>
      <c r="D3" s="348" t="s">
        <v>231</v>
      </c>
      <c r="E3" s="280"/>
      <c r="F3" s="599">
        <f>+R10</f>
        <v>1566666.6666666667</v>
      </c>
      <c r="G3" s="348" t="s">
        <v>212</v>
      </c>
      <c r="H3" s="600"/>
      <c r="I3" s="600"/>
      <c r="J3" s="600"/>
      <c r="K3" s="269" t="s">
        <v>527</v>
      </c>
      <c r="L3" s="601" t="s">
        <v>528</v>
      </c>
      <c r="M3" s="602" t="s">
        <v>24</v>
      </c>
      <c r="N3" s="602" t="s">
        <v>23</v>
      </c>
      <c r="O3" s="602" t="s">
        <v>57</v>
      </c>
      <c r="P3" s="601" t="s">
        <v>528</v>
      </c>
      <c r="Q3" s="602" t="s">
        <v>24</v>
      </c>
      <c r="R3" s="1189" t="s">
        <v>23</v>
      </c>
      <c r="S3" s="1190"/>
    </row>
    <row r="4" spans="2:19" s="160" customFormat="1" ht="18" customHeight="1" x14ac:dyDescent="0.2">
      <c r="B4" s="1157"/>
      <c r="C4" s="1188"/>
      <c r="D4" s="348" t="s">
        <v>92</v>
      </c>
      <c r="E4" s="280"/>
      <c r="F4" s="599"/>
      <c r="G4" s="603"/>
      <c r="H4" s="248"/>
      <c r="I4" s="248"/>
      <c r="J4" s="248"/>
      <c r="K4" s="351">
        <v>8</v>
      </c>
      <c r="L4" s="599">
        <v>100</v>
      </c>
      <c r="M4" s="599">
        <v>950</v>
      </c>
      <c r="N4" s="599">
        <f>L4*M4</f>
        <v>95000</v>
      </c>
      <c r="O4" s="599"/>
      <c r="P4" s="599"/>
      <c r="Q4" s="599"/>
      <c r="R4" s="1191"/>
      <c r="S4" s="1192"/>
    </row>
    <row r="5" spans="2:19" s="160" customFormat="1" ht="18" customHeight="1" x14ac:dyDescent="0.2">
      <c r="B5" s="1165" t="s">
        <v>236</v>
      </c>
      <c r="C5" s="1221" t="s">
        <v>222</v>
      </c>
      <c r="D5" s="599" t="s">
        <v>59</v>
      </c>
      <c r="E5" s="275"/>
      <c r="F5" s="599">
        <f>P14</f>
        <v>0</v>
      </c>
      <c r="G5" s="603" t="s">
        <v>529</v>
      </c>
      <c r="H5" s="248"/>
      <c r="I5" s="248"/>
      <c r="J5" s="248"/>
      <c r="K5" s="279">
        <v>9</v>
      </c>
      <c r="L5" s="276">
        <v>1500</v>
      </c>
      <c r="M5" s="599">
        <v>750</v>
      </c>
      <c r="N5" s="599">
        <f>L5*M5</f>
        <v>1125000</v>
      </c>
      <c r="O5" s="599"/>
      <c r="P5" s="599"/>
      <c r="Q5" s="599"/>
      <c r="R5" s="1191"/>
      <c r="S5" s="1192"/>
    </row>
    <row r="6" spans="2:19" s="160" customFormat="1" ht="18" customHeight="1" x14ac:dyDescent="0.2">
      <c r="B6" s="1166"/>
      <c r="C6" s="1163"/>
      <c r="D6" s="599" t="s">
        <v>60</v>
      </c>
      <c r="E6" s="275"/>
      <c r="F6" s="599">
        <f>P21</f>
        <v>31277</v>
      </c>
      <c r="G6" s="348" t="s">
        <v>741</v>
      </c>
      <c r="H6" s="600"/>
      <c r="I6" s="600"/>
      <c r="J6" s="604"/>
      <c r="K6" s="277">
        <v>10</v>
      </c>
      <c r="L6" s="605">
        <v>400</v>
      </c>
      <c r="M6" s="599">
        <v>650</v>
      </c>
      <c r="N6" s="599">
        <f t="shared" ref="N6" si="0">L6*M6</f>
        <v>260000</v>
      </c>
      <c r="O6" s="599"/>
      <c r="P6" s="599"/>
      <c r="Q6" s="599"/>
      <c r="R6" s="1191"/>
      <c r="S6" s="1192"/>
    </row>
    <row r="7" spans="2:19" s="160" customFormat="1" ht="18" customHeight="1" x14ac:dyDescent="0.2">
      <c r="B7" s="1166"/>
      <c r="C7" s="1163"/>
      <c r="D7" s="599" t="s">
        <v>61</v>
      </c>
      <c r="E7" s="275"/>
      <c r="F7" s="599">
        <f>P27</f>
        <v>81108.757575757583</v>
      </c>
      <c r="G7" s="603" t="s">
        <v>742</v>
      </c>
      <c r="H7" s="248"/>
      <c r="I7" s="248"/>
      <c r="J7" s="284"/>
      <c r="K7" s="275"/>
      <c r="L7" s="599"/>
      <c r="M7" s="599"/>
      <c r="N7" s="599"/>
      <c r="O7" s="599"/>
      <c r="P7" s="599"/>
      <c r="Q7" s="599"/>
      <c r="R7" s="1191"/>
      <c r="S7" s="1192"/>
    </row>
    <row r="8" spans="2:19" s="160" customFormat="1" ht="18" customHeight="1" x14ac:dyDescent="0.2">
      <c r="B8" s="1166"/>
      <c r="C8" s="1163"/>
      <c r="D8" s="599" t="s">
        <v>93</v>
      </c>
      <c r="E8" s="275"/>
      <c r="F8" s="599">
        <f>P36</f>
        <v>10791.820000000002</v>
      </c>
      <c r="G8" s="603" t="s">
        <v>743</v>
      </c>
      <c r="H8" s="248"/>
      <c r="I8" s="248"/>
      <c r="J8" s="284"/>
      <c r="K8" s="275"/>
      <c r="L8" s="599"/>
      <c r="M8" s="599"/>
      <c r="N8" s="599"/>
      <c r="O8" s="599"/>
      <c r="P8" s="599"/>
      <c r="Q8" s="599"/>
      <c r="R8" s="1191"/>
      <c r="S8" s="1192"/>
    </row>
    <row r="9" spans="2:19" s="160" customFormat="1" ht="18" customHeight="1" x14ac:dyDescent="0.2">
      <c r="B9" s="1166"/>
      <c r="C9" s="1163"/>
      <c r="D9" s="599" t="s">
        <v>62</v>
      </c>
      <c r="E9" s="275"/>
      <c r="F9" s="599">
        <f>'８－4　イチジク算出基礎'!V14</f>
        <v>23540</v>
      </c>
      <c r="G9" s="1193"/>
      <c r="H9" s="1194"/>
      <c r="I9" s="1194"/>
      <c r="J9" s="1192"/>
      <c r="K9" s="275"/>
      <c r="L9" s="599"/>
      <c r="M9" s="599"/>
      <c r="N9" s="599"/>
      <c r="O9" s="599"/>
      <c r="P9" s="599"/>
      <c r="Q9" s="599"/>
      <c r="R9" s="1191"/>
      <c r="S9" s="1192"/>
    </row>
    <row r="10" spans="2:19" s="160" customFormat="1" ht="18" customHeight="1" thickBot="1" x14ac:dyDescent="0.25">
      <c r="B10" s="1166"/>
      <c r="C10" s="1163"/>
      <c r="D10" s="599" t="s">
        <v>6</v>
      </c>
      <c r="E10" s="275"/>
      <c r="F10" s="599">
        <f>'８－4　イチジク算出基礎'!V34</f>
        <v>14440.142857142857</v>
      </c>
      <c r="G10" s="1193"/>
      <c r="H10" s="1194"/>
      <c r="I10" s="1194"/>
      <c r="J10" s="1192"/>
      <c r="K10" s="181"/>
      <c r="L10" s="166"/>
      <c r="M10" s="166"/>
      <c r="N10" s="606"/>
      <c r="O10" s="167" t="s">
        <v>25</v>
      </c>
      <c r="P10" s="168">
        <f>SUM(L4:L10,P4:Q9)</f>
        <v>2000</v>
      </c>
      <c r="Q10" s="169">
        <f>AVERAGE(M4:M6)</f>
        <v>783.33333333333337</v>
      </c>
      <c r="R10" s="1138">
        <f>P10*Q10</f>
        <v>1566666.6666666667</v>
      </c>
      <c r="S10" s="1139"/>
    </row>
    <row r="11" spans="2:19" s="160" customFormat="1" ht="18" customHeight="1" thickTop="1" x14ac:dyDescent="0.2">
      <c r="B11" s="1166"/>
      <c r="C11" s="1163"/>
      <c r="D11" s="599" t="s">
        <v>7</v>
      </c>
      <c r="E11" s="275"/>
      <c r="F11" s="599"/>
      <c r="G11" s="603"/>
      <c r="H11" s="248"/>
      <c r="I11" s="248"/>
      <c r="J11" s="284"/>
      <c r="K11" s="1129" t="s">
        <v>237</v>
      </c>
      <c r="L11" s="263" t="s">
        <v>182</v>
      </c>
      <c r="M11" s="541" t="s">
        <v>9</v>
      </c>
      <c r="N11" s="357" t="s">
        <v>530</v>
      </c>
      <c r="O11" s="540" t="s">
        <v>24</v>
      </c>
      <c r="P11" s="540" t="s">
        <v>27</v>
      </c>
      <c r="Q11" s="1140" t="s">
        <v>28</v>
      </c>
      <c r="R11" s="1141"/>
      <c r="S11" s="1142"/>
    </row>
    <row r="12" spans="2:19" s="160" customFormat="1" ht="18" customHeight="1" x14ac:dyDescent="0.2">
      <c r="B12" s="1166"/>
      <c r="C12" s="1163"/>
      <c r="D12" s="1213" t="s">
        <v>63</v>
      </c>
      <c r="E12" s="607" t="s">
        <v>208</v>
      </c>
      <c r="F12" s="599">
        <f>'（参考）イチジク資本装備'!L10*'７－4　イチジク部門収支'!H12</f>
        <v>6520</v>
      </c>
      <c r="G12" s="603" t="s">
        <v>531</v>
      </c>
      <c r="H12" s="530">
        <v>0.01</v>
      </c>
      <c r="I12" s="1205"/>
      <c r="J12" s="1206"/>
      <c r="K12" s="1130"/>
      <c r="L12" s="608"/>
      <c r="M12" s="262"/>
      <c r="N12" s="609"/>
      <c r="O12" s="609"/>
      <c r="P12" s="609"/>
      <c r="Q12" s="1207" t="s">
        <v>532</v>
      </c>
      <c r="R12" s="1208"/>
      <c r="S12" s="1209"/>
    </row>
    <row r="13" spans="2:19" s="160" customFormat="1" ht="18" customHeight="1" x14ac:dyDescent="0.2">
      <c r="B13" s="1166"/>
      <c r="C13" s="1163"/>
      <c r="D13" s="1214"/>
      <c r="E13" s="607" t="s">
        <v>209</v>
      </c>
      <c r="F13" s="599">
        <f>'（参考）イチジク資本装備'!L15*'７－4　イチジク部門収支'!H13</f>
        <v>2633.3333333333335</v>
      </c>
      <c r="G13" s="603" t="s">
        <v>531</v>
      </c>
      <c r="H13" s="530">
        <v>0.05</v>
      </c>
      <c r="I13" s="1205"/>
      <c r="J13" s="1206"/>
      <c r="K13" s="1130"/>
      <c r="L13" s="610"/>
      <c r="M13" s="262"/>
      <c r="N13" s="609"/>
      <c r="O13" s="609"/>
      <c r="P13" s="609"/>
      <c r="Q13" s="1210"/>
      <c r="R13" s="1211"/>
      <c r="S13" s="1212"/>
    </row>
    <row r="14" spans="2:19" s="160" customFormat="1" ht="18" customHeight="1" thickBot="1" x14ac:dyDescent="0.25">
      <c r="B14" s="1166"/>
      <c r="C14" s="1163"/>
      <c r="D14" s="1213" t="s">
        <v>94</v>
      </c>
      <c r="E14" s="607" t="s">
        <v>208</v>
      </c>
      <c r="F14" s="599">
        <f>'（参考）イチジク資本装備'!P10</f>
        <v>28949.677419354837</v>
      </c>
      <c r="G14" s="603"/>
      <c r="H14" s="240"/>
      <c r="I14" s="240"/>
      <c r="J14" s="241"/>
      <c r="K14" s="1130"/>
      <c r="L14" s="172" t="s">
        <v>29</v>
      </c>
      <c r="M14" s="171"/>
      <c r="N14" s="172"/>
      <c r="O14" s="172"/>
      <c r="P14" s="172">
        <f>SUM(P12:P13)</f>
        <v>0</v>
      </c>
      <c r="Q14" s="1198"/>
      <c r="R14" s="1199"/>
      <c r="S14" s="1200"/>
    </row>
    <row r="15" spans="2:19" s="160" customFormat="1" ht="18" customHeight="1" thickTop="1" x14ac:dyDescent="0.2">
      <c r="B15" s="1166"/>
      <c r="C15" s="1163"/>
      <c r="D15" s="1156"/>
      <c r="E15" s="607" t="s">
        <v>209</v>
      </c>
      <c r="F15" s="599">
        <f>'（参考）イチジク資本装備'!P15</f>
        <v>7852.3809523809523</v>
      </c>
      <c r="G15" s="603"/>
      <c r="H15" s="240"/>
      <c r="I15" s="240"/>
      <c r="J15" s="241"/>
      <c r="K15" s="1130"/>
      <c r="L15" s="257" t="s">
        <v>533</v>
      </c>
      <c r="M15" s="258"/>
      <c r="N15" s="356" t="s">
        <v>530</v>
      </c>
      <c r="O15" s="542" t="s">
        <v>24</v>
      </c>
      <c r="P15" s="260" t="s">
        <v>27</v>
      </c>
      <c r="Q15" s="1135" t="s">
        <v>28</v>
      </c>
      <c r="R15" s="1136"/>
      <c r="S15" s="1137"/>
    </row>
    <row r="16" spans="2:19" s="160" customFormat="1" ht="18" customHeight="1" x14ac:dyDescent="0.2">
      <c r="B16" s="1166"/>
      <c r="C16" s="1163"/>
      <c r="D16" s="1214"/>
      <c r="E16" s="599" t="s">
        <v>64</v>
      </c>
      <c r="F16" s="599">
        <f>'（参考）イチジク資本装備'!P20</f>
        <v>13898.5</v>
      </c>
      <c r="G16" s="603"/>
      <c r="H16" s="240"/>
      <c r="I16" s="240"/>
      <c r="J16" s="241"/>
      <c r="K16" s="1130"/>
      <c r="L16" s="348" t="s">
        <v>189</v>
      </c>
      <c r="M16" s="262"/>
      <c r="N16" s="603" t="s">
        <v>534</v>
      </c>
      <c r="O16" s="611"/>
      <c r="P16" s="612">
        <f>'８－4　イチジク算出基礎'!G7</f>
        <v>15511.999999999998</v>
      </c>
      <c r="Q16" s="1195"/>
      <c r="R16" s="1196"/>
      <c r="S16" s="1197"/>
    </row>
    <row r="17" spans="1:19" s="160" customFormat="1" ht="18" customHeight="1" x14ac:dyDescent="0.2">
      <c r="A17" s="159"/>
      <c r="B17" s="1166"/>
      <c r="C17" s="1163"/>
      <c r="D17" s="1204" t="s">
        <v>282</v>
      </c>
      <c r="E17" s="605" t="s">
        <v>128</v>
      </c>
      <c r="F17" s="599"/>
      <c r="G17" s="603"/>
      <c r="H17" s="240"/>
      <c r="I17" s="240"/>
      <c r="J17" s="241"/>
      <c r="K17" s="1130"/>
      <c r="L17" s="348" t="s">
        <v>187</v>
      </c>
      <c r="M17" s="262"/>
      <c r="N17" s="603" t="s">
        <v>535</v>
      </c>
      <c r="O17" s="611"/>
      <c r="P17" s="612">
        <f>'８－4　イチジク算出基礎'!G11</f>
        <v>11320</v>
      </c>
      <c r="Q17" s="1195"/>
      <c r="R17" s="1196"/>
      <c r="S17" s="1197"/>
    </row>
    <row r="18" spans="1:19" s="160" customFormat="1" ht="18" customHeight="1" x14ac:dyDescent="0.2">
      <c r="A18" s="159"/>
      <c r="B18" s="1166"/>
      <c r="C18" s="1163"/>
      <c r="D18" s="1204"/>
      <c r="E18" s="605" t="s">
        <v>124</v>
      </c>
      <c r="F18" s="599"/>
      <c r="G18" s="603"/>
      <c r="H18" s="240"/>
      <c r="I18" s="613"/>
      <c r="J18" s="819">
        <v>1100</v>
      </c>
      <c r="K18" s="1130"/>
      <c r="L18" s="603" t="s">
        <v>188</v>
      </c>
      <c r="M18" s="248"/>
      <c r="N18" s="603" t="s">
        <v>536</v>
      </c>
      <c r="O18" s="611"/>
      <c r="P18" s="612">
        <f>'８－4　イチジク算出基礎'!G16</f>
        <v>4445</v>
      </c>
      <c r="Q18" s="1195"/>
      <c r="R18" s="1196"/>
      <c r="S18" s="1197"/>
    </row>
    <row r="19" spans="1:19" s="160" customFormat="1" ht="18" customHeight="1" x14ac:dyDescent="0.2">
      <c r="A19" s="159"/>
      <c r="B19" s="1166"/>
      <c r="C19" s="1163"/>
      <c r="D19" s="1204"/>
      <c r="E19" s="605" t="s">
        <v>125</v>
      </c>
      <c r="F19" s="599">
        <f>'５－4　イチジク作業時間'!AM17*'７－4　イチジク部門収支'!J19</f>
        <v>271800</v>
      </c>
      <c r="G19" s="603"/>
      <c r="H19" s="240"/>
      <c r="I19" s="613"/>
      <c r="J19" s="819">
        <v>900</v>
      </c>
      <c r="K19" s="1130"/>
      <c r="L19" s="603" t="s">
        <v>190</v>
      </c>
      <c r="M19" s="248"/>
      <c r="N19" s="603"/>
      <c r="O19" s="611"/>
      <c r="P19" s="612">
        <f>'８－4　イチジク算出基礎'!G20</f>
        <v>0</v>
      </c>
      <c r="Q19" s="1195"/>
      <c r="R19" s="1196"/>
      <c r="S19" s="1197"/>
    </row>
    <row r="20" spans="1:19" s="160" customFormat="1" ht="18" customHeight="1" x14ac:dyDescent="0.2">
      <c r="A20" s="159"/>
      <c r="B20" s="1166"/>
      <c r="C20" s="1163"/>
      <c r="D20" s="1204"/>
      <c r="E20" s="605" t="s">
        <v>126</v>
      </c>
      <c r="F20" s="599"/>
      <c r="G20" s="603"/>
      <c r="H20" s="240"/>
      <c r="I20" s="240"/>
      <c r="J20" s="241"/>
      <c r="K20" s="1130"/>
      <c r="L20" s="603" t="s">
        <v>191</v>
      </c>
      <c r="M20" s="248"/>
      <c r="N20" s="603"/>
      <c r="O20" s="612"/>
      <c r="P20" s="612">
        <f>'８－4　イチジク算出基礎'!G24</f>
        <v>0</v>
      </c>
      <c r="Q20" s="1195"/>
      <c r="R20" s="1196"/>
      <c r="S20" s="1197"/>
    </row>
    <row r="21" spans="1:19" s="160" customFormat="1" ht="18" customHeight="1" thickBot="1" x14ac:dyDescent="0.25">
      <c r="A21" s="159"/>
      <c r="B21" s="1166"/>
      <c r="C21" s="1163"/>
      <c r="D21" s="1204" t="s">
        <v>65</v>
      </c>
      <c r="E21" s="605" t="s">
        <v>66</v>
      </c>
      <c r="F21" s="599"/>
      <c r="G21" s="603"/>
      <c r="H21" s="240"/>
      <c r="I21" s="240"/>
      <c r="J21" s="241"/>
      <c r="K21" s="1130"/>
      <c r="L21" s="172" t="s">
        <v>29</v>
      </c>
      <c r="M21" s="171"/>
      <c r="N21" s="172"/>
      <c r="O21" s="172"/>
      <c r="P21" s="172">
        <f>SUM(P16:P20)</f>
        <v>31277</v>
      </c>
      <c r="Q21" s="1198"/>
      <c r="R21" s="1199"/>
      <c r="S21" s="1200"/>
    </row>
    <row r="22" spans="1:19" s="160" customFormat="1" ht="18" customHeight="1" thickTop="1" x14ac:dyDescent="0.2">
      <c r="A22" s="159"/>
      <c r="B22" s="1166"/>
      <c r="C22" s="1163"/>
      <c r="D22" s="1204"/>
      <c r="E22" s="605" t="s">
        <v>95</v>
      </c>
      <c r="F22" s="599"/>
      <c r="G22" s="603"/>
      <c r="H22" s="240"/>
      <c r="I22" s="240"/>
      <c r="J22" s="241"/>
      <c r="K22" s="1130"/>
      <c r="L22" s="603" t="s">
        <v>537</v>
      </c>
      <c r="M22" s="248"/>
      <c r="N22" s="614" t="s">
        <v>26</v>
      </c>
      <c r="O22" s="614" t="s">
        <v>24</v>
      </c>
      <c r="P22" s="614" t="s">
        <v>27</v>
      </c>
      <c r="Q22" s="1135" t="s">
        <v>28</v>
      </c>
      <c r="R22" s="1136"/>
      <c r="S22" s="1137"/>
    </row>
    <row r="23" spans="1:19" s="160" customFormat="1" ht="18" customHeight="1" x14ac:dyDescent="0.2">
      <c r="A23" s="159"/>
      <c r="B23" s="1166"/>
      <c r="C23" s="1163"/>
      <c r="D23" s="599" t="s">
        <v>67</v>
      </c>
      <c r="E23" s="275"/>
      <c r="F23" s="599">
        <v>3000</v>
      </c>
      <c r="G23" s="603"/>
      <c r="H23" s="240"/>
      <c r="I23" s="520">
        <v>3000</v>
      </c>
      <c r="J23" s="241" t="s">
        <v>345</v>
      </c>
      <c r="K23" s="1130"/>
      <c r="L23" s="612" t="s">
        <v>30</v>
      </c>
      <c r="M23" s="248"/>
      <c r="N23" s="603" t="s">
        <v>538</v>
      </c>
      <c r="O23" s="612"/>
      <c r="P23" s="612">
        <f>'８－4　イチジク算出基礎'!G38</f>
        <v>31536</v>
      </c>
      <c r="Q23" s="1195"/>
      <c r="R23" s="1196"/>
      <c r="S23" s="1197"/>
    </row>
    <row r="24" spans="1:19" s="160" customFormat="1" ht="18" customHeight="1" x14ac:dyDescent="0.2">
      <c r="A24" s="159"/>
      <c r="B24" s="1166"/>
      <c r="C24" s="1163"/>
      <c r="D24" s="599" t="s">
        <v>186</v>
      </c>
      <c r="E24" s="275"/>
      <c r="F24" s="599">
        <f>SUM(F5:F23)/99</f>
        <v>5008.1981024037332</v>
      </c>
      <c r="G24" s="615" t="s">
        <v>239</v>
      </c>
      <c r="H24" s="616">
        <v>0.01</v>
      </c>
      <c r="I24" s="617"/>
      <c r="J24" s="618"/>
      <c r="K24" s="1130"/>
      <c r="L24" s="612" t="s">
        <v>31</v>
      </c>
      <c r="M24" s="248"/>
      <c r="N24" s="603" t="s">
        <v>539</v>
      </c>
      <c r="O24" s="612"/>
      <c r="P24" s="612">
        <f>'８－4　イチジク算出基礎'!G49</f>
        <v>47493.666666666672</v>
      </c>
      <c r="Q24" s="1195"/>
      <c r="R24" s="1196"/>
      <c r="S24" s="1197"/>
    </row>
    <row r="25" spans="1:19" s="160" customFormat="1" ht="18" customHeight="1" x14ac:dyDescent="0.2">
      <c r="A25" s="159"/>
      <c r="B25" s="1166"/>
      <c r="C25" s="1222"/>
      <c r="D25" s="1185" t="s">
        <v>540</v>
      </c>
      <c r="E25" s="1186"/>
      <c r="F25" s="619">
        <f>SUM(F5:F24)</f>
        <v>500819.81024037331</v>
      </c>
      <c r="G25" s="620"/>
      <c r="H25" s="617"/>
      <c r="I25" s="617"/>
      <c r="J25" s="621"/>
      <c r="K25" s="1130"/>
      <c r="L25" s="612" t="s">
        <v>32</v>
      </c>
      <c r="M25" s="248"/>
      <c r="N25" s="603" t="s">
        <v>534</v>
      </c>
      <c r="O25" s="612"/>
      <c r="P25" s="612">
        <f>'８－4　イチジク算出基礎'!G53</f>
        <v>2079.090909090909</v>
      </c>
      <c r="Q25" s="1195"/>
      <c r="R25" s="1196"/>
      <c r="S25" s="1197"/>
    </row>
    <row r="26" spans="1:19" s="160" customFormat="1" ht="18" customHeight="1" x14ac:dyDescent="0.2">
      <c r="A26" s="159"/>
      <c r="B26" s="1166"/>
      <c r="C26" s="1180" t="s">
        <v>215</v>
      </c>
      <c r="D26" s="1216" t="s">
        <v>68</v>
      </c>
      <c r="E26" s="60" t="s">
        <v>3</v>
      </c>
      <c r="F26" s="606">
        <f>P10*70</f>
        <v>140000</v>
      </c>
      <c r="G26" s="348" t="s">
        <v>541</v>
      </c>
      <c r="H26" s="248"/>
      <c r="I26" s="170"/>
      <c r="J26" s="284"/>
      <c r="K26" s="1130"/>
      <c r="L26" s="612" t="s">
        <v>542</v>
      </c>
      <c r="M26" s="248"/>
      <c r="N26" s="603" t="s">
        <v>543</v>
      </c>
      <c r="O26" s="612"/>
      <c r="P26" s="612">
        <f>'８－4　イチジク算出基礎'!G57</f>
        <v>0</v>
      </c>
      <c r="Q26" s="1195"/>
      <c r="R26" s="1196"/>
      <c r="S26" s="1197"/>
    </row>
    <row r="27" spans="1:19" s="160" customFormat="1" ht="18" customHeight="1" thickBot="1" x14ac:dyDescent="0.25">
      <c r="A27" s="159"/>
      <c r="B27" s="1166"/>
      <c r="C27" s="1181"/>
      <c r="D27" s="1046"/>
      <c r="E27" s="60" t="s">
        <v>4</v>
      </c>
      <c r="F27" s="622">
        <f>P10*20</f>
        <v>40000</v>
      </c>
      <c r="G27" s="348" t="s">
        <v>544</v>
      </c>
      <c r="H27" s="623"/>
      <c r="I27" s="623"/>
      <c r="J27" s="624"/>
      <c r="K27" s="1130"/>
      <c r="L27" s="172" t="s">
        <v>29</v>
      </c>
      <c r="M27" s="171"/>
      <c r="N27" s="172"/>
      <c r="O27" s="172"/>
      <c r="P27" s="172">
        <f>SUM(P23:P26)</f>
        <v>81108.757575757583</v>
      </c>
      <c r="Q27" s="1198"/>
      <c r="R27" s="1199"/>
      <c r="S27" s="1200"/>
    </row>
    <row r="28" spans="1:19" s="160" customFormat="1" ht="18" customHeight="1" thickTop="1" x14ac:dyDescent="0.2">
      <c r="A28" s="159"/>
      <c r="B28" s="1166"/>
      <c r="C28" s="1181"/>
      <c r="D28" s="1217"/>
      <c r="E28" s="60" t="s">
        <v>8</v>
      </c>
      <c r="F28" s="606">
        <f>R10*0.11</f>
        <v>172333.33333333334</v>
      </c>
      <c r="G28" s="348" t="s">
        <v>545</v>
      </c>
      <c r="H28" s="600"/>
      <c r="I28" s="623"/>
      <c r="J28" s="604"/>
      <c r="K28" s="1130"/>
      <c r="L28" s="603" t="s">
        <v>546</v>
      </c>
      <c r="M28" s="248"/>
      <c r="N28" s="614" t="s">
        <v>26</v>
      </c>
      <c r="O28" s="614" t="s">
        <v>24</v>
      </c>
      <c r="P28" s="614" t="s">
        <v>27</v>
      </c>
      <c r="Q28" s="1135" t="s">
        <v>28</v>
      </c>
      <c r="R28" s="1136"/>
      <c r="S28" s="1137"/>
    </row>
    <row r="29" spans="1:19" s="160" customFormat="1" ht="18" customHeight="1" x14ac:dyDescent="0.2">
      <c r="A29" s="159"/>
      <c r="B29" s="1166"/>
      <c r="C29" s="1181"/>
      <c r="D29" s="60" t="s">
        <v>69</v>
      </c>
      <c r="E29" s="61"/>
      <c r="F29" s="606"/>
      <c r="G29" s="348" t="s">
        <v>218</v>
      </c>
      <c r="H29" s="600"/>
      <c r="I29" s="623"/>
      <c r="J29" s="625"/>
      <c r="K29" s="1130"/>
      <c r="L29" s="612" t="s">
        <v>547</v>
      </c>
      <c r="M29" s="251"/>
      <c r="N29" s="603"/>
      <c r="O29" s="611"/>
      <c r="P29" s="612"/>
      <c r="Q29" s="1201"/>
      <c r="R29" s="1202"/>
      <c r="S29" s="1203"/>
    </row>
    <row r="30" spans="1:19" s="160" customFormat="1" ht="18" customHeight="1" x14ac:dyDescent="0.2">
      <c r="A30" s="159"/>
      <c r="B30" s="1166"/>
      <c r="C30" s="1181"/>
      <c r="D30" s="1059" t="s">
        <v>283</v>
      </c>
      <c r="E30" s="537" t="s">
        <v>128</v>
      </c>
      <c r="F30" s="622"/>
      <c r="G30" s="348" t="s">
        <v>218</v>
      </c>
      <c r="H30" s="626"/>
      <c r="I30" s="626"/>
      <c r="J30" s="627"/>
      <c r="K30" s="1130"/>
      <c r="L30" s="612" t="s">
        <v>548</v>
      </c>
      <c r="M30" s="251"/>
      <c r="N30" s="603" t="s">
        <v>549</v>
      </c>
      <c r="O30" s="611">
        <f>'８－4　イチジク算出基礎'!M8</f>
        <v>158.4</v>
      </c>
      <c r="P30" s="612">
        <f>'８－4　イチジク算出基礎'!N15</f>
        <v>7880.4000000000015</v>
      </c>
      <c r="Q30" s="1201"/>
      <c r="R30" s="1202"/>
      <c r="S30" s="1203"/>
    </row>
    <row r="31" spans="1:19" s="160" customFormat="1" ht="18" customHeight="1" x14ac:dyDescent="0.2">
      <c r="A31" s="159"/>
      <c r="B31" s="1166"/>
      <c r="C31" s="1181"/>
      <c r="D31" s="1059"/>
      <c r="E31" s="537" t="s">
        <v>550</v>
      </c>
      <c r="F31" s="622"/>
      <c r="G31" s="348" t="s">
        <v>218</v>
      </c>
      <c r="H31" s="628"/>
      <c r="I31" s="628"/>
      <c r="J31" s="629"/>
      <c r="K31" s="1130"/>
      <c r="L31" s="612" t="s">
        <v>551</v>
      </c>
      <c r="M31" s="248"/>
      <c r="N31" s="611"/>
      <c r="O31" s="611"/>
      <c r="P31" s="612">
        <f>SUM(P29:P30)*R31</f>
        <v>2364.1200000000003</v>
      </c>
      <c r="Q31" s="630" t="s">
        <v>552</v>
      </c>
      <c r="R31" s="631">
        <v>0.3</v>
      </c>
      <c r="S31" s="632"/>
    </row>
    <row r="32" spans="1:19" ht="18" customHeight="1" x14ac:dyDescent="0.2">
      <c r="B32" s="1166"/>
      <c r="C32" s="1181"/>
      <c r="D32" s="60" t="s">
        <v>70</v>
      </c>
      <c r="E32" s="71"/>
      <c r="F32" s="622"/>
      <c r="G32" s="348" t="s">
        <v>218</v>
      </c>
      <c r="H32" s="633"/>
      <c r="I32" s="634"/>
      <c r="J32" s="625"/>
      <c r="K32" s="1130"/>
      <c r="L32" s="612" t="s">
        <v>553</v>
      </c>
      <c r="M32" s="251"/>
      <c r="N32" s="603" t="s">
        <v>554</v>
      </c>
      <c r="O32" s="611">
        <f>'８－4　イチジク算出基礎'!M16</f>
        <v>168.4</v>
      </c>
      <c r="P32" s="612">
        <f>'８－4　イチジク算出基礎'!N19</f>
        <v>547.30000000000007</v>
      </c>
      <c r="Q32" s="1195"/>
      <c r="R32" s="1196"/>
      <c r="S32" s="1197"/>
    </row>
    <row r="33" spans="1:23" ht="18" customHeight="1" x14ac:dyDescent="0.2">
      <c r="B33" s="1166"/>
      <c r="C33" s="1181"/>
      <c r="D33" s="60" t="s">
        <v>96</v>
      </c>
      <c r="E33" s="71"/>
      <c r="F33" s="622"/>
      <c r="G33" s="348" t="s">
        <v>218</v>
      </c>
      <c r="H33" s="297"/>
      <c r="I33" s="298"/>
      <c r="J33" s="299"/>
      <c r="K33" s="1130"/>
      <c r="L33" s="612" t="s">
        <v>555</v>
      </c>
      <c r="M33" s="251"/>
      <c r="N33" s="603"/>
      <c r="O33" s="611"/>
      <c r="P33" s="612"/>
      <c r="Q33" s="1195"/>
      <c r="R33" s="1196"/>
      <c r="S33" s="1197"/>
    </row>
    <row r="34" spans="1:23" ht="18" customHeight="1" x14ac:dyDescent="0.2">
      <c r="B34" s="1166"/>
      <c r="C34" s="1181"/>
      <c r="D34" s="60" t="s">
        <v>131</v>
      </c>
      <c r="E34" s="61"/>
      <c r="F34" s="622">
        <f>'８－4　イチジク算出基礎'!V57</f>
        <v>13.533333333333335</v>
      </c>
      <c r="G34" s="1193"/>
      <c r="H34" s="1194"/>
      <c r="I34" s="1194"/>
      <c r="J34" s="1192"/>
      <c r="K34" s="1130"/>
      <c r="L34" s="612" t="s">
        <v>280</v>
      </c>
      <c r="M34" s="251"/>
      <c r="N34" s="603"/>
      <c r="O34" s="611"/>
      <c r="P34" s="612"/>
      <c r="Q34" s="1195"/>
      <c r="R34" s="1196"/>
      <c r="S34" s="1197"/>
    </row>
    <row r="35" spans="1:23" ht="18" customHeight="1" x14ac:dyDescent="0.2">
      <c r="B35" s="1166"/>
      <c r="C35" s="1181"/>
      <c r="D35" s="81" t="s">
        <v>97</v>
      </c>
      <c r="E35" s="82"/>
      <c r="F35" s="635"/>
      <c r="G35" s="603"/>
      <c r="H35" s="297"/>
      <c r="I35" s="298"/>
      <c r="J35" s="625"/>
      <c r="K35" s="1130"/>
      <c r="L35" s="612" t="s">
        <v>556</v>
      </c>
      <c r="M35" s="248"/>
      <c r="N35" s="603"/>
      <c r="O35" s="611"/>
      <c r="P35" s="612"/>
      <c r="Q35" s="1195"/>
      <c r="R35" s="1196"/>
      <c r="S35" s="1197"/>
    </row>
    <row r="36" spans="1:23" ht="18" customHeight="1" thickBot="1" x14ac:dyDescent="0.25">
      <c r="B36" s="1166"/>
      <c r="C36" s="1181"/>
      <c r="D36" s="60" t="s">
        <v>71</v>
      </c>
      <c r="E36" s="61"/>
      <c r="F36" s="622">
        <f>'８－4　イチジク算出基礎'!N57</f>
        <v>8470.2333333333336</v>
      </c>
      <c r="G36" s="1193"/>
      <c r="H36" s="1194"/>
      <c r="I36" s="1194"/>
      <c r="J36" s="1192"/>
      <c r="K36" s="1131"/>
      <c r="L36" s="184" t="s">
        <v>29</v>
      </c>
      <c r="M36" s="183"/>
      <c r="N36" s="184"/>
      <c r="O36" s="184"/>
      <c r="P36" s="184">
        <f>SUM(P29:P35)</f>
        <v>10791.820000000002</v>
      </c>
      <c r="Q36" s="1143"/>
      <c r="R36" s="1144"/>
      <c r="S36" s="1145"/>
    </row>
    <row r="37" spans="1:23" s="178" customFormat="1" ht="18" customHeight="1" x14ac:dyDescent="0.2">
      <c r="A37" s="159"/>
      <c r="B37" s="1166"/>
      <c r="C37" s="1181"/>
      <c r="D37" s="60" t="s">
        <v>0</v>
      </c>
      <c r="E37" s="71"/>
      <c r="F37" s="622">
        <f>SUM(F26:F36)/99</f>
        <v>3644.6171717171719</v>
      </c>
      <c r="G37" s="635" t="s">
        <v>557</v>
      </c>
      <c r="H37" s="616">
        <v>0.01</v>
      </c>
      <c r="I37" s="245"/>
      <c r="J37" s="636"/>
    </row>
    <row r="38" spans="1:23" s="178" customFormat="1" ht="18" customHeight="1" thickBot="1" x14ac:dyDescent="0.25">
      <c r="A38" s="159"/>
      <c r="B38" s="1167"/>
      <c r="C38" s="1182"/>
      <c r="D38" s="1183" t="s">
        <v>229</v>
      </c>
      <c r="E38" s="1184"/>
      <c r="F38" s="235">
        <f>SUM(F26:F37)</f>
        <v>364461.7171717172</v>
      </c>
      <c r="G38" s="236"/>
      <c r="H38" s="237"/>
      <c r="I38" s="238"/>
      <c r="J38" s="239"/>
      <c r="T38" s="179"/>
    </row>
    <row r="39" spans="1:23" s="178" customFormat="1" ht="18" customHeight="1" x14ac:dyDescent="0.2">
      <c r="A39" s="159"/>
      <c r="B39" s="1168" t="s">
        <v>233</v>
      </c>
      <c r="C39" s="1218" t="s">
        <v>73</v>
      </c>
      <c r="D39" s="878" t="s">
        <v>130</v>
      </c>
      <c r="E39" s="879"/>
      <c r="F39" s="880"/>
      <c r="G39" s="603"/>
      <c r="H39" s="637"/>
      <c r="I39" s="637"/>
      <c r="J39" s="638"/>
      <c r="T39" s="160"/>
      <c r="U39" s="160"/>
      <c r="V39" s="160"/>
      <c r="W39" s="160"/>
    </row>
    <row r="40" spans="1:23" s="178" customFormat="1" ht="18" customHeight="1" x14ac:dyDescent="0.2">
      <c r="A40" s="159"/>
      <c r="B40" s="1169"/>
      <c r="C40" s="1219"/>
      <c r="D40" s="60" t="s">
        <v>129</v>
      </c>
      <c r="E40" s="61"/>
      <c r="F40" s="639"/>
      <c r="G40" s="603"/>
      <c r="H40" s="185"/>
      <c r="I40" s="185"/>
      <c r="J40" s="246"/>
      <c r="T40" s="180"/>
      <c r="U40" s="181"/>
      <c r="V40" s="547"/>
      <c r="W40" s="180"/>
    </row>
    <row r="41" spans="1:23" s="178" customFormat="1" ht="18" customHeight="1" x14ac:dyDescent="0.2">
      <c r="A41" s="159"/>
      <c r="B41" s="1169"/>
      <c r="C41" s="1173"/>
      <c r="D41" s="81" t="s">
        <v>72</v>
      </c>
      <c r="E41" s="61"/>
      <c r="F41" s="640"/>
      <c r="G41" s="603"/>
      <c r="H41" s="185"/>
      <c r="I41" s="185"/>
      <c r="J41" s="246"/>
      <c r="T41" s="160"/>
      <c r="U41" s="160"/>
      <c r="V41" s="160"/>
      <c r="W41" s="160"/>
    </row>
    <row r="42" spans="1:23" s="178" customFormat="1" ht="18" customHeight="1" x14ac:dyDescent="0.2">
      <c r="B42" s="1169"/>
      <c r="C42" s="1174" t="s">
        <v>558</v>
      </c>
      <c r="D42" s="81" t="s">
        <v>284</v>
      </c>
      <c r="E42" s="82"/>
      <c r="F42" s="640"/>
      <c r="G42" s="603"/>
      <c r="H42" s="185"/>
      <c r="I42" s="185"/>
      <c r="J42" s="246"/>
      <c r="T42" s="161"/>
      <c r="U42" s="179"/>
      <c r="V42" s="160"/>
      <c r="W42" s="180"/>
    </row>
    <row r="43" spans="1:23" s="178" customFormat="1" ht="18" customHeight="1" x14ac:dyDescent="0.2">
      <c r="B43" s="1169"/>
      <c r="C43" s="1220"/>
      <c r="D43" s="83" t="s">
        <v>1</v>
      </c>
      <c r="E43" s="84"/>
      <c r="F43" s="640"/>
      <c r="G43" s="603"/>
      <c r="H43" s="185"/>
      <c r="I43" s="185"/>
      <c r="J43" s="246"/>
      <c r="T43" s="161"/>
      <c r="U43" s="179"/>
      <c r="V43" s="160"/>
      <c r="W43" s="180"/>
    </row>
    <row r="44" spans="1:23" s="178" customFormat="1" ht="18" customHeight="1" thickBot="1" x14ac:dyDescent="0.25">
      <c r="B44" s="1170"/>
      <c r="C44" s="1176" t="s">
        <v>99</v>
      </c>
      <c r="D44" s="1177"/>
      <c r="E44" s="1178"/>
      <c r="F44" s="881">
        <f>SUM(F39:F41)-SUM(F42:F43)</f>
        <v>0</v>
      </c>
      <c r="G44" s="641"/>
      <c r="H44" s="187"/>
      <c r="I44" s="187"/>
      <c r="J44" s="247"/>
      <c r="T44" s="160"/>
      <c r="U44" s="160"/>
      <c r="V44" s="181"/>
      <c r="W44" s="160"/>
    </row>
    <row r="45" spans="1:23" ht="18" customHeight="1" thickBot="1" x14ac:dyDescent="0.25">
      <c r="C45" s="1215" t="s">
        <v>559</v>
      </c>
      <c r="D45" s="1215"/>
      <c r="E45" s="1215"/>
      <c r="F45" s="877">
        <f>F3-F25-F38</f>
        <v>701385.13925457629</v>
      </c>
    </row>
  </sheetData>
  <mergeCells count="58">
    <mergeCell ref="B39:B44"/>
    <mergeCell ref="C39:C41"/>
    <mergeCell ref="C42:C43"/>
    <mergeCell ref="C44:E44"/>
    <mergeCell ref="B5:B38"/>
    <mergeCell ref="D25:E25"/>
    <mergeCell ref="D12:D13"/>
    <mergeCell ref="D21:D22"/>
    <mergeCell ref="C5:C25"/>
    <mergeCell ref="C45:E45"/>
    <mergeCell ref="Q33:S33"/>
    <mergeCell ref="G34:J34"/>
    <mergeCell ref="Q34:S34"/>
    <mergeCell ref="Q35:S35"/>
    <mergeCell ref="G36:J36"/>
    <mergeCell ref="Q36:S36"/>
    <mergeCell ref="D38:E38"/>
    <mergeCell ref="C26:C38"/>
    <mergeCell ref="D26:D28"/>
    <mergeCell ref="Q26:S26"/>
    <mergeCell ref="Q27:S27"/>
    <mergeCell ref="Q28:S28"/>
    <mergeCell ref="D30:D31"/>
    <mergeCell ref="Q30:S30"/>
    <mergeCell ref="R5:S5"/>
    <mergeCell ref="R6:S6"/>
    <mergeCell ref="R7:S7"/>
    <mergeCell ref="D17:D20"/>
    <mergeCell ref="Q17:S17"/>
    <mergeCell ref="I12:J12"/>
    <mergeCell ref="Q12:S13"/>
    <mergeCell ref="I13:J13"/>
    <mergeCell ref="D14:D16"/>
    <mergeCell ref="Q14:S14"/>
    <mergeCell ref="Q15:S15"/>
    <mergeCell ref="Q16:S16"/>
    <mergeCell ref="Q18:S18"/>
    <mergeCell ref="K11:K36"/>
    <mergeCell ref="Q11:S11"/>
    <mergeCell ref="Q23:S23"/>
    <mergeCell ref="Q24:S24"/>
    <mergeCell ref="Q32:S32"/>
    <mergeCell ref="Q19:S19"/>
    <mergeCell ref="Q20:S20"/>
    <mergeCell ref="Q21:S21"/>
    <mergeCell ref="Q29:S29"/>
    <mergeCell ref="Q22:S22"/>
    <mergeCell ref="Q25:S25"/>
    <mergeCell ref="R8:S8"/>
    <mergeCell ref="G9:J9"/>
    <mergeCell ref="R9:S9"/>
    <mergeCell ref="G10:J10"/>
    <mergeCell ref="R10:S10"/>
    <mergeCell ref="B2:E2"/>
    <mergeCell ref="K2:S2"/>
    <mergeCell ref="B3:C4"/>
    <mergeCell ref="R3:S3"/>
    <mergeCell ref="R4:S4"/>
  </mergeCells>
  <phoneticPr fontId="4"/>
  <conditionalFormatting sqref="P16:P20">
    <cfRule type="cellIs" dxfId="41" priority="2" operator="equal">
      <formula>0</formula>
    </cfRule>
  </conditionalFormatting>
  <conditionalFormatting sqref="P23:P26">
    <cfRule type="cellIs" dxfId="40" priority="1" operator="equal">
      <formula>0</formula>
    </cfRule>
  </conditionalFormatting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2"/>
  <sheetViews>
    <sheetView zoomScale="75" zoomScaleNormal="75" workbookViewId="0"/>
  </sheetViews>
  <sheetFormatPr defaultRowHeight="13" x14ac:dyDescent="0.2"/>
  <cols>
    <col min="1" max="1" width="1.6328125" style="90" customWidth="1"/>
    <col min="2" max="2" width="3.6328125" style="90" customWidth="1"/>
    <col min="3" max="3" width="19.453125" style="90" customWidth="1"/>
    <col min="4" max="7" width="8.6328125" style="90" customWidth="1"/>
    <col min="8" max="8" width="2.36328125" style="217" customWidth="1"/>
    <col min="9" max="9" width="3.6328125" style="90" customWidth="1"/>
    <col min="10" max="10" width="15.6328125" style="90" customWidth="1"/>
    <col min="11" max="14" width="8.6328125" style="90" customWidth="1"/>
    <col min="15" max="15" width="3.453125" style="90" customWidth="1"/>
    <col min="16" max="16" width="15.6328125" style="188" customWidth="1"/>
    <col min="17" max="17" width="8.6328125" style="90" customWidth="1"/>
    <col min="18" max="18" width="8.6328125" style="91" customWidth="1"/>
    <col min="19" max="21" width="8.6328125" style="90" customWidth="1"/>
    <col min="22" max="22" width="10.6328125" style="91" customWidth="1"/>
    <col min="23" max="262" width="9" style="90"/>
    <col min="263" max="263" width="1.36328125" style="90" customWidth="1"/>
    <col min="264" max="264" width="3.453125" style="90" customWidth="1"/>
    <col min="265" max="265" width="22.08984375" style="90" customWidth="1"/>
    <col min="266" max="266" width="9.7265625" style="90" customWidth="1"/>
    <col min="267" max="267" width="7.36328125" style="90" customWidth="1"/>
    <col min="268" max="268" width="9" style="90"/>
    <col min="269" max="269" width="9.26953125" style="90" customWidth="1"/>
    <col min="270" max="270" width="3.453125" style="90" customWidth="1"/>
    <col min="271" max="272" width="12.6328125" style="90" customWidth="1"/>
    <col min="273" max="273" width="9" style="90"/>
    <col min="274" max="274" width="7.7265625" style="90" customWidth="1"/>
    <col min="275" max="275" width="13.08984375" style="90" customWidth="1"/>
    <col min="276" max="276" width="6.08984375" style="90" customWidth="1"/>
    <col min="277" max="277" width="9.7265625" style="90" customWidth="1"/>
    <col min="278" max="278" width="1.36328125" style="90" customWidth="1"/>
    <col min="279" max="518" width="9" style="90"/>
    <col min="519" max="519" width="1.36328125" style="90" customWidth="1"/>
    <col min="520" max="520" width="3.453125" style="90" customWidth="1"/>
    <col min="521" max="521" width="22.08984375" style="90" customWidth="1"/>
    <col min="522" max="522" width="9.7265625" style="90" customWidth="1"/>
    <col min="523" max="523" width="7.36328125" style="90" customWidth="1"/>
    <col min="524" max="524" width="9" style="90"/>
    <col min="525" max="525" width="9.26953125" style="90" customWidth="1"/>
    <col min="526" max="526" width="3.453125" style="90" customWidth="1"/>
    <col min="527" max="528" width="12.6328125" style="90" customWidth="1"/>
    <col min="529" max="529" width="9" style="90"/>
    <col min="530" max="530" width="7.7265625" style="90" customWidth="1"/>
    <col min="531" max="531" width="13.08984375" style="90" customWidth="1"/>
    <col min="532" max="532" width="6.08984375" style="90" customWidth="1"/>
    <col min="533" max="533" width="9.7265625" style="90" customWidth="1"/>
    <col min="534" max="534" width="1.36328125" style="90" customWidth="1"/>
    <col min="535" max="774" width="9" style="90"/>
    <col min="775" max="775" width="1.36328125" style="90" customWidth="1"/>
    <col min="776" max="776" width="3.453125" style="90" customWidth="1"/>
    <col min="777" max="777" width="22.08984375" style="90" customWidth="1"/>
    <col min="778" max="778" width="9.7265625" style="90" customWidth="1"/>
    <col min="779" max="779" width="7.36328125" style="90" customWidth="1"/>
    <col min="780" max="780" width="9" style="90"/>
    <col min="781" max="781" width="9.26953125" style="90" customWidth="1"/>
    <col min="782" max="782" width="3.453125" style="90" customWidth="1"/>
    <col min="783" max="784" width="12.6328125" style="90" customWidth="1"/>
    <col min="785" max="785" width="9" style="90"/>
    <col min="786" max="786" width="7.7265625" style="90" customWidth="1"/>
    <col min="787" max="787" width="13.08984375" style="90" customWidth="1"/>
    <col min="788" max="788" width="6.08984375" style="90" customWidth="1"/>
    <col min="789" max="789" width="9.7265625" style="90" customWidth="1"/>
    <col min="790" max="790" width="1.36328125" style="90" customWidth="1"/>
    <col min="791" max="1030" width="9" style="90"/>
    <col min="1031" max="1031" width="1.36328125" style="90" customWidth="1"/>
    <col min="1032" max="1032" width="3.453125" style="90" customWidth="1"/>
    <col min="1033" max="1033" width="22.08984375" style="90" customWidth="1"/>
    <col min="1034" max="1034" width="9.7265625" style="90" customWidth="1"/>
    <col min="1035" max="1035" width="7.36328125" style="90" customWidth="1"/>
    <col min="1036" max="1036" width="9" style="90"/>
    <col min="1037" max="1037" width="9.26953125" style="90" customWidth="1"/>
    <col min="1038" max="1038" width="3.453125" style="90" customWidth="1"/>
    <col min="1039" max="1040" width="12.6328125" style="90" customWidth="1"/>
    <col min="1041" max="1041" width="9" style="90"/>
    <col min="1042" max="1042" width="7.7265625" style="90" customWidth="1"/>
    <col min="1043" max="1043" width="13.08984375" style="90" customWidth="1"/>
    <col min="1044" max="1044" width="6.08984375" style="90" customWidth="1"/>
    <col min="1045" max="1045" width="9.7265625" style="90" customWidth="1"/>
    <col min="1046" max="1046" width="1.36328125" style="90" customWidth="1"/>
    <col min="1047" max="1286" width="9" style="90"/>
    <col min="1287" max="1287" width="1.36328125" style="90" customWidth="1"/>
    <col min="1288" max="1288" width="3.453125" style="90" customWidth="1"/>
    <col min="1289" max="1289" width="22.08984375" style="90" customWidth="1"/>
    <col min="1290" max="1290" width="9.7265625" style="90" customWidth="1"/>
    <col min="1291" max="1291" width="7.36328125" style="90" customWidth="1"/>
    <col min="1292" max="1292" width="9" style="90"/>
    <col min="1293" max="1293" width="9.26953125" style="90" customWidth="1"/>
    <col min="1294" max="1294" width="3.453125" style="90" customWidth="1"/>
    <col min="1295" max="1296" width="12.6328125" style="90" customWidth="1"/>
    <col min="1297" max="1297" width="9" style="90"/>
    <col min="1298" max="1298" width="7.7265625" style="90" customWidth="1"/>
    <col min="1299" max="1299" width="13.08984375" style="90" customWidth="1"/>
    <col min="1300" max="1300" width="6.08984375" style="90" customWidth="1"/>
    <col min="1301" max="1301" width="9.7265625" style="90" customWidth="1"/>
    <col min="1302" max="1302" width="1.36328125" style="90" customWidth="1"/>
    <col min="1303" max="1542" width="9" style="90"/>
    <col min="1543" max="1543" width="1.36328125" style="90" customWidth="1"/>
    <col min="1544" max="1544" width="3.453125" style="90" customWidth="1"/>
    <col min="1545" max="1545" width="22.08984375" style="90" customWidth="1"/>
    <col min="1546" max="1546" width="9.7265625" style="90" customWidth="1"/>
    <col min="1547" max="1547" width="7.36328125" style="90" customWidth="1"/>
    <col min="1548" max="1548" width="9" style="90"/>
    <col min="1549" max="1549" width="9.26953125" style="90" customWidth="1"/>
    <col min="1550" max="1550" width="3.453125" style="90" customWidth="1"/>
    <col min="1551" max="1552" width="12.6328125" style="90" customWidth="1"/>
    <col min="1553" max="1553" width="9" style="90"/>
    <col min="1554" max="1554" width="7.7265625" style="90" customWidth="1"/>
    <col min="1555" max="1555" width="13.08984375" style="90" customWidth="1"/>
    <col min="1556" max="1556" width="6.08984375" style="90" customWidth="1"/>
    <col min="1557" max="1557" width="9.7265625" style="90" customWidth="1"/>
    <col min="1558" max="1558" width="1.36328125" style="90" customWidth="1"/>
    <col min="1559" max="1798" width="9" style="90"/>
    <col min="1799" max="1799" width="1.36328125" style="90" customWidth="1"/>
    <col min="1800" max="1800" width="3.453125" style="90" customWidth="1"/>
    <col min="1801" max="1801" width="22.08984375" style="90" customWidth="1"/>
    <col min="1802" max="1802" width="9.7265625" style="90" customWidth="1"/>
    <col min="1803" max="1803" width="7.36328125" style="90" customWidth="1"/>
    <col min="1804" max="1804" width="9" style="90"/>
    <col min="1805" max="1805" width="9.26953125" style="90" customWidth="1"/>
    <col min="1806" max="1806" width="3.453125" style="90" customWidth="1"/>
    <col min="1807" max="1808" width="12.6328125" style="90" customWidth="1"/>
    <col min="1809" max="1809" width="9" style="90"/>
    <col min="1810" max="1810" width="7.7265625" style="90" customWidth="1"/>
    <col min="1811" max="1811" width="13.08984375" style="90" customWidth="1"/>
    <col min="1812" max="1812" width="6.08984375" style="90" customWidth="1"/>
    <col min="1813" max="1813" width="9.7265625" style="90" customWidth="1"/>
    <col min="1814" max="1814" width="1.36328125" style="90" customWidth="1"/>
    <col min="1815" max="2054" width="9" style="90"/>
    <col min="2055" max="2055" width="1.36328125" style="90" customWidth="1"/>
    <col min="2056" max="2056" width="3.453125" style="90" customWidth="1"/>
    <col min="2057" max="2057" width="22.08984375" style="90" customWidth="1"/>
    <col min="2058" max="2058" width="9.7265625" style="90" customWidth="1"/>
    <col min="2059" max="2059" width="7.36328125" style="90" customWidth="1"/>
    <col min="2060" max="2060" width="9" style="90"/>
    <col min="2061" max="2061" width="9.26953125" style="90" customWidth="1"/>
    <col min="2062" max="2062" width="3.453125" style="90" customWidth="1"/>
    <col min="2063" max="2064" width="12.6328125" style="90" customWidth="1"/>
    <col min="2065" max="2065" width="9" style="90"/>
    <col min="2066" max="2066" width="7.7265625" style="90" customWidth="1"/>
    <col min="2067" max="2067" width="13.08984375" style="90" customWidth="1"/>
    <col min="2068" max="2068" width="6.08984375" style="90" customWidth="1"/>
    <col min="2069" max="2069" width="9.7265625" style="90" customWidth="1"/>
    <col min="2070" max="2070" width="1.36328125" style="90" customWidth="1"/>
    <col min="2071" max="2310" width="9" style="90"/>
    <col min="2311" max="2311" width="1.36328125" style="90" customWidth="1"/>
    <col min="2312" max="2312" width="3.453125" style="90" customWidth="1"/>
    <col min="2313" max="2313" width="22.08984375" style="90" customWidth="1"/>
    <col min="2314" max="2314" width="9.7265625" style="90" customWidth="1"/>
    <col min="2315" max="2315" width="7.36328125" style="90" customWidth="1"/>
    <col min="2316" max="2316" width="9" style="90"/>
    <col min="2317" max="2317" width="9.26953125" style="90" customWidth="1"/>
    <col min="2318" max="2318" width="3.453125" style="90" customWidth="1"/>
    <col min="2319" max="2320" width="12.6328125" style="90" customWidth="1"/>
    <col min="2321" max="2321" width="9" style="90"/>
    <col min="2322" max="2322" width="7.7265625" style="90" customWidth="1"/>
    <col min="2323" max="2323" width="13.08984375" style="90" customWidth="1"/>
    <col min="2324" max="2324" width="6.08984375" style="90" customWidth="1"/>
    <col min="2325" max="2325" width="9.7265625" style="90" customWidth="1"/>
    <col min="2326" max="2326" width="1.36328125" style="90" customWidth="1"/>
    <col min="2327" max="2566" width="9" style="90"/>
    <col min="2567" max="2567" width="1.36328125" style="90" customWidth="1"/>
    <col min="2568" max="2568" width="3.453125" style="90" customWidth="1"/>
    <col min="2569" max="2569" width="22.08984375" style="90" customWidth="1"/>
    <col min="2570" max="2570" width="9.7265625" style="90" customWidth="1"/>
    <col min="2571" max="2571" width="7.36328125" style="90" customWidth="1"/>
    <col min="2572" max="2572" width="9" style="90"/>
    <col min="2573" max="2573" width="9.26953125" style="90" customWidth="1"/>
    <col min="2574" max="2574" width="3.453125" style="90" customWidth="1"/>
    <col min="2575" max="2576" width="12.6328125" style="90" customWidth="1"/>
    <col min="2577" max="2577" width="9" style="90"/>
    <col min="2578" max="2578" width="7.7265625" style="90" customWidth="1"/>
    <col min="2579" max="2579" width="13.08984375" style="90" customWidth="1"/>
    <col min="2580" max="2580" width="6.08984375" style="90" customWidth="1"/>
    <col min="2581" max="2581" width="9.7265625" style="90" customWidth="1"/>
    <col min="2582" max="2582" width="1.36328125" style="90" customWidth="1"/>
    <col min="2583" max="2822" width="9" style="90"/>
    <col min="2823" max="2823" width="1.36328125" style="90" customWidth="1"/>
    <col min="2824" max="2824" width="3.453125" style="90" customWidth="1"/>
    <col min="2825" max="2825" width="22.08984375" style="90" customWidth="1"/>
    <col min="2826" max="2826" width="9.7265625" style="90" customWidth="1"/>
    <col min="2827" max="2827" width="7.36328125" style="90" customWidth="1"/>
    <col min="2828" max="2828" width="9" style="90"/>
    <col min="2829" max="2829" width="9.26953125" style="90" customWidth="1"/>
    <col min="2830" max="2830" width="3.453125" style="90" customWidth="1"/>
    <col min="2831" max="2832" width="12.6328125" style="90" customWidth="1"/>
    <col min="2833" max="2833" width="9" style="90"/>
    <col min="2834" max="2834" width="7.7265625" style="90" customWidth="1"/>
    <col min="2835" max="2835" width="13.08984375" style="90" customWidth="1"/>
    <col min="2836" max="2836" width="6.08984375" style="90" customWidth="1"/>
    <col min="2837" max="2837" width="9.7265625" style="90" customWidth="1"/>
    <col min="2838" max="2838" width="1.36328125" style="90" customWidth="1"/>
    <col min="2839" max="3078" width="9" style="90"/>
    <col min="3079" max="3079" width="1.36328125" style="90" customWidth="1"/>
    <col min="3080" max="3080" width="3.453125" style="90" customWidth="1"/>
    <col min="3081" max="3081" width="22.08984375" style="90" customWidth="1"/>
    <col min="3082" max="3082" width="9.7265625" style="90" customWidth="1"/>
    <col min="3083" max="3083" width="7.36328125" style="90" customWidth="1"/>
    <col min="3084" max="3084" width="9" style="90"/>
    <col min="3085" max="3085" width="9.26953125" style="90" customWidth="1"/>
    <col min="3086" max="3086" width="3.453125" style="90" customWidth="1"/>
    <col min="3087" max="3088" width="12.6328125" style="90" customWidth="1"/>
    <col min="3089" max="3089" width="9" style="90"/>
    <col min="3090" max="3090" width="7.7265625" style="90" customWidth="1"/>
    <col min="3091" max="3091" width="13.08984375" style="90" customWidth="1"/>
    <col min="3092" max="3092" width="6.08984375" style="90" customWidth="1"/>
    <col min="3093" max="3093" width="9.7265625" style="90" customWidth="1"/>
    <col min="3094" max="3094" width="1.36328125" style="90" customWidth="1"/>
    <col min="3095" max="3334" width="9" style="90"/>
    <col min="3335" max="3335" width="1.36328125" style="90" customWidth="1"/>
    <col min="3336" max="3336" width="3.453125" style="90" customWidth="1"/>
    <col min="3337" max="3337" width="22.08984375" style="90" customWidth="1"/>
    <col min="3338" max="3338" width="9.7265625" style="90" customWidth="1"/>
    <col min="3339" max="3339" width="7.36328125" style="90" customWidth="1"/>
    <col min="3340" max="3340" width="9" style="90"/>
    <col min="3341" max="3341" width="9.26953125" style="90" customWidth="1"/>
    <col min="3342" max="3342" width="3.453125" style="90" customWidth="1"/>
    <col min="3343" max="3344" width="12.6328125" style="90" customWidth="1"/>
    <col min="3345" max="3345" width="9" style="90"/>
    <col min="3346" max="3346" width="7.7265625" style="90" customWidth="1"/>
    <col min="3347" max="3347" width="13.08984375" style="90" customWidth="1"/>
    <col min="3348" max="3348" width="6.08984375" style="90" customWidth="1"/>
    <col min="3349" max="3349" width="9.7265625" style="90" customWidth="1"/>
    <col min="3350" max="3350" width="1.36328125" style="90" customWidth="1"/>
    <col min="3351" max="3590" width="9" style="90"/>
    <col min="3591" max="3591" width="1.36328125" style="90" customWidth="1"/>
    <col min="3592" max="3592" width="3.453125" style="90" customWidth="1"/>
    <col min="3593" max="3593" width="22.08984375" style="90" customWidth="1"/>
    <col min="3594" max="3594" width="9.7265625" style="90" customWidth="1"/>
    <col min="3595" max="3595" width="7.36328125" style="90" customWidth="1"/>
    <col min="3596" max="3596" width="9" style="90"/>
    <col min="3597" max="3597" width="9.26953125" style="90" customWidth="1"/>
    <col min="3598" max="3598" width="3.453125" style="90" customWidth="1"/>
    <col min="3599" max="3600" width="12.6328125" style="90" customWidth="1"/>
    <col min="3601" max="3601" width="9" style="90"/>
    <col min="3602" max="3602" width="7.7265625" style="90" customWidth="1"/>
    <col min="3603" max="3603" width="13.08984375" style="90" customWidth="1"/>
    <col min="3604" max="3604" width="6.08984375" style="90" customWidth="1"/>
    <col min="3605" max="3605" width="9.7265625" style="90" customWidth="1"/>
    <col min="3606" max="3606" width="1.36328125" style="90" customWidth="1"/>
    <col min="3607" max="3846" width="9" style="90"/>
    <col min="3847" max="3847" width="1.36328125" style="90" customWidth="1"/>
    <col min="3848" max="3848" width="3.453125" style="90" customWidth="1"/>
    <col min="3849" max="3849" width="22.08984375" style="90" customWidth="1"/>
    <col min="3850" max="3850" width="9.7265625" style="90" customWidth="1"/>
    <col min="3851" max="3851" width="7.36328125" style="90" customWidth="1"/>
    <col min="3852" max="3852" width="9" style="90"/>
    <col min="3853" max="3853" width="9.26953125" style="90" customWidth="1"/>
    <col min="3854" max="3854" width="3.453125" style="90" customWidth="1"/>
    <col min="3855" max="3856" width="12.6328125" style="90" customWidth="1"/>
    <col min="3857" max="3857" width="9" style="90"/>
    <col min="3858" max="3858" width="7.7265625" style="90" customWidth="1"/>
    <col min="3859" max="3859" width="13.08984375" style="90" customWidth="1"/>
    <col min="3860" max="3860" width="6.08984375" style="90" customWidth="1"/>
    <col min="3861" max="3861" width="9.7265625" style="90" customWidth="1"/>
    <col min="3862" max="3862" width="1.36328125" style="90" customWidth="1"/>
    <col min="3863" max="4102" width="9" style="90"/>
    <col min="4103" max="4103" width="1.36328125" style="90" customWidth="1"/>
    <col min="4104" max="4104" width="3.453125" style="90" customWidth="1"/>
    <col min="4105" max="4105" width="22.08984375" style="90" customWidth="1"/>
    <col min="4106" max="4106" width="9.7265625" style="90" customWidth="1"/>
    <col min="4107" max="4107" width="7.36328125" style="90" customWidth="1"/>
    <col min="4108" max="4108" width="9" style="90"/>
    <col min="4109" max="4109" width="9.26953125" style="90" customWidth="1"/>
    <col min="4110" max="4110" width="3.453125" style="90" customWidth="1"/>
    <col min="4111" max="4112" width="12.6328125" style="90" customWidth="1"/>
    <col min="4113" max="4113" width="9" style="90"/>
    <col min="4114" max="4114" width="7.7265625" style="90" customWidth="1"/>
    <col min="4115" max="4115" width="13.08984375" style="90" customWidth="1"/>
    <col min="4116" max="4116" width="6.08984375" style="90" customWidth="1"/>
    <col min="4117" max="4117" width="9.7265625" style="90" customWidth="1"/>
    <col min="4118" max="4118" width="1.36328125" style="90" customWidth="1"/>
    <col min="4119" max="4358" width="9" style="90"/>
    <col min="4359" max="4359" width="1.36328125" style="90" customWidth="1"/>
    <col min="4360" max="4360" width="3.453125" style="90" customWidth="1"/>
    <col min="4361" max="4361" width="22.08984375" style="90" customWidth="1"/>
    <col min="4362" max="4362" width="9.7265625" style="90" customWidth="1"/>
    <col min="4363" max="4363" width="7.36328125" style="90" customWidth="1"/>
    <col min="4364" max="4364" width="9" style="90"/>
    <col min="4365" max="4365" width="9.26953125" style="90" customWidth="1"/>
    <col min="4366" max="4366" width="3.453125" style="90" customWidth="1"/>
    <col min="4367" max="4368" width="12.6328125" style="90" customWidth="1"/>
    <col min="4369" max="4369" width="9" style="90"/>
    <col min="4370" max="4370" width="7.7265625" style="90" customWidth="1"/>
    <col min="4371" max="4371" width="13.08984375" style="90" customWidth="1"/>
    <col min="4372" max="4372" width="6.08984375" style="90" customWidth="1"/>
    <col min="4373" max="4373" width="9.7265625" style="90" customWidth="1"/>
    <col min="4374" max="4374" width="1.36328125" style="90" customWidth="1"/>
    <col min="4375" max="4614" width="9" style="90"/>
    <col min="4615" max="4615" width="1.36328125" style="90" customWidth="1"/>
    <col min="4616" max="4616" width="3.453125" style="90" customWidth="1"/>
    <col min="4617" max="4617" width="22.08984375" style="90" customWidth="1"/>
    <col min="4618" max="4618" width="9.7265625" style="90" customWidth="1"/>
    <col min="4619" max="4619" width="7.36328125" style="90" customWidth="1"/>
    <col min="4620" max="4620" width="9" style="90"/>
    <col min="4621" max="4621" width="9.26953125" style="90" customWidth="1"/>
    <col min="4622" max="4622" width="3.453125" style="90" customWidth="1"/>
    <col min="4623" max="4624" width="12.6328125" style="90" customWidth="1"/>
    <col min="4625" max="4625" width="9" style="90"/>
    <col min="4626" max="4626" width="7.7265625" style="90" customWidth="1"/>
    <col min="4627" max="4627" width="13.08984375" style="90" customWidth="1"/>
    <col min="4628" max="4628" width="6.08984375" style="90" customWidth="1"/>
    <col min="4629" max="4629" width="9.7265625" style="90" customWidth="1"/>
    <col min="4630" max="4630" width="1.36328125" style="90" customWidth="1"/>
    <col min="4631" max="4870" width="9" style="90"/>
    <col min="4871" max="4871" width="1.36328125" style="90" customWidth="1"/>
    <col min="4872" max="4872" width="3.453125" style="90" customWidth="1"/>
    <col min="4873" max="4873" width="22.08984375" style="90" customWidth="1"/>
    <col min="4874" max="4874" width="9.7265625" style="90" customWidth="1"/>
    <col min="4875" max="4875" width="7.36328125" style="90" customWidth="1"/>
    <col min="4876" max="4876" width="9" style="90"/>
    <col min="4877" max="4877" width="9.26953125" style="90" customWidth="1"/>
    <col min="4878" max="4878" width="3.453125" style="90" customWidth="1"/>
    <col min="4879" max="4880" width="12.6328125" style="90" customWidth="1"/>
    <col min="4881" max="4881" width="9" style="90"/>
    <col min="4882" max="4882" width="7.7265625" style="90" customWidth="1"/>
    <col min="4883" max="4883" width="13.08984375" style="90" customWidth="1"/>
    <col min="4884" max="4884" width="6.08984375" style="90" customWidth="1"/>
    <col min="4885" max="4885" width="9.7265625" style="90" customWidth="1"/>
    <col min="4886" max="4886" width="1.36328125" style="90" customWidth="1"/>
    <col min="4887" max="5126" width="9" style="90"/>
    <col min="5127" max="5127" width="1.36328125" style="90" customWidth="1"/>
    <col min="5128" max="5128" width="3.453125" style="90" customWidth="1"/>
    <col min="5129" max="5129" width="22.08984375" style="90" customWidth="1"/>
    <col min="5130" max="5130" width="9.7265625" style="90" customWidth="1"/>
    <col min="5131" max="5131" width="7.36328125" style="90" customWidth="1"/>
    <col min="5132" max="5132" width="9" style="90"/>
    <col min="5133" max="5133" width="9.26953125" style="90" customWidth="1"/>
    <col min="5134" max="5134" width="3.453125" style="90" customWidth="1"/>
    <col min="5135" max="5136" width="12.6328125" style="90" customWidth="1"/>
    <col min="5137" max="5137" width="9" style="90"/>
    <col min="5138" max="5138" width="7.7265625" style="90" customWidth="1"/>
    <col min="5139" max="5139" width="13.08984375" style="90" customWidth="1"/>
    <col min="5140" max="5140" width="6.08984375" style="90" customWidth="1"/>
    <col min="5141" max="5141" width="9.7265625" style="90" customWidth="1"/>
    <col min="5142" max="5142" width="1.36328125" style="90" customWidth="1"/>
    <col min="5143" max="5382" width="9" style="90"/>
    <col min="5383" max="5383" width="1.36328125" style="90" customWidth="1"/>
    <col min="5384" max="5384" width="3.453125" style="90" customWidth="1"/>
    <col min="5385" max="5385" width="22.08984375" style="90" customWidth="1"/>
    <col min="5386" max="5386" width="9.7265625" style="90" customWidth="1"/>
    <col min="5387" max="5387" width="7.36328125" style="90" customWidth="1"/>
    <col min="5388" max="5388" width="9" style="90"/>
    <col min="5389" max="5389" width="9.26953125" style="90" customWidth="1"/>
    <col min="5390" max="5390" width="3.453125" style="90" customWidth="1"/>
    <col min="5391" max="5392" width="12.6328125" style="90" customWidth="1"/>
    <col min="5393" max="5393" width="9" style="90"/>
    <col min="5394" max="5394" width="7.7265625" style="90" customWidth="1"/>
    <col min="5395" max="5395" width="13.08984375" style="90" customWidth="1"/>
    <col min="5396" max="5396" width="6.08984375" style="90" customWidth="1"/>
    <col min="5397" max="5397" width="9.7265625" style="90" customWidth="1"/>
    <col min="5398" max="5398" width="1.36328125" style="90" customWidth="1"/>
    <col min="5399" max="5638" width="9" style="90"/>
    <col min="5639" max="5639" width="1.36328125" style="90" customWidth="1"/>
    <col min="5640" max="5640" width="3.453125" style="90" customWidth="1"/>
    <col min="5641" max="5641" width="22.08984375" style="90" customWidth="1"/>
    <col min="5642" max="5642" width="9.7265625" style="90" customWidth="1"/>
    <col min="5643" max="5643" width="7.36328125" style="90" customWidth="1"/>
    <col min="5644" max="5644" width="9" style="90"/>
    <col min="5645" max="5645" width="9.26953125" style="90" customWidth="1"/>
    <col min="5646" max="5646" width="3.453125" style="90" customWidth="1"/>
    <col min="5647" max="5648" width="12.6328125" style="90" customWidth="1"/>
    <col min="5649" max="5649" width="9" style="90"/>
    <col min="5650" max="5650" width="7.7265625" style="90" customWidth="1"/>
    <col min="5651" max="5651" width="13.08984375" style="90" customWidth="1"/>
    <col min="5652" max="5652" width="6.08984375" style="90" customWidth="1"/>
    <col min="5653" max="5653" width="9.7265625" style="90" customWidth="1"/>
    <col min="5654" max="5654" width="1.36328125" style="90" customWidth="1"/>
    <col min="5655" max="5894" width="9" style="90"/>
    <col min="5895" max="5895" width="1.36328125" style="90" customWidth="1"/>
    <col min="5896" max="5896" width="3.453125" style="90" customWidth="1"/>
    <col min="5897" max="5897" width="22.08984375" style="90" customWidth="1"/>
    <col min="5898" max="5898" width="9.7265625" style="90" customWidth="1"/>
    <col min="5899" max="5899" width="7.36328125" style="90" customWidth="1"/>
    <col min="5900" max="5900" width="9" style="90"/>
    <col min="5901" max="5901" width="9.26953125" style="90" customWidth="1"/>
    <col min="5902" max="5902" width="3.453125" style="90" customWidth="1"/>
    <col min="5903" max="5904" width="12.6328125" style="90" customWidth="1"/>
    <col min="5905" max="5905" width="9" style="90"/>
    <col min="5906" max="5906" width="7.7265625" style="90" customWidth="1"/>
    <col min="5907" max="5907" width="13.08984375" style="90" customWidth="1"/>
    <col min="5908" max="5908" width="6.08984375" style="90" customWidth="1"/>
    <col min="5909" max="5909" width="9.7265625" style="90" customWidth="1"/>
    <col min="5910" max="5910" width="1.36328125" style="90" customWidth="1"/>
    <col min="5911" max="6150" width="9" style="90"/>
    <col min="6151" max="6151" width="1.36328125" style="90" customWidth="1"/>
    <col min="6152" max="6152" width="3.453125" style="90" customWidth="1"/>
    <col min="6153" max="6153" width="22.08984375" style="90" customWidth="1"/>
    <col min="6154" max="6154" width="9.7265625" style="90" customWidth="1"/>
    <col min="6155" max="6155" width="7.36328125" style="90" customWidth="1"/>
    <col min="6156" max="6156" width="9" style="90"/>
    <col min="6157" max="6157" width="9.26953125" style="90" customWidth="1"/>
    <col min="6158" max="6158" width="3.453125" style="90" customWidth="1"/>
    <col min="6159" max="6160" width="12.6328125" style="90" customWidth="1"/>
    <col min="6161" max="6161" width="9" style="90"/>
    <col min="6162" max="6162" width="7.7265625" style="90" customWidth="1"/>
    <col min="6163" max="6163" width="13.08984375" style="90" customWidth="1"/>
    <col min="6164" max="6164" width="6.08984375" style="90" customWidth="1"/>
    <col min="6165" max="6165" width="9.7265625" style="90" customWidth="1"/>
    <col min="6166" max="6166" width="1.36328125" style="90" customWidth="1"/>
    <col min="6167" max="6406" width="9" style="90"/>
    <col min="6407" max="6407" width="1.36328125" style="90" customWidth="1"/>
    <col min="6408" max="6408" width="3.453125" style="90" customWidth="1"/>
    <col min="6409" max="6409" width="22.08984375" style="90" customWidth="1"/>
    <col min="6410" max="6410" width="9.7265625" style="90" customWidth="1"/>
    <col min="6411" max="6411" width="7.36328125" style="90" customWidth="1"/>
    <col min="6412" max="6412" width="9" style="90"/>
    <col min="6413" max="6413" width="9.26953125" style="90" customWidth="1"/>
    <col min="6414" max="6414" width="3.453125" style="90" customWidth="1"/>
    <col min="6415" max="6416" width="12.6328125" style="90" customWidth="1"/>
    <col min="6417" max="6417" width="9" style="90"/>
    <col min="6418" max="6418" width="7.7265625" style="90" customWidth="1"/>
    <col min="6419" max="6419" width="13.08984375" style="90" customWidth="1"/>
    <col min="6420" max="6420" width="6.08984375" style="90" customWidth="1"/>
    <col min="6421" max="6421" width="9.7265625" style="90" customWidth="1"/>
    <col min="6422" max="6422" width="1.36328125" style="90" customWidth="1"/>
    <col min="6423" max="6662" width="9" style="90"/>
    <col min="6663" max="6663" width="1.36328125" style="90" customWidth="1"/>
    <col min="6664" max="6664" width="3.453125" style="90" customWidth="1"/>
    <col min="6665" max="6665" width="22.08984375" style="90" customWidth="1"/>
    <col min="6666" max="6666" width="9.7265625" style="90" customWidth="1"/>
    <col min="6667" max="6667" width="7.36328125" style="90" customWidth="1"/>
    <col min="6668" max="6668" width="9" style="90"/>
    <col min="6669" max="6669" width="9.26953125" style="90" customWidth="1"/>
    <col min="6670" max="6670" width="3.453125" style="90" customWidth="1"/>
    <col min="6671" max="6672" width="12.6328125" style="90" customWidth="1"/>
    <col min="6673" max="6673" width="9" style="90"/>
    <col min="6674" max="6674" width="7.7265625" style="90" customWidth="1"/>
    <col min="6675" max="6675" width="13.08984375" style="90" customWidth="1"/>
    <col min="6676" max="6676" width="6.08984375" style="90" customWidth="1"/>
    <col min="6677" max="6677" width="9.7265625" style="90" customWidth="1"/>
    <col min="6678" max="6678" width="1.36328125" style="90" customWidth="1"/>
    <col min="6679" max="6918" width="9" style="90"/>
    <col min="6919" max="6919" width="1.36328125" style="90" customWidth="1"/>
    <col min="6920" max="6920" width="3.453125" style="90" customWidth="1"/>
    <col min="6921" max="6921" width="22.08984375" style="90" customWidth="1"/>
    <col min="6922" max="6922" width="9.7265625" style="90" customWidth="1"/>
    <col min="6923" max="6923" width="7.36328125" style="90" customWidth="1"/>
    <col min="6924" max="6924" width="9" style="90"/>
    <col min="6925" max="6925" width="9.26953125" style="90" customWidth="1"/>
    <col min="6926" max="6926" width="3.453125" style="90" customWidth="1"/>
    <col min="6927" max="6928" width="12.6328125" style="90" customWidth="1"/>
    <col min="6929" max="6929" width="9" style="90"/>
    <col min="6930" max="6930" width="7.7265625" style="90" customWidth="1"/>
    <col min="6931" max="6931" width="13.08984375" style="90" customWidth="1"/>
    <col min="6932" max="6932" width="6.08984375" style="90" customWidth="1"/>
    <col min="6933" max="6933" width="9.7265625" style="90" customWidth="1"/>
    <col min="6934" max="6934" width="1.36328125" style="90" customWidth="1"/>
    <col min="6935" max="7174" width="9" style="90"/>
    <col min="7175" max="7175" width="1.36328125" style="90" customWidth="1"/>
    <col min="7176" max="7176" width="3.453125" style="90" customWidth="1"/>
    <col min="7177" max="7177" width="22.08984375" style="90" customWidth="1"/>
    <col min="7178" max="7178" width="9.7265625" style="90" customWidth="1"/>
    <col min="7179" max="7179" width="7.36328125" style="90" customWidth="1"/>
    <col min="7180" max="7180" width="9" style="90"/>
    <col min="7181" max="7181" width="9.26953125" style="90" customWidth="1"/>
    <col min="7182" max="7182" width="3.453125" style="90" customWidth="1"/>
    <col min="7183" max="7184" width="12.6328125" style="90" customWidth="1"/>
    <col min="7185" max="7185" width="9" style="90"/>
    <col min="7186" max="7186" width="7.7265625" style="90" customWidth="1"/>
    <col min="7187" max="7187" width="13.08984375" style="90" customWidth="1"/>
    <col min="7188" max="7188" width="6.08984375" style="90" customWidth="1"/>
    <col min="7189" max="7189" width="9.7265625" style="90" customWidth="1"/>
    <col min="7190" max="7190" width="1.36328125" style="90" customWidth="1"/>
    <col min="7191" max="7430" width="9" style="90"/>
    <col min="7431" max="7431" width="1.36328125" style="90" customWidth="1"/>
    <col min="7432" max="7432" width="3.453125" style="90" customWidth="1"/>
    <col min="7433" max="7433" width="22.08984375" style="90" customWidth="1"/>
    <col min="7434" max="7434" width="9.7265625" style="90" customWidth="1"/>
    <col min="7435" max="7435" width="7.36328125" style="90" customWidth="1"/>
    <col min="7436" max="7436" width="9" style="90"/>
    <col min="7437" max="7437" width="9.26953125" style="90" customWidth="1"/>
    <col min="7438" max="7438" width="3.453125" style="90" customWidth="1"/>
    <col min="7439" max="7440" width="12.6328125" style="90" customWidth="1"/>
    <col min="7441" max="7441" width="9" style="90"/>
    <col min="7442" max="7442" width="7.7265625" style="90" customWidth="1"/>
    <col min="7443" max="7443" width="13.08984375" style="90" customWidth="1"/>
    <col min="7444" max="7444" width="6.08984375" style="90" customWidth="1"/>
    <col min="7445" max="7445" width="9.7265625" style="90" customWidth="1"/>
    <col min="7446" max="7446" width="1.36328125" style="90" customWidth="1"/>
    <col min="7447" max="7686" width="9" style="90"/>
    <col min="7687" max="7687" width="1.36328125" style="90" customWidth="1"/>
    <col min="7688" max="7688" width="3.453125" style="90" customWidth="1"/>
    <col min="7689" max="7689" width="22.08984375" style="90" customWidth="1"/>
    <col min="7690" max="7690" width="9.7265625" style="90" customWidth="1"/>
    <col min="7691" max="7691" width="7.36328125" style="90" customWidth="1"/>
    <col min="7692" max="7692" width="9" style="90"/>
    <col min="7693" max="7693" width="9.26953125" style="90" customWidth="1"/>
    <col min="7694" max="7694" width="3.453125" style="90" customWidth="1"/>
    <col min="7695" max="7696" width="12.6328125" style="90" customWidth="1"/>
    <col min="7697" max="7697" width="9" style="90"/>
    <col min="7698" max="7698" width="7.7265625" style="90" customWidth="1"/>
    <col min="7699" max="7699" width="13.08984375" style="90" customWidth="1"/>
    <col min="7700" max="7700" width="6.08984375" style="90" customWidth="1"/>
    <col min="7701" max="7701" width="9.7265625" style="90" customWidth="1"/>
    <col min="7702" max="7702" width="1.36328125" style="90" customWidth="1"/>
    <col min="7703" max="7942" width="9" style="90"/>
    <col min="7943" max="7943" width="1.36328125" style="90" customWidth="1"/>
    <col min="7944" max="7944" width="3.453125" style="90" customWidth="1"/>
    <col min="7945" max="7945" width="22.08984375" style="90" customWidth="1"/>
    <col min="7946" max="7946" width="9.7265625" style="90" customWidth="1"/>
    <col min="7947" max="7947" width="7.36328125" style="90" customWidth="1"/>
    <col min="7948" max="7948" width="9" style="90"/>
    <col min="7949" max="7949" width="9.26953125" style="90" customWidth="1"/>
    <col min="7950" max="7950" width="3.453125" style="90" customWidth="1"/>
    <col min="7951" max="7952" width="12.6328125" style="90" customWidth="1"/>
    <col min="7953" max="7953" width="9" style="90"/>
    <col min="7954" max="7954" width="7.7265625" style="90" customWidth="1"/>
    <col min="7955" max="7955" width="13.08984375" style="90" customWidth="1"/>
    <col min="7956" max="7956" width="6.08984375" style="90" customWidth="1"/>
    <col min="7957" max="7957" width="9.7265625" style="90" customWidth="1"/>
    <col min="7958" max="7958" width="1.36328125" style="90" customWidth="1"/>
    <col min="7959" max="8198" width="9" style="90"/>
    <col min="8199" max="8199" width="1.36328125" style="90" customWidth="1"/>
    <col min="8200" max="8200" width="3.453125" style="90" customWidth="1"/>
    <col min="8201" max="8201" width="22.08984375" style="90" customWidth="1"/>
    <col min="8202" max="8202" width="9.7265625" style="90" customWidth="1"/>
    <col min="8203" max="8203" width="7.36328125" style="90" customWidth="1"/>
    <col min="8204" max="8204" width="9" style="90"/>
    <col min="8205" max="8205" width="9.26953125" style="90" customWidth="1"/>
    <col min="8206" max="8206" width="3.453125" style="90" customWidth="1"/>
    <col min="8207" max="8208" width="12.6328125" style="90" customWidth="1"/>
    <col min="8209" max="8209" width="9" style="90"/>
    <col min="8210" max="8210" width="7.7265625" style="90" customWidth="1"/>
    <col min="8211" max="8211" width="13.08984375" style="90" customWidth="1"/>
    <col min="8212" max="8212" width="6.08984375" style="90" customWidth="1"/>
    <col min="8213" max="8213" width="9.7265625" style="90" customWidth="1"/>
    <col min="8214" max="8214" width="1.36328125" style="90" customWidth="1"/>
    <col min="8215" max="8454" width="9" style="90"/>
    <col min="8455" max="8455" width="1.36328125" style="90" customWidth="1"/>
    <col min="8456" max="8456" width="3.453125" style="90" customWidth="1"/>
    <col min="8457" max="8457" width="22.08984375" style="90" customWidth="1"/>
    <col min="8458" max="8458" width="9.7265625" style="90" customWidth="1"/>
    <col min="8459" max="8459" width="7.36328125" style="90" customWidth="1"/>
    <col min="8460" max="8460" width="9" style="90"/>
    <col min="8461" max="8461" width="9.26953125" style="90" customWidth="1"/>
    <col min="8462" max="8462" width="3.453125" style="90" customWidth="1"/>
    <col min="8463" max="8464" width="12.6328125" style="90" customWidth="1"/>
    <col min="8465" max="8465" width="9" style="90"/>
    <col min="8466" max="8466" width="7.7265625" style="90" customWidth="1"/>
    <col min="8467" max="8467" width="13.08984375" style="90" customWidth="1"/>
    <col min="8468" max="8468" width="6.08984375" style="90" customWidth="1"/>
    <col min="8469" max="8469" width="9.7265625" style="90" customWidth="1"/>
    <col min="8470" max="8470" width="1.36328125" style="90" customWidth="1"/>
    <col min="8471" max="8710" width="9" style="90"/>
    <col min="8711" max="8711" width="1.36328125" style="90" customWidth="1"/>
    <col min="8712" max="8712" width="3.453125" style="90" customWidth="1"/>
    <col min="8713" max="8713" width="22.08984375" style="90" customWidth="1"/>
    <col min="8714" max="8714" width="9.7265625" style="90" customWidth="1"/>
    <col min="8715" max="8715" width="7.36328125" style="90" customWidth="1"/>
    <col min="8716" max="8716" width="9" style="90"/>
    <col min="8717" max="8717" width="9.26953125" style="90" customWidth="1"/>
    <col min="8718" max="8718" width="3.453125" style="90" customWidth="1"/>
    <col min="8719" max="8720" width="12.6328125" style="90" customWidth="1"/>
    <col min="8721" max="8721" width="9" style="90"/>
    <col min="8722" max="8722" width="7.7265625" style="90" customWidth="1"/>
    <col min="8723" max="8723" width="13.08984375" style="90" customWidth="1"/>
    <col min="8724" max="8724" width="6.08984375" style="90" customWidth="1"/>
    <col min="8725" max="8725" width="9.7265625" style="90" customWidth="1"/>
    <col min="8726" max="8726" width="1.36328125" style="90" customWidth="1"/>
    <col min="8727" max="8966" width="9" style="90"/>
    <col min="8967" max="8967" width="1.36328125" style="90" customWidth="1"/>
    <col min="8968" max="8968" width="3.453125" style="90" customWidth="1"/>
    <col min="8969" max="8969" width="22.08984375" style="90" customWidth="1"/>
    <col min="8970" max="8970" width="9.7265625" style="90" customWidth="1"/>
    <col min="8971" max="8971" width="7.36328125" style="90" customWidth="1"/>
    <col min="8972" max="8972" width="9" style="90"/>
    <col min="8973" max="8973" width="9.26953125" style="90" customWidth="1"/>
    <col min="8974" max="8974" width="3.453125" style="90" customWidth="1"/>
    <col min="8975" max="8976" width="12.6328125" style="90" customWidth="1"/>
    <col min="8977" max="8977" width="9" style="90"/>
    <col min="8978" max="8978" width="7.7265625" style="90" customWidth="1"/>
    <col min="8979" max="8979" width="13.08984375" style="90" customWidth="1"/>
    <col min="8980" max="8980" width="6.08984375" style="90" customWidth="1"/>
    <col min="8981" max="8981" width="9.7265625" style="90" customWidth="1"/>
    <col min="8982" max="8982" width="1.36328125" style="90" customWidth="1"/>
    <col min="8983" max="9222" width="9" style="90"/>
    <col min="9223" max="9223" width="1.36328125" style="90" customWidth="1"/>
    <col min="9224" max="9224" width="3.453125" style="90" customWidth="1"/>
    <col min="9225" max="9225" width="22.08984375" style="90" customWidth="1"/>
    <col min="9226" max="9226" width="9.7265625" style="90" customWidth="1"/>
    <col min="9227" max="9227" width="7.36328125" style="90" customWidth="1"/>
    <col min="9228" max="9228" width="9" style="90"/>
    <col min="9229" max="9229" width="9.26953125" style="90" customWidth="1"/>
    <col min="9230" max="9230" width="3.453125" style="90" customWidth="1"/>
    <col min="9231" max="9232" width="12.6328125" style="90" customWidth="1"/>
    <col min="9233" max="9233" width="9" style="90"/>
    <col min="9234" max="9234" width="7.7265625" style="90" customWidth="1"/>
    <col min="9235" max="9235" width="13.08984375" style="90" customWidth="1"/>
    <col min="9236" max="9236" width="6.08984375" style="90" customWidth="1"/>
    <col min="9237" max="9237" width="9.7265625" style="90" customWidth="1"/>
    <col min="9238" max="9238" width="1.36328125" style="90" customWidth="1"/>
    <col min="9239" max="9478" width="9" style="90"/>
    <col min="9479" max="9479" width="1.36328125" style="90" customWidth="1"/>
    <col min="9480" max="9480" width="3.453125" style="90" customWidth="1"/>
    <col min="9481" max="9481" width="22.08984375" style="90" customWidth="1"/>
    <col min="9482" max="9482" width="9.7265625" style="90" customWidth="1"/>
    <col min="9483" max="9483" width="7.36328125" style="90" customWidth="1"/>
    <col min="9484" max="9484" width="9" style="90"/>
    <col min="9485" max="9485" width="9.26953125" style="90" customWidth="1"/>
    <col min="9486" max="9486" width="3.453125" style="90" customWidth="1"/>
    <col min="9487" max="9488" width="12.6328125" style="90" customWidth="1"/>
    <col min="9489" max="9489" width="9" style="90"/>
    <col min="9490" max="9490" width="7.7265625" style="90" customWidth="1"/>
    <col min="9491" max="9491" width="13.08984375" style="90" customWidth="1"/>
    <col min="9492" max="9492" width="6.08984375" style="90" customWidth="1"/>
    <col min="9493" max="9493" width="9.7265625" style="90" customWidth="1"/>
    <col min="9494" max="9494" width="1.36328125" style="90" customWidth="1"/>
    <col min="9495" max="9734" width="9" style="90"/>
    <col min="9735" max="9735" width="1.36328125" style="90" customWidth="1"/>
    <col min="9736" max="9736" width="3.453125" style="90" customWidth="1"/>
    <col min="9737" max="9737" width="22.08984375" style="90" customWidth="1"/>
    <col min="9738" max="9738" width="9.7265625" style="90" customWidth="1"/>
    <col min="9739" max="9739" width="7.36328125" style="90" customWidth="1"/>
    <col min="9740" max="9740" width="9" style="90"/>
    <col min="9741" max="9741" width="9.26953125" style="90" customWidth="1"/>
    <col min="9742" max="9742" width="3.453125" style="90" customWidth="1"/>
    <col min="9743" max="9744" width="12.6328125" style="90" customWidth="1"/>
    <col min="9745" max="9745" width="9" style="90"/>
    <col min="9746" max="9746" width="7.7265625" style="90" customWidth="1"/>
    <col min="9747" max="9747" width="13.08984375" style="90" customWidth="1"/>
    <col min="9748" max="9748" width="6.08984375" style="90" customWidth="1"/>
    <col min="9749" max="9749" width="9.7265625" style="90" customWidth="1"/>
    <col min="9750" max="9750" width="1.36328125" style="90" customWidth="1"/>
    <col min="9751" max="9990" width="9" style="90"/>
    <col min="9991" max="9991" width="1.36328125" style="90" customWidth="1"/>
    <col min="9992" max="9992" width="3.453125" style="90" customWidth="1"/>
    <col min="9993" max="9993" width="22.08984375" style="90" customWidth="1"/>
    <col min="9994" max="9994" width="9.7265625" style="90" customWidth="1"/>
    <col min="9995" max="9995" width="7.36328125" style="90" customWidth="1"/>
    <col min="9996" max="9996" width="9" style="90"/>
    <col min="9997" max="9997" width="9.26953125" style="90" customWidth="1"/>
    <col min="9998" max="9998" width="3.453125" style="90" customWidth="1"/>
    <col min="9999" max="10000" width="12.6328125" style="90" customWidth="1"/>
    <col min="10001" max="10001" width="9" style="90"/>
    <col min="10002" max="10002" width="7.7265625" style="90" customWidth="1"/>
    <col min="10003" max="10003" width="13.08984375" style="90" customWidth="1"/>
    <col min="10004" max="10004" width="6.08984375" style="90" customWidth="1"/>
    <col min="10005" max="10005" width="9.7265625" style="90" customWidth="1"/>
    <col min="10006" max="10006" width="1.36328125" style="90" customWidth="1"/>
    <col min="10007" max="10246" width="9" style="90"/>
    <col min="10247" max="10247" width="1.36328125" style="90" customWidth="1"/>
    <col min="10248" max="10248" width="3.453125" style="90" customWidth="1"/>
    <col min="10249" max="10249" width="22.08984375" style="90" customWidth="1"/>
    <col min="10250" max="10250" width="9.7265625" style="90" customWidth="1"/>
    <col min="10251" max="10251" width="7.36328125" style="90" customWidth="1"/>
    <col min="10252" max="10252" width="9" style="90"/>
    <col min="10253" max="10253" width="9.26953125" style="90" customWidth="1"/>
    <col min="10254" max="10254" width="3.453125" style="90" customWidth="1"/>
    <col min="10255" max="10256" width="12.6328125" style="90" customWidth="1"/>
    <col min="10257" max="10257" width="9" style="90"/>
    <col min="10258" max="10258" width="7.7265625" style="90" customWidth="1"/>
    <col min="10259" max="10259" width="13.08984375" style="90" customWidth="1"/>
    <col min="10260" max="10260" width="6.08984375" style="90" customWidth="1"/>
    <col min="10261" max="10261" width="9.7265625" style="90" customWidth="1"/>
    <col min="10262" max="10262" width="1.36328125" style="90" customWidth="1"/>
    <col min="10263" max="10502" width="9" style="90"/>
    <col min="10503" max="10503" width="1.36328125" style="90" customWidth="1"/>
    <col min="10504" max="10504" width="3.453125" style="90" customWidth="1"/>
    <col min="10505" max="10505" width="22.08984375" style="90" customWidth="1"/>
    <col min="10506" max="10506" width="9.7265625" style="90" customWidth="1"/>
    <col min="10507" max="10507" width="7.36328125" style="90" customWidth="1"/>
    <col min="10508" max="10508" width="9" style="90"/>
    <col min="10509" max="10509" width="9.26953125" style="90" customWidth="1"/>
    <col min="10510" max="10510" width="3.453125" style="90" customWidth="1"/>
    <col min="10511" max="10512" width="12.6328125" style="90" customWidth="1"/>
    <col min="10513" max="10513" width="9" style="90"/>
    <col min="10514" max="10514" width="7.7265625" style="90" customWidth="1"/>
    <col min="10515" max="10515" width="13.08984375" style="90" customWidth="1"/>
    <col min="10516" max="10516" width="6.08984375" style="90" customWidth="1"/>
    <col min="10517" max="10517" width="9.7265625" style="90" customWidth="1"/>
    <col min="10518" max="10518" width="1.36328125" style="90" customWidth="1"/>
    <col min="10519" max="10758" width="9" style="90"/>
    <col min="10759" max="10759" width="1.36328125" style="90" customWidth="1"/>
    <col min="10760" max="10760" width="3.453125" style="90" customWidth="1"/>
    <col min="10761" max="10761" width="22.08984375" style="90" customWidth="1"/>
    <col min="10762" max="10762" width="9.7265625" style="90" customWidth="1"/>
    <col min="10763" max="10763" width="7.36328125" style="90" customWidth="1"/>
    <col min="10764" max="10764" width="9" style="90"/>
    <col min="10765" max="10765" width="9.26953125" style="90" customWidth="1"/>
    <col min="10766" max="10766" width="3.453125" style="90" customWidth="1"/>
    <col min="10767" max="10768" width="12.6328125" style="90" customWidth="1"/>
    <col min="10769" max="10769" width="9" style="90"/>
    <col min="10770" max="10770" width="7.7265625" style="90" customWidth="1"/>
    <col min="10771" max="10771" width="13.08984375" style="90" customWidth="1"/>
    <col min="10772" max="10772" width="6.08984375" style="90" customWidth="1"/>
    <col min="10773" max="10773" width="9.7265625" style="90" customWidth="1"/>
    <col min="10774" max="10774" width="1.36328125" style="90" customWidth="1"/>
    <col min="10775" max="11014" width="9" style="90"/>
    <col min="11015" max="11015" width="1.36328125" style="90" customWidth="1"/>
    <col min="11016" max="11016" width="3.453125" style="90" customWidth="1"/>
    <col min="11017" max="11017" width="22.08984375" style="90" customWidth="1"/>
    <col min="11018" max="11018" width="9.7265625" style="90" customWidth="1"/>
    <col min="11019" max="11019" width="7.36328125" style="90" customWidth="1"/>
    <col min="11020" max="11020" width="9" style="90"/>
    <col min="11021" max="11021" width="9.26953125" style="90" customWidth="1"/>
    <col min="11022" max="11022" width="3.453125" style="90" customWidth="1"/>
    <col min="11023" max="11024" width="12.6328125" style="90" customWidth="1"/>
    <col min="11025" max="11025" width="9" style="90"/>
    <col min="11026" max="11026" width="7.7265625" style="90" customWidth="1"/>
    <col min="11027" max="11027" width="13.08984375" style="90" customWidth="1"/>
    <col min="11028" max="11028" width="6.08984375" style="90" customWidth="1"/>
    <col min="11029" max="11029" width="9.7265625" style="90" customWidth="1"/>
    <col min="11030" max="11030" width="1.36328125" style="90" customWidth="1"/>
    <col min="11031" max="11270" width="9" style="90"/>
    <col min="11271" max="11271" width="1.36328125" style="90" customWidth="1"/>
    <col min="11272" max="11272" width="3.453125" style="90" customWidth="1"/>
    <col min="11273" max="11273" width="22.08984375" style="90" customWidth="1"/>
    <col min="11274" max="11274" width="9.7265625" style="90" customWidth="1"/>
    <col min="11275" max="11275" width="7.36328125" style="90" customWidth="1"/>
    <col min="11276" max="11276" width="9" style="90"/>
    <col min="11277" max="11277" width="9.26953125" style="90" customWidth="1"/>
    <col min="11278" max="11278" width="3.453125" style="90" customWidth="1"/>
    <col min="11279" max="11280" width="12.6328125" style="90" customWidth="1"/>
    <col min="11281" max="11281" width="9" style="90"/>
    <col min="11282" max="11282" width="7.7265625" style="90" customWidth="1"/>
    <col min="11283" max="11283" width="13.08984375" style="90" customWidth="1"/>
    <col min="11284" max="11284" width="6.08984375" style="90" customWidth="1"/>
    <col min="11285" max="11285" width="9.7265625" style="90" customWidth="1"/>
    <col min="11286" max="11286" width="1.36328125" style="90" customWidth="1"/>
    <col min="11287" max="11526" width="9" style="90"/>
    <col min="11527" max="11527" width="1.36328125" style="90" customWidth="1"/>
    <col min="11528" max="11528" width="3.453125" style="90" customWidth="1"/>
    <col min="11529" max="11529" width="22.08984375" style="90" customWidth="1"/>
    <col min="11530" max="11530" width="9.7265625" style="90" customWidth="1"/>
    <col min="11531" max="11531" width="7.36328125" style="90" customWidth="1"/>
    <col min="11532" max="11532" width="9" style="90"/>
    <col min="11533" max="11533" width="9.26953125" style="90" customWidth="1"/>
    <col min="11534" max="11534" width="3.453125" style="90" customWidth="1"/>
    <col min="11535" max="11536" width="12.6328125" style="90" customWidth="1"/>
    <col min="11537" max="11537" width="9" style="90"/>
    <col min="11538" max="11538" width="7.7265625" style="90" customWidth="1"/>
    <col min="11539" max="11539" width="13.08984375" style="90" customWidth="1"/>
    <col min="11540" max="11540" width="6.08984375" style="90" customWidth="1"/>
    <col min="11541" max="11541" width="9.7265625" style="90" customWidth="1"/>
    <col min="11542" max="11542" width="1.36328125" style="90" customWidth="1"/>
    <col min="11543" max="11782" width="9" style="90"/>
    <col min="11783" max="11783" width="1.36328125" style="90" customWidth="1"/>
    <col min="11784" max="11784" width="3.453125" style="90" customWidth="1"/>
    <col min="11785" max="11785" width="22.08984375" style="90" customWidth="1"/>
    <col min="11786" max="11786" width="9.7265625" style="90" customWidth="1"/>
    <col min="11787" max="11787" width="7.36328125" style="90" customWidth="1"/>
    <col min="11788" max="11788" width="9" style="90"/>
    <col min="11789" max="11789" width="9.26953125" style="90" customWidth="1"/>
    <col min="11790" max="11790" width="3.453125" style="90" customWidth="1"/>
    <col min="11791" max="11792" width="12.6328125" style="90" customWidth="1"/>
    <col min="11793" max="11793" width="9" style="90"/>
    <col min="11794" max="11794" width="7.7265625" style="90" customWidth="1"/>
    <col min="11795" max="11795" width="13.08984375" style="90" customWidth="1"/>
    <col min="11796" max="11796" width="6.08984375" style="90" customWidth="1"/>
    <col min="11797" max="11797" width="9.7265625" style="90" customWidth="1"/>
    <col min="11798" max="11798" width="1.36328125" style="90" customWidth="1"/>
    <col min="11799" max="12038" width="9" style="90"/>
    <col min="12039" max="12039" width="1.36328125" style="90" customWidth="1"/>
    <col min="12040" max="12040" width="3.453125" style="90" customWidth="1"/>
    <col min="12041" max="12041" width="22.08984375" style="90" customWidth="1"/>
    <col min="12042" max="12042" width="9.7265625" style="90" customWidth="1"/>
    <col min="12043" max="12043" width="7.36328125" style="90" customWidth="1"/>
    <col min="12044" max="12044" width="9" style="90"/>
    <col min="12045" max="12045" width="9.26953125" style="90" customWidth="1"/>
    <col min="12046" max="12046" width="3.453125" style="90" customWidth="1"/>
    <col min="12047" max="12048" width="12.6328125" style="90" customWidth="1"/>
    <col min="12049" max="12049" width="9" style="90"/>
    <col min="12050" max="12050" width="7.7265625" style="90" customWidth="1"/>
    <col min="12051" max="12051" width="13.08984375" style="90" customWidth="1"/>
    <col min="12052" max="12052" width="6.08984375" style="90" customWidth="1"/>
    <col min="12053" max="12053" width="9.7265625" style="90" customWidth="1"/>
    <col min="12054" max="12054" width="1.36328125" style="90" customWidth="1"/>
    <col min="12055" max="12294" width="9" style="90"/>
    <col min="12295" max="12295" width="1.36328125" style="90" customWidth="1"/>
    <col min="12296" max="12296" width="3.453125" style="90" customWidth="1"/>
    <col min="12297" max="12297" width="22.08984375" style="90" customWidth="1"/>
    <col min="12298" max="12298" width="9.7265625" style="90" customWidth="1"/>
    <col min="12299" max="12299" width="7.36328125" style="90" customWidth="1"/>
    <col min="12300" max="12300" width="9" style="90"/>
    <col min="12301" max="12301" width="9.26953125" style="90" customWidth="1"/>
    <col min="12302" max="12302" width="3.453125" style="90" customWidth="1"/>
    <col min="12303" max="12304" width="12.6328125" style="90" customWidth="1"/>
    <col min="12305" max="12305" width="9" style="90"/>
    <col min="12306" max="12306" width="7.7265625" style="90" customWidth="1"/>
    <col min="12307" max="12307" width="13.08984375" style="90" customWidth="1"/>
    <col min="12308" max="12308" width="6.08984375" style="90" customWidth="1"/>
    <col min="12309" max="12309" width="9.7265625" style="90" customWidth="1"/>
    <col min="12310" max="12310" width="1.36328125" style="90" customWidth="1"/>
    <col min="12311" max="12550" width="9" style="90"/>
    <col min="12551" max="12551" width="1.36328125" style="90" customWidth="1"/>
    <col min="12552" max="12552" width="3.453125" style="90" customWidth="1"/>
    <col min="12553" max="12553" width="22.08984375" style="90" customWidth="1"/>
    <col min="12554" max="12554" width="9.7265625" style="90" customWidth="1"/>
    <col min="12555" max="12555" width="7.36328125" style="90" customWidth="1"/>
    <col min="12556" max="12556" width="9" style="90"/>
    <col min="12557" max="12557" width="9.26953125" style="90" customWidth="1"/>
    <col min="12558" max="12558" width="3.453125" style="90" customWidth="1"/>
    <col min="12559" max="12560" width="12.6328125" style="90" customWidth="1"/>
    <col min="12561" max="12561" width="9" style="90"/>
    <col min="12562" max="12562" width="7.7265625" style="90" customWidth="1"/>
    <col min="12563" max="12563" width="13.08984375" style="90" customWidth="1"/>
    <col min="12564" max="12564" width="6.08984375" style="90" customWidth="1"/>
    <col min="12565" max="12565" width="9.7265625" style="90" customWidth="1"/>
    <col min="12566" max="12566" width="1.36328125" style="90" customWidth="1"/>
    <col min="12567" max="12806" width="9" style="90"/>
    <col min="12807" max="12807" width="1.36328125" style="90" customWidth="1"/>
    <col min="12808" max="12808" width="3.453125" style="90" customWidth="1"/>
    <col min="12809" max="12809" width="22.08984375" style="90" customWidth="1"/>
    <col min="12810" max="12810" width="9.7265625" style="90" customWidth="1"/>
    <col min="12811" max="12811" width="7.36328125" style="90" customWidth="1"/>
    <col min="12812" max="12812" width="9" style="90"/>
    <col min="12813" max="12813" width="9.26953125" style="90" customWidth="1"/>
    <col min="12814" max="12814" width="3.453125" style="90" customWidth="1"/>
    <col min="12815" max="12816" width="12.6328125" style="90" customWidth="1"/>
    <col min="12817" max="12817" width="9" style="90"/>
    <col min="12818" max="12818" width="7.7265625" style="90" customWidth="1"/>
    <col min="12819" max="12819" width="13.08984375" style="90" customWidth="1"/>
    <col min="12820" max="12820" width="6.08984375" style="90" customWidth="1"/>
    <col min="12821" max="12821" width="9.7265625" style="90" customWidth="1"/>
    <col min="12822" max="12822" width="1.36328125" style="90" customWidth="1"/>
    <col min="12823" max="13062" width="9" style="90"/>
    <col min="13063" max="13063" width="1.36328125" style="90" customWidth="1"/>
    <col min="13064" max="13064" width="3.453125" style="90" customWidth="1"/>
    <col min="13065" max="13065" width="22.08984375" style="90" customWidth="1"/>
    <col min="13066" max="13066" width="9.7265625" style="90" customWidth="1"/>
    <col min="13067" max="13067" width="7.36328125" style="90" customWidth="1"/>
    <col min="13068" max="13068" width="9" style="90"/>
    <col min="13069" max="13069" width="9.26953125" style="90" customWidth="1"/>
    <col min="13070" max="13070" width="3.453125" style="90" customWidth="1"/>
    <col min="13071" max="13072" width="12.6328125" style="90" customWidth="1"/>
    <col min="13073" max="13073" width="9" style="90"/>
    <col min="13074" max="13074" width="7.7265625" style="90" customWidth="1"/>
    <col min="13075" max="13075" width="13.08984375" style="90" customWidth="1"/>
    <col min="13076" max="13076" width="6.08984375" style="90" customWidth="1"/>
    <col min="13077" max="13077" width="9.7265625" style="90" customWidth="1"/>
    <col min="13078" max="13078" width="1.36328125" style="90" customWidth="1"/>
    <col min="13079" max="13318" width="9" style="90"/>
    <col min="13319" max="13319" width="1.36328125" style="90" customWidth="1"/>
    <col min="13320" max="13320" width="3.453125" style="90" customWidth="1"/>
    <col min="13321" max="13321" width="22.08984375" style="90" customWidth="1"/>
    <col min="13322" max="13322" width="9.7265625" style="90" customWidth="1"/>
    <col min="13323" max="13323" width="7.36328125" style="90" customWidth="1"/>
    <col min="13324" max="13324" width="9" style="90"/>
    <col min="13325" max="13325" width="9.26953125" style="90" customWidth="1"/>
    <col min="13326" max="13326" width="3.453125" style="90" customWidth="1"/>
    <col min="13327" max="13328" width="12.6328125" style="90" customWidth="1"/>
    <col min="13329" max="13329" width="9" style="90"/>
    <col min="13330" max="13330" width="7.7265625" style="90" customWidth="1"/>
    <col min="13331" max="13331" width="13.08984375" style="90" customWidth="1"/>
    <col min="13332" max="13332" width="6.08984375" style="90" customWidth="1"/>
    <col min="13333" max="13333" width="9.7265625" style="90" customWidth="1"/>
    <col min="13334" max="13334" width="1.36328125" style="90" customWidth="1"/>
    <col min="13335" max="13574" width="9" style="90"/>
    <col min="13575" max="13575" width="1.36328125" style="90" customWidth="1"/>
    <col min="13576" max="13576" width="3.453125" style="90" customWidth="1"/>
    <col min="13577" max="13577" width="22.08984375" style="90" customWidth="1"/>
    <col min="13578" max="13578" width="9.7265625" style="90" customWidth="1"/>
    <col min="13579" max="13579" width="7.36328125" style="90" customWidth="1"/>
    <col min="13580" max="13580" width="9" style="90"/>
    <col min="13581" max="13581" width="9.26953125" style="90" customWidth="1"/>
    <col min="13582" max="13582" width="3.453125" style="90" customWidth="1"/>
    <col min="13583" max="13584" width="12.6328125" style="90" customWidth="1"/>
    <col min="13585" max="13585" width="9" style="90"/>
    <col min="13586" max="13586" width="7.7265625" style="90" customWidth="1"/>
    <col min="13587" max="13587" width="13.08984375" style="90" customWidth="1"/>
    <col min="13588" max="13588" width="6.08984375" style="90" customWidth="1"/>
    <col min="13589" max="13589" width="9.7265625" style="90" customWidth="1"/>
    <col min="13590" max="13590" width="1.36328125" style="90" customWidth="1"/>
    <col min="13591" max="13830" width="9" style="90"/>
    <col min="13831" max="13831" width="1.36328125" style="90" customWidth="1"/>
    <col min="13832" max="13832" width="3.453125" style="90" customWidth="1"/>
    <col min="13833" max="13833" width="22.08984375" style="90" customWidth="1"/>
    <col min="13834" max="13834" width="9.7265625" style="90" customWidth="1"/>
    <col min="13835" max="13835" width="7.36328125" style="90" customWidth="1"/>
    <col min="13836" max="13836" width="9" style="90"/>
    <col min="13837" max="13837" width="9.26953125" style="90" customWidth="1"/>
    <col min="13838" max="13838" width="3.453125" style="90" customWidth="1"/>
    <col min="13839" max="13840" width="12.6328125" style="90" customWidth="1"/>
    <col min="13841" max="13841" width="9" style="90"/>
    <col min="13842" max="13842" width="7.7265625" style="90" customWidth="1"/>
    <col min="13843" max="13843" width="13.08984375" style="90" customWidth="1"/>
    <col min="13844" max="13844" width="6.08984375" style="90" customWidth="1"/>
    <col min="13845" max="13845" width="9.7265625" style="90" customWidth="1"/>
    <col min="13846" max="13846" width="1.36328125" style="90" customWidth="1"/>
    <col min="13847" max="14086" width="9" style="90"/>
    <col min="14087" max="14087" width="1.36328125" style="90" customWidth="1"/>
    <col min="14088" max="14088" width="3.453125" style="90" customWidth="1"/>
    <col min="14089" max="14089" width="22.08984375" style="90" customWidth="1"/>
    <col min="14090" max="14090" width="9.7265625" style="90" customWidth="1"/>
    <col min="14091" max="14091" width="7.36328125" style="90" customWidth="1"/>
    <col min="14092" max="14092" width="9" style="90"/>
    <col min="14093" max="14093" width="9.26953125" style="90" customWidth="1"/>
    <col min="14094" max="14094" width="3.453125" style="90" customWidth="1"/>
    <col min="14095" max="14096" width="12.6328125" style="90" customWidth="1"/>
    <col min="14097" max="14097" width="9" style="90"/>
    <col min="14098" max="14098" width="7.7265625" style="90" customWidth="1"/>
    <col min="14099" max="14099" width="13.08984375" style="90" customWidth="1"/>
    <col min="14100" max="14100" width="6.08984375" style="90" customWidth="1"/>
    <col min="14101" max="14101" width="9.7265625" style="90" customWidth="1"/>
    <col min="14102" max="14102" width="1.36328125" style="90" customWidth="1"/>
    <col min="14103" max="14342" width="9" style="90"/>
    <col min="14343" max="14343" width="1.36328125" style="90" customWidth="1"/>
    <col min="14344" max="14344" width="3.453125" style="90" customWidth="1"/>
    <col min="14345" max="14345" width="22.08984375" style="90" customWidth="1"/>
    <col min="14346" max="14346" width="9.7265625" style="90" customWidth="1"/>
    <col min="14347" max="14347" width="7.36328125" style="90" customWidth="1"/>
    <col min="14348" max="14348" width="9" style="90"/>
    <col min="14349" max="14349" width="9.26953125" style="90" customWidth="1"/>
    <col min="14350" max="14350" width="3.453125" style="90" customWidth="1"/>
    <col min="14351" max="14352" width="12.6328125" style="90" customWidth="1"/>
    <col min="14353" max="14353" width="9" style="90"/>
    <col min="14354" max="14354" width="7.7265625" style="90" customWidth="1"/>
    <col min="14355" max="14355" width="13.08984375" style="90" customWidth="1"/>
    <col min="14356" max="14356" width="6.08984375" style="90" customWidth="1"/>
    <col min="14357" max="14357" width="9.7265625" style="90" customWidth="1"/>
    <col min="14358" max="14358" width="1.36328125" style="90" customWidth="1"/>
    <col min="14359" max="14598" width="9" style="90"/>
    <col min="14599" max="14599" width="1.36328125" style="90" customWidth="1"/>
    <col min="14600" max="14600" width="3.453125" style="90" customWidth="1"/>
    <col min="14601" max="14601" width="22.08984375" style="90" customWidth="1"/>
    <col min="14602" max="14602" width="9.7265625" style="90" customWidth="1"/>
    <col min="14603" max="14603" width="7.36328125" style="90" customWidth="1"/>
    <col min="14604" max="14604" width="9" style="90"/>
    <col min="14605" max="14605" width="9.26953125" style="90" customWidth="1"/>
    <col min="14606" max="14606" width="3.453125" style="90" customWidth="1"/>
    <col min="14607" max="14608" width="12.6328125" style="90" customWidth="1"/>
    <col min="14609" max="14609" width="9" style="90"/>
    <col min="14610" max="14610" width="7.7265625" style="90" customWidth="1"/>
    <col min="14611" max="14611" width="13.08984375" style="90" customWidth="1"/>
    <col min="14612" max="14612" width="6.08984375" style="90" customWidth="1"/>
    <col min="14613" max="14613" width="9.7265625" style="90" customWidth="1"/>
    <col min="14614" max="14614" width="1.36328125" style="90" customWidth="1"/>
    <col min="14615" max="14854" width="9" style="90"/>
    <col min="14855" max="14855" width="1.36328125" style="90" customWidth="1"/>
    <col min="14856" max="14856" width="3.453125" style="90" customWidth="1"/>
    <col min="14857" max="14857" width="22.08984375" style="90" customWidth="1"/>
    <col min="14858" max="14858" width="9.7265625" style="90" customWidth="1"/>
    <col min="14859" max="14859" width="7.36328125" style="90" customWidth="1"/>
    <col min="14860" max="14860" width="9" style="90"/>
    <col min="14861" max="14861" width="9.26953125" style="90" customWidth="1"/>
    <col min="14862" max="14862" width="3.453125" style="90" customWidth="1"/>
    <col min="14863" max="14864" width="12.6328125" style="90" customWidth="1"/>
    <col min="14865" max="14865" width="9" style="90"/>
    <col min="14866" max="14866" width="7.7265625" style="90" customWidth="1"/>
    <col min="14867" max="14867" width="13.08984375" style="90" customWidth="1"/>
    <col min="14868" max="14868" width="6.08984375" style="90" customWidth="1"/>
    <col min="14869" max="14869" width="9.7265625" style="90" customWidth="1"/>
    <col min="14870" max="14870" width="1.36328125" style="90" customWidth="1"/>
    <col min="14871" max="15110" width="9" style="90"/>
    <col min="15111" max="15111" width="1.36328125" style="90" customWidth="1"/>
    <col min="15112" max="15112" width="3.453125" style="90" customWidth="1"/>
    <col min="15113" max="15113" width="22.08984375" style="90" customWidth="1"/>
    <col min="15114" max="15114" width="9.7265625" style="90" customWidth="1"/>
    <col min="15115" max="15115" width="7.36328125" style="90" customWidth="1"/>
    <col min="15116" max="15116" width="9" style="90"/>
    <col min="15117" max="15117" width="9.26953125" style="90" customWidth="1"/>
    <col min="15118" max="15118" width="3.453125" style="90" customWidth="1"/>
    <col min="15119" max="15120" width="12.6328125" style="90" customWidth="1"/>
    <col min="15121" max="15121" width="9" style="90"/>
    <col min="15122" max="15122" width="7.7265625" style="90" customWidth="1"/>
    <col min="15123" max="15123" width="13.08984375" style="90" customWidth="1"/>
    <col min="15124" max="15124" width="6.08984375" style="90" customWidth="1"/>
    <col min="15125" max="15125" width="9.7265625" style="90" customWidth="1"/>
    <col min="15126" max="15126" width="1.36328125" style="90" customWidth="1"/>
    <col min="15127" max="15366" width="9" style="90"/>
    <col min="15367" max="15367" width="1.36328125" style="90" customWidth="1"/>
    <col min="15368" max="15368" width="3.453125" style="90" customWidth="1"/>
    <col min="15369" max="15369" width="22.08984375" style="90" customWidth="1"/>
    <col min="15370" max="15370" width="9.7265625" style="90" customWidth="1"/>
    <col min="15371" max="15371" width="7.36328125" style="90" customWidth="1"/>
    <col min="15372" max="15372" width="9" style="90"/>
    <col min="15373" max="15373" width="9.26953125" style="90" customWidth="1"/>
    <col min="15374" max="15374" width="3.453125" style="90" customWidth="1"/>
    <col min="15375" max="15376" width="12.6328125" style="90" customWidth="1"/>
    <col min="15377" max="15377" width="9" style="90"/>
    <col min="15378" max="15378" width="7.7265625" style="90" customWidth="1"/>
    <col min="15379" max="15379" width="13.08984375" style="90" customWidth="1"/>
    <col min="15380" max="15380" width="6.08984375" style="90" customWidth="1"/>
    <col min="15381" max="15381" width="9.7265625" style="90" customWidth="1"/>
    <col min="15382" max="15382" width="1.36328125" style="90" customWidth="1"/>
    <col min="15383" max="15622" width="9" style="90"/>
    <col min="15623" max="15623" width="1.36328125" style="90" customWidth="1"/>
    <col min="15624" max="15624" width="3.453125" style="90" customWidth="1"/>
    <col min="15625" max="15625" width="22.08984375" style="90" customWidth="1"/>
    <col min="15626" max="15626" width="9.7265625" style="90" customWidth="1"/>
    <col min="15627" max="15627" width="7.36328125" style="90" customWidth="1"/>
    <col min="15628" max="15628" width="9" style="90"/>
    <col min="15629" max="15629" width="9.26953125" style="90" customWidth="1"/>
    <col min="15630" max="15630" width="3.453125" style="90" customWidth="1"/>
    <col min="15631" max="15632" width="12.6328125" style="90" customWidth="1"/>
    <col min="15633" max="15633" width="9" style="90"/>
    <col min="15634" max="15634" width="7.7265625" style="90" customWidth="1"/>
    <col min="15635" max="15635" width="13.08984375" style="90" customWidth="1"/>
    <col min="15636" max="15636" width="6.08984375" style="90" customWidth="1"/>
    <col min="15637" max="15637" width="9.7265625" style="90" customWidth="1"/>
    <col min="15638" max="15638" width="1.36328125" style="90" customWidth="1"/>
    <col min="15639" max="15878" width="9" style="90"/>
    <col min="15879" max="15879" width="1.36328125" style="90" customWidth="1"/>
    <col min="15880" max="15880" width="3.453125" style="90" customWidth="1"/>
    <col min="15881" max="15881" width="22.08984375" style="90" customWidth="1"/>
    <col min="15882" max="15882" width="9.7265625" style="90" customWidth="1"/>
    <col min="15883" max="15883" width="7.36328125" style="90" customWidth="1"/>
    <col min="15884" max="15884" width="9" style="90"/>
    <col min="15885" max="15885" width="9.26953125" style="90" customWidth="1"/>
    <col min="15886" max="15886" width="3.453125" style="90" customWidth="1"/>
    <col min="15887" max="15888" width="12.6328125" style="90" customWidth="1"/>
    <col min="15889" max="15889" width="9" style="90"/>
    <col min="15890" max="15890" width="7.7265625" style="90" customWidth="1"/>
    <col min="15891" max="15891" width="13.08984375" style="90" customWidth="1"/>
    <col min="15892" max="15892" width="6.08984375" style="90" customWidth="1"/>
    <col min="15893" max="15893" width="9.7265625" style="90" customWidth="1"/>
    <col min="15894" max="15894" width="1.36328125" style="90" customWidth="1"/>
    <col min="15895" max="16134" width="9" style="90"/>
    <col min="16135" max="16135" width="1.36328125" style="90" customWidth="1"/>
    <col min="16136" max="16136" width="3.453125" style="90" customWidth="1"/>
    <col min="16137" max="16137" width="22.08984375" style="90" customWidth="1"/>
    <col min="16138" max="16138" width="9.7265625" style="90" customWidth="1"/>
    <col min="16139" max="16139" width="7.36328125" style="90" customWidth="1"/>
    <col min="16140" max="16140" width="9" style="90"/>
    <col min="16141" max="16141" width="9.26953125" style="90" customWidth="1"/>
    <col min="16142" max="16142" width="3.453125" style="90" customWidth="1"/>
    <col min="16143" max="16144" width="12.6328125" style="90" customWidth="1"/>
    <col min="16145" max="16145" width="9" style="90"/>
    <col min="16146" max="16146" width="7.7265625" style="90" customWidth="1"/>
    <col min="16147" max="16147" width="13.08984375" style="90" customWidth="1"/>
    <col min="16148" max="16148" width="6.08984375" style="90" customWidth="1"/>
    <col min="16149" max="16149" width="9.7265625" style="90" customWidth="1"/>
    <col min="16150" max="16150" width="1.36328125" style="90" customWidth="1"/>
    <col min="16151" max="16384" width="9" style="90"/>
  </cols>
  <sheetData>
    <row r="1" spans="1:22" ht="10" customHeight="1" x14ac:dyDescent="0.2">
      <c r="A1" s="90" t="s">
        <v>372</v>
      </c>
    </row>
    <row r="2" spans="1:22" ht="25" customHeight="1" x14ac:dyDescent="0.2">
      <c r="B2" s="1" t="s">
        <v>462</v>
      </c>
      <c r="C2" s="92"/>
      <c r="D2" s="13"/>
      <c r="E2" s="13"/>
      <c r="F2" s="92"/>
      <c r="G2" s="160"/>
      <c r="H2" s="170"/>
      <c r="I2" s="160"/>
      <c r="J2" s="160"/>
      <c r="K2" s="160"/>
      <c r="L2" s="160"/>
      <c r="M2" s="160"/>
      <c r="N2" s="160"/>
      <c r="O2" s="13"/>
    </row>
    <row r="3" spans="1:22" ht="15" customHeight="1" thickBot="1" x14ac:dyDescent="0.25">
      <c r="B3" s="90" t="s">
        <v>234</v>
      </c>
      <c r="I3" s="13" t="s">
        <v>235</v>
      </c>
      <c r="P3" s="90" t="s">
        <v>255</v>
      </c>
    </row>
    <row r="4" spans="1:22" ht="15" customHeight="1" x14ac:dyDescent="0.2">
      <c r="B4" s="322" t="s">
        <v>90</v>
      </c>
      <c r="C4" s="209" t="s">
        <v>193</v>
      </c>
      <c r="D4" s="209" t="s">
        <v>154</v>
      </c>
      <c r="E4" s="209" t="s">
        <v>155</v>
      </c>
      <c r="F4" s="422" t="s">
        <v>24</v>
      </c>
      <c r="G4" s="197" t="s">
        <v>156</v>
      </c>
      <c r="H4" s="210"/>
      <c r="I4" s="1244" t="s">
        <v>90</v>
      </c>
      <c r="J4" s="1242" t="s">
        <v>197</v>
      </c>
      <c r="K4" s="399" t="s">
        <v>194</v>
      </c>
      <c r="L4" s="399" t="s">
        <v>157</v>
      </c>
      <c r="M4" s="1237" t="s">
        <v>24</v>
      </c>
      <c r="N4" s="1239" t="s">
        <v>156</v>
      </c>
      <c r="O4" s="229"/>
      <c r="P4" s="323" t="s">
        <v>200</v>
      </c>
      <c r="Q4" s="324" t="s">
        <v>201</v>
      </c>
      <c r="R4" s="324" t="s">
        <v>202</v>
      </c>
      <c r="S4" s="324" t="s">
        <v>203</v>
      </c>
      <c r="T4" s="1246" t="s">
        <v>204</v>
      </c>
      <c r="U4" s="1161"/>
      <c r="V4" s="325" t="s">
        <v>205</v>
      </c>
    </row>
    <row r="5" spans="1:22" ht="15" customHeight="1" x14ac:dyDescent="0.2">
      <c r="B5" s="1093" t="s">
        <v>189</v>
      </c>
      <c r="C5" s="111"/>
      <c r="D5" s="89"/>
      <c r="E5" s="100"/>
      <c r="F5" s="111"/>
      <c r="G5" s="198">
        <f t="shared" ref="G5:G6" si="0">D5*F5</f>
        <v>0</v>
      </c>
      <c r="H5" s="211"/>
      <c r="I5" s="1245"/>
      <c r="J5" s="1243"/>
      <c r="K5" s="400" t="s">
        <v>159</v>
      </c>
      <c r="L5" s="400" t="s">
        <v>312</v>
      </c>
      <c r="M5" s="1238"/>
      <c r="N5" s="1240"/>
      <c r="O5" s="229"/>
      <c r="P5" s="527" t="s">
        <v>423</v>
      </c>
      <c r="Q5" s="515"/>
      <c r="R5" s="528" t="s">
        <v>106</v>
      </c>
      <c r="S5" s="515"/>
      <c r="T5" s="1247"/>
      <c r="U5" s="1248"/>
      <c r="V5" s="529">
        <v>2000</v>
      </c>
    </row>
    <row r="6" spans="1:22" ht="15" customHeight="1" x14ac:dyDescent="0.2">
      <c r="B6" s="1094"/>
      <c r="C6" s="89"/>
      <c r="D6" s="89"/>
      <c r="E6" s="100"/>
      <c r="F6" s="89"/>
      <c r="G6" s="199">
        <f t="shared" si="0"/>
        <v>0</v>
      </c>
      <c r="H6" s="211"/>
      <c r="I6" s="1249" t="s">
        <v>196</v>
      </c>
      <c r="J6" s="360" t="s">
        <v>715</v>
      </c>
      <c r="K6" s="401">
        <v>10.6</v>
      </c>
      <c r="L6" s="401">
        <v>13</v>
      </c>
      <c r="M6" s="438">
        <v>84.7</v>
      </c>
      <c r="N6" s="402">
        <f>K6*L6*M6</f>
        <v>11671.66</v>
      </c>
      <c r="O6" s="229"/>
      <c r="P6" s="527"/>
      <c r="Q6" s="515"/>
      <c r="R6" s="528"/>
      <c r="S6" s="515"/>
      <c r="T6" s="1247"/>
      <c r="U6" s="1248"/>
      <c r="V6" s="529"/>
    </row>
    <row r="7" spans="1:22" ht="15" customHeight="1" thickBot="1" x14ac:dyDescent="0.25">
      <c r="B7" s="1254"/>
      <c r="C7" s="200" t="s">
        <v>160</v>
      </c>
      <c r="D7" s="200"/>
      <c r="E7" s="200"/>
      <c r="F7" s="200"/>
      <c r="G7" s="201">
        <f>SUM(G5:G6)</f>
        <v>0</v>
      </c>
      <c r="H7" s="211"/>
      <c r="I7" s="1250"/>
      <c r="J7" s="360" t="s">
        <v>716</v>
      </c>
      <c r="K7" s="438">
        <v>5.4</v>
      </c>
      <c r="L7" s="401">
        <f>5+6.5</f>
        <v>11.5</v>
      </c>
      <c r="M7" s="438">
        <v>84.7</v>
      </c>
      <c r="N7" s="402">
        <f t="shared" ref="N7:N11" si="1">K7*L7*M7</f>
        <v>5259.87</v>
      </c>
      <c r="O7" s="229"/>
      <c r="P7" s="326"/>
      <c r="Q7" s="195"/>
      <c r="R7" s="223"/>
      <c r="S7" s="195"/>
      <c r="T7" s="1235"/>
      <c r="U7" s="1236"/>
      <c r="V7" s="218"/>
    </row>
    <row r="8" spans="1:22" ht="15" customHeight="1" thickTop="1" x14ac:dyDescent="0.2">
      <c r="B8" s="1252" t="s">
        <v>187</v>
      </c>
      <c r="C8" s="643" t="s">
        <v>421</v>
      </c>
      <c r="D8" s="89">
        <v>10</v>
      </c>
      <c r="E8" s="100" t="s">
        <v>299</v>
      </c>
      <c r="F8" s="89">
        <v>3840</v>
      </c>
      <c r="G8" s="199">
        <f>D8*F8</f>
        <v>38400</v>
      </c>
      <c r="H8" s="211"/>
      <c r="I8" s="1250"/>
      <c r="J8" s="360" t="s">
        <v>313</v>
      </c>
      <c r="K8" s="401">
        <v>1.2</v>
      </c>
      <c r="L8" s="401">
        <v>3</v>
      </c>
      <c r="M8" s="438">
        <v>84.7</v>
      </c>
      <c r="N8" s="402">
        <f t="shared" si="1"/>
        <v>304.91999999999996</v>
      </c>
      <c r="O8" s="229"/>
      <c r="P8" s="326"/>
      <c r="Q8" s="195"/>
      <c r="R8" s="223"/>
      <c r="S8" s="195"/>
      <c r="T8" s="1235"/>
      <c r="U8" s="1236"/>
      <c r="V8" s="218"/>
    </row>
    <row r="9" spans="1:22" ht="15" customHeight="1" x14ac:dyDescent="0.2">
      <c r="B9" s="1094"/>
      <c r="C9" s="643"/>
      <c r="D9" s="89"/>
      <c r="E9" s="100"/>
      <c r="F9" s="89"/>
      <c r="G9" s="199">
        <f>D9*F9</f>
        <v>0</v>
      </c>
      <c r="H9" s="211"/>
      <c r="I9" s="1250"/>
      <c r="J9" s="410" t="s">
        <v>717</v>
      </c>
      <c r="K9" s="411">
        <v>3.5</v>
      </c>
      <c r="L9" s="411">
        <v>5</v>
      </c>
      <c r="M9" s="438">
        <v>84.7</v>
      </c>
      <c r="N9" s="412">
        <f t="shared" si="1"/>
        <v>1482.25</v>
      </c>
      <c r="O9" s="229"/>
      <c r="P9" s="326"/>
      <c r="Q9" s="195"/>
      <c r="R9" s="223"/>
      <c r="S9" s="195"/>
      <c r="T9" s="1235"/>
      <c r="U9" s="1236"/>
      <c r="V9" s="218"/>
    </row>
    <row r="10" spans="1:22" ht="15" customHeight="1" x14ac:dyDescent="0.2">
      <c r="B10" s="1094"/>
      <c r="C10" s="643"/>
      <c r="D10" s="89"/>
      <c r="E10" s="100"/>
      <c r="F10" s="89"/>
      <c r="G10" s="199">
        <f>D10*F10</f>
        <v>0</v>
      </c>
      <c r="H10" s="211"/>
      <c r="I10" s="1250"/>
      <c r="J10" s="416" t="s">
        <v>718</v>
      </c>
      <c r="K10" s="417">
        <v>2.5</v>
      </c>
      <c r="L10" s="417">
        <v>3.5</v>
      </c>
      <c r="M10" s="438">
        <v>84.7</v>
      </c>
      <c r="N10" s="418">
        <f t="shared" si="1"/>
        <v>741.125</v>
      </c>
      <c r="O10" s="229"/>
      <c r="P10" s="326"/>
      <c r="Q10" s="413"/>
      <c r="R10" s="414"/>
      <c r="S10" s="413"/>
      <c r="T10" s="415"/>
      <c r="U10" s="396"/>
      <c r="V10" s="218"/>
    </row>
    <row r="11" spans="1:22" ht="15" customHeight="1" thickBot="1" x14ac:dyDescent="0.25">
      <c r="B11" s="1254"/>
      <c r="C11" s="202" t="s">
        <v>161</v>
      </c>
      <c r="D11" s="203"/>
      <c r="E11" s="203"/>
      <c r="F11" s="203"/>
      <c r="G11" s="204">
        <f>SUM(G8:G10)</f>
        <v>38400</v>
      </c>
      <c r="H11" s="211"/>
      <c r="I11" s="1250"/>
      <c r="J11" s="419" t="s">
        <v>719</v>
      </c>
      <c r="K11" s="420">
        <v>2</v>
      </c>
      <c r="L11" s="420">
        <v>3.5</v>
      </c>
      <c r="M11" s="438">
        <v>84.7</v>
      </c>
      <c r="N11" s="421">
        <f t="shared" si="1"/>
        <v>592.9</v>
      </c>
      <c r="O11" s="229"/>
      <c r="P11" s="326"/>
      <c r="Q11" s="195"/>
      <c r="R11" s="223"/>
      <c r="S11" s="195"/>
      <c r="T11" s="1235"/>
      <c r="U11" s="1236"/>
      <c r="V11" s="218"/>
    </row>
    <row r="12" spans="1:22" ht="15" customHeight="1" thickTop="1" thickBot="1" x14ac:dyDescent="0.25">
      <c r="B12" s="1252" t="s">
        <v>188</v>
      </c>
      <c r="C12" s="643" t="s">
        <v>762</v>
      </c>
      <c r="D12" s="89">
        <v>350</v>
      </c>
      <c r="E12" s="100" t="s">
        <v>311</v>
      </c>
      <c r="F12" s="89">
        <f>3220/20</f>
        <v>161</v>
      </c>
      <c r="G12" s="199">
        <f>D12*F12</f>
        <v>56350</v>
      </c>
      <c r="H12" s="211"/>
      <c r="I12" s="1251"/>
      <c r="J12" s="397" t="s">
        <v>260</v>
      </c>
      <c r="K12" s="398">
        <f>SUM(K6:K9)</f>
        <v>20.7</v>
      </c>
      <c r="L12" s="398">
        <f>SUM(L6:L11)</f>
        <v>39.5</v>
      </c>
      <c r="M12" s="398"/>
      <c r="N12" s="403">
        <f>SUM(N6:N11)</f>
        <v>20052.724999999999</v>
      </c>
      <c r="O12" s="229"/>
      <c r="P12" s="326"/>
      <c r="Q12" s="195"/>
      <c r="R12" s="223"/>
      <c r="S12" s="195"/>
      <c r="T12" s="1235"/>
      <c r="U12" s="1236"/>
      <c r="V12" s="218"/>
    </row>
    <row r="13" spans="1:22" ht="15" customHeight="1" thickTop="1" x14ac:dyDescent="0.2">
      <c r="B13" s="1094"/>
      <c r="C13" s="89"/>
      <c r="D13" s="89"/>
      <c r="E13" s="100"/>
      <c r="F13" s="89"/>
      <c r="G13" s="199">
        <f>D13*F13</f>
        <v>0</v>
      </c>
      <c r="H13" s="211"/>
      <c r="I13" s="1278" t="s">
        <v>261</v>
      </c>
      <c r="J13" s="360" t="s">
        <v>720</v>
      </c>
      <c r="K13" s="401">
        <v>3.1</v>
      </c>
      <c r="L13" s="401">
        <v>6.2</v>
      </c>
      <c r="M13" s="438">
        <v>158.4</v>
      </c>
      <c r="N13" s="402">
        <f>K13*L13*M13</f>
        <v>3044.4480000000003</v>
      </c>
      <c r="O13" s="229"/>
      <c r="P13" s="326"/>
      <c r="Q13" s="195"/>
      <c r="R13" s="223"/>
      <c r="S13" s="195"/>
      <c r="T13" s="1235"/>
      <c r="U13" s="1236"/>
      <c r="V13" s="218"/>
    </row>
    <row r="14" spans="1:22" ht="15" customHeight="1" x14ac:dyDescent="0.2">
      <c r="B14" s="1094"/>
      <c r="C14" s="89"/>
      <c r="D14" s="89"/>
      <c r="E14" s="100"/>
      <c r="F14" s="89"/>
      <c r="G14" s="199">
        <f>D14*F14</f>
        <v>0</v>
      </c>
      <c r="H14" s="211"/>
      <c r="I14" s="1279"/>
      <c r="J14" s="360"/>
      <c r="K14" s="401"/>
      <c r="L14" s="401"/>
      <c r="M14" s="401"/>
      <c r="N14" s="402">
        <f t="shared" ref="N14:N15" si="2">K14*L14*M14</f>
        <v>0</v>
      </c>
      <c r="O14" s="229"/>
      <c r="P14" s="326"/>
      <c r="Q14" s="195"/>
      <c r="R14" s="223"/>
      <c r="S14" s="195"/>
      <c r="T14" s="1235"/>
      <c r="U14" s="1236"/>
      <c r="V14" s="218"/>
    </row>
    <row r="15" spans="1:22" ht="15" customHeight="1" x14ac:dyDescent="0.2">
      <c r="B15" s="1094"/>
      <c r="C15" s="89"/>
      <c r="D15" s="89"/>
      <c r="E15" s="89"/>
      <c r="F15" s="89"/>
      <c r="G15" s="199">
        <f t="shared" ref="G15" si="3">D15*F15</f>
        <v>0</v>
      </c>
      <c r="H15" s="211"/>
      <c r="I15" s="1279"/>
      <c r="J15" s="360"/>
      <c r="K15" s="401"/>
      <c r="L15" s="401"/>
      <c r="M15" s="401"/>
      <c r="N15" s="402">
        <f t="shared" si="2"/>
        <v>0</v>
      </c>
      <c r="O15" s="229"/>
      <c r="P15" s="326"/>
      <c r="Q15" s="195"/>
      <c r="R15" s="223"/>
      <c r="S15" s="195"/>
      <c r="T15" s="1235"/>
      <c r="U15" s="1236"/>
      <c r="V15" s="218"/>
    </row>
    <row r="16" spans="1:22" ht="15" customHeight="1" thickBot="1" x14ac:dyDescent="0.25">
      <c r="B16" s="1254"/>
      <c r="C16" s="202" t="s">
        <v>161</v>
      </c>
      <c r="D16" s="203"/>
      <c r="E16" s="203"/>
      <c r="F16" s="203"/>
      <c r="G16" s="204">
        <f>SUM(G12:G15)</f>
        <v>56350</v>
      </c>
      <c r="H16" s="211"/>
      <c r="I16" s="1280"/>
      <c r="J16" s="327" t="s">
        <v>260</v>
      </c>
      <c r="K16" s="214">
        <f>SUM(K13:K15)</f>
        <v>3.1</v>
      </c>
      <c r="L16" s="214">
        <f>SUM(L13:L15)</f>
        <v>6.2</v>
      </c>
      <c r="M16" s="214"/>
      <c r="N16" s="404">
        <f>SUM(N13:N15)</f>
        <v>3044.4480000000003</v>
      </c>
      <c r="O16" s="229"/>
      <c r="P16" s="326"/>
      <c r="Q16" s="195"/>
      <c r="R16" s="223"/>
      <c r="S16" s="195"/>
      <c r="T16" s="1235"/>
      <c r="U16" s="1236"/>
      <c r="V16" s="218"/>
    </row>
    <row r="17" spans="2:22" ht="15" customHeight="1" thickTop="1" x14ac:dyDescent="0.2">
      <c r="B17" s="1252" t="s">
        <v>190</v>
      </c>
      <c r="C17" s="89"/>
      <c r="D17" s="89"/>
      <c r="E17" s="100"/>
      <c r="F17" s="89"/>
      <c r="G17" s="199">
        <f t="shared" ref="G17" si="4">D17*F17</f>
        <v>0</v>
      </c>
      <c r="H17" s="211"/>
      <c r="I17" s="1278" t="s">
        <v>198</v>
      </c>
      <c r="J17" s="360"/>
      <c r="K17" s="401"/>
      <c r="L17" s="401"/>
      <c r="M17" s="401"/>
      <c r="N17" s="402">
        <f>K17*L17*M17</f>
        <v>0</v>
      </c>
      <c r="O17" s="229"/>
      <c r="P17" s="326"/>
      <c r="Q17" s="195"/>
      <c r="R17" s="358"/>
      <c r="S17" s="195"/>
      <c r="T17" s="1235"/>
      <c r="U17" s="1236"/>
      <c r="V17" s="218"/>
    </row>
    <row r="18" spans="2:22" ht="15" customHeight="1" x14ac:dyDescent="0.2">
      <c r="B18" s="1094"/>
      <c r="C18" s="89"/>
      <c r="D18" s="89"/>
      <c r="E18" s="100"/>
      <c r="F18" s="89"/>
      <c r="G18" s="199">
        <f>D18*F18</f>
        <v>0</v>
      </c>
      <c r="H18" s="211"/>
      <c r="I18" s="1279"/>
      <c r="J18" s="360"/>
      <c r="K18" s="401"/>
      <c r="L18" s="401"/>
      <c r="M18" s="401"/>
      <c r="N18" s="402">
        <f t="shared" ref="N18:N19" si="5">K18*L18*M18</f>
        <v>0</v>
      </c>
      <c r="O18" s="229"/>
      <c r="P18" s="326"/>
      <c r="Q18" s="195"/>
      <c r="R18" s="358"/>
      <c r="S18" s="195"/>
      <c r="T18" s="1235"/>
      <c r="U18" s="1236"/>
      <c r="V18" s="218"/>
    </row>
    <row r="19" spans="2:22" ht="15" customHeight="1" x14ac:dyDescent="0.2">
      <c r="B19" s="1094"/>
      <c r="C19" s="89"/>
      <c r="D19" s="89"/>
      <c r="E19" s="89"/>
      <c r="F19" s="89"/>
      <c r="G19" s="199">
        <f t="shared" ref="G19" si="6">D19*F19</f>
        <v>0</v>
      </c>
      <c r="H19" s="211"/>
      <c r="I19" s="1279"/>
      <c r="J19" s="360"/>
      <c r="K19" s="401"/>
      <c r="L19" s="401"/>
      <c r="M19" s="401"/>
      <c r="N19" s="402">
        <f t="shared" si="5"/>
        <v>0</v>
      </c>
      <c r="O19" s="229"/>
      <c r="P19" s="326"/>
      <c r="Q19" s="195"/>
      <c r="R19" s="223"/>
      <c r="S19" s="195"/>
      <c r="T19" s="1235"/>
      <c r="U19" s="1236"/>
      <c r="V19" s="218"/>
    </row>
    <row r="20" spans="2:22" ht="15" customHeight="1" thickBot="1" x14ac:dyDescent="0.25">
      <c r="B20" s="1254"/>
      <c r="C20" s="202" t="s">
        <v>161</v>
      </c>
      <c r="D20" s="203"/>
      <c r="E20" s="203"/>
      <c r="F20" s="203"/>
      <c r="G20" s="204">
        <f>SUM(G17:G19)</f>
        <v>0</v>
      </c>
      <c r="H20" s="211"/>
      <c r="I20" s="1280"/>
      <c r="J20" s="327" t="s">
        <v>262</v>
      </c>
      <c r="K20" s="214">
        <f>SUM(K17:K19)</f>
        <v>0</v>
      </c>
      <c r="L20" s="215">
        <f>SUM(L17:L19)</f>
        <v>0</v>
      </c>
      <c r="M20" s="216"/>
      <c r="N20" s="404">
        <f>SUM(N17:N19)</f>
        <v>0</v>
      </c>
      <c r="O20" s="229"/>
      <c r="P20" s="326"/>
      <c r="Q20" s="195"/>
      <c r="R20" s="223"/>
      <c r="S20" s="195"/>
      <c r="T20" s="1235"/>
      <c r="U20" s="1236"/>
      <c r="V20" s="218"/>
    </row>
    <row r="21" spans="2:22" ht="15" customHeight="1" thickTop="1" thickBot="1" x14ac:dyDescent="0.25">
      <c r="B21" s="1252" t="s">
        <v>191</v>
      </c>
      <c r="C21" s="89"/>
      <c r="D21" s="89"/>
      <c r="E21" s="100"/>
      <c r="F21" s="89"/>
      <c r="G21" s="199">
        <f>D21*F21</f>
        <v>0</v>
      </c>
      <c r="H21" s="211"/>
      <c r="I21" s="1278" t="s">
        <v>199</v>
      </c>
      <c r="J21" s="360" t="s">
        <v>721</v>
      </c>
      <c r="K21" s="401">
        <v>28.2</v>
      </c>
      <c r="L21" s="401">
        <v>6.1</v>
      </c>
      <c r="M21" s="401">
        <v>102.1</v>
      </c>
      <c r="N21" s="402">
        <f>K21*L21*M21</f>
        <v>17563.241999999998</v>
      </c>
      <c r="O21" s="229"/>
      <c r="P21" s="219" t="s">
        <v>29</v>
      </c>
      <c r="Q21" s="220"/>
      <c r="R21" s="220"/>
      <c r="S21" s="220"/>
      <c r="T21" s="1241"/>
      <c r="U21" s="1232"/>
      <c r="V21" s="221">
        <f>SUM(V5:V20)</f>
        <v>2000</v>
      </c>
    </row>
    <row r="22" spans="2:22" ht="15" customHeight="1" x14ac:dyDescent="0.2">
      <c r="B22" s="1094"/>
      <c r="C22" s="89"/>
      <c r="D22" s="89"/>
      <c r="E22" s="100"/>
      <c r="F22" s="89"/>
      <c r="G22" s="199">
        <f>D22*F22</f>
        <v>0</v>
      </c>
      <c r="H22" s="211"/>
      <c r="I22" s="1279"/>
      <c r="J22" s="360"/>
      <c r="K22" s="401"/>
      <c r="L22" s="401"/>
      <c r="M22" s="401"/>
      <c r="N22" s="402">
        <f t="shared" ref="N22:N23" si="7">K22*L22*M22</f>
        <v>0</v>
      </c>
      <c r="O22" s="229"/>
    </row>
    <row r="23" spans="2:22" ht="15" customHeight="1" thickBot="1" x14ac:dyDescent="0.25">
      <c r="B23" s="1094"/>
      <c r="C23" s="89"/>
      <c r="D23" s="89"/>
      <c r="E23" s="100"/>
      <c r="F23" s="89"/>
      <c r="G23" s="199">
        <f>D23*F23</f>
        <v>0</v>
      </c>
      <c r="H23" s="211"/>
      <c r="I23" s="1279"/>
      <c r="J23" s="360"/>
      <c r="K23" s="401"/>
      <c r="L23" s="401"/>
      <c r="M23" s="401"/>
      <c r="N23" s="402">
        <f t="shared" si="7"/>
        <v>0</v>
      </c>
      <c r="O23" s="229"/>
      <c r="P23" s="90" t="s">
        <v>256</v>
      </c>
    </row>
    <row r="24" spans="2:22" ht="15" customHeight="1" thickBot="1" x14ac:dyDescent="0.25">
      <c r="B24" s="1253"/>
      <c r="C24" s="205" t="s">
        <v>163</v>
      </c>
      <c r="D24" s="206"/>
      <c r="E24" s="206"/>
      <c r="F24" s="213"/>
      <c r="G24" s="207">
        <f>SUM(G21:G23)</f>
        <v>0</v>
      </c>
      <c r="H24" s="211"/>
      <c r="I24" s="1280"/>
      <c r="J24" s="327" t="s">
        <v>262</v>
      </c>
      <c r="K24" s="214">
        <f>SUM(K21:K23)</f>
        <v>28.2</v>
      </c>
      <c r="L24" s="215">
        <f>SUM(L21:L23)</f>
        <v>6.1</v>
      </c>
      <c r="M24" s="216"/>
      <c r="N24" s="404">
        <f>SUM(N21:N23)</f>
        <v>17563.241999999998</v>
      </c>
      <c r="O24" s="229"/>
      <c r="P24" s="323" t="s">
        <v>206</v>
      </c>
      <c r="Q24" s="324" t="s">
        <v>201</v>
      </c>
      <c r="R24" s="324" t="s">
        <v>202</v>
      </c>
      <c r="S24" s="324" t="s">
        <v>263</v>
      </c>
      <c r="T24" s="324" t="s">
        <v>204</v>
      </c>
      <c r="U24" s="190" t="s">
        <v>207</v>
      </c>
      <c r="V24" s="325" t="s">
        <v>205</v>
      </c>
    </row>
    <row r="25" spans="2:22" ht="15" customHeight="1" thickTop="1" x14ac:dyDescent="0.2">
      <c r="I25" s="1278" t="s">
        <v>280</v>
      </c>
      <c r="J25" s="360"/>
      <c r="K25" s="401"/>
      <c r="L25" s="401"/>
      <c r="M25" s="401"/>
      <c r="N25" s="402">
        <f>K25*L25*M25</f>
        <v>0</v>
      </c>
      <c r="O25" s="229"/>
      <c r="P25" s="527" t="s">
        <v>424</v>
      </c>
      <c r="Q25" s="515">
        <v>10</v>
      </c>
      <c r="R25" s="528" t="s">
        <v>259</v>
      </c>
      <c r="S25" s="515">
        <v>500</v>
      </c>
      <c r="T25" s="515">
        <v>2</v>
      </c>
      <c r="U25" s="867">
        <v>29.5</v>
      </c>
      <c r="V25" s="218">
        <f>Q25*S25/T25/U25</f>
        <v>84.745762711864401</v>
      </c>
    </row>
    <row r="26" spans="2:22" ht="15" customHeight="1" thickBot="1" x14ac:dyDescent="0.25">
      <c r="B26" s="13" t="s">
        <v>264</v>
      </c>
      <c r="C26" s="13"/>
      <c r="D26" s="92"/>
      <c r="E26" s="13"/>
      <c r="F26" s="92"/>
      <c r="G26" s="96"/>
      <c r="H26" s="212"/>
      <c r="I26" s="1279"/>
      <c r="J26" s="360"/>
      <c r="K26" s="401"/>
      <c r="L26" s="401"/>
      <c r="M26" s="401"/>
      <c r="N26" s="402">
        <f t="shared" ref="N26:N27" si="8">K26*L26*M26</f>
        <v>0</v>
      </c>
      <c r="O26" s="229"/>
      <c r="P26" s="326"/>
      <c r="Q26" s="195"/>
      <c r="R26" s="223"/>
      <c r="S26" s="195"/>
      <c r="T26" s="195"/>
      <c r="U26" s="196"/>
      <c r="V26" s="218"/>
    </row>
    <row r="27" spans="2:22" ht="15" customHeight="1" x14ac:dyDescent="0.2">
      <c r="B27" s="322" t="s">
        <v>90</v>
      </c>
      <c r="C27" s="209" t="s">
        <v>153</v>
      </c>
      <c r="D27" s="209" t="s">
        <v>154</v>
      </c>
      <c r="E27" s="209" t="s">
        <v>155</v>
      </c>
      <c r="F27" s="422" t="s">
        <v>24</v>
      </c>
      <c r="G27" s="197" t="s">
        <v>156</v>
      </c>
      <c r="H27" s="210"/>
      <c r="I27" s="1279"/>
      <c r="J27" s="360"/>
      <c r="K27" s="401"/>
      <c r="L27" s="401"/>
      <c r="M27" s="401"/>
      <c r="N27" s="402">
        <f t="shared" si="8"/>
        <v>0</v>
      </c>
      <c r="O27" s="229"/>
      <c r="P27" s="326"/>
      <c r="Q27" s="195"/>
      <c r="R27" s="223"/>
      <c r="S27" s="195"/>
      <c r="T27" s="195"/>
      <c r="U27" s="196"/>
      <c r="V27" s="218"/>
    </row>
    <row r="28" spans="2:22" ht="15" customHeight="1" thickBot="1" x14ac:dyDescent="0.25">
      <c r="B28" s="1093" t="s">
        <v>30</v>
      </c>
      <c r="C28" s="643" t="s">
        <v>763</v>
      </c>
      <c r="D28" s="89">
        <v>300</v>
      </c>
      <c r="E28" s="100" t="s">
        <v>309</v>
      </c>
      <c r="F28" s="89">
        <f>62610/10000</f>
        <v>6.2610000000000001</v>
      </c>
      <c r="G28" s="198">
        <f>D28*F28</f>
        <v>1878.3</v>
      </c>
      <c r="H28" s="211"/>
      <c r="I28" s="1280"/>
      <c r="J28" s="327" t="s">
        <v>260</v>
      </c>
      <c r="K28" s="214">
        <f>SUM(K25:K27)</f>
        <v>0</v>
      </c>
      <c r="L28" s="215">
        <f>SUM(L25:L27)</f>
        <v>0</v>
      </c>
      <c r="M28" s="216"/>
      <c r="N28" s="404">
        <f>SUM(N25:N27)</f>
        <v>0</v>
      </c>
      <c r="O28" s="229"/>
      <c r="P28" s="326"/>
      <c r="Q28" s="195"/>
      <c r="R28" s="223"/>
      <c r="S28" s="195"/>
      <c r="T28" s="195"/>
      <c r="U28" s="196"/>
      <c r="V28" s="218"/>
    </row>
    <row r="29" spans="2:22" ht="15" customHeight="1" thickTop="1" x14ac:dyDescent="0.2">
      <c r="B29" s="1094"/>
      <c r="C29" s="882" t="s">
        <v>764</v>
      </c>
      <c r="D29" s="360">
        <v>180</v>
      </c>
      <c r="E29" s="100" t="s">
        <v>309</v>
      </c>
      <c r="F29" s="360">
        <f>4180/500</f>
        <v>8.36</v>
      </c>
      <c r="G29" s="198">
        <f>D29*F29</f>
        <v>1504.8</v>
      </c>
      <c r="H29" s="211"/>
      <c r="I29" s="1278" t="s">
        <v>195</v>
      </c>
      <c r="J29" s="360" t="s">
        <v>721</v>
      </c>
      <c r="K29" s="401">
        <v>31.4</v>
      </c>
      <c r="L29" s="401">
        <v>3.2</v>
      </c>
      <c r="M29" s="401">
        <v>14</v>
      </c>
      <c r="N29" s="402">
        <f>K29*L29*M29</f>
        <v>1406.72</v>
      </c>
      <c r="O29" s="229"/>
      <c r="P29" s="326"/>
      <c r="Q29" s="195"/>
      <c r="R29" s="223"/>
      <c r="S29" s="195"/>
      <c r="T29" s="195"/>
      <c r="U29" s="196"/>
      <c r="V29" s="218"/>
    </row>
    <row r="30" spans="2:22" ht="15" customHeight="1" x14ac:dyDescent="0.2">
      <c r="B30" s="1094"/>
      <c r="C30" s="643" t="s">
        <v>30</v>
      </c>
      <c r="D30" s="89">
        <v>1000</v>
      </c>
      <c r="E30" s="100" t="s">
        <v>314</v>
      </c>
      <c r="F30" s="89">
        <f>42580/20000</f>
        <v>2.129</v>
      </c>
      <c r="G30" s="198">
        <f>D30*F30</f>
        <v>2129</v>
      </c>
      <c r="H30" s="211"/>
      <c r="I30" s="1279"/>
      <c r="J30" s="360" t="s">
        <v>722</v>
      </c>
      <c r="K30" s="401">
        <v>4</v>
      </c>
      <c r="L30" s="401">
        <v>1.9</v>
      </c>
      <c r="M30" s="401">
        <v>14</v>
      </c>
      <c r="N30" s="402">
        <f t="shared" ref="N30:N31" si="9">K30*L30*M30</f>
        <v>106.39999999999999</v>
      </c>
      <c r="O30" s="91"/>
      <c r="P30" s="326"/>
      <c r="Q30" s="195"/>
      <c r="R30" s="358"/>
      <c r="S30" s="195"/>
      <c r="T30" s="195"/>
      <c r="U30" s="359"/>
      <c r="V30" s="218"/>
    </row>
    <row r="31" spans="2:22" ht="15" customHeight="1" x14ac:dyDescent="0.2">
      <c r="B31" s="1094"/>
      <c r="C31" s="883"/>
      <c r="D31" s="360"/>
      <c r="E31" s="100"/>
      <c r="F31" s="360"/>
      <c r="G31" s="199"/>
      <c r="H31" s="211"/>
      <c r="I31" s="1279"/>
      <c r="J31" s="360" t="s">
        <v>723</v>
      </c>
      <c r="K31" s="401">
        <v>24.5</v>
      </c>
      <c r="L31" s="401">
        <v>6.7</v>
      </c>
      <c r="M31" s="401">
        <v>14</v>
      </c>
      <c r="N31" s="402">
        <f t="shared" si="9"/>
        <v>2298.1</v>
      </c>
      <c r="P31" s="326"/>
      <c r="Q31" s="195"/>
      <c r="R31" s="223"/>
      <c r="S31" s="195"/>
      <c r="T31" s="195"/>
      <c r="U31" s="196"/>
      <c r="V31" s="218"/>
    </row>
    <row r="32" spans="2:22" ht="15" customHeight="1" thickBot="1" x14ac:dyDescent="0.25">
      <c r="B32" s="1094"/>
      <c r="C32" s="643"/>
      <c r="D32" s="360"/>
      <c r="E32" s="100"/>
      <c r="F32" s="360"/>
      <c r="G32" s="199">
        <f t="shared" ref="G32" si="10">D32*F32</f>
        <v>0</v>
      </c>
      <c r="H32" s="211"/>
      <c r="I32" s="1283"/>
      <c r="J32" s="405" t="s">
        <v>265</v>
      </c>
      <c r="K32" s="406">
        <f>SUM(K29:K31)</f>
        <v>59.9</v>
      </c>
      <c r="L32" s="407">
        <f>SUM(L29:L31)</f>
        <v>11.8</v>
      </c>
      <c r="M32" s="408"/>
      <c r="N32" s="409">
        <f>SUM(N29:N31)</f>
        <v>3811.2200000000003</v>
      </c>
      <c r="P32" s="326"/>
      <c r="Q32" s="195"/>
      <c r="R32" s="223"/>
      <c r="S32" s="195"/>
      <c r="T32" s="195"/>
      <c r="U32" s="196"/>
      <c r="V32" s="218"/>
    </row>
    <row r="33" spans="2:24" ht="15" customHeight="1" x14ac:dyDescent="0.2">
      <c r="B33" s="1094"/>
      <c r="C33" s="643"/>
      <c r="D33" s="360"/>
      <c r="E33" s="100"/>
      <c r="F33" s="360"/>
      <c r="G33" s="199">
        <f t="shared" ref="G33:G37" si="11">D33*F33</f>
        <v>0</v>
      </c>
      <c r="H33" s="211"/>
      <c r="I33" s="189"/>
      <c r="J33" s="189"/>
      <c r="K33" s="189"/>
      <c r="L33" s="189"/>
      <c r="M33" s="189"/>
      <c r="N33" s="189"/>
      <c r="P33" s="326"/>
      <c r="Q33" s="195"/>
      <c r="R33" s="223"/>
      <c r="S33" s="195"/>
      <c r="T33" s="195"/>
      <c r="U33" s="196"/>
      <c r="V33" s="218"/>
    </row>
    <row r="34" spans="2:24" ht="15" customHeight="1" thickBot="1" x14ac:dyDescent="0.25">
      <c r="B34" s="1094"/>
      <c r="C34" s="643"/>
      <c r="D34" s="360"/>
      <c r="E34" s="100"/>
      <c r="F34" s="360"/>
      <c r="G34" s="199">
        <f t="shared" si="11"/>
        <v>0</v>
      </c>
      <c r="H34" s="211"/>
      <c r="I34" s="179" t="s">
        <v>254</v>
      </c>
      <c r="J34" s="179"/>
      <c r="K34" s="179"/>
      <c r="L34" s="179"/>
      <c r="M34" s="179"/>
      <c r="P34" s="330" t="s">
        <v>247</v>
      </c>
      <c r="Q34" s="220"/>
      <c r="R34" s="220"/>
      <c r="S34" s="220"/>
      <c r="T34" s="220"/>
      <c r="U34" s="222"/>
      <c r="V34" s="221">
        <f>SUM(V25:V33)</f>
        <v>84.745762711864401</v>
      </c>
    </row>
    <row r="35" spans="2:24" ht="15" customHeight="1" x14ac:dyDescent="0.2">
      <c r="B35" s="1094"/>
      <c r="C35" s="643"/>
      <c r="D35" s="360"/>
      <c r="E35" s="100"/>
      <c r="F35" s="360"/>
      <c r="G35" s="199">
        <f t="shared" si="11"/>
        <v>0</v>
      </c>
      <c r="H35" s="211"/>
      <c r="I35" s="303" t="s">
        <v>242</v>
      </c>
      <c r="J35" s="304" t="s">
        <v>5</v>
      </c>
      <c r="K35" s="1281" t="s">
        <v>243</v>
      </c>
      <c r="L35" s="1282"/>
      <c r="M35" s="331" t="s">
        <v>207</v>
      </c>
      <c r="N35" s="329" t="s">
        <v>266</v>
      </c>
    </row>
    <row r="36" spans="2:24" ht="15" customHeight="1" thickBot="1" x14ac:dyDescent="0.25">
      <c r="B36" s="1094"/>
      <c r="C36" s="643"/>
      <c r="D36" s="360"/>
      <c r="E36" s="100"/>
      <c r="F36" s="360"/>
      <c r="G36" s="199">
        <f t="shared" si="11"/>
        <v>0</v>
      </c>
      <c r="H36" s="211"/>
      <c r="I36" s="1262" t="s">
        <v>2</v>
      </c>
      <c r="J36" s="208" t="str">
        <f>'（参考）水稲資本装備'!C5</f>
        <v>農機具庫</v>
      </c>
      <c r="K36" s="1233">
        <f>'（参考）水稲資本装備'!I5</f>
        <v>5940000</v>
      </c>
      <c r="L36" s="1233"/>
      <c r="M36" s="844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36" s="317">
        <f>+K36/M36*0.014*0.3</f>
        <v>845.69491525423723</v>
      </c>
      <c r="P36" s="179" t="s">
        <v>248</v>
      </c>
      <c r="Q36" s="179"/>
      <c r="R36" s="179"/>
      <c r="S36" s="179"/>
      <c r="T36" s="179"/>
    </row>
    <row r="37" spans="2:24" ht="15" customHeight="1" x14ac:dyDescent="0.2">
      <c r="B37" s="1094"/>
      <c r="C37" s="643"/>
      <c r="D37" s="360"/>
      <c r="E37" s="100"/>
      <c r="F37" s="360"/>
      <c r="G37" s="199">
        <f t="shared" si="11"/>
        <v>0</v>
      </c>
      <c r="H37" s="211"/>
      <c r="I37" s="1275"/>
      <c r="J37" s="208" t="str">
        <f>'（参考）水稲資本装備'!C6</f>
        <v>乾燥調製施設</v>
      </c>
      <c r="K37" s="1233">
        <f>'（参考）水稲資本装備'!I6</f>
        <v>10692000</v>
      </c>
      <c r="L37" s="1233"/>
      <c r="M37" s="844">
        <f>'１　対象経営の概要，２　前提条件'!$N$7+'１　対象経営の概要，２　前提条件'!$N$8+'１　対象経営の概要，２　前提条件'!$N$9</f>
        <v>29.5</v>
      </c>
      <c r="N37" s="317">
        <f>+K37/M37*0.014*0.3</f>
        <v>1522.2508474576271</v>
      </c>
      <c r="P37" s="303" t="s">
        <v>241</v>
      </c>
      <c r="Q37" s="1234" t="s">
        <v>249</v>
      </c>
      <c r="R37" s="1234"/>
      <c r="S37" s="316" t="s">
        <v>252</v>
      </c>
      <c r="T37" s="316" t="s">
        <v>251</v>
      </c>
      <c r="U37" s="331" t="s">
        <v>207</v>
      </c>
      <c r="V37" s="332" t="s">
        <v>266</v>
      </c>
    </row>
    <row r="38" spans="2:24" ht="15" customHeight="1" thickBot="1" x14ac:dyDescent="0.25">
      <c r="B38" s="1254"/>
      <c r="C38" s="200" t="s">
        <v>160</v>
      </c>
      <c r="D38" s="200"/>
      <c r="E38" s="200"/>
      <c r="F38" s="200"/>
      <c r="G38" s="201">
        <f>SUM(G28:G37)</f>
        <v>5512.1</v>
      </c>
      <c r="H38" s="211"/>
      <c r="I38" s="1275"/>
      <c r="J38" s="208" t="str">
        <f>'（参考）水稲資本装備'!C7</f>
        <v>育苗ハウス</v>
      </c>
      <c r="K38" s="1233">
        <f>'（参考）水稲資本装備'!I7</f>
        <v>1761750</v>
      </c>
      <c r="L38" s="1233"/>
      <c r="M38" s="844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38" s="317">
        <f>+K38/M38*0.014*0.3</f>
        <v>250.82542372881352</v>
      </c>
      <c r="O38" s="217"/>
      <c r="P38" s="1273" t="s">
        <v>250</v>
      </c>
      <c r="Q38" s="308" t="s">
        <v>240</v>
      </c>
      <c r="R38" s="335"/>
      <c r="S38" s="309">
        <v>116400</v>
      </c>
      <c r="T38" s="336">
        <v>1</v>
      </c>
      <c r="U38" s="866">
        <v>29.5</v>
      </c>
      <c r="V38" s="317">
        <f>+S38*T38/U38</f>
        <v>3945.7627118644068</v>
      </c>
    </row>
    <row r="39" spans="2:24" ht="15" customHeight="1" thickTop="1" x14ac:dyDescent="0.2">
      <c r="B39" s="1252" t="s">
        <v>192</v>
      </c>
      <c r="C39" s="884" t="s">
        <v>765</v>
      </c>
      <c r="D39" s="89">
        <v>60</v>
      </c>
      <c r="E39" s="100" t="s">
        <v>314</v>
      </c>
      <c r="F39" s="89">
        <f>1450/500</f>
        <v>2.9</v>
      </c>
      <c r="G39" s="199">
        <f>D39*F39</f>
        <v>174</v>
      </c>
      <c r="H39" s="211"/>
      <c r="I39" s="1275"/>
      <c r="J39" s="208"/>
      <c r="K39" s="1233"/>
      <c r="L39" s="1233"/>
      <c r="M39" s="302"/>
      <c r="N39" s="317"/>
      <c r="O39" s="217"/>
      <c r="P39" s="1229"/>
      <c r="Q39" s="308" t="s">
        <v>318</v>
      </c>
      <c r="R39" s="335"/>
      <c r="S39" s="309">
        <f>6*5000</f>
        <v>30000</v>
      </c>
      <c r="T39" s="336">
        <v>1</v>
      </c>
      <c r="U39" s="866">
        <v>29.5</v>
      </c>
      <c r="V39" s="317">
        <f>+S39*T39/U39</f>
        <v>1016.9491525423729</v>
      </c>
    </row>
    <row r="40" spans="2:24" ht="15" customHeight="1" x14ac:dyDescent="0.2">
      <c r="B40" s="1094"/>
      <c r="C40" s="643" t="s">
        <v>337</v>
      </c>
      <c r="D40" s="89">
        <v>1000</v>
      </c>
      <c r="E40" s="100" t="s">
        <v>314</v>
      </c>
      <c r="F40" s="89">
        <f>96020/20000</f>
        <v>4.8010000000000002</v>
      </c>
      <c r="G40" s="199">
        <f>D40*F40</f>
        <v>4801</v>
      </c>
      <c r="H40" s="211"/>
      <c r="I40" s="1275"/>
      <c r="J40" s="208"/>
      <c r="K40" s="1233"/>
      <c r="L40" s="1233"/>
      <c r="M40" s="302"/>
      <c r="N40" s="317"/>
      <c r="O40" s="217"/>
      <c r="P40" s="1229"/>
      <c r="Q40" s="308" t="s">
        <v>319</v>
      </c>
      <c r="R40" s="335"/>
      <c r="S40" s="309">
        <v>11460</v>
      </c>
      <c r="T40" s="336">
        <v>1</v>
      </c>
      <c r="U40" s="866">
        <v>29.5</v>
      </c>
      <c r="V40" s="317">
        <f>+S40*T40/U40</f>
        <v>388.47457627118644</v>
      </c>
      <c r="X40" s="851" t="s">
        <v>320</v>
      </c>
    </row>
    <row r="41" spans="2:24" ht="15" customHeight="1" x14ac:dyDescent="0.2">
      <c r="B41" s="1094"/>
      <c r="C41" s="643"/>
      <c r="D41" s="89"/>
      <c r="E41" s="100"/>
      <c r="F41" s="89"/>
      <c r="G41" s="199">
        <f>D41*F41</f>
        <v>0</v>
      </c>
      <c r="H41" s="211"/>
      <c r="I41" s="1275"/>
      <c r="J41" s="208"/>
      <c r="K41" s="1233"/>
      <c r="L41" s="1233"/>
      <c r="M41" s="302"/>
      <c r="N41" s="317"/>
      <c r="O41" s="217"/>
      <c r="P41" s="1229"/>
      <c r="Q41" s="308"/>
      <c r="R41" s="335"/>
      <c r="S41" s="309"/>
      <c r="T41" s="336"/>
      <c r="U41" s="309"/>
      <c r="V41" s="317"/>
      <c r="X41" s="851" t="s">
        <v>321</v>
      </c>
    </row>
    <row r="42" spans="2:24" ht="15" customHeight="1" thickBot="1" x14ac:dyDescent="0.25">
      <c r="B42" s="1094"/>
      <c r="C42" s="643"/>
      <c r="D42" s="89"/>
      <c r="E42" s="100"/>
      <c r="F42" s="89"/>
      <c r="G42" s="199">
        <f t="shared" ref="G42:G47" si="12">D42*F42</f>
        <v>0</v>
      </c>
      <c r="H42" s="211"/>
      <c r="I42" s="1276"/>
      <c r="J42" s="305" t="s">
        <v>161</v>
      </c>
      <c r="K42" s="1257"/>
      <c r="L42" s="1258"/>
      <c r="M42" s="306"/>
      <c r="N42" s="313">
        <f>SUM(N36:N41)</f>
        <v>2618.7711864406779</v>
      </c>
      <c r="O42" s="217"/>
      <c r="P42" s="1229"/>
      <c r="Q42" s="308"/>
      <c r="R42" s="335"/>
      <c r="S42" s="309"/>
      <c r="T42" s="336"/>
      <c r="U42" s="309"/>
      <c r="V42" s="317"/>
    </row>
    <row r="43" spans="2:24" ht="15" customHeight="1" thickTop="1" thickBot="1" x14ac:dyDescent="0.25">
      <c r="B43" s="1094"/>
      <c r="C43" s="643"/>
      <c r="D43" s="89"/>
      <c r="E43" s="100"/>
      <c r="F43" s="89"/>
      <c r="G43" s="199"/>
      <c r="H43" s="211"/>
      <c r="I43" s="1260" t="s">
        <v>244</v>
      </c>
      <c r="J43" s="307" t="s">
        <v>724</v>
      </c>
      <c r="K43" s="1259">
        <v>8200</v>
      </c>
      <c r="L43" s="1259"/>
      <c r="M43" s="845">
        <v>29.5</v>
      </c>
      <c r="N43" s="334">
        <f>+K43/M43</f>
        <v>277.96610169491527</v>
      </c>
      <c r="O43" s="217"/>
      <c r="P43" s="1229"/>
      <c r="Q43" s="308"/>
      <c r="R43" s="335"/>
      <c r="S43" s="309"/>
      <c r="T43" s="336"/>
      <c r="U43" s="309"/>
      <c r="V43" s="317"/>
    </row>
    <row r="44" spans="2:24" ht="15" customHeight="1" thickTop="1" thickBot="1" x14ac:dyDescent="0.25">
      <c r="B44" s="1094"/>
      <c r="C44" s="643"/>
      <c r="D44" s="89"/>
      <c r="E44" s="100"/>
      <c r="F44" s="89"/>
      <c r="G44" s="199"/>
      <c r="H44" s="211"/>
      <c r="I44" s="1261"/>
      <c r="J44" s="308" t="s">
        <v>257</v>
      </c>
      <c r="K44" s="1233">
        <v>4100</v>
      </c>
      <c r="L44" s="1233"/>
      <c r="M44" s="456">
        <v>30</v>
      </c>
      <c r="N44" s="334">
        <f>+K44/M44</f>
        <v>136.66666666666666</v>
      </c>
      <c r="O44" s="217"/>
      <c r="P44" s="1274"/>
      <c r="Q44" s="318" t="s">
        <v>253</v>
      </c>
      <c r="R44" s="319"/>
      <c r="S44" s="319"/>
      <c r="T44" s="319"/>
      <c r="U44" s="319"/>
      <c r="V44" s="320">
        <f>SUM(V38:V43)</f>
        <v>5351.1864406779659</v>
      </c>
    </row>
    <row r="45" spans="2:24" ht="15" customHeight="1" thickTop="1" x14ac:dyDescent="0.2">
      <c r="B45" s="1094"/>
      <c r="C45" s="643"/>
      <c r="D45" s="89"/>
      <c r="E45" s="100"/>
      <c r="F45" s="89"/>
      <c r="G45" s="199"/>
      <c r="H45" s="211"/>
      <c r="I45" s="1261"/>
      <c r="J45" s="208"/>
      <c r="K45" s="1233"/>
      <c r="L45" s="1233"/>
      <c r="M45" s="302"/>
      <c r="N45" s="317"/>
      <c r="O45" s="217"/>
      <c r="P45" s="1228" t="s">
        <v>258</v>
      </c>
      <c r="Q45" s="1225" t="s">
        <v>267</v>
      </c>
      <c r="R45" s="337" t="s">
        <v>268</v>
      </c>
      <c r="S45" s="307">
        <v>35750</v>
      </c>
      <c r="T45" s="338">
        <v>1</v>
      </c>
      <c r="U45" s="868">
        <v>29.5</v>
      </c>
      <c r="V45" s="333">
        <f>+S45*T45/U45</f>
        <v>1211.8644067796611</v>
      </c>
    </row>
    <row r="46" spans="2:24" ht="15" customHeight="1" thickBot="1" x14ac:dyDescent="0.25">
      <c r="B46" s="1094"/>
      <c r="C46" s="643"/>
      <c r="D46" s="89"/>
      <c r="E46" s="100"/>
      <c r="F46" s="89"/>
      <c r="G46" s="199">
        <f t="shared" si="12"/>
        <v>0</v>
      </c>
      <c r="H46" s="211"/>
      <c r="I46" s="1277"/>
      <c r="J46" s="305" t="s">
        <v>161</v>
      </c>
      <c r="K46" s="1257"/>
      <c r="L46" s="1258"/>
      <c r="M46" s="306"/>
      <c r="N46" s="313">
        <f>SUM(N43:N45)</f>
        <v>414.63276836158195</v>
      </c>
      <c r="O46" s="217"/>
      <c r="P46" s="1229"/>
      <c r="Q46" s="1226"/>
      <c r="R46" s="339"/>
      <c r="S46" s="308"/>
      <c r="T46" s="336"/>
      <c r="U46" s="869"/>
      <c r="V46" s="317"/>
    </row>
    <row r="47" spans="2:24" ht="15" customHeight="1" thickTop="1" x14ac:dyDescent="0.2">
      <c r="B47" s="1094"/>
      <c r="C47" s="643"/>
      <c r="D47" s="89"/>
      <c r="E47" s="100"/>
      <c r="F47" s="89"/>
      <c r="G47" s="199">
        <f t="shared" si="12"/>
        <v>0</v>
      </c>
      <c r="H47" s="211"/>
      <c r="I47" s="1260" t="s">
        <v>245</v>
      </c>
      <c r="J47" s="307" t="s">
        <v>725</v>
      </c>
      <c r="K47" s="1259">
        <v>11500</v>
      </c>
      <c r="L47" s="1259"/>
      <c r="M47" s="845">
        <v>29.5</v>
      </c>
      <c r="N47" s="334">
        <f>+K47/M47</f>
        <v>389.83050847457628</v>
      </c>
      <c r="O47" s="217"/>
      <c r="P47" s="1229"/>
      <c r="Q47" s="1226"/>
      <c r="R47" s="339"/>
      <c r="S47" s="308"/>
      <c r="T47" s="308"/>
      <c r="U47" s="654"/>
      <c r="V47" s="340"/>
    </row>
    <row r="48" spans="2:24" ht="15" customHeight="1" x14ac:dyDescent="0.2">
      <c r="B48" s="1094"/>
      <c r="C48" s="643"/>
      <c r="D48" s="89"/>
      <c r="E48" s="100"/>
      <c r="F48" s="89"/>
      <c r="G48" s="199">
        <f t="shared" ref="G48:G52" si="13">D48*F48</f>
        <v>0</v>
      </c>
      <c r="H48" s="211"/>
      <c r="I48" s="1261"/>
      <c r="J48" s="308"/>
      <c r="K48" s="1233"/>
      <c r="L48" s="1233"/>
      <c r="M48" s="302"/>
      <c r="N48" s="317"/>
      <c r="O48" s="217"/>
      <c r="P48" s="1229"/>
      <c r="Q48" s="1226"/>
      <c r="R48" s="339" t="s">
        <v>257</v>
      </c>
      <c r="S48" s="308">
        <v>15600</v>
      </c>
      <c r="T48" s="336">
        <v>1</v>
      </c>
      <c r="U48" s="869">
        <v>30</v>
      </c>
      <c r="V48" s="317">
        <f>+S48*T48/U48</f>
        <v>520</v>
      </c>
    </row>
    <row r="49" spans="2:22" ht="15" customHeight="1" thickBot="1" x14ac:dyDescent="0.25">
      <c r="B49" s="1254"/>
      <c r="C49" s="202" t="s">
        <v>161</v>
      </c>
      <c r="D49" s="203"/>
      <c r="E49" s="203"/>
      <c r="F49" s="203"/>
      <c r="G49" s="204">
        <f>SUM(G39:G48)</f>
        <v>4975</v>
      </c>
      <c r="H49" s="211"/>
      <c r="I49" s="1261"/>
      <c r="J49" s="208"/>
      <c r="K49" s="1233"/>
      <c r="L49" s="1233"/>
      <c r="M49" s="302"/>
      <c r="N49" s="317"/>
      <c r="O49" s="217"/>
      <c r="P49" s="1229"/>
      <c r="Q49" s="1227"/>
      <c r="R49" s="339"/>
      <c r="S49" s="308"/>
      <c r="T49" s="308"/>
      <c r="U49" s="208"/>
      <c r="V49" s="340"/>
    </row>
    <row r="50" spans="2:22" ht="15" customHeight="1" thickTop="1" thickBot="1" x14ac:dyDescent="0.25">
      <c r="B50" s="1252" t="s">
        <v>32</v>
      </c>
      <c r="C50" s="643" t="s">
        <v>766</v>
      </c>
      <c r="D50" s="89">
        <v>10</v>
      </c>
      <c r="E50" s="100" t="s">
        <v>303</v>
      </c>
      <c r="F50" s="89">
        <f>24330/10</f>
        <v>2433</v>
      </c>
      <c r="G50" s="199">
        <f t="shared" si="13"/>
        <v>24330</v>
      </c>
      <c r="H50" s="211"/>
      <c r="I50" s="1277"/>
      <c r="J50" s="305" t="s">
        <v>161</v>
      </c>
      <c r="K50" s="1257"/>
      <c r="L50" s="1258"/>
      <c r="M50" s="306"/>
      <c r="N50" s="313">
        <f>SUM(N47:N49)</f>
        <v>389.83050847457628</v>
      </c>
      <c r="O50" s="217"/>
      <c r="P50" s="1229"/>
      <c r="Q50" s="318" t="s">
        <v>253</v>
      </c>
      <c r="R50" s="319"/>
      <c r="S50" s="319"/>
      <c r="T50" s="319"/>
      <c r="U50" s="319"/>
      <c r="V50" s="320">
        <f>SUM(V45:V49)</f>
        <v>1731.8644067796611</v>
      </c>
    </row>
    <row r="51" spans="2:22" ht="15" customHeight="1" thickTop="1" x14ac:dyDescent="0.2">
      <c r="B51" s="1094"/>
      <c r="C51" s="643"/>
      <c r="D51" s="89"/>
      <c r="E51" s="89"/>
      <c r="F51" s="89"/>
      <c r="G51" s="199">
        <f t="shared" si="13"/>
        <v>0</v>
      </c>
      <c r="H51" s="211"/>
      <c r="I51" s="1260" t="s">
        <v>246</v>
      </c>
      <c r="J51" s="307" t="s">
        <v>54</v>
      </c>
      <c r="K51" s="1263">
        <v>2400</v>
      </c>
      <c r="L51" s="1264"/>
      <c r="M51" s="845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51" s="334">
        <f>+K51/M51</f>
        <v>81.355932203389827</v>
      </c>
      <c r="O51" s="217"/>
      <c r="P51" s="1229"/>
      <c r="Q51" s="1225" t="s">
        <v>269</v>
      </c>
      <c r="R51" s="337" t="s">
        <v>268</v>
      </c>
      <c r="S51" s="307">
        <v>60000</v>
      </c>
      <c r="T51" s="338">
        <v>1</v>
      </c>
      <c r="U51" s="868">
        <v>29.5</v>
      </c>
      <c r="V51" s="333">
        <f>+S51*T51/U51</f>
        <v>2033.8983050847457</v>
      </c>
    </row>
    <row r="52" spans="2:22" ht="15" customHeight="1" x14ac:dyDescent="0.2">
      <c r="B52" s="1094"/>
      <c r="C52" s="643"/>
      <c r="D52" s="89"/>
      <c r="E52" s="89"/>
      <c r="F52" s="89"/>
      <c r="G52" s="199">
        <f t="shared" si="13"/>
        <v>0</v>
      </c>
      <c r="H52" s="211"/>
      <c r="I52" s="1261"/>
      <c r="J52" s="308" t="s">
        <v>54</v>
      </c>
      <c r="K52" s="1265">
        <v>2400</v>
      </c>
      <c r="L52" s="1266"/>
      <c r="M52" s="844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52" s="317">
        <f t="shared" ref="N52:N55" si="14">+K52/M52</f>
        <v>81.355932203389827</v>
      </c>
      <c r="O52" s="217"/>
      <c r="P52" s="1229"/>
      <c r="Q52" s="1226"/>
      <c r="R52" s="339"/>
      <c r="S52" s="308"/>
      <c r="T52" s="336"/>
      <c r="U52" s="869"/>
      <c r="V52" s="317"/>
    </row>
    <row r="53" spans="2:22" ht="15" customHeight="1" thickBot="1" x14ac:dyDescent="0.25">
      <c r="B53" s="1254"/>
      <c r="C53" s="202" t="s">
        <v>161</v>
      </c>
      <c r="D53" s="203"/>
      <c r="E53" s="203"/>
      <c r="F53" s="203"/>
      <c r="G53" s="204">
        <f>SUM(G50:G52)</f>
        <v>24330</v>
      </c>
      <c r="H53" s="211"/>
      <c r="I53" s="1261"/>
      <c r="J53" s="308" t="s">
        <v>56</v>
      </c>
      <c r="K53" s="1267">
        <v>2400</v>
      </c>
      <c r="L53" s="1268"/>
      <c r="M53" s="846">
        <f>'１　対象経営の概要，２　前提条件'!N7</f>
        <v>29.5</v>
      </c>
      <c r="N53" s="317">
        <f t="shared" si="14"/>
        <v>81.355932203389827</v>
      </c>
      <c r="O53" s="217"/>
      <c r="P53" s="1229"/>
      <c r="Q53" s="1226"/>
      <c r="R53" s="339"/>
      <c r="S53" s="308"/>
      <c r="T53" s="308"/>
      <c r="U53" s="654"/>
      <c r="V53" s="340"/>
    </row>
    <row r="54" spans="2:22" ht="13.9" customHeight="1" thickTop="1" x14ac:dyDescent="0.2">
      <c r="B54" s="1252" t="s">
        <v>335</v>
      </c>
      <c r="C54" s="643" t="s">
        <v>767</v>
      </c>
      <c r="D54" s="427">
        <f>131*50/1000</f>
        <v>6.55</v>
      </c>
      <c r="E54" s="100" t="s">
        <v>303</v>
      </c>
      <c r="F54" s="89">
        <f>9650/3</f>
        <v>3216.6666666666665</v>
      </c>
      <c r="G54" s="198">
        <f>D54*F54</f>
        <v>21069.166666666664</v>
      </c>
      <c r="I54" s="1261"/>
      <c r="J54" s="302" t="s">
        <v>257</v>
      </c>
      <c r="K54" s="1269">
        <v>5000</v>
      </c>
      <c r="L54" s="1270"/>
      <c r="M54" s="844">
        <v>30</v>
      </c>
      <c r="N54" s="317">
        <f t="shared" si="14"/>
        <v>166.66666666666666</v>
      </c>
      <c r="O54" s="217"/>
      <c r="P54" s="1229"/>
      <c r="Q54" s="1226"/>
      <c r="R54" s="339" t="s">
        <v>257</v>
      </c>
      <c r="S54" s="308">
        <v>25000</v>
      </c>
      <c r="T54" s="336">
        <v>1</v>
      </c>
      <c r="U54" s="869">
        <v>30</v>
      </c>
      <c r="V54" s="317">
        <f>+S54*T54/U54</f>
        <v>833.33333333333337</v>
      </c>
    </row>
    <row r="55" spans="2:22" x14ac:dyDescent="0.2">
      <c r="B55" s="1094"/>
      <c r="C55" s="643" t="s">
        <v>768</v>
      </c>
      <c r="D55" s="89">
        <v>1000</v>
      </c>
      <c r="E55" s="100" t="s">
        <v>309</v>
      </c>
      <c r="F55" s="89">
        <f>68710/10000</f>
        <v>6.8710000000000004</v>
      </c>
      <c r="G55" s="199">
        <f>D55*F55</f>
        <v>6871</v>
      </c>
      <c r="I55" s="1261"/>
      <c r="J55" s="308" t="s">
        <v>475</v>
      </c>
      <c r="K55" s="1267">
        <v>5900</v>
      </c>
      <c r="L55" s="1268"/>
      <c r="M55" s="846">
        <v>29.5</v>
      </c>
      <c r="N55" s="548">
        <f t="shared" si="14"/>
        <v>200</v>
      </c>
      <c r="O55" s="217"/>
      <c r="P55" s="1229"/>
      <c r="Q55" s="1227"/>
      <c r="R55" s="339"/>
      <c r="S55" s="308"/>
      <c r="T55" s="308"/>
      <c r="U55" s="208"/>
      <c r="V55" s="340"/>
    </row>
    <row r="56" spans="2:22" x14ac:dyDescent="0.2">
      <c r="B56" s="1094"/>
      <c r="C56" s="89"/>
      <c r="D56" s="89"/>
      <c r="E56" s="100"/>
      <c r="F56" s="89"/>
      <c r="G56" s="199">
        <f>D56*F56</f>
        <v>0</v>
      </c>
      <c r="I56" s="1262"/>
      <c r="J56" s="310" t="s">
        <v>161</v>
      </c>
      <c r="K56" s="1271"/>
      <c r="L56" s="1272"/>
      <c r="M56" s="311"/>
      <c r="N56" s="314">
        <f>SUM(N51:N55)</f>
        <v>610.7344632768361</v>
      </c>
      <c r="O56" s="217"/>
      <c r="P56" s="1230"/>
      <c r="Q56" s="343" t="s">
        <v>253</v>
      </c>
      <c r="R56" s="344"/>
      <c r="S56" s="344"/>
      <c r="T56" s="344"/>
      <c r="U56" s="344"/>
      <c r="V56" s="345">
        <f>SUM(V51:V55)</f>
        <v>2867.231638418079</v>
      </c>
    </row>
    <row r="57" spans="2:22" ht="13.5" thickBot="1" x14ac:dyDescent="0.25">
      <c r="B57" s="1253"/>
      <c r="C57" s="205" t="s">
        <v>163</v>
      </c>
      <c r="D57" s="206"/>
      <c r="E57" s="206"/>
      <c r="F57" s="206"/>
      <c r="G57" s="207">
        <f>SUM(G54:G56)</f>
        <v>27940.166666666664</v>
      </c>
      <c r="I57" s="1231" t="s">
        <v>247</v>
      </c>
      <c r="J57" s="1232"/>
      <c r="K57" s="1255"/>
      <c r="L57" s="1256"/>
      <c r="M57" s="222"/>
      <c r="N57" s="315">
        <f>SUM(N42,N46,N50,N56)</f>
        <v>4033.9689265536717</v>
      </c>
      <c r="O57" s="217"/>
      <c r="P57" s="1223" t="s">
        <v>247</v>
      </c>
      <c r="Q57" s="1224"/>
      <c r="R57" s="341"/>
      <c r="S57" s="341"/>
      <c r="T57" s="341"/>
      <c r="U57" s="341"/>
      <c r="V57" s="342">
        <f>SUM(V44,V50,V56)</f>
        <v>9950.2824858757067</v>
      </c>
    </row>
    <row r="58" spans="2:22" x14ac:dyDescent="0.2">
      <c r="O58" s="217"/>
      <c r="V58" s="90"/>
    </row>
    <row r="59" spans="2:22" x14ac:dyDescent="0.2">
      <c r="I59" s="217"/>
      <c r="J59" s="217"/>
      <c r="K59" s="217"/>
      <c r="L59" s="217"/>
      <c r="M59" s="217"/>
      <c r="N59" s="217"/>
      <c r="O59" s="217"/>
    </row>
    <row r="60" spans="2:22" x14ac:dyDescent="0.2">
      <c r="I60" s="217"/>
      <c r="J60" s="217"/>
      <c r="K60" s="217"/>
      <c r="L60" s="217"/>
      <c r="M60" s="217"/>
      <c r="N60" s="217"/>
      <c r="O60" s="217"/>
    </row>
    <row r="61" spans="2:22" x14ac:dyDescent="0.2">
      <c r="I61" s="217"/>
      <c r="J61" s="217"/>
      <c r="K61" s="217"/>
      <c r="L61" s="217"/>
      <c r="M61" s="217"/>
      <c r="N61" s="217"/>
      <c r="O61" s="217"/>
    </row>
    <row r="62" spans="2:22" x14ac:dyDescent="0.2">
      <c r="I62" s="217"/>
      <c r="J62" s="217"/>
      <c r="K62" s="217"/>
      <c r="L62" s="217"/>
      <c r="M62" s="217"/>
      <c r="N62" s="217"/>
      <c r="O62" s="217"/>
    </row>
    <row r="63" spans="2:22" x14ac:dyDescent="0.2">
      <c r="I63" s="217"/>
      <c r="J63" s="217"/>
      <c r="K63" s="217"/>
      <c r="L63" s="217"/>
      <c r="M63" s="217"/>
      <c r="N63" s="217"/>
      <c r="O63" s="217"/>
    </row>
    <row r="64" spans="2:22" x14ac:dyDescent="0.2">
      <c r="I64" s="217"/>
      <c r="J64" s="217"/>
      <c r="K64" s="217"/>
      <c r="L64" s="217"/>
      <c r="M64" s="217"/>
      <c r="N64" s="217"/>
      <c r="O64" s="217"/>
    </row>
    <row r="65" spans="9:15" x14ac:dyDescent="0.2">
      <c r="I65" s="217"/>
      <c r="J65" s="217"/>
      <c r="K65" s="217"/>
      <c r="L65" s="217"/>
      <c r="M65" s="217"/>
      <c r="N65" s="217"/>
      <c r="O65" s="217"/>
    </row>
    <row r="66" spans="9:15" x14ac:dyDescent="0.2">
      <c r="I66" s="217"/>
      <c r="J66" s="217"/>
      <c r="K66" s="217"/>
      <c r="L66" s="217"/>
      <c r="M66" s="217"/>
      <c r="N66" s="217"/>
      <c r="O66" s="217"/>
    </row>
    <row r="67" spans="9:15" x14ac:dyDescent="0.2">
      <c r="I67" s="217"/>
      <c r="J67" s="217"/>
      <c r="K67" s="217"/>
      <c r="L67" s="217"/>
      <c r="M67" s="217"/>
      <c r="N67" s="217"/>
      <c r="O67" s="217"/>
    </row>
    <row r="68" spans="9:15" x14ac:dyDescent="0.2">
      <c r="I68" s="217"/>
      <c r="J68" s="217"/>
      <c r="K68" s="217"/>
      <c r="L68" s="217"/>
      <c r="M68" s="217"/>
      <c r="N68" s="217"/>
      <c r="O68" s="217"/>
    </row>
    <row r="69" spans="9:15" x14ac:dyDescent="0.2">
      <c r="I69" s="217"/>
      <c r="J69" s="217"/>
      <c r="K69" s="217"/>
      <c r="L69" s="217"/>
      <c r="M69" s="217"/>
      <c r="N69" s="217"/>
      <c r="O69" s="217"/>
    </row>
    <row r="70" spans="9:15" x14ac:dyDescent="0.2">
      <c r="I70" s="217"/>
      <c r="J70" s="217"/>
      <c r="K70" s="217"/>
      <c r="L70" s="217"/>
      <c r="M70" s="217"/>
      <c r="N70" s="217"/>
      <c r="O70" s="217"/>
    </row>
    <row r="71" spans="9:15" x14ac:dyDescent="0.2">
      <c r="I71" s="217"/>
      <c r="J71" s="217"/>
      <c r="K71" s="217"/>
      <c r="L71" s="217"/>
      <c r="M71" s="217"/>
      <c r="N71" s="217"/>
      <c r="O71" s="217"/>
    </row>
    <row r="72" spans="9:15" x14ac:dyDescent="0.2">
      <c r="I72" s="217"/>
      <c r="J72" s="217"/>
      <c r="K72" s="217"/>
      <c r="L72" s="217"/>
      <c r="M72" s="217"/>
      <c r="N72" s="217"/>
      <c r="O72" s="217"/>
    </row>
    <row r="73" spans="9:15" x14ac:dyDescent="0.2">
      <c r="I73" s="217"/>
      <c r="J73" s="217"/>
      <c r="K73" s="217"/>
      <c r="L73" s="217"/>
      <c r="M73" s="217"/>
      <c r="N73" s="217"/>
      <c r="O73" s="217"/>
    </row>
    <row r="74" spans="9:15" x14ac:dyDescent="0.2">
      <c r="I74" s="217"/>
      <c r="J74" s="217"/>
      <c r="K74" s="217"/>
      <c r="L74" s="217"/>
      <c r="M74" s="217"/>
      <c r="N74" s="217"/>
      <c r="O74" s="217"/>
    </row>
    <row r="75" spans="9:15" x14ac:dyDescent="0.2">
      <c r="I75" s="217"/>
      <c r="J75" s="217"/>
      <c r="K75" s="217"/>
      <c r="L75" s="217"/>
      <c r="M75" s="217"/>
      <c r="N75" s="217"/>
      <c r="O75" s="217"/>
    </row>
    <row r="76" spans="9:15" x14ac:dyDescent="0.2">
      <c r="I76" s="217"/>
      <c r="J76" s="217"/>
      <c r="K76" s="217"/>
      <c r="L76" s="217"/>
      <c r="M76" s="217"/>
      <c r="N76" s="217"/>
      <c r="O76" s="217"/>
    </row>
    <row r="77" spans="9:15" x14ac:dyDescent="0.2">
      <c r="I77" s="217"/>
      <c r="J77" s="217"/>
      <c r="K77" s="217"/>
      <c r="L77" s="217"/>
      <c r="M77" s="217"/>
      <c r="N77" s="217"/>
      <c r="O77" s="217"/>
    </row>
    <row r="78" spans="9:15" x14ac:dyDescent="0.2">
      <c r="I78" s="217"/>
      <c r="J78" s="217"/>
      <c r="K78" s="217"/>
      <c r="L78" s="217"/>
      <c r="M78" s="217"/>
      <c r="N78" s="217"/>
      <c r="O78" s="217"/>
    </row>
    <row r="79" spans="9:15" x14ac:dyDescent="0.2">
      <c r="I79" s="217"/>
      <c r="J79" s="217"/>
      <c r="K79" s="217"/>
      <c r="L79" s="217"/>
      <c r="M79" s="217"/>
      <c r="N79" s="217"/>
      <c r="O79" s="217"/>
    </row>
    <row r="80" spans="9:15" x14ac:dyDescent="0.2">
      <c r="I80" s="217"/>
      <c r="J80" s="217"/>
      <c r="K80" s="217"/>
      <c r="L80" s="217"/>
      <c r="M80" s="217"/>
      <c r="N80" s="217"/>
      <c r="O80" s="217"/>
    </row>
    <row r="81" spans="2:15" x14ac:dyDescent="0.2">
      <c r="I81" s="217"/>
      <c r="J81" s="217"/>
      <c r="K81" s="217"/>
      <c r="L81" s="217"/>
      <c r="M81" s="217"/>
      <c r="N81" s="217"/>
      <c r="O81" s="217"/>
    </row>
    <row r="82" spans="2:15" x14ac:dyDescent="0.2">
      <c r="I82" s="217"/>
      <c r="J82" s="217"/>
      <c r="K82" s="217"/>
      <c r="L82" s="217"/>
      <c r="M82" s="217"/>
      <c r="N82" s="217"/>
      <c r="O82" s="217"/>
    </row>
    <row r="83" spans="2:15" x14ac:dyDescent="0.2">
      <c r="B83" s="210"/>
      <c r="C83" s="211"/>
      <c r="D83" s="211"/>
      <c r="E83" s="211"/>
      <c r="F83" s="211"/>
      <c r="I83" s="217"/>
      <c r="J83" s="217"/>
      <c r="K83" s="217"/>
      <c r="L83" s="217"/>
      <c r="M83" s="217"/>
      <c r="N83" s="217"/>
      <c r="O83" s="217"/>
    </row>
    <row r="84" spans="2:15" x14ac:dyDescent="0.2">
      <c r="B84" s="210"/>
      <c r="C84" s="211"/>
      <c r="D84" s="211"/>
      <c r="E84" s="211"/>
      <c r="F84" s="211"/>
      <c r="I84" s="217"/>
      <c r="J84" s="217"/>
      <c r="K84" s="217"/>
      <c r="L84" s="217"/>
      <c r="M84" s="217"/>
      <c r="N84" s="217"/>
      <c r="O84" s="217"/>
    </row>
    <row r="85" spans="2:15" x14ac:dyDescent="0.2">
      <c r="I85" s="217"/>
      <c r="J85" s="217"/>
      <c r="K85" s="217"/>
      <c r="L85" s="217"/>
      <c r="M85" s="217"/>
      <c r="N85" s="217"/>
      <c r="O85" s="217"/>
    </row>
    <row r="86" spans="2:15" x14ac:dyDescent="0.2">
      <c r="I86" s="217"/>
      <c r="J86" s="217"/>
      <c r="K86" s="217"/>
      <c r="L86" s="217"/>
      <c r="M86" s="217"/>
      <c r="N86" s="217"/>
      <c r="O86" s="217"/>
    </row>
    <row r="87" spans="2:15" x14ac:dyDescent="0.2">
      <c r="I87" s="217"/>
      <c r="J87" s="217"/>
      <c r="K87" s="217"/>
      <c r="L87" s="217"/>
      <c r="M87" s="217"/>
      <c r="N87" s="217"/>
      <c r="O87" s="217"/>
    </row>
    <row r="88" spans="2:15" x14ac:dyDescent="0.2">
      <c r="I88" s="217"/>
      <c r="J88" s="217"/>
      <c r="K88" s="217"/>
      <c r="L88" s="217"/>
      <c r="M88" s="217"/>
      <c r="N88" s="217"/>
      <c r="O88" s="217"/>
    </row>
    <row r="89" spans="2:15" x14ac:dyDescent="0.2">
      <c r="I89" s="217"/>
      <c r="J89" s="217"/>
      <c r="K89" s="217"/>
      <c r="L89" s="217"/>
      <c r="M89" s="217"/>
      <c r="N89" s="217"/>
      <c r="O89" s="217"/>
    </row>
    <row r="90" spans="2:15" x14ac:dyDescent="0.2">
      <c r="I90" s="217"/>
      <c r="J90" s="217"/>
      <c r="K90" s="217"/>
      <c r="L90" s="217"/>
      <c r="M90" s="217"/>
      <c r="N90" s="217"/>
      <c r="O90" s="217"/>
    </row>
    <row r="91" spans="2:15" x14ac:dyDescent="0.2">
      <c r="I91" s="217"/>
      <c r="J91" s="217"/>
      <c r="K91" s="217"/>
      <c r="L91" s="217"/>
      <c r="M91" s="217"/>
      <c r="N91" s="217"/>
      <c r="O91" s="217"/>
    </row>
    <row r="92" spans="2:15" x14ac:dyDescent="0.2">
      <c r="I92" s="217"/>
      <c r="J92" s="217"/>
      <c r="K92" s="217"/>
      <c r="L92" s="217"/>
      <c r="M92" s="217"/>
      <c r="N92" s="217"/>
      <c r="O92" s="217"/>
    </row>
    <row r="93" spans="2:15" x14ac:dyDescent="0.2">
      <c r="I93" s="217"/>
      <c r="J93" s="217"/>
      <c r="K93" s="217"/>
      <c r="L93" s="217"/>
      <c r="M93" s="217"/>
      <c r="N93" s="217"/>
      <c r="O93" s="217"/>
    </row>
    <row r="94" spans="2:15" x14ac:dyDescent="0.2">
      <c r="I94" s="217"/>
      <c r="J94" s="217"/>
      <c r="K94" s="217"/>
      <c r="L94" s="217"/>
      <c r="M94" s="217"/>
      <c r="N94" s="217"/>
      <c r="O94" s="217"/>
    </row>
    <row r="95" spans="2:15" x14ac:dyDescent="0.2">
      <c r="I95" s="217"/>
      <c r="J95" s="217"/>
      <c r="K95" s="217"/>
      <c r="L95" s="217"/>
      <c r="M95" s="217"/>
      <c r="N95" s="217"/>
      <c r="O95" s="217"/>
    </row>
    <row r="96" spans="2:15" x14ac:dyDescent="0.2">
      <c r="I96" s="217"/>
      <c r="J96" s="217"/>
      <c r="K96" s="217"/>
      <c r="L96" s="217"/>
      <c r="M96" s="217"/>
      <c r="N96" s="217"/>
      <c r="O96" s="217"/>
    </row>
    <row r="97" spans="9:15" x14ac:dyDescent="0.2">
      <c r="I97" s="217"/>
      <c r="J97" s="217"/>
      <c r="K97" s="217"/>
      <c r="L97" s="217"/>
      <c r="M97" s="217"/>
      <c r="N97" s="217"/>
      <c r="O97" s="217"/>
    </row>
    <row r="98" spans="9:15" x14ac:dyDescent="0.2">
      <c r="I98" s="217"/>
      <c r="J98" s="217"/>
      <c r="K98" s="217"/>
      <c r="L98" s="217"/>
      <c r="M98" s="217"/>
      <c r="N98" s="217"/>
      <c r="O98" s="217"/>
    </row>
    <row r="99" spans="9:15" x14ac:dyDescent="0.2">
      <c r="I99" s="217"/>
      <c r="J99" s="217"/>
      <c r="K99" s="217"/>
      <c r="L99" s="217"/>
      <c r="M99" s="217"/>
      <c r="N99" s="217"/>
      <c r="O99" s="217"/>
    </row>
    <row r="100" spans="9:15" x14ac:dyDescent="0.2">
      <c r="I100" s="217"/>
      <c r="J100" s="217"/>
      <c r="K100" s="217"/>
      <c r="L100" s="217"/>
      <c r="M100" s="217"/>
      <c r="N100" s="217"/>
      <c r="O100" s="217"/>
    </row>
    <row r="101" spans="9:15" x14ac:dyDescent="0.2">
      <c r="I101" s="217"/>
      <c r="J101" s="217"/>
      <c r="K101" s="217"/>
      <c r="L101" s="217"/>
      <c r="M101" s="217"/>
      <c r="N101" s="217"/>
      <c r="O101" s="217"/>
    </row>
    <row r="102" spans="9:15" x14ac:dyDescent="0.2">
      <c r="I102" s="217"/>
      <c r="J102" s="217"/>
      <c r="K102" s="217"/>
      <c r="L102" s="217"/>
      <c r="M102" s="217"/>
      <c r="N102" s="217"/>
      <c r="O102" s="217"/>
    </row>
    <row r="103" spans="9:15" x14ac:dyDescent="0.2">
      <c r="I103" s="217"/>
      <c r="J103" s="217"/>
      <c r="K103" s="217"/>
      <c r="L103" s="217"/>
      <c r="M103" s="217"/>
      <c r="N103" s="217"/>
      <c r="O103" s="217"/>
    </row>
    <row r="104" spans="9:15" x14ac:dyDescent="0.2">
      <c r="I104" s="217"/>
      <c r="J104" s="217"/>
      <c r="K104" s="217"/>
      <c r="L104" s="217"/>
      <c r="M104" s="217"/>
      <c r="N104" s="217"/>
      <c r="O104" s="217"/>
    </row>
    <row r="105" spans="9:15" x14ac:dyDescent="0.2">
      <c r="I105" s="217"/>
      <c r="J105" s="217"/>
      <c r="K105" s="217"/>
      <c r="L105" s="217"/>
      <c r="M105" s="217"/>
      <c r="N105" s="217"/>
      <c r="O105" s="217"/>
    </row>
    <row r="106" spans="9:15" x14ac:dyDescent="0.2">
      <c r="I106" s="217"/>
      <c r="J106" s="217"/>
      <c r="K106" s="217"/>
      <c r="L106" s="217"/>
      <c r="M106" s="217"/>
      <c r="N106" s="217"/>
      <c r="O106" s="217"/>
    </row>
    <row r="107" spans="9:15" x14ac:dyDescent="0.2">
      <c r="I107" s="217"/>
      <c r="J107" s="217"/>
      <c r="K107" s="217"/>
      <c r="L107" s="217"/>
      <c r="M107" s="217"/>
      <c r="N107" s="217"/>
      <c r="O107" s="217"/>
    </row>
    <row r="108" spans="9:15" x14ac:dyDescent="0.2">
      <c r="I108" s="217"/>
      <c r="J108" s="217"/>
      <c r="K108" s="217"/>
      <c r="L108" s="217"/>
      <c r="M108" s="217"/>
      <c r="N108" s="217"/>
      <c r="O108" s="217"/>
    </row>
    <row r="109" spans="9:15" x14ac:dyDescent="0.2">
      <c r="I109" s="217"/>
      <c r="J109" s="217"/>
      <c r="K109" s="217"/>
      <c r="L109" s="217"/>
      <c r="M109" s="217"/>
      <c r="N109" s="217"/>
      <c r="O109" s="217"/>
    </row>
    <row r="110" spans="9:15" x14ac:dyDescent="0.2">
      <c r="I110" s="217"/>
      <c r="J110" s="217"/>
      <c r="K110" s="217"/>
      <c r="L110" s="217"/>
      <c r="M110" s="217"/>
      <c r="N110" s="217"/>
      <c r="O110" s="217"/>
    </row>
    <row r="111" spans="9:15" x14ac:dyDescent="0.2">
      <c r="I111" s="217"/>
      <c r="J111" s="217"/>
      <c r="K111" s="217"/>
      <c r="L111" s="217"/>
      <c r="M111" s="217"/>
      <c r="N111" s="217"/>
      <c r="O111" s="217"/>
    </row>
    <row r="112" spans="9:15" x14ac:dyDescent="0.2">
      <c r="I112" s="217"/>
      <c r="J112" s="217"/>
      <c r="K112" s="217"/>
      <c r="L112" s="217"/>
      <c r="M112" s="217"/>
      <c r="N112" s="217"/>
      <c r="O112" s="217"/>
    </row>
    <row r="113" spans="9:15" x14ac:dyDescent="0.2">
      <c r="I113" s="217"/>
      <c r="J113" s="217"/>
      <c r="K113" s="217"/>
      <c r="L113" s="217"/>
      <c r="M113" s="217"/>
      <c r="N113" s="217"/>
      <c r="O113" s="217"/>
    </row>
    <row r="114" spans="9:15" x14ac:dyDescent="0.2">
      <c r="I114" s="217"/>
      <c r="J114" s="217"/>
      <c r="K114" s="217"/>
      <c r="L114" s="217"/>
      <c r="M114" s="217"/>
      <c r="N114" s="217"/>
      <c r="O114" s="217"/>
    </row>
    <row r="115" spans="9:15" x14ac:dyDescent="0.2">
      <c r="I115" s="217"/>
      <c r="J115" s="217"/>
      <c r="K115" s="217"/>
      <c r="L115" s="217"/>
      <c r="M115" s="217"/>
      <c r="N115" s="217"/>
      <c r="O115" s="217"/>
    </row>
    <row r="116" spans="9:15" x14ac:dyDescent="0.2">
      <c r="I116" s="217"/>
      <c r="J116" s="217"/>
      <c r="K116" s="217"/>
      <c r="L116" s="217"/>
      <c r="M116" s="217"/>
      <c r="N116" s="217"/>
      <c r="O116" s="217"/>
    </row>
    <row r="117" spans="9:15" x14ac:dyDescent="0.2">
      <c r="I117" s="217"/>
      <c r="J117" s="217"/>
      <c r="K117" s="217"/>
      <c r="L117" s="217"/>
      <c r="M117" s="217"/>
      <c r="N117" s="217"/>
      <c r="O117" s="217"/>
    </row>
    <row r="118" spans="9:15" x14ac:dyDescent="0.2">
      <c r="I118" s="217"/>
      <c r="J118" s="217"/>
      <c r="K118" s="217"/>
      <c r="L118" s="217"/>
      <c r="M118" s="217"/>
      <c r="N118" s="217"/>
      <c r="O118" s="217"/>
    </row>
    <row r="119" spans="9:15" x14ac:dyDescent="0.2">
      <c r="I119" s="217"/>
      <c r="J119" s="217"/>
      <c r="K119" s="217"/>
      <c r="L119" s="217"/>
      <c r="M119" s="217"/>
      <c r="N119" s="217"/>
      <c r="O119" s="217"/>
    </row>
    <row r="120" spans="9:15" x14ac:dyDescent="0.2">
      <c r="I120" s="217"/>
      <c r="J120" s="217"/>
      <c r="K120" s="217"/>
      <c r="L120" s="217"/>
      <c r="M120" s="217"/>
      <c r="N120" s="217"/>
      <c r="O120" s="217"/>
    </row>
    <row r="121" spans="9:15" x14ac:dyDescent="0.2">
      <c r="I121" s="217"/>
      <c r="J121" s="217"/>
      <c r="K121" s="217"/>
      <c r="L121" s="217"/>
      <c r="M121" s="217"/>
      <c r="N121" s="217"/>
      <c r="O121" s="217"/>
    </row>
    <row r="122" spans="9:15" x14ac:dyDescent="0.2">
      <c r="I122" s="217"/>
      <c r="J122" s="217"/>
      <c r="K122" s="217"/>
      <c r="L122" s="217"/>
      <c r="M122" s="217"/>
      <c r="N122" s="217"/>
      <c r="O122" s="217"/>
    </row>
    <row r="123" spans="9:15" x14ac:dyDescent="0.2">
      <c r="I123" s="217"/>
      <c r="J123" s="217"/>
      <c r="K123" s="217"/>
      <c r="L123" s="217"/>
      <c r="M123" s="217"/>
      <c r="N123" s="217"/>
      <c r="O123" s="217"/>
    </row>
    <row r="124" spans="9:15" x14ac:dyDescent="0.2">
      <c r="I124" s="217"/>
      <c r="J124" s="217"/>
      <c r="K124" s="217"/>
      <c r="L124" s="217"/>
      <c r="M124" s="217"/>
      <c r="N124" s="217"/>
      <c r="O124" s="217"/>
    </row>
    <row r="125" spans="9:15" x14ac:dyDescent="0.2">
      <c r="I125" s="217"/>
      <c r="J125" s="217"/>
      <c r="K125" s="217"/>
      <c r="L125" s="217"/>
      <c r="M125" s="217"/>
      <c r="N125" s="217"/>
      <c r="O125" s="217"/>
    </row>
    <row r="126" spans="9:15" x14ac:dyDescent="0.2">
      <c r="I126" s="217"/>
      <c r="J126" s="217"/>
      <c r="K126" s="217"/>
      <c r="L126" s="217"/>
      <c r="M126" s="217"/>
      <c r="N126" s="217"/>
      <c r="O126" s="217"/>
    </row>
    <row r="127" spans="9:15" x14ac:dyDescent="0.2">
      <c r="I127" s="217"/>
      <c r="J127" s="217"/>
      <c r="K127" s="217"/>
      <c r="L127" s="217"/>
      <c r="M127" s="217"/>
      <c r="N127" s="217"/>
      <c r="O127" s="217"/>
    </row>
    <row r="128" spans="9:15" x14ac:dyDescent="0.2">
      <c r="I128" s="217"/>
      <c r="J128" s="217"/>
      <c r="K128" s="217"/>
      <c r="L128" s="217"/>
      <c r="M128" s="217"/>
      <c r="N128" s="217"/>
      <c r="O128" s="217"/>
    </row>
    <row r="129" spans="9:15" x14ac:dyDescent="0.2">
      <c r="I129" s="217"/>
      <c r="J129" s="217"/>
      <c r="K129" s="217"/>
      <c r="L129" s="217"/>
      <c r="M129" s="217"/>
      <c r="N129" s="217"/>
      <c r="O129" s="217"/>
    </row>
    <row r="130" spans="9:15" x14ac:dyDescent="0.2">
      <c r="I130" s="217"/>
      <c r="J130" s="217"/>
      <c r="K130" s="217"/>
      <c r="L130" s="217"/>
      <c r="M130" s="217"/>
      <c r="N130" s="217"/>
      <c r="O130" s="217"/>
    </row>
    <row r="131" spans="9:15" x14ac:dyDescent="0.2">
      <c r="I131" s="217"/>
      <c r="J131" s="217"/>
      <c r="K131" s="217"/>
      <c r="L131" s="217"/>
      <c r="M131" s="217"/>
      <c r="N131" s="217"/>
      <c r="O131" s="217"/>
    </row>
    <row r="132" spans="9:15" x14ac:dyDescent="0.2">
      <c r="I132" s="217"/>
      <c r="J132" s="217"/>
      <c r="K132" s="217"/>
      <c r="L132" s="217"/>
      <c r="M132" s="217"/>
      <c r="N132" s="217"/>
      <c r="O132" s="217"/>
    </row>
    <row r="133" spans="9:15" x14ac:dyDescent="0.2">
      <c r="I133" s="217"/>
      <c r="J133" s="217"/>
      <c r="K133" s="217"/>
      <c r="L133" s="217"/>
      <c r="M133" s="217"/>
      <c r="N133" s="217"/>
      <c r="O133" s="217"/>
    </row>
    <row r="134" spans="9:15" x14ac:dyDescent="0.2">
      <c r="I134" s="217"/>
      <c r="J134" s="217"/>
      <c r="K134" s="217"/>
      <c r="L134" s="217"/>
      <c r="M134" s="217"/>
      <c r="N134" s="217"/>
      <c r="O134" s="217"/>
    </row>
    <row r="135" spans="9:15" x14ac:dyDescent="0.2">
      <c r="I135" s="217"/>
      <c r="J135" s="217"/>
      <c r="K135" s="217"/>
      <c r="L135" s="217"/>
      <c r="M135" s="217"/>
      <c r="N135" s="217"/>
      <c r="O135" s="217"/>
    </row>
    <row r="136" spans="9:15" x14ac:dyDescent="0.2">
      <c r="I136" s="217"/>
      <c r="J136" s="217"/>
      <c r="K136" s="217"/>
      <c r="L136" s="217"/>
      <c r="M136" s="217"/>
      <c r="N136" s="217"/>
      <c r="O136" s="217"/>
    </row>
    <row r="137" spans="9:15" x14ac:dyDescent="0.2">
      <c r="I137" s="217"/>
      <c r="J137" s="217"/>
      <c r="K137" s="217"/>
      <c r="L137" s="217"/>
      <c r="M137" s="217"/>
      <c r="N137" s="217"/>
      <c r="O137" s="217"/>
    </row>
    <row r="138" spans="9:15" x14ac:dyDescent="0.2">
      <c r="I138" s="217"/>
      <c r="J138" s="217"/>
      <c r="K138" s="217"/>
      <c r="L138" s="217"/>
      <c r="M138" s="217"/>
      <c r="N138" s="217"/>
      <c r="O138" s="217"/>
    </row>
    <row r="139" spans="9:15" x14ac:dyDescent="0.2">
      <c r="I139" s="217"/>
      <c r="J139" s="217"/>
      <c r="K139" s="217"/>
      <c r="L139" s="217"/>
      <c r="M139" s="217"/>
      <c r="N139" s="217"/>
      <c r="O139" s="217"/>
    </row>
    <row r="140" spans="9:15" x14ac:dyDescent="0.2">
      <c r="I140" s="217"/>
      <c r="J140" s="217"/>
      <c r="K140" s="217"/>
      <c r="L140" s="217"/>
      <c r="M140" s="217"/>
      <c r="N140" s="217"/>
    </row>
    <row r="141" spans="9:15" x14ac:dyDescent="0.2">
      <c r="I141" s="217"/>
      <c r="J141" s="217"/>
      <c r="K141" s="217"/>
      <c r="L141" s="217"/>
      <c r="M141" s="217"/>
      <c r="N141" s="217"/>
    </row>
    <row r="142" spans="9:15" x14ac:dyDescent="0.2">
      <c r="I142" s="217"/>
      <c r="J142" s="217"/>
      <c r="K142" s="217"/>
      <c r="L142" s="217"/>
      <c r="M142" s="217"/>
      <c r="N142" s="217"/>
    </row>
    <row r="143" spans="9:15" x14ac:dyDescent="0.2">
      <c r="I143" s="217"/>
      <c r="J143" s="217"/>
      <c r="K143" s="217"/>
      <c r="L143" s="217"/>
      <c r="M143" s="217"/>
      <c r="N143" s="217"/>
    </row>
    <row r="144" spans="9:15" x14ac:dyDescent="0.2">
      <c r="I144" s="217"/>
      <c r="J144" s="217"/>
      <c r="K144" s="217"/>
      <c r="L144" s="217"/>
      <c r="M144" s="217"/>
      <c r="N144" s="217"/>
    </row>
    <row r="145" spans="9:14" x14ac:dyDescent="0.2">
      <c r="I145" s="217"/>
      <c r="J145" s="217"/>
      <c r="K145" s="217"/>
      <c r="L145" s="217"/>
      <c r="M145" s="217"/>
      <c r="N145" s="217"/>
    </row>
    <row r="146" spans="9:14" x14ac:dyDescent="0.2">
      <c r="I146" s="217"/>
      <c r="J146" s="217"/>
      <c r="K146" s="217"/>
      <c r="L146" s="217"/>
      <c r="M146" s="217"/>
      <c r="N146" s="217"/>
    </row>
    <row r="147" spans="9:14" x14ac:dyDescent="0.2">
      <c r="I147" s="217"/>
      <c r="J147" s="217"/>
      <c r="K147" s="217"/>
      <c r="L147" s="217"/>
      <c r="M147" s="217"/>
      <c r="N147" s="217"/>
    </row>
    <row r="148" spans="9:14" x14ac:dyDescent="0.2">
      <c r="I148" s="217"/>
      <c r="J148" s="217"/>
      <c r="K148" s="217"/>
      <c r="L148" s="217"/>
      <c r="M148" s="217"/>
      <c r="N148" s="217"/>
    </row>
    <row r="149" spans="9:14" x14ac:dyDescent="0.2">
      <c r="I149" s="217"/>
      <c r="J149" s="217"/>
      <c r="K149" s="217"/>
      <c r="L149" s="217"/>
      <c r="M149" s="217"/>
      <c r="N149" s="217"/>
    </row>
    <row r="150" spans="9:14" x14ac:dyDescent="0.2">
      <c r="I150" s="217"/>
      <c r="J150" s="217"/>
      <c r="K150" s="217"/>
      <c r="L150" s="217"/>
      <c r="M150" s="217"/>
      <c r="N150" s="217"/>
    </row>
    <row r="151" spans="9:14" x14ac:dyDescent="0.2">
      <c r="I151" s="217"/>
      <c r="J151" s="217"/>
      <c r="K151" s="217"/>
      <c r="L151" s="217"/>
      <c r="M151" s="217"/>
      <c r="N151" s="217"/>
    </row>
    <row r="152" spans="9:14" x14ac:dyDescent="0.2">
      <c r="I152" s="217"/>
      <c r="J152" s="217"/>
      <c r="K152" s="217"/>
      <c r="L152" s="217"/>
      <c r="M152" s="217"/>
      <c r="N152" s="217"/>
    </row>
    <row r="153" spans="9:14" x14ac:dyDescent="0.2">
      <c r="I153" s="217"/>
      <c r="J153" s="217"/>
      <c r="K153" s="217"/>
      <c r="L153" s="217"/>
      <c r="M153" s="217"/>
      <c r="N153" s="217"/>
    </row>
    <row r="154" spans="9:14" x14ac:dyDescent="0.2">
      <c r="I154" s="217"/>
      <c r="J154" s="217"/>
      <c r="K154" s="217"/>
      <c r="L154" s="217"/>
      <c r="M154" s="217"/>
      <c r="N154" s="217"/>
    </row>
    <row r="155" spans="9:14" x14ac:dyDescent="0.2">
      <c r="J155" s="217"/>
      <c r="K155" s="217"/>
      <c r="L155" s="217"/>
      <c r="M155" s="217"/>
      <c r="N155" s="217"/>
    </row>
    <row r="156" spans="9:14" x14ac:dyDescent="0.2">
      <c r="J156" s="217"/>
      <c r="K156" s="217"/>
      <c r="L156" s="217"/>
      <c r="M156" s="217"/>
      <c r="N156" s="217"/>
    </row>
    <row r="173" spans="15:15" x14ac:dyDescent="0.2">
      <c r="O173" s="217"/>
    </row>
    <row r="174" spans="15:15" x14ac:dyDescent="0.2">
      <c r="O174" s="217"/>
    </row>
    <row r="175" spans="15:15" x14ac:dyDescent="0.2">
      <c r="O175" s="217"/>
    </row>
    <row r="176" spans="15:15" x14ac:dyDescent="0.2">
      <c r="O176" s="217"/>
    </row>
    <row r="177" spans="15:15" x14ac:dyDescent="0.2">
      <c r="O177" s="217"/>
    </row>
    <row r="178" spans="15:15" x14ac:dyDescent="0.2">
      <c r="O178" s="217"/>
    </row>
    <row r="179" spans="15:15" x14ac:dyDescent="0.2">
      <c r="O179" s="217"/>
    </row>
    <row r="180" spans="15:15" x14ac:dyDescent="0.2">
      <c r="O180" s="217"/>
    </row>
    <row r="181" spans="15:15" x14ac:dyDescent="0.2">
      <c r="O181" s="217"/>
    </row>
    <row r="182" spans="15:15" x14ac:dyDescent="0.2">
      <c r="O182" s="217"/>
    </row>
    <row r="183" spans="15:15" x14ac:dyDescent="0.2">
      <c r="O183" s="217"/>
    </row>
    <row r="184" spans="15:15" x14ac:dyDescent="0.2">
      <c r="O184" s="217"/>
    </row>
    <row r="185" spans="15:15" x14ac:dyDescent="0.2">
      <c r="O185" s="217"/>
    </row>
    <row r="186" spans="15:15" x14ac:dyDescent="0.2">
      <c r="O186" s="217"/>
    </row>
    <row r="187" spans="15:15" x14ac:dyDescent="0.2">
      <c r="O187" s="217"/>
    </row>
    <row r="188" spans="15:15" x14ac:dyDescent="0.2">
      <c r="O188" s="217"/>
    </row>
    <row r="189" spans="15:15" x14ac:dyDescent="0.2">
      <c r="O189" s="217"/>
    </row>
    <row r="190" spans="15:15" x14ac:dyDescent="0.2">
      <c r="O190" s="217"/>
    </row>
    <row r="191" spans="15:15" x14ac:dyDescent="0.2">
      <c r="O191" s="217"/>
    </row>
    <row r="192" spans="15:15" x14ac:dyDescent="0.2">
      <c r="O192" s="217"/>
    </row>
  </sheetData>
  <mergeCells count="70"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  <mergeCell ref="K42:L42"/>
    <mergeCell ref="I51:I56"/>
    <mergeCell ref="K51:L51"/>
    <mergeCell ref="K52:L52"/>
    <mergeCell ref="K53:L53"/>
    <mergeCell ref="K54:L54"/>
    <mergeCell ref="K55:L55"/>
    <mergeCell ref="K56:L56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J4:J5"/>
    <mergeCell ref="I4:I5"/>
    <mergeCell ref="T4:U4"/>
    <mergeCell ref="T5:U5"/>
    <mergeCell ref="T6:U6"/>
    <mergeCell ref="I6:I12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P57:Q57"/>
    <mergeCell ref="Q45:Q49"/>
    <mergeCell ref="Q51:Q55"/>
    <mergeCell ref="P45:P56"/>
    <mergeCell ref="I57:J57"/>
    <mergeCell ref="K45:L45"/>
    <mergeCell ref="K48:L48"/>
    <mergeCell ref="K49:L49"/>
  </mergeCells>
  <phoneticPr fontId="4"/>
  <conditionalFormatting sqref="G5:G6">
    <cfRule type="cellIs" dxfId="39" priority="15" operator="equal">
      <formula>0</formula>
    </cfRule>
  </conditionalFormatting>
  <conditionalFormatting sqref="G8:G10">
    <cfRule type="cellIs" dxfId="38" priority="14" operator="equal">
      <formula>0</formula>
    </cfRule>
  </conditionalFormatting>
  <conditionalFormatting sqref="G12:G15">
    <cfRule type="cellIs" dxfId="37" priority="13" operator="equal">
      <formula>0</formula>
    </cfRule>
  </conditionalFormatting>
  <conditionalFormatting sqref="G17:G19">
    <cfRule type="cellIs" dxfId="36" priority="12" operator="equal">
      <formula>0</formula>
    </cfRule>
  </conditionalFormatting>
  <conditionalFormatting sqref="G21:G23">
    <cfRule type="cellIs" dxfId="35" priority="11" operator="equal">
      <formula>0</formula>
    </cfRule>
  </conditionalFormatting>
  <conditionalFormatting sqref="G28:G37">
    <cfRule type="cellIs" dxfId="34" priority="10" operator="equal">
      <formula>0</formula>
    </cfRule>
  </conditionalFormatting>
  <conditionalFormatting sqref="G39:G48">
    <cfRule type="cellIs" dxfId="33" priority="9" operator="equal">
      <formula>0</formula>
    </cfRule>
  </conditionalFormatting>
  <conditionalFormatting sqref="G50:G52">
    <cfRule type="cellIs" dxfId="32" priority="7" operator="equal">
      <formula>0</formula>
    </cfRule>
    <cfRule type="cellIs" dxfId="31" priority="8" operator="equal">
      <formula>12165</formula>
    </cfRule>
  </conditionalFormatting>
  <conditionalFormatting sqref="G54:G56">
    <cfRule type="cellIs" dxfId="30" priority="6" operator="equal">
      <formula>0</formula>
    </cfRule>
  </conditionalFormatting>
  <conditionalFormatting sqref="N13:N15">
    <cfRule type="cellIs" dxfId="29" priority="4" operator="equal">
      <formula>0</formula>
    </cfRule>
    <cfRule type="cellIs" priority="5" operator="equal">
      <formula>0</formula>
    </cfRule>
  </conditionalFormatting>
  <conditionalFormatting sqref="N17:N19">
    <cfRule type="cellIs" dxfId="28" priority="3" operator="equal">
      <formula>0</formula>
    </cfRule>
  </conditionalFormatting>
  <conditionalFormatting sqref="N21:N23">
    <cfRule type="cellIs" dxfId="27" priority="2" operator="equal">
      <formula>0</formula>
    </cfRule>
  </conditionalFormatting>
  <conditionalFormatting sqref="N25:N27">
    <cfRule type="cellIs" dxfId="26" priority="1" operator="equal">
      <formula>0</formula>
    </cfRule>
  </conditionalFormatting>
  <pageMargins left="0" right="0" top="0.78740157480314965" bottom="0" header="0.39370078740157483" footer="0.39370078740157483"/>
  <pageSetup paperSize="9" scale="69" orientation="landscape" r:id="rId1"/>
  <headerFooter alignWithMargins="0"/>
  <ignoredErrors>
    <ignoredError sqref="G16 G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92"/>
  <sheetViews>
    <sheetView zoomScale="75" zoomScaleNormal="75" workbookViewId="0"/>
  </sheetViews>
  <sheetFormatPr defaultRowHeight="13" x14ac:dyDescent="0.2"/>
  <cols>
    <col min="1" max="1" width="1.6328125" style="90" customWidth="1"/>
    <col min="2" max="2" width="3.6328125" style="90" customWidth="1"/>
    <col min="3" max="3" width="19.453125" style="90" customWidth="1"/>
    <col min="4" max="7" width="8.6328125" style="90" customWidth="1"/>
    <col min="8" max="8" width="2.36328125" style="217" customWidth="1"/>
    <col min="9" max="9" width="3.6328125" style="90" customWidth="1"/>
    <col min="10" max="10" width="15.6328125" style="90" customWidth="1"/>
    <col min="11" max="14" width="8.6328125" style="90" customWidth="1"/>
    <col min="15" max="15" width="3.453125" style="90" customWidth="1"/>
    <col min="16" max="16" width="15.6328125" style="188" customWidth="1"/>
    <col min="17" max="17" width="8.6328125" style="90" customWidth="1"/>
    <col min="18" max="18" width="8.6328125" style="91" customWidth="1"/>
    <col min="19" max="21" width="8.6328125" style="90" customWidth="1"/>
    <col min="22" max="22" width="10.6328125" style="91" customWidth="1"/>
    <col min="23" max="262" width="8.90625" style="90"/>
    <col min="263" max="263" width="1.36328125" style="90" customWidth="1"/>
    <col min="264" max="264" width="3.453125" style="90" customWidth="1"/>
    <col min="265" max="265" width="22.08984375" style="90" customWidth="1"/>
    <col min="266" max="266" width="9.7265625" style="90" customWidth="1"/>
    <col min="267" max="267" width="7.36328125" style="90" customWidth="1"/>
    <col min="268" max="268" width="8.90625" style="90"/>
    <col min="269" max="269" width="9.26953125" style="90" customWidth="1"/>
    <col min="270" max="270" width="3.453125" style="90" customWidth="1"/>
    <col min="271" max="272" width="12.6328125" style="90" customWidth="1"/>
    <col min="273" max="273" width="8.90625" style="90"/>
    <col min="274" max="274" width="7.7265625" style="90" customWidth="1"/>
    <col min="275" max="275" width="13.08984375" style="90" customWidth="1"/>
    <col min="276" max="276" width="6.08984375" style="90" customWidth="1"/>
    <col min="277" max="277" width="9.7265625" style="90" customWidth="1"/>
    <col min="278" max="278" width="1.36328125" style="90" customWidth="1"/>
    <col min="279" max="518" width="8.90625" style="90"/>
    <col min="519" max="519" width="1.36328125" style="90" customWidth="1"/>
    <col min="520" max="520" width="3.453125" style="90" customWidth="1"/>
    <col min="521" max="521" width="22.08984375" style="90" customWidth="1"/>
    <col min="522" max="522" width="9.7265625" style="90" customWidth="1"/>
    <col min="523" max="523" width="7.36328125" style="90" customWidth="1"/>
    <col min="524" max="524" width="8.90625" style="90"/>
    <col min="525" max="525" width="9.26953125" style="90" customWidth="1"/>
    <col min="526" max="526" width="3.453125" style="90" customWidth="1"/>
    <col min="527" max="528" width="12.6328125" style="90" customWidth="1"/>
    <col min="529" max="529" width="8.90625" style="90"/>
    <col min="530" max="530" width="7.7265625" style="90" customWidth="1"/>
    <col min="531" max="531" width="13.08984375" style="90" customWidth="1"/>
    <col min="532" max="532" width="6.08984375" style="90" customWidth="1"/>
    <col min="533" max="533" width="9.7265625" style="90" customWidth="1"/>
    <col min="534" max="534" width="1.36328125" style="90" customWidth="1"/>
    <col min="535" max="774" width="8.90625" style="90"/>
    <col min="775" max="775" width="1.36328125" style="90" customWidth="1"/>
    <col min="776" max="776" width="3.453125" style="90" customWidth="1"/>
    <col min="777" max="777" width="22.08984375" style="90" customWidth="1"/>
    <col min="778" max="778" width="9.7265625" style="90" customWidth="1"/>
    <col min="779" max="779" width="7.36328125" style="90" customWidth="1"/>
    <col min="780" max="780" width="8.90625" style="90"/>
    <col min="781" max="781" width="9.26953125" style="90" customWidth="1"/>
    <col min="782" max="782" width="3.453125" style="90" customWidth="1"/>
    <col min="783" max="784" width="12.6328125" style="90" customWidth="1"/>
    <col min="785" max="785" width="8.90625" style="90"/>
    <col min="786" max="786" width="7.7265625" style="90" customWidth="1"/>
    <col min="787" max="787" width="13.08984375" style="90" customWidth="1"/>
    <col min="788" max="788" width="6.08984375" style="90" customWidth="1"/>
    <col min="789" max="789" width="9.7265625" style="90" customWidth="1"/>
    <col min="790" max="790" width="1.36328125" style="90" customWidth="1"/>
    <col min="791" max="1030" width="8.90625" style="90"/>
    <col min="1031" max="1031" width="1.36328125" style="90" customWidth="1"/>
    <col min="1032" max="1032" width="3.453125" style="90" customWidth="1"/>
    <col min="1033" max="1033" width="22.08984375" style="90" customWidth="1"/>
    <col min="1034" max="1034" width="9.7265625" style="90" customWidth="1"/>
    <col min="1035" max="1035" width="7.36328125" style="90" customWidth="1"/>
    <col min="1036" max="1036" width="8.90625" style="90"/>
    <col min="1037" max="1037" width="9.26953125" style="90" customWidth="1"/>
    <col min="1038" max="1038" width="3.453125" style="90" customWidth="1"/>
    <col min="1039" max="1040" width="12.6328125" style="90" customWidth="1"/>
    <col min="1041" max="1041" width="8.90625" style="90"/>
    <col min="1042" max="1042" width="7.7265625" style="90" customWidth="1"/>
    <col min="1043" max="1043" width="13.08984375" style="90" customWidth="1"/>
    <col min="1044" max="1044" width="6.08984375" style="90" customWidth="1"/>
    <col min="1045" max="1045" width="9.7265625" style="90" customWidth="1"/>
    <col min="1046" max="1046" width="1.36328125" style="90" customWidth="1"/>
    <col min="1047" max="1286" width="8.90625" style="90"/>
    <col min="1287" max="1287" width="1.36328125" style="90" customWidth="1"/>
    <col min="1288" max="1288" width="3.453125" style="90" customWidth="1"/>
    <col min="1289" max="1289" width="22.08984375" style="90" customWidth="1"/>
    <col min="1290" max="1290" width="9.7265625" style="90" customWidth="1"/>
    <col min="1291" max="1291" width="7.36328125" style="90" customWidth="1"/>
    <col min="1292" max="1292" width="8.90625" style="90"/>
    <col min="1293" max="1293" width="9.26953125" style="90" customWidth="1"/>
    <col min="1294" max="1294" width="3.453125" style="90" customWidth="1"/>
    <col min="1295" max="1296" width="12.6328125" style="90" customWidth="1"/>
    <col min="1297" max="1297" width="8.90625" style="90"/>
    <col min="1298" max="1298" width="7.7265625" style="90" customWidth="1"/>
    <col min="1299" max="1299" width="13.08984375" style="90" customWidth="1"/>
    <col min="1300" max="1300" width="6.08984375" style="90" customWidth="1"/>
    <col min="1301" max="1301" width="9.7265625" style="90" customWidth="1"/>
    <col min="1302" max="1302" width="1.36328125" style="90" customWidth="1"/>
    <col min="1303" max="1542" width="8.90625" style="90"/>
    <col min="1543" max="1543" width="1.36328125" style="90" customWidth="1"/>
    <col min="1544" max="1544" width="3.453125" style="90" customWidth="1"/>
    <col min="1545" max="1545" width="22.08984375" style="90" customWidth="1"/>
    <col min="1546" max="1546" width="9.7265625" style="90" customWidth="1"/>
    <col min="1547" max="1547" width="7.36328125" style="90" customWidth="1"/>
    <col min="1548" max="1548" width="8.90625" style="90"/>
    <col min="1549" max="1549" width="9.26953125" style="90" customWidth="1"/>
    <col min="1550" max="1550" width="3.453125" style="90" customWidth="1"/>
    <col min="1551" max="1552" width="12.6328125" style="90" customWidth="1"/>
    <col min="1553" max="1553" width="8.90625" style="90"/>
    <col min="1554" max="1554" width="7.7265625" style="90" customWidth="1"/>
    <col min="1555" max="1555" width="13.08984375" style="90" customWidth="1"/>
    <col min="1556" max="1556" width="6.08984375" style="90" customWidth="1"/>
    <col min="1557" max="1557" width="9.7265625" style="90" customWidth="1"/>
    <col min="1558" max="1558" width="1.36328125" style="90" customWidth="1"/>
    <col min="1559" max="1798" width="8.90625" style="90"/>
    <col min="1799" max="1799" width="1.36328125" style="90" customWidth="1"/>
    <col min="1800" max="1800" width="3.453125" style="90" customWidth="1"/>
    <col min="1801" max="1801" width="22.08984375" style="90" customWidth="1"/>
    <col min="1802" max="1802" width="9.7265625" style="90" customWidth="1"/>
    <col min="1803" max="1803" width="7.36328125" style="90" customWidth="1"/>
    <col min="1804" max="1804" width="8.90625" style="90"/>
    <col min="1805" max="1805" width="9.26953125" style="90" customWidth="1"/>
    <col min="1806" max="1806" width="3.453125" style="90" customWidth="1"/>
    <col min="1807" max="1808" width="12.6328125" style="90" customWidth="1"/>
    <col min="1809" max="1809" width="8.90625" style="90"/>
    <col min="1810" max="1810" width="7.7265625" style="90" customWidth="1"/>
    <col min="1811" max="1811" width="13.08984375" style="90" customWidth="1"/>
    <col min="1812" max="1812" width="6.08984375" style="90" customWidth="1"/>
    <col min="1813" max="1813" width="9.7265625" style="90" customWidth="1"/>
    <col min="1814" max="1814" width="1.36328125" style="90" customWidth="1"/>
    <col min="1815" max="2054" width="8.90625" style="90"/>
    <col min="2055" max="2055" width="1.36328125" style="90" customWidth="1"/>
    <col min="2056" max="2056" width="3.453125" style="90" customWidth="1"/>
    <col min="2057" max="2057" width="22.08984375" style="90" customWidth="1"/>
    <col min="2058" max="2058" width="9.7265625" style="90" customWidth="1"/>
    <col min="2059" max="2059" width="7.36328125" style="90" customWidth="1"/>
    <col min="2060" max="2060" width="8.90625" style="90"/>
    <col min="2061" max="2061" width="9.26953125" style="90" customWidth="1"/>
    <col min="2062" max="2062" width="3.453125" style="90" customWidth="1"/>
    <col min="2063" max="2064" width="12.6328125" style="90" customWidth="1"/>
    <col min="2065" max="2065" width="8.90625" style="90"/>
    <col min="2066" max="2066" width="7.7265625" style="90" customWidth="1"/>
    <col min="2067" max="2067" width="13.08984375" style="90" customWidth="1"/>
    <col min="2068" max="2068" width="6.08984375" style="90" customWidth="1"/>
    <col min="2069" max="2069" width="9.7265625" style="90" customWidth="1"/>
    <col min="2070" max="2070" width="1.36328125" style="90" customWidth="1"/>
    <col min="2071" max="2310" width="8.90625" style="90"/>
    <col min="2311" max="2311" width="1.36328125" style="90" customWidth="1"/>
    <col min="2312" max="2312" width="3.453125" style="90" customWidth="1"/>
    <col min="2313" max="2313" width="22.08984375" style="90" customWidth="1"/>
    <col min="2314" max="2314" width="9.7265625" style="90" customWidth="1"/>
    <col min="2315" max="2315" width="7.36328125" style="90" customWidth="1"/>
    <col min="2316" max="2316" width="8.90625" style="90"/>
    <col min="2317" max="2317" width="9.26953125" style="90" customWidth="1"/>
    <col min="2318" max="2318" width="3.453125" style="90" customWidth="1"/>
    <col min="2319" max="2320" width="12.6328125" style="90" customWidth="1"/>
    <col min="2321" max="2321" width="8.90625" style="90"/>
    <col min="2322" max="2322" width="7.7265625" style="90" customWidth="1"/>
    <col min="2323" max="2323" width="13.08984375" style="90" customWidth="1"/>
    <col min="2324" max="2324" width="6.08984375" style="90" customWidth="1"/>
    <col min="2325" max="2325" width="9.7265625" style="90" customWidth="1"/>
    <col min="2326" max="2326" width="1.36328125" style="90" customWidth="1"/>
    <col min="2327" max="2566" width="8.90625" style="90"/>
    <col min="2567" max="2567" width="1.36328125" style="90" customWidth="1"/>
    <col min="2568" max="2568" width="3.453125" style="90" customWidth="1"/>
    <col min="2569" max="2569" width="22.08984375" style="90" customWidth="1"/>
    <col min="2570" max="2570" width="9.7265625" style="90" customWidth="1"/>
    <col min="2571" max="2571" width="7.36328125" style="90" customWidth="1"/>
    <col min="2572" max="2572" width="8.90625" style="90"/>
    <col min="2573" max="2573" width="9.26953125" style="90" customWidth="1"/>
    <col min="2574" max="2574" width="3.453125" style="90" customWidth="1"/>
    <col min="2575" max="2576" width="12.6328125" style="90" customWidth="1"/>
    <col min="2577" max="2577" width="8.90625" style="90"/>
    <col min="2578" max="2578" width="7.7265625" style="90" customWidth="1"/>
    <col min="2579" max="2579" width="13.08984375" style="90" customWidth="1"/>
    <col min="2580" max="2580" width="6.08984375" style="90" customWidth="1"/>
    <col min="2581" max="2581" width="9.7265625" style="90" customWidth="1"/>
    <col min="2582" max="2582" width="1.36328125" style="90" customWidth="1"/>
    <col min="2583" max="2822" width="8.90625" style="90"/>
    <col min="2823" max="2823" width="1.36328125" style="90" customWidth="1"/>
    <col min="2824" max="2824" width="3.453125" style="90" customWidth="1"/>
    <col min="2825" max="2825" width="22.08984375" style="90" customWidth="1"/>
    <col min="2826" max="2826" width="9.7265625" style="90" customWidth="1"/>
    <col min="2827" max="2827" width="7.36328125" style="90" customWidth="1"/>
    <col min="2828" max="2828" width="8.90625" style="90"/>
    <col min="2829" max="2829" width="9.26953125" style="90" customWidth="1"/>
    <col min="2830" max="2830" width="3.453125" style="90" customWidth="1"/>
    <col min="2831" max="2832" width="12.6328125" style="90" customWidth="1"/>
    <col min="2833" max="2833" width="8.90625" style="90"/>
    <col min="2834" max="2834" width="7.7265625" style="90" customWidth="1"/>
    <col min="2835" max="2835" width="13.08984375" style="90" customWidth="1"/>
    <col min="2836" max="2836" width="6.08984375" style="90" customWidth="1"/>
    <col min="2837" max="2837" width="9.7265625" style="90" customWidth="1"/>
    <col min="2838" max="2838" width="1.36328125" style="90" customWidth="1"/>
    <col min="2839" max="3078" width="8.90625" style="90"/>
    <col min="3079" max="3079" width="1.36328125" style="90" customWidth="1"/>
    <col min="3080" max="3080" width="3.453125" style="90" customWidth="1"/>
    <col min="3081" max="3081" width="22.08984375" style="90" customWidth="1"/>
    <col min="3082" max="3082" width="9.7265625" style="90" customWidth="1"/>
    <col min="3083" max="3083" width="7.36328125" style="90" customWidth="1"/>
    <col min="3084" max="3084" width="8.90625" style="90"/>
    <col min="3085" max="3085" width="9.26953125" style="90" customWidth="1"/>
    <col min="3086" max="3086" width="3.453125" style="90" customWidth="1"/>
    <col min="3087" max="3088" width="12.6328125" style="90" customWidth="1"/>
    <col min="3089" max="3089" width="8.90625" style="90"/>
    <col min="3090" max="3090" width="7.7265625" style="90" customWidth="1"/>
    <col min="3091" max="3091" width="13.08984375" style="90" customWidth="1"/>
    <col min="3092" max="3092" width="6.08984375" style="90" customWidth="1"/>
    <col min="3093" max="3093" width="9.7265625" style="90" customWidth="1"/>
    <col min="3094" max="3094" width="1.36328125" style="90" customWidth="1"/>
    <col min="3095" max="3334" width="8.90625" style="90"/>
    <col min="3335" max="3335" width="1.36328125" style="90" customWidth="1"/>
    <col min="3336" max="3336" width="3.453125" style="90" customWidth="1"/>
    <col min="3337" max="3337" width="22.08984375" style="90" customWidth="1"/>
    <col min="3338" max="3338" width="9.7265625" style="90" customWidth="1"/>
    <col min="3339" max="3339" width="7.36328125" style="90" customWidth="1"/>
    <col min="3340" max="3340" width="8.90625" style="90"/>
    <col min="3341" max="3341" width="9.26953125" style="90" customWidth="1"/>
    <col min="3342" max="3342" width="3.453125" style="90" customWidth="1"/>
    <col min="3343" max="3344" width="12.6328125" style="90" customWidth="1"/>
    <col min="3345" max="3345" width="8.90625" style="90"/>
    <col min="3346" max="3346" width="7.7265625" style="90" customWidth="1"/>
    <col min="3347" max="3347" width="13.08984375" style="90" customWidth="1"/>
    <col min="3348" max="3348" width="6.08984375" style="90" customWidth="1"/>
    <col min="3349" max="3349" width="9.7265625" style="90" customWidth="1"/>
    <col min="3350" max="3350" width="1.36328125" style="90" customWidth="1"/>
    <col min="3351" max="3590" width="8.90625" style="90"/>
    <col min="3591" max="3591" width="1.36328125" style="90" customWidth="1"/>
    <col min="3592" max="3592" width="3.453125" style="90" customWidth="1"/>
    <col min="3593" max="3593" width="22.08984375" style="90" customWidth="1"/>
    <col min="3594" max="3594" width="9.7265625" style="90" customWidth="1"/>
    <col min="3595" max="3595" width="7.36328125" style="90" customWidth="1"/>
    <col min="3596" max="3596" width="8.90625" style="90"/>
    <col min="3597" max="3597" width="9.26953125" style="90" customWidth="1"/>
    <col min="3598" max="3598" width="3.453125" style="90" customWidth="1"/>
    <col min="3599" max="3600" width="12.6328125" style="90" customWidth="1"/>
    <col min="3601" max="3601" width="8.90625" style="90"/>
    <col min="3602" max="3602" width="7.7265625" style="90" customWidth="1"/>
    <col min="3603" max="3603" width="13.08984375" style="90" customWidth="1"/>
    <col min="3604" max="3604" width="6.08984375" style="90" customWidth="1"/>
    <col min="3605" max="3605" width="9.7265625" style="90" customWidth="1"/>
    <col min="3606" max="3606" width="1.36328125" style="90" customWidth="1"/>
    <col min="3607" max="3846" width="8.90625" style="90"/>
    <col min="3847" max="3847" width="1.36328125" style="90" customWidth="1"/>
    <col min="3848" max="3848" width="3.453125" style="90" customWidth="1"/>
    <col min="3849" max="3849" width="22.08984375" style="90" customWidth="1"/>
    <col min="3850" max="3850" width="9.7265625" style="90" customWidth="1"/>
    <col min="3851" max="3851" width="7.36328125" style="90" customWidth="1"/>
    <col min="3852" max="3852" width="8.90625" style="90"/>
    <col min="3853" max="3853" width="9.26953125" style="90" customWidth="1"/>
    <col min="3854" max="3854" width="3.453125" style="90" customWidth="1"/>
    <col min="3855" max="3856" width="12.6328125" style="90" customWidth="1"/>
    <col min="3857" max="3857" width="8.90625" style="90"/>
    <col min="3858" max="3858" width="7.7265625" style="90" customWidth="1"/>
    <col min="3859" max="3859" width="13.08984375" style="90" customWidth="1"/>
    <col min="3860" max="3860" width="6.08984375" style="90" customWidth="1"/>
    <col min="3861" max="3861" width="9.7265625" style="90" customWidth="1"/>
    <col min="3862" max="3862" width="1.36328125" style="90" customWidth="1"/>
    <col min="3863" max="4102" width="8.90625" style="90"/>
    <col min="4103" max="4103" width="1.36328125" style="90" customWidth="1"/>
    <col min="4104" max="4104" width="3.453125" style="90" customWidth="1"/>
    <col min="4105" max="4105" width="22.08984375" style="90" customWidth="1"/>
    <col min="4106" max="4106" width="9.7265625" style="90" customWidth="1"/>
    <col min="4107" max="4107" width="7.36328125" style="90" customWidth="1"/>
    <col min="4108" max="4108" width="8.90625" style="90"/>
    <col min="4109" max="4109" width="9.26953125" style="90" customWidth="1"/>
    <col min="4110" max="4110" width="3.453125" style="90" customWidth="1"/>
    <col min="4111" max="4112" width="12.6328125" style="90" customWidth="1"/>
    <col min="4113" max="4113" width="8.90625" style="90"/>
    <col min="4114" max="4114" width="7.7265625" style="90" customWidth="1"/>
    <col min="4115" max="4115" width="13.08984375" style="90" customWidth="1"/>
    <col min="4116" max="4116" width="6.08984375" style="90" customWidth="1"/>
    <col min="4117" max="4117" width="9.7265625" style="90" customWidth="1"/>
    <col min="4118" max="4118" width="1.36328125" style="90" customWidth="1"/>
    <col min="4119" max="4358" width="8.90625" style="90"/>
    <col min="4359" max="4359" width="1.36328125" style="90" customWidth="1"/>
    <col min="4360" max="4360" width="3.453125" style="90" customWidth="1"/>
    <col min="4361" max="4361" width="22.08984375" style="90" customWidth="1"/>
    <col min="4362" max="4362" width="9.7265625" style="90" customWidth="1"/>
    <col min="4363" max="4363" width="7.36328125" style="90" customWidth="1"/>
    <col min="4364" max="4364" width="8.90625" style="90"/>
    <col min="4365" max="4365" width="9.26953125" style="90" customWidth="1"/>
    <col min="4366" max="4366" width="3.453125" style="90" customWidth="1"/>
    <col min="4367" max="4368" width="12.6328125" style="90" customWidth="1"/>
    <col min="4369" max="4369" width="8.90625" style="90"/>
    <col min="4370" max="4370" width="7.7265625" style="90" customWidth="1"/>
    <col min="4371" max="4371" width="13.08984375" style="90" customWidth="1"/>
    <col min="4372" max="4372" width="6.08984375" style="90" customWidth="1"/>
    <col min="4373" max="4373" width="9.7265625" style="90" customWidth="1"/>
    <col min="4374" max="4374" width="1.36328125" style="90" customWidth="1"/>
    <col min="4375" max="4614" width="8.90625" style="90"/>
    <col min="4615" max="4615" width="1.36328125" style="90" customWidth="1"/>
    <col min="4616" max="4616" width="3.453125" style="90" customWidth="1"/>
    <col min="4617" max="4617" width="22.08984375" style="90" customWidth="1"/>
    <col min="4618" max="4618" width="9.7265625" style="90" customWidth="1"/>
    <col min="4619" max="4619" width="7.36328125" style="90" customWidth="1"/>
    <col min="4620" max="4620" width="8.90625" style="90"/>
    <col min="4621" max="4621" width="9.26953125" style="90" customWidth="1"/>
    <col min="4622" max="4622" width="3.453125" style="90" customWidth="1"/>
    <col min="4623" max="4624" width="12.6328125" style="90" customWidth="1"/>
    <col min="4625" max="4625" width="8.90625" style="90"/>
    <col min="4626" max="4626" width="7.7265625" style="90" customWidth="1"/>
    <col min="4627" max="4627" width="13.08984375" style="90" customWidth="1"/>
    <col min="4628" max="4628" width="6.08984375" style="90" customWidth="1"/>
    <col min="4629" max="4629" width="9.7265625" style="90" customWidth="1"/>
    <col min="4630" max="4630" width="1.36328125" style="90" customWidth="1"/>
    <col min="4631" max="4870" width="8.90625" style="90"/>
    <col min="4871" max="4871" width="1.36328125" style="90" customWidth="1"/>
    <col min="4872" max="4872" width="3.453125" style="90" customWidth="1"/>
    <col min="4873" max="4873" width="22.08984375" style="90" customWidth="1"/>
    <col min="4874" max="4874" width="9.7265625" style="90" customWidth="1"/>
    <col min="4875" max="4875" width="7.36328125" style="90" customWidth="1"/>
    <col min="4876" max="4876" width="8.90625" style="90"/>
    <col min="4877" max="4877" width="9.26953125" style="90" customWidth="1"/>
    <col min="4878" max="4878" width="3.453125" style="90" customWidth="1"/>
    <col min="4879" max="4880" width="12.6328125" style="90" customWidth="1"/>
    <col min="4881" max="4881" width="8.90625" style="90"/>
    <col min="4882" max="4882" width="7.7265625" style="90" customWidth="1"/>
    <col min="4883" max="4883" width="13.08984375" style="90" customWidth="1"/>
    <col min="4884" max="4884" width="6.08984375" style="90" customWidth="1"/>
    <col min="4885" max="4885" width="9.7265625" style="90" customWidth="1"/>
    <col min="4886" max="4886" width="1.36328125" style="90" customWidth="1"/>
    <col min="4887" max="5126" width="8.90625" style="90"/>
    <col min="5127" max="5127" width="1.36328125" style="90" customWidth="1"/>
    <col min="5128" max="5128" width="3.453125" style="90" customWidth="1"/>
    <col min="5129" max="5129" width="22.08984375" style="90" customWidth="1"/>
    <col min="5130" max="5130" width="9.7265625" style="90" customWidth="1"/>
    <col min="5131" max="5131" width="7.36328125" style="90" customWidth="1"/>
    <col min="5132" max="5132" width="8.90625" style="90"/>
    <col min="5133" max="5133" width="9.26953125" style="90" customWidth="1"/>
    <col min="5134" max="5134" width="3.453125" style="90" customWidth="1"/>
    <col min="5135" max="5136" width="12.6328125" style="90" customWidth="1"/>
    <col min="5137" max="5137" width="8.90625" style="90"/>
    <col min="5138" max="5138" width="7.7265625" style="90" customWidth="1"/>
    <col min="5139" max="5139" width="13.08984375" style="90" customWidth="1"/>
    <col min="5140" max="5140" width="6.08984375" style="90" customWidth="1"/>
    <col min="5141" max="5141" width="9.7265625" style="90" customWidth="1"/>
    <col min="5142" max="5142" width="1.36328125" style="90" customWidth="1"/>
    <col min="5143" max="5382" width="8.90625" style="90"/>
    <col min="5383" max="5383" width="1.36328125" style="90" customWidth="1"/>
    <col min="5384" max="5384" width="3.453125" style="90" customWidth="1"/>
    <col min="5385" max="5385" width="22.08984375" style="90" customWidth="1"/>
    <col min="5386" max="5386" width="9.7265625" style="90" customWidth="1"/>
    <col min="5387" max="5387" width="7.36328125" style="90" customWidth="1"/>
    <col min="5388" max="5388" width="8.90625" style="90"/>
    <col min="5389" max="5389" width="9.26953125" style="90" customWidth="1"/>
    <col min="5390" max="5390" width="3.453125" style="90" customWidth="1"/>
    <col min="5391" max="5392" width="12.6328125" style="90" customWidth="1"/>
    <col min="5393" max="5393" width="8.90625" style="90"/>
    <col min="5394" max="5394" width="7.7265625" style="90" customWidth="1"/>
    <col min="5395" max="5395" width="13.08984375" style="90" customWidth="1"/>
    <col min="5396" max="5396" width="6.08984375" style="90" customWidth="1"/>
    <col min="5397" max="5397" width="9.7265625" style="90" customWidth="1"/>
    <col min="5398" max="5398" width="1.36328125" style="90" customWidth="1"/>
    <col min="5399" max="5638" width="8.90625" style="90"/>
    <col min="5639" max="5639" width="1.36328125" style="90" customWidth="1"/>
    <col min="5640" max="5640" width="3.453125" style="90" customWidth="1"/>
    <col min="5641" max="5641" width="22.08984375" style="90" customWidth="1"/>
    <col min="5642" max="5642" width="9.7265625" style="90" customWidth="1"/>
    <col min="5643" max="5643" width="7.36328125" style="90" customWidth="1"/>
    <col min="5644" max="5644" width="8.90625" style="90"/>
    <col min="5645" max="5645" width="9.26953125" style="90" customWidth="1"/>
    <col min="5646" max="5646" width="3.453125" style="90" customWidth="1"/>
    <col min="5647" max="5648" width="12.6328125" style="90" customWidth="1"/>
    <col min="5649" max="5649" width="8.90625" style="90"/>
    <col min="5650" max="5650" width="7.7265625" style="90" customWidth="1"/>
    <col min="5651" max="5651" width="13.08984375" style="90" customWidth="1"/>
    <col min="5652" max="5652" width="6.08984375" style="90" customWidth="1"/>
    <col min="5653" max="5653" width="9.7265625" style="90" customWidth="1"/>
    <col min="5654" max="5654" width="1.36328125" style="90" customWidth="1"/>
    <col min="5655" max="5894" width="8.90625" style="90"/>
    <col min="5895" max="5895" width="1.36328125" style="90" customWidth="1"/>
    <col min="5896" max="5896" width="3.453125" style="90" customWidth="1"/>
    <col min="5897" max="5897" width="22.08984375" style="90" customWidth="1"/>
    <col min="5898" max="5898" width="9.7265625" style="90" customWidth="1"/>
    <col min="5899" max="5899" width="7.36328125" style="90" customWidth="1"/>
    <col min="5900" max="5900" width="8.90625" style="90"/>
    <col min="5901" max="5901" width="9.26953125" style="90" customWidth="1"/>
    <col min="5902" max="5902" width="3.453125" style="90" customWidth="1"/>
    <col min="5903" max="5904" width="12.6328125" style="90" customWidth="1"/>
    <col min="5905" max="5905" width="8.90625" style="90"/>
    <col min="5906" max="5906" width="7.7265625" style="90" customWidth="1"/>
    <col min="5907" max="5907" width="13.08984375" style="90" customWidth="1"/>
    <col min="5908" max="5908" width="6.08984375" style="90" customWidth="1"/>
    <col min="5909" max="5909" width="9.7265625" style="90" customWidth="1"/>
    <col min="5910" max="5910" width="1.36328125" style="90" customWidth="1"/>
    <col min="5911" max="6150" width="8.90625" style="90"/>
    <col min="6151" max="6151" width="1.36328125" style="90" customWidth="1"/>
    <col min="6152" max="6152" width="3.453125" style="90" customWidth="1"/>
    <col min="6153" max="6153" width="22.08984375" style="90" customWidth="1"/>
    <col min="6154" max="6154" width="9.7265625" style="90" customWidth="1"/>
    <col min="6155" max="6155" width="7.36328125" style="90" customWidth="1"/>
    <col min="6156" max="6156" width="8.90625" style="90"/>
    <col min="6157" max="6157" width="9.26953125" style="90" customWidth="1"/>
    <col min="6158" max="6158" width="3.453125" style="90" customWidth="1"/>
    <col min="6159" max="6160" width="12.6328125" style="90" customWidth="1"/>
    <col min="6161" max="6161" width="8.90625" style="90"/>
    <col min="6162" max="6162" width="7.7265625" style="90" customWidth="1"/>
    <col min="6163" max="6163" width="13.08984375" style="90" customWidth="1"/>
    <col min="6164" max="6164" width="6.08984375" style="90" customWidth="1"/>
    <col min="6165" max="6165" width="9.7265625" style="90" customWidth="1"/>
    <col min="6166" max="6166" width="1.36328125" style="90" customWidth="1"/>
    <col min="6167" max="6406" width="8.90625" style="90"/>
    <col min="6407" max="6407" width="1.36328125" style="90" customWidth="1"/>
    <col min="6408" max="6408" width="3.453125" style="90" customWidth="1"/>
    <col min="6409" max="6409" width="22.08984375" style="90" customWidth="1"/>
    <col min="6410" max="6410" width="9.7265625" style="90" customWidth="1"/>
    <col min="6411" max="6411" width="7.36328125" style="90" customWidth="1"/>
    <col min="6412" max="6412" width="8.90625" style="90"/>
    <col min="6413" max="6413" width="9.26953125" style="90" customWidth="1"/>
    <col min="6414" max="6414" width="3.453125" style="90" customWidth="1"/>
    <col min="6415" max="6416" width="12.6328125" style="90" customWidth="1"/>
    <col min="6417" max="6417" width="8.90625" style="90"/>
    <col min="6418" max="6418" width="7.7265625" style="90" customWidth="1"/>
    <col min="6419" max="6419" width="13.08984375" style="90" customWidth="1"/>
    <col min="6420" max="6420" width="6.08984375" style="90" customWidth="1"/>
    <col min="6421" max="6421" width="9.7265625" style="90" customWidth="1"/>
    <col min="6422" max="6422" width="1.36328125" style="90" customWidth="1"/>
    <col min="6423" max="6662" width="8.90625" style="90"/>
    <col min="6663" max="6663" width="1.36328125" style="90" customWidth="1"/>
    <col min="6664" max="6664" width="3.453125" style="90" customWidth="1"/>
    <col min="6665" max="6665" width="22.08984375" style="90" customWidth="1"/>
    <col min="6666" max="6666" width="9.7265625" style="90" customWidth="1"/>
    <col min="6667" max="6667" width="7.36328125" style="90" customWidth="1"/>
    <col min="6668" max="6668" width="8.90625" style="90"/>
    <col min="6669" max="6669" width="9.26953125" style="90" customWidth="1"/>
    <col min="6670" max="6670" width="3.453125" style="90" customWidth="1"/>
    <col min="6671" max="6672" width="12.6328125" style="90" customWidth="1"/>
    <col min="6673" max="6673" width="8.90625" style="90"/>
    <col min="6674" max="6674" width="7.7265625" style="90" customWidth="1"/>
    <col min="6675" max="6675" width="13.08984375" style="90" customWidth="1"/>
    <col min="6676" max="6676" width="6.08984375" style="90" customWidth="1"/>
    <col min="6677" max="6677" width="9.7265625" style="90" customWidth="1"/>
    <col min="6678" max="6678" width="1.36328125" style="90" customWidth="1"/>
    <col min="6679" max="6918" width="8.90625" style="90"/>
    <col min="6919" max="6919" width="1.36328125" style="90" customWidth="1"/>
    <col min="6920" max="6920" width="3.453125" style="90" customWidth="1"/>
    <col min="6921" max="6921" width="22.08984375" style="90" customWidth="1"/>
    <col min="6922" max="6922" width="9.7265625" style="90" customWidth="1"/>
    <col min="6923" max="6923" width="7.36328125" style="90" customWidth="1"/>
    <col min="6924" max="6924" width="8.90625" style="90"/>
    <col min="6925" max="6925" width="9.26953125" style="90" customWidth="1"/>
    <col min="6926" max="6926" width="3.453125" style="90" customWidth="1"/>
    <col min="6927" max="6928" width="12.6328125" style="90" customWidth="1"/>
    <col min="6929" max="6929" width="8.90625" style="90"/>
    <col min="6930" max="6930" width="7.7265625" style="90" customWidth="1"/>
    <col min="6931" max="6931" width="13.08984375" style="90" customWidth="1"/>
    <col min="6932" max="6932" width="6.08984375" style="90" customWidth="1"/>
    <col min="6933" max="6933" width="9.7265625" style="90" customWidth="1"/>
    <col min="6934" max="6934" width="1.36328125" style="90" customWidth="1"/>
    <col min="6935" max="7174" width="8.90625" style="90"/>
    <col min="7175" max="7175" width="1.36328125" style="90" customWidth="1"/>
    <col min="7176" max="7176" width="3.453125" style="90" customWidth="1"/>
    <col min="7177" max="7177" width="22.08984375" style="90" customWidth="1"/>
    <col min="7178" max="7178" width="9.7265625" style="90" customWidth="1"/>
    <col min="7179" max="7179" width="7.36328125" style="90" customWidth="1"/>
    <col min="7180" max="7180" width="8.90625" style="90"/>
    <col min="7181" max="7181" width="9.26953125" style="90" customWidth="1"/>
    <col min="7182" max="7182" width="3.453125" style="90" customWidth="1"/>
    <col min="7183" max="7184" width="12.6328125" style="90" customWidth="1"/>
    <col min="7185" max="7185" width="8.90625" style="90"/>
    <col min="7186" max="7186" width="7.7265625" style="90" customWidth="1"/>
    <col min="7187" max="7187" width="13.08984375" style="90" customWidth="1"/>
    <col min="7188" max="7188" width="6.08984375" style="90" customWidth="1"/>
    <col min="7189" max="7189" width="9.7265625" style="90" customWidth="1"/>
    <col min="7190" max="7190" width="1.36328125" style="90" customWidth="1"/>
    <col min="7191" max="7430" width="8.90625" style="90"/>
    <col min="7431" max="7431" width="1.36328125" style="90" customWidth="1"/>
    <col min="7432" max="7432" width="3.453125" style="90" customWidth="1"/>
    <col min="7433" max="7433" width="22.08984375" style="90" customWidth="1"/>
    <col min="7434" max="7434" width="9.7265625" style="90" customWidth="1"/>
    <col min="7435" max="7435" width="7.36328125" style="90" customWidth="1"/>
    <col min="7436" max="7436" width="8.90625" style="90"/>
    <col min="7437" max="7437" width="9.26953125" style="90" customWidth="1"/>
    <col min="7438" max="7438" width="3.453125" style="90" customWidth="1"/>
    <col min="7439" max="7440" width="12.6328125" style="90" customWidth="1"/>
    <col min="7441" max="7441" width="8.90625" style="90"/>
    <col min="7442" max="7442" width="7.7265625" style="90" customWidth="1"/>
    <col min="7443" max="7443" width="13.08984375" style="90" customWidth="1"/>
    <col min="7444" max="7444" width="6.08984375" style="90" customWidth="1"/>
    <col min="7445" max="7445" width="9.7265625" style="90" customWidth="1"/>
    <col min="7446" max="7446" width="1.36328125" style="90" customWidth="1"/>
    <col min="7447" max="7686" width="8.90625" style="90"/>
    <col min="7687" max="7687" width="1.36328125" style="90" customWidth="1"/>
    <col min="7688" max="7688" width="3.453125" style="90" customWidth="1"/>
    <col min="7689" max="7689" width="22.08984375" style="90" customWidth="1"/>
    <col min="7690" max="7690" width="9.7265625" style="90" customWidth="1"/>
    <col min="7691" max="7691" width="7.36328125" style="90" customWidth="1"/>
    <col min="7692" max="7692" width="8.90625" style="90"/>
    <col min="7693" max="7693" width="9.26953125" style="90" customWidth="1"/>
    <col min="7694" max="7694" width="3.453125" style="90" customWidth="1"/>
    <col min="7695" max="7696" width="12.6328125" style="90" customWidth="1"/>
    <col min="7697" max="7697" width="8.90625" style="90"/>
    <col min="7698" max="7698" width="7.7265625" style="90" customWidth="1"/>
    <col min="7699" max="7699" width="13.08984375" style="90" customWidth="1"/>
    <col min="7700" max="7700" width="6.08984375" style="90" customWidth="1"/>
    <col min="7701" max="7701" width="9.7265625" style="90" customWidth="1"/>
    <col min="7702" max="7702" width="1.36328125" style="90" customWidth="1"/>
    <col min="7703" max="7942" width="8.90625" style="90"/>
    <col min="7943" max="7943" width="1.36328125" style="90" customWidth="1"/>
    <col min="7944" max="7944" width="3.453125" style="90" customWidth="1"/>
    <col min="7945" max="7945" width="22.08984375" style="90" customWidth="1"/>
    <col min="7946" max="7946" width="9.7265625" style="90" customWidth="1"/>
    <col min="7947" max="7947" width="7.36328125" style="90" customWidth="1"/>
    <col min="7948" max="7948" width="8.90625" style="90"/>
    <col min="7949" max="7949" width="9.26953125" style="90" customWidth="1"/>
    <col min="7950" max="7950" width="3.453125" style="90" customWidth="1"/>
    <col min="7951" max="7952" width="12.6328125" style="90" customWidth="1"/>
    <col min="7953" max="7953" width="8.90625" style="90"/>
    <col min="7954" max="7954" width="7.7265625" style="90" customWidth="1"/>
    <col min="7955" max="7955" width="13.08984375" style="90" customWidth="1"/>
    <col min="7956" max="7956" width="6.08984375" style="90" customWidth="1"/>
    <col min="7957" max="7957" width="9.7265625" style="90" customWidth="1"/>
    <col min="7958" max="7958" width="1.36328125" style="90" customWidth="1"/>
    <col min="7959" max="8198" width="8.90625" style="90"/>
    <col min="8199" max="8199" width="1.36328125" style="90" customWidth="1"/>
    <col min="8200" max="8200" width="3.453125" style="90" customWidth="1"/>
    <col min="8201" max="8201" width="22.08984375" style="90" customWidth="1"/>
    <col min="8202" max="8202" width="9.7265625" style="90" customWidth="1"/>
    <col min="8203" max="8203" width="7.36328125" style="90" customWidth="1"/>
    <col min="8204" max="8204" width="8.90625" style="90"/>
    <col min="8205" max="8205" width="9.26953125" style="90" customWidth="1"/>
    <col min="8206" max="8206" width="3.453125" style="90" customWidth="1"/>
    <col min="8207" max="8208" width="12.6328125" style="90" customWidth="1"/>
    <col min="8209" max="8209" width="8.90625" style="90"/>
    <col min="8210" max="8210" width="7.7265625" style="90" customWidth="1"/>
    <col min="8211" max="8211" width="13.08984375" style="90" customWidth="1"/>
    <col min="8212" max="8212" width="6.08984375" style="90" customWidth="1"/>
    <col min="8213" max="8213" width="9.7265625" style="90" customWidth="1"/>
    <col min="8214" max="8214" width="1.36328125" style="90" customWidth="1"/>
    <col min="8215" max="8454" width="8.90625" style="90"/>
    <col min="8455" max="8455" width="1.36328125" style="90" customWidth="1"/>
    <col min="8456" max="8456" width="3.453125" style="90" customWidth="1"/>
    <col min="8457" max="8457" width="22.08984375" style="90" customWidth="1"/>
    <col min="8458" max="8458" width="9.7265625" style="90" customWidth="1"/>
    <col min="8459" max="8459" width="7.36328125" style="90" customWidth="1"/>
    <col min="8460" max="8460" width="8.90625" style="90"/>
    <col min="8461" max="8461" width="9.26953125" style="90" customWidth="1"/>
    <col min="8462" max="8462" width="3.453125" style="90" customWidth="1"/>
    <col min="8463" max="8464" width="12.6328125" style="90" customWidth="1"/>
    <col min="8465" max="8465" width="8.90625" style="90"/>
    <col min="8466" max="8466" width="7.7265625" style="90" customWidth="1"/>
    <col min="8467" max="8467" width="13.08984375" style="90" customWidth="1"/>
    <col min="8468" max="8468" width="6.08984375" style="90" customWidth="1"/>
    <col min="8469" max="8469" width="9.7265625" style="90" customWidth="1"/>
    <col min="8470" max="8470" width="1.36328125" style="90" customWidth="1"/>
    <col min="8471" max="8710" width="8.90625" style="90"/>
    <col min="8711" max="8711" width="1.36328125" style="90" customWidth="1"/>
    <col min="8712" max="8712" width="3.453125" style="90" customWidth="1"/>
    <col min="8713" max="8713" width="22.08984375" style="90" customWidth="1"/>
    <col min="8714" max="8714" width="9.7265625" style="90" customWidth="1"/>
    <col min="8715" max="8715" width="7.36328125" style="90" customWidth="1"/>
    <col min="8716" max="8716" width="8.90625" style="90"/>
    <col min="8717" max="8717" width="9.26953125" style="90" customWidth="1"/>
    <col min="8718" max="8718" width="3.453125" style="90" customWidth="1"/>
    <col min="8719" max="8720" width="12.6328125" style="90" customWidth="1"/>
    <col min="8721" max="8721" width="8.90625" style="90"/>
    <col min="8722" max="8722" width="7.7265625" style="90" customWidth="1"/>
    <col min="8723" max="8723" width="13.08984375" style="90" customWidth="1"/>
    <col min="8724" max="8724" width="6.08984375" style="90" customWidth="1"/>
    <col min="8725" max="8725" width="9.7265625" style="90" customWidth="1"/>
    <col min="8726" max="8726" width="1.36328125" style="90" customWidth="1"/>
    <col min="8727" max="8966" width="8.90625" style="90"/>
    <col min="8967" max="8967" width="1.36328125" style="90" customWidth="1"/>
    <col min="8968" max="8968" width="3.453125" style="90" customWidth="1"/>
    <col min="8969" max="8969" width="22.08984375" style="90" customWidth="1"/>
    <col min="8970" max="8970" width="9.7265625" style="90" customWidth="1"/>
    <col min="8971" max="8971" width="7.36328125" style="90" customWidth="1"/>
    <col min="8972" max="8972" width="8.90625" style="90"/>
    <col min="8973" max="8973" width="9.26953125" style="90" customWidth="1"/>
    <col min="8974" max="8974" width="3.453125" style="90" customWidth="1"/>
    <col min="8975" max="8976" width="12.6328125" style="90" customWidth="1"/>
    <col min="8977" max="8977" width="8.90625" style="90"/>
    <col min="8978" max="8978" width="7.7265625" style="90" customWidth="1"/>
    <col min="8979" max="8979" width="13.08984375" style="90" customWidth="1"/>
    <col min="8980" max="8980" width="6.08984375" style="90" customWidth="1"/>
    <col min="8981" max="8981" width="9.7265625" style="90" customWidth="1"/>
    <col min="8982" max="8982" width="1.36328125" style="90" customWidth="1"/>
    <col min="8983" max="9222" width="8.90625" style="90"/>
    <col min="9223" max="9223" width="1.36328125" style="90" customWidth="1"/>
    <col min="9224" max="9224" width="3.453125" style="90" customWidth="1"/>
    <col min="9225" max="9225" width="22.08984375" style="90" customWidth="1"/>
    <col min="9226" max="9226" width="9.7265625" style="90" customWidth="1"/>
    <col min="9227" max="9227" width="7.36328125" style="90" customWidth="1"/>
    <col min="9228" max="9228" width="8.90625" style="90"/>
    <col min="9229" max="9229" width="9.26953125" style="90" customWidth="1"/>
    <col min="9230" max="9230" width="3.453125" style="90" customWidth="1"/>
    <col min="9231" max="9232" width="12.6328125" style="90" customWidth="1"/>
    <col min="9233" max="9233" width="8.90625" style="90"/>
    <col min="9234" max="9234" width="7.7265625" style="90" customWidth="1"/>
    <col min="9235" max="9235" width="13.08984375" style="90" customWidth="1"/>
    <col min="9236" max="9236" width="6.08984375" style="90" customWidth="1"/>
    <col min="9237" max="9237" width="9.7265625" style="90" customWidth="1"/>
    <col min="9238" max="9238" width="1.36328125" style="90" customWidth="1"/>
    <col min="9239" max="9478" width="8.90625" style="90"/>
    <col min="9479" max="9479" width="1.36328125" style="90" customWidth="1"/>
    <col min="9480" max="9480" width="3.453125" style="90" customWidth="1"/>
    <col min="9481" max="9481" width="22.08984375" style="90" customWidth="1"/>
    <col min="9482" max="9482" width="9.7265625" style="90" customWidth="1"/>
    <col min="9483" max="9483" width="7.36328125" style="90" customWidth="1"/>
    <col min="9484" max="9484" width="8.90625" style="90"/>
    <col min="9485" max="9485" width="9.26953125" style="90" customWidth="1"/>
    <col min="9486" max="9486" width="3.453125" style="90" customWidth="1"/>
    <col min="9487" max="9488" width="12.6328125" style="90" customWidth="1"/>
    <col min="9489" max="9489" width="8.90625" style="90"/>
    <col min="9490" max="9490" width="7.7265625" style="90" customWidth="1"/>
    <col min="9491" max="9491" width="13.08984375" style="90" customWidth="1"/>
    <col min="9492" max="9492" width="6.08984375" style="90" customWidth="1"/>
    <col min="9493" max="9493" width="9.7265625" style="90" customWidth="1"/>
    <col min="9494" max="9494" width="1.36328125" style="90" customWidth="1"/>
    <col min="9495" max="9734" width="8.90625" style="90"/>
    <col min="9735" max="9735" width="1.36328125" style="90" customWidth="1"/>
    <col min="9736" max="9736" width="3.453125" style="90" customWidth="1"/>
    <col min="9737" max="9737" width="22.08984375" style="90" customWidth="1"/>
    <col min="9738" max="9738" width="9.7265625" style="90" customWidth="1"/>
    <col min="9739" max="9739" width="7.36328125" style="90" customWidth="1"/>
    <col min="9740" max="9740" width="8.90625" style="90"/>
    <col min="9741" max="9741" width="9.26953125" style="90" customWidth="1"/>
    <col min="9742" max="9742" width="3.453125" style="90" customWidth="1"/>
    <col min="9743" max="9744" width="12.6328125" style="90" customWidth="1"/>
    <col min="9745" max="9745" width="8.90625" style="90"/>
    <col min="9746" max="9746" width="7.7265625" style="90" customWidth="1"/>
    <col min="9747" max="9747" width="13.08984375" style="90" customWidth="1"/>
    <col min="9748" max="9748" width="6.08984375" style="90" customWidth="1"/>
    <col min="9749" max="9749" width="9.7265625" style="90" customWidth="1"/>
    <col min="9750" max="9750" width="1.36328125" style="90" customWidth="1"/>
    <col min="9751" max="9990" width="8.90625" style="90"/>
    <col min="9991" max="9991" width="1.36328125" style="90" customWidth="1"/>
    <col min="9992" max="9992" width="3.453125" style="90" customWidth="1"/>
    <col min="9993" max="9993" width="22.08984375" style="90" customWidth="1"/>
    <col min="9994" max="9994" width="9.7265625" style="90" customWidth="1"/>
    <col min="9995" max="9995" width="7.36328125" style="90" customWidth="1"/>
    <col min="9996" max="9996" width="8.90625" style="90"/>
    <col min="9997" max="9997" width="9.26953125" style="90" customWidth="1"/>
    <col min="9998" max="9998" width="3.453125" style="90" customWidth="1"/>
    <col min="9999" max="10000" width="12.6328125" style="90" customWidth="1"/>
    <col min="10001" max="10001" width="8.90625" style="90"/>
    <col min="10002" max="10002" width="7.7265625" style="90" customWidth="1"/>
    <col min="10003" max="10003" width="13.08984375" style="90" customWidth="1"/>
    <col min="10004" max="10004" width="6.08984375" style="90" customWidth="1"/>
    <col min="10005" max="10005" width="9.7265625" style="90" customWidth="1"/>
    <col min="10006" max="10006" width="1.36328125" style="90" customWidth="1"/>
    <col min="10007" max="10246" width="8.90625" style="90"/>
    <col min="10247" max="10247" width="1.36328125" style="90" customWidth="1"/>
    <col min="10248" max="10248" width="3.453125" style="90" customWidth="1"/>
    <col min="10249" max="10249" width="22.08984375" style="90" customWidth="1"/>
    <col min="10250" max="10250" width="9.7265625" style="90" customWidth="1"/>
    <col min="10251" max="10251" width="7.36328125" style="90" customWidth="1"/>
    <col min="10252" max="10252" width="8.90625" style="90"/>
    <col min="10253" max="10253" width="9.26953125" style="90" customWidth="1"/>
    <col min="10254" max="10254" width="3.453125" style="90" customWidth="1"/>
    <col min="10255" max="10256" width="12.6328125" style="90" customWidth="1"/>
    <col min="10257" max="10257" width="8.90625" style="90"/>
    <col min="10258" max="10258" width="7.7265625" style="90" customWidth="1"/>
    <col min="10259" max="10259" width="13.08984375" style="90" customWidth="1"/>
    <col min="10260" max="10260" width="6.08984375" style="90" customWidth="1"/>
    <col min="10261" max="10261" width="9.7265625" style="90" customWidth="1"/>
    <col min="10262" max="10262" width="1.36328125" style="90" customWidth="1"/>
    <col min="10263" max="10502" width="8.90625" style="90"/>
    <col min="10503" max="10503" width="1.36328125" style="90" customWidth="1"/>
    <col min="10504" max="10504" width="3.453125" style="90" customWidth="1"/>
    <col min="10505" max="10505" width="22.08984375" style="90" customWidth="1"/>
    <col min="10506" max="10506" width="9.7265625" style="90" customWidth="1"/>
    <col min="10507" max="10507" width="7.36328125" style="90" customWidth="1"/>
    <col min="10508" max="10508" width="8.90625" style="90"/>
    <col min="10509" max="10509" width="9.26953125" style="90" customWidth="1"/>
    <col min="10510" max="10510" width="3.453125" style="90" customWidth="1"/>
    <col min="10511" max="10512" width="12.6328125" style="90" customWidth="1"/>
    <col min="10513" max="10513" width="8.90625" style="90"/>
    <col min="10514" max="10514" width="7.7265625" style="90" customWidth="1"/>
    <col min="10515" max="10515" width="13.08984375" style="90" customWidth="1"/>
    <col min="10516" max="10516" width="6.08984375" style="90" customWidth="1"/>
    <col min="10517" max="10517" width="9.7265625" style="90" customWidth="1"/>
    <col min="10518" max="10518" width="1.36328125" style="90" customWidth="1"/>
    <col min="10519" max="10758" width="8.90625" style="90"/>
    <col min="10759" max="10759" width="1.36328125" style="90" customWidth="1"/>
    <col min="10760" max="10760" width="3.453125" style="90" customWidth="1"/>
    <col min="10761" max="10761" width="22.08984375" style="90" customWidth="1"/>
    <col min="10762" max="10762" width="9.7265625" style="90" customWidth="1"/>
    <col min="10763" max="10763" width="7.36328125" style="90" customWidth="1"/>
    <col min="10764" max="10764" width="8.90625" style="90"/>
    <col min="10765" max="10765" width="9.26953125" style="90" customWidth="1"/>
    <col min="10766" max="10766" width="3.453125" style="90" customWidth="1"/>
    <col min="10767" max="10768" width="12.6328125" style="90" customWidth="1"/>
    <col min="10769" max="10769" width="8.90625" style="90"/>
    <col min="10770" max="10770" width="7.7265625" style="90" customWidth="1"/>
    <col min="10771" max="10771" width="13.08984375" style="90" customWidth="1"/>
    <col min="10772" max="10772" width="6.08984375" style="90" customWidth="1"/>
    <col min="10773" max="10773" width="9.7265625" style="90" customWidth="1"/>
    <col min="10774" max="10774" width="1.36328125" style="90" customWidth="1"/>
    <col min="10775" max="11014" width="8.90625" style="90"/>
    <col min="11015" max="11015" width="1.36328125" style="90" customWidth="1"/>
    <col min="11016" max="11016" width="3.453125" style="90" customWidth="1"/>
    <col min="11017" max="11017" width="22.08984375" style="90" customWidth="1"/>
    <col min="11018" max="11018" width="9.7265625" style="90" customWidth="1"/>
    <col min="11019" max="11019" width="7.36328125" style="90" customWidth="1"/>
    <col min="11020" max="11020" width="8.90625" style="90"/>
    <col min="11021" max="11021" width="9.26953125" style="90" customWidth="1"/>
    <col min="11022" max="11022" width="3.453125" style="90" customWidth="1"/>
    <col min="11023" max="11024" width="12.6328125" style="90" customWidth="1"/>
    <col min="11025" max="11025" width="8.90625" style="90"/>
    <col min="11026" max="11026" width="7.7265625" style="90" customWidth="1"/>
    <col min="11027" max="11027" width="13.08984375" style="90" customWidth="1"/>
    <col min="11028" max="11028" width="6.08984375" style="90" customWidth="1"/>
    <col min="11029" max="11029" width="9.7265625" style="90" customWidth="1"/>
    <col min="11030" max="11030" width="1.36328125" style="90" customWidth="1"/>
    <col min="11031" max="11270" width="8.90625" style="90"/>
    <col min="11271" max="11271" width="1.36328125" style="90" customWidth="1"/>
    <col min="11272" max="11272" width="3.453125" style="90" customWidth="1"/>
    <col min="11273" max="11273" width="22.08984375" style="90" customWidth="1"/>
    <col min="11274" max="11274" width="9.7265625" style="90" customWidth="1"/>
    <col min="11275" max="11275" width="7.36328125" style="90" customWidth="1"/>
    <col min="11276" max="11276" width="8.90625" style="90"/>
    <col min="11277" max="11277" width="9.26953125" style="90" customWidth="1"/>
    <col min="11278" max="11278" width="3.453125" style="90" customWidth="1"/>
    <col min="11279" max="11280" width="12.6328125" style="90" customWidth="1"/>
    <col min="11281" max="11281" width="8.90625" style="90"/>
    <col min="11282" max="11282" width="7.7265625" style="90" customWidth="1"/>
    <col min="11283" max="11283" width="13.08984375" style="90" customWidth="1"/>
    <col min="11284" max="11284" width="6.08984375" style="90" customWidth="1"/>
    <col min="11285" max="11285" width="9.7265625" style="90" customWidth="1"/>
    <col min="11286" max="11286" width="1.36328125" style="90" customWidth="1"/>
    <col min="11287" max="11526" width="8.90625" style="90"/>
    <col min="11527" max="11527" width="1.36328125" style="90" customWidth="1"/>
    <col min="11528" max="11528" width="3.453125" style="90" customWidth="1"/>
    <col min="11529" max="11529" width="22.08984375" style="90" customWidth="1"/>
    <col min="11530" max="11530" width="9.7265625" style="90" customWidth="1"/>
    <col min="11531" max="11531" width="7.36328125" style="90" customWidth="1"/>
    <col min="11532" max="11532" width="8.90625" style="90"/>
    <col min="11533" max="11533" width="9.26953125" style="90" customWidth="1"/>
    <col min="11534" max="11534" width="3.453125" style="90" customWidth="1"/>
    <col min="11535" max="11536" width="12.6328125" style="90" customWidth="1"/>
    <col min="11537" max="11537" width="8.90625" style="90"/>
    <col min="11538" max="11538" width="7.7265625" style="90" customWidth="1"/>
    <col min="11539" max="11539" width="13.08984375" style="90" customWidth="1"/>
    <col min="11540" max="11540" width="6.08984375" style="90" customWidth="1"/>
    <col min="11541" max="11541" width="9.7265625" style="90" customWidth="1"/>
    <col min="11542" max="11542" width="1.36328125" style="90" customWidth="1"/>
    <col min="11543" max="11782" width="8.90625" style="90"/>
    <col min="11783" max="11783" width="1.36328125" style="90" customWidth="1"/>
    <col min="11784" max="11784" width="3.453125" style="90" customWidth="1"/>
    <col min="11785" max="11785" width="22.08984375" style="90" customWidth="1"/>
    <col min="11786" max="11786" width="9.7265625" style="90" customWidth="1"/>
    <col min="11787" max="11787" width="7.36328125" style="90" customWidth="1"/>
    <col min="11788" max="11788" width="8.90625" style="90"/>
    <col min="11789" max="11789" width="9.26953125" style="90" customWidth="1"/>
    <col min="11790" max="11790" width="3.453125" style="90" customWidth="1"/>
    <col min="11791" max="11792" width="12.6328125" style="90" customWidth="1"/>
    <col min="11793" max="11793" width="8.90625" style="90"/>
    <col min="11794" max="11794" width="7.7265625" style="90" customWidth="1"/>
    <col min="11795" max="11795" width="13.08984375" style="90" customWidth="1"/>
    <col min="11796" max="11796" width="6.08984375" style="90" customWidth="1"/>
    <col min="11797" max="11797" width="9.7265625" style="90" customWidth="1"/>
    <col min="11798" max="11798" width="1.36328125" style="90" customWidth="1"/>
    <col min="11799" max="12038" width="8.90625" style="90"/>
    <col min="12039" max="12039" width="1.36328125" style="90" customWidth="1"/>
    <col min="12040" max="12040" width="3.453125" style="90" customWidth="1"/>
    <col min="12041" max="12041" width="22.08984375" style="90" customWidth="1"/>
    <col min="12042" max="12042" width="9.7265625" style="90" customWidth="1"/>
    <col min="12043" max="12043" width="7.36328125" style="90" customWidth="1"/>
    <col min="12044" max="12044" width="8.90625" style="90"/>
    <col min="12045" max="12045" width="9.26953125" style="90" customWidth="1"/>
    <col min="12046" max="12046" width="3.453125" style="90" customWidth="1"/>
    <col min="12047" max="12048" width="12.6328125" style="90" customWidth="1"/>
    <col min="12049" max="12049" width="8.90625" style="90"/>
    <col min="12050" max="12050" width="7.7265625" style="90" customWidth="1"/>
    <col min="12051" max="12051" width="13.08984375" style="90" customWidth="1"/>
    <col min="12052" max="12052" width="6.08984375" style="90" customWidth="1"/>
    <col min="12053" max="12053" width="9.7265625" style="90" customWidth="1"/>
    <col min="12054" max="12054" width="1.36328125" style="90" customWidth="1"/>
    <col min="12055" max="12294" width="8.90625" style="90"/>
    <col min="12295" max="12295" width="1.36328125" style="90" customWidth="1"/>
    <col min="12296" max="12296" width="3.453125" style="90" customWidth="1"/>
    <col min="12297" max="12297" width="22.08984375" style="90" customWidth="1"/>
    <col min="12298" max="12298" width="9.7265625" style="90" customWidth="1"/>
    <col min="12299" max="12299" width="7.36328125" style="90" customWidth="1"/>
    <col min="12300" max="12300" width="8.90625" style="90"/>
    <col min="12301" max="12301" width="9.26953125" style="90" customWidth="1"/>
    <col min="12302" max="12302" width="3.453125" style="90" customWidth="1"/>
    <col min="12303" max="12304" width="12.6328125" style="90" customWidth="1"/>
    <col min="12305" max="12305" width="8.90625" style="90"/>
    <col min="12306" max="12306" width="7.7265625" style="90" customWidth="1"/>
    <col min="12307" max="12307" width="13.08984375" style="90" customWidth="1"/>
    <col min="12308" max="12308" width="6.08984375" style="90" customWidth="1"/>
    <col min="12309" max="12309" width="9.7265625" style="90" customWidth="1"/>
    <col min="12310" max="12310" width="1.36328125" style="90" customWidth="1"/>
    <col min="12311" max="12550" width="8.90625" style="90"/>
    <col min="12551" max="12551" width="1.36328125" style="90" customWidth="1"/>
    <col min="12552" max="12552" width="3.453125" style="90" customWidth="1"/>
    <col min="12553" max="12553" width="22.08984375" style="90" customWidth="1"/>
    <col min="12554" max="12554" width="9.7265625" style="90" customWidth="1"/>
    <col min="12555" max="12555" width="7.36328125" style="90" customWidth="1"/>
    <col min="12556" max="12556" width="8.90625" style="90"/>
    <col min="12557" max="12557" width="9.26953125" style="90" customWidth="1"/>
    <col min="12558" max="12558" width="3.453125" style="90" customWidth="1"/>
    <col min="12559" max="12560" width="12.6328125" style="90" customWidth="1"/>
    <col min="12561" max="12561" width="8.90625" style="90"/>
    <col min="12562" max="12562" width="7.7265625" style="90" customWidth="1"/>
    <col min="12563" max="12563" width="13.08984375" style="90" customWidth="1"/>
    <col min="12564" max="12564" width="6.08984375" style="90" customWidth="1"/>
    <col min="12565" max="12565" width="9.7265625" style="90" customWidth="1"/>
    <col min="12566" max="12566" width="1.36328125" style="90" customWidth="1"/>
    <col min="12567" max="12806" width="8.90625" style="90"/>
    <col min="12807" max="12807" width="1.36328125" style="90" customWidth="1"/>
    <col min="12808" max="12808" width="3.453125" style="90" customWidth="1"/>
    <col min="12809" max="12809" width="22.08984375" style="90" customWidth="1"/>
    <col min="12810" max="12810" width="9.7265625" style="90" customWidth="1"/>
    <col min="12811" max="12811" width="7.36328125" style="90" customWidth="1"/>
    <col min="12812" max="12812" width="8.90625" style="90"/>
    <col min="12813" max="12813" width="9.26953125" style="90" customWidth="1"/>
    <col min="12814" max="12814" width="3.453125" style="90" customWidth="1"/>
    <col min="12815" max="12816" width="12.6328125" style="90" customWidth="1"/>
    <col min="12817" max="12817" width="8.90625" style="90"/>
    <col min="12818" max="12818" width="7.7265625" style="90" customWidth="1"/>
    <col min="12819" max="12819" width="13.08984375" style="90" customWidth="1"/>
    <col min="12820" max="12820" width="6.08984375" style="90" customWidth="1"/>
    <col min="12821" max="12821" width="9.7265625" style="90" customWidth="1"/>
    <col min="12822" max="12822" width="1.36328125" style="90" customWidth="1"/>
    <col min="12823" max="13062" width="8.90625" style="90"/>
    <col min="13063" max="13063" width="1.36328125" style="90" customWidth="1"/>
    <col min="13064" max="13064" width="3.453125" style="90" customWidth="1"/>
    <col min="13065" max="13065" width="22.08984375" style="90" customWidth="1"/>
    <col min="13066" max="13066" width="9.7265625" style="90" customWidth="1"/>
    <col min="13067" max="13067" width="7.36328125" style="90" customWidth="1"/>
    <col min="13068" max="13068" width="8.90625" style="90"/>
    <col min="13069" max="13069" width="9.26953125" style="90" customWidth="1"/>
    <col min="13070" max="13070" width="3.453125" style="90" customWidth="1"/>
    <col min="13071" max="13072" width="12.6328125" style="90" customWidth="1"/>
    <col min="13073" max="13073" width="8.90625" style="90"/>
    <col min="13074" max="13074" width="7.7265625" style="90" customWidth="1"/>
    <col min="13075" max="13075" width="13.08984375" style="90" customWidth="1"/>
    <col min="13076" max="13076" width="6.08984375" style="90" customWidth="1"/>
    <col min="13077" max="13077" width="9.7265625" style="90" customWidth="1"/>
    <col min="13078" max="13078" width="1.36328125" style="90" customWidth="1"/>
    <col min="13079" max="13318" width="8.90625" style="90"/>
    <col min="13319" max="13319" width="1.36328125" style="90" customWidth="1"/>
    <col min="13320" max="13320" width="3.453125" style="90" customWidth="1"/>
    <col min="13321" max="13321" width="22.08984375" style="90" customWidth="1"/>
    <col min="13322" max="13322" width="9.7265625" style="90" customWidth="1"/>
    <col min="13323" max="13323" width="7.36328125" style="90" customWidth="1"/>
    <col min="13324" max="13324" width="8.90625" style="90"/>
    <col min="13325" max="13325" width="9.26953125" style="90" customWidth="1"/>
    <col min="13326" max="13326" width="3.453125" style="90" customWidth="1"/>
    <col min="13327" max="13328" width="12.6328125" style="90" customWidth="1"/>
    <col min="13329" max="13329" width="8.90625" style="90"/>
    <col min="13330" max="13330" width="7.7265625" style="90" customWidth="1"/>
    <col min="13331" max="13331" width="13.08984375" style="90" customWidth="1"/>
    <col min="13332" max="13332" width="6.08984375" style="90" customWidth="1"/>
    <col min="13333" max="13333" width="9.7265625" style="90" customWidth="1"/>
    <col min="13334" max="13334" width="1.36328125" style="90" customWidth="1"/>
    <col min="13335" max="13574" width="8.90625" style="90"/>
    <col min="13575" max="13575" width="1.36328125" style="90" customWidth="1"/>
    <col min="13576" max="13576" width="3.453125" style="90" customWidth="1"/>
    <col min="13577" max="13577" width="22.08984375" style="90" customWidth="1"/>
    <col min="13578" max="13578" width="9.7265625" style="90" customWidth="1"/>
    <col min="13579" max="13579" width="7.36328125" style="90" customWidth="1"/>
    <col min="13580" max="13580" width="8.90625" style="90"/>
    <col min="13581" max="13581" width="9.26953125" style="90" customWidth="1"/>
    <col min="13582" max="13582" width="3.453125" style="90" customWidth="1"/>
    <col min="13583" max="13584" width="12.6328125" style="90" customWidth="1"/>
    <col min="13585" max="13585" width="8.90625" style="90"/>
    <col min="13586" max="13586" width="7.7265625" style="90" customWidth="1"/>
    <col min="13587" max="13587" width="13.08984375" style="90" customWidth="1"/>
    <col min="13588" max="13588" width="6.08984375" style="90" customWidth="1"/>
    <col min="13589" max="13589" width="9.7265625" style="90" customWidth="1"/>
    <col min="13590" max="13590" width="1.36328125" style="90" customWidth="1"/>
    <col min="13591" max="13830" width="8.90625" style="90"/>
    <col min="13831" max="13831" width="1.36328125" style="90" customWidth="1"/>
    <col min="13832" max="13832" width="3.453125" style="90" customWidth="1"/>
    <col min="13833" max="13833" width="22.08984375" style="90" customWidth="1"/>
    <col min="13834" max="13834" width="9.7265625" style="90" customWidth="1"/>
    <col min="13835" max="13835" width="7.36328125" style="90" customWidth="1"/>
    <col min="13836" max="13836" width="8.90625" style="90"/>
    <col min="13837" max="13837" width="9.26953125" style="90" customWidth="1"/>
    <col min="13838" max="13838" width="3.453125" style="90" customWidth="1"/>
    <col min="13839" max="13840" width="12.6328125" style="90" customWidth="1"/>
    <col min="13841" max="13841" width="8.90625" style="90"/>
    <col min="13842" max="13842" width="7.7265625" style="90" customWidth="1"/>
    <col min="13843" max="13843" width="13.08984375" style="90" customWidth="1"/>
    <col min="13844" max="13844" width="6.08984375" style="90" customWidth="1"/>
    <col min="13845" max="13845" width="9.7265625" style="90" customWidth="1"/>
    <col min="13846" max="13846" width="1.36328125" style="90" customWidth="1"/>
    <col min="13847" max="14086" width="8.90625" style="90"/>
    <col min="14087" max="14087" width="1.36328125" style="90" customWidth="1"/>
    <col min="14088" max="14088" width="3.453125" style="90" customWidth="1"/>
    <col min="14089" max="14089" width="22.08984375" style="90" customWidth="1"/>
    <col min="14090" max="14090" width="9.7265625" style="90" customWidth="1"/>
    <col min="14091" max="14091" width="7.36328125" style="90" customWidth="1"/>
    <col min="14092" max="14092" width="8.90625" style="90"/>
    <col min="14093" max="14093" width="9.26953125" style="90" customWidth="1"/>
    <col min="14094" max="14094" width="3.453125" style="90" customWidth="1"/>
    <col min="14095" max="14096" width="12.6328125" style="90" customWidth="1"/>
    <col min="14097" max="14097" width="8.90625" style="90"/>
    <col min="14098" max="14098" width="7.7265625" style="90" customWidth="1"/>
    <col min="14099" max="14099" width="13.08984375" style="90" customWidth="1"/>
    <col min="14100" max="14100" width="6.08984375" style="90" customWidth="1"/>
    <col min="14101" max="14101" width="9.7265625" style="90" customWidth="1"/>
    <col min="14102" max="14102" width="1.36328125" style="90" customWidth="1"/>
    <col min="14103" max="14342" width="8.90625" style="90"/>
    <col min="14343" max="14343" width="1.36328125" style="90" customWidth="1"/>
    <col min="14344" max="14344" width="3.453125" style="90" customWidth="1"/>
    <col min="14345" max="14345" width="22.08984375" style="90" customWidth="1"/>
    <col min="14346" max="14346" width="9.7265625" style="90" customWidth="1"/>
    <col min="14347" max="14347" width="7.36328125" style="90" customWidth="1"/>
    <col min="14348" max="14348" width="8.90625" style="90"/>
    <col min="14349" max="14349" width="9.26953125" style="90" customWidth="1"/>
    <col min="14350" max="14350" width="3.453125" style="90" customWidth="1"/>
    <col min="14351" max="14352" width="12.6328125" style="90" customWidth="1"/>
    <col min="14353" max="14353" width="8.90625" style="90"/>
    <col min="14354" max="14354" width="7.7265625" style="90" customWidth="1"/>
    <col min="14355" max="14355" width="13.08984375" style="90" customWidth="1"/>
    <col min="14356" max="14356" width="6.08984375" style="90" customWidth="1"/>
    <col min="14357" max="14357" width="9.7265625" style="90" customWidth="1"/>
    <col min="14358" max="14358" width="1.36328125" style="90" customWidth="1"/>
    <col min="14359" max="14598" width="8.90625" style="90"/>
    <col min="14599" max="14599" width="1.36328125" style="90" customWidth="1"/>
    <col min="14600" max="14600" width="3.453125" style="90" customWidth="1"/>
    <col min="14601" max="14601" width="22.08984375" style="90" customWidth="1"/>
    <col min="14602" max="14602" width="9.7265625" style="90" customWidth="1"/>
    <col min="14603" max="14603" width="7.36328125" style="90" customWidth="1"/>
    <col min="14604" max="14604" width="8.90625" style="90"/>
    <col min="14605" max="14605" width="9.26953125" style="90" customWidth="1"/>
    <col min="14606" max="14606" width="3.453125" style="90" customWidth="1"/>
    <col min="14607" max="14608" width="12.6328125" style="90" customWidth="1"/>
    <col min="14609" max="14609" width="8.90625" style="90"/>
    <col min="14610" max="14610" width="7.7265625" style="90" customWidth="1"/>
    <col min="14611" max="14611" width="13.08984375" style="90" customWidth="1"/>
    <col min="14612" max="14612" width="6.08984375" style="90" customWidth="1"/>
    <col min="14613" max="14613" width="9.7265625" style="90" customWidth="1"/>
    <col min="14614" max="14614" width="1.36328125" style="90" customWidth="1"/>
    <col min="14615" max="14854" width="8.90625" style="90"/>
    <col min="14855" max="14855" width="1.36328125" style="90" customWidth="1"/>
    <col min="14856" max="14856" width="3.453125" style="90" customWidth="1"/>
    <col min="14857" max="14857" width="22.08984375" style="90" customWidth="1"/>
    <col min="14858" max="14858" width="9.7265625" style="90" customWidth="1"/>
    <col min="14859" max="14859" width="7.36328125" style="90" customWidth="1"/>
    <col min="14860" max="14860" width="8.90625" style="90"/>
    <col min="14861" max="14861" width="9.26953125" style="90" customWidth="1"/>
    <col min="14862" max="14862" width="3.453125" style="90" customWidth="1"/>
    <col min="14863" max="14864" width="12.6328125" style="90" customWidth="1"/>
    <col min="14865" max="14865" width="8.90625" style="90"/>
    <col min="14866" max="14866" width="7.7265625" style="90" customWidth="1"/>
    <col min="14867" max="14867" width="13.08984375" style="90" customWidth="1"/>
    <col min="14868" max="14868" width="6.08984375" style="90" customWidth="1"/>
    <col min="14869" max="14869" width="9.7265625" style="90" customWidth="1"/>
    <col min="14870" max="14870" width="1.36328125" style="90" customWidth="1"/>
    <col min="14871" max="15110" width="8.90625" style="90"/>
    <col min="15111" max="15111" width="1.36328125" style="90" customWidth="1"/>
    <col min="15112" max="15112" width="3.453125" style="90" customWidth="1"/>
    <col min="15113" max="15113" width="22.08984375" style="90" customWidth="1"/>
    <col min="15114" max="15114" width="9.7265625" style="90" customWidth="1"/>
    <col min="15115" max="15115" width="7.36328125" style="90" customWidth="1"/>
    <col min="15116" max="15116" width="8.90625" style="90"/>
    <col min="15117" max="15117" width="9.26953125" style="90" customWidth="1"/>
    <col min="15118" max="15118" width="3.453125" style="90" customWidth="1"/>
    <col min="15119" max="15120" width="12.6328125" style="90" customWidth="1"/>
    <col min="15121" max="15121" width="8.90625" style="90"/>
    <col min="15122" max="15122" width="7.7265625" style="90" customWidth="1"/>
    <col min="15123" max="15123" width="13.08984375" style="90" customWidth="1"/>
    <col min="15124" max="15124" width="6.08984375" style="90" customWidth="1"/>
    <col min="15125" max="15125" width="9.7265625" style="90" customWidth="1"/>
    <col min="15126" max="15126" width="1.36328125" style="90" customWidth="1"/>
    <col min="15127" max="15366" width="8.90625" style="90"/>
    <col min="15367" max="15367" width="1.36328125" style="90" customWidth="1"/>
    <col min="15368" max="15368" width="3.453125" style="90" customWidth="1"/>
    <col min="15369" max="15369" width="22.08984375" style="90" customWidth="1"/>
    <col min="15370" max="15370" width="9.7265625" style="90" customWidth="1"/>
    <col min="15371" max="15371" width="7.36328125" style="90" customWidth="1"/>
    <col min="15372" max="15372" width="8.90625" style="90"/>
    <col min="15373" max="15373" width="9.26953125" style="90" customWidth="1"/>
    <col min="15374" max="15374" width="3.453125" style="90" customWidth="1"/>
    <col min="15375" max="15376" width="12.6328125" style="90" customWidth="1"/>
    <col min="15377" max="15377" width="8.90625" style="90"/>
    <col min="15378" max="15378" width="7.7265625" style="90" customWidth="1"/>
    <col min="15379" max="15379" width="13.08984375" style="90" customWidth="1"/>
    <col min="15380" max="15380" width="6.08984375" style="90" customWidth="1"/>
    <col min="15381" max="15381" width="9.7265625" style="90" customWidth="1"/>
    <col min="15382" max="15382" width="1.36328125" style="90" customWidth="1"/>
    <col min="15383" max="15622" width="8.90625" style="90"/>
    <col min="15623" max="15623" width="1.36328125" style="90" customWidth="1"/>
    <col min="15624" max="15624" width="3.453125" style="90" customWidth="1"/>
    <col min="15625" max="15625" width="22.08984375" style="90" customWidth="1"/>
    <col min="15626" max="15626" width="9.7265625" style="90" customWidth="1"/>
    <col min="15627" max="15627" width="7.36328125" style="90" customWidth="1"/>
    <col min="15628" max="15628" width="8.90625" style="90"/>
    <col min="15629" max="15629" width="9.26953125" style="90" customWidth="1"/>
    <col min="15630" max="15630" width="3.453125" style="90" customWidth="1"/>
    <col min="15631" max="15632" width="12.6328125" style="90" customWidth="1"/>
    <col min="15633" max="15633" width="8.90625" style="90"/>
    <col min="15634" max="15634" width="7.7265625" style="90" customWidth="1"/>
    <col min="15635" max="15635" width="13.08984375" style="90" customWidth="1"/>
    <col min="15636" max="15636" width="6.08984375" style="90" customWidth="1"/>
    <col min="15637" max="15637" width="9.7265625" style="90" customWidth="1"/>
    <col min="15638" max="15638" width="1.36328125" style="90" customWidth="1"/>
    <col min="15639" max="15878" width="8.90625" style="90"/>
    <col min="15879" max="15879" width="1.36328125" style="90" customWidth="1"/>
    <col min="15880" max="15880" width="3.453125" style="90" customWidth="1"/>
    <col min="15881" max="15881" width="22.08984375" style="90" customWidth="1"/>
    <col min="15882" max="15882" width="9.7265625" style="90" customWidth="1"/>
    <col min="15883" max="15883" width="7.36328125" style="90" customWidth="1"/>
    <col min="15884" max="15884" width="8.90625" style="90"/>
    <col min="15885" max="15885" width="9.26953125" style="90" customWidth="1"/>
    <col min="15886" max="15886" width="3.453125" style="90" customWidth="1"/>
    <col min="15887" max="15888" width="12.6328125" style="90" customWidth="1"/>
    <col min="15889" max="15889" width="8.90625" style="90"/>
    <col min="15890" max="15890" width="7.7265625" style="90" customWidth="1"/>
    <col min="15891" max="15891" width="13.08984375" style="90" customWidth="1"/>
    <col min="15892" max="15892" width="6.08984375" style="90" customWidth="1"/>
    <col min="15893" max="15893" width="9.7265625" style="90" customWidth="1"/>
    <col min="15894" max="15894" width="1.36328125" style="90" customWidth="1"/>
    <col min="15895" max="16134" width="8.90625" style="90"/>
    <col min="16135" max="16135" width="1.36328125" style="90" customWidth="1"/>
    <col min="16136" max="16136" width="3.453125" style="90" customWidth="1"/>
    <col min="16137" max="16137" width="22.08984375" style="90" customWidth="1"/>
    <col min="16138" max="16138" width="9.7265625" style="90" customWidth="1"/>
    <col min="16139" max="16139" width="7.36328125" style="90" customWidth="1"/>
    <col min="16140" max="16140" width="8.90625" style="90"/>
    <col min="16141" max="16141" width="9.26953125" style="90" customWidth="1"/>
    <col min="16142" max="16142" width="3.453125" style="90" customWidth="1"/>
    <col min="16143" max="16144" width="12.6328125" style="90" customWidth="1"/>
    <col min="16145" max="16145" width="8.90625" style="90"/>
    <col min="16146" max="16146" width="7.7265625" style="90" customWidth="1"/>
    <col min="16147" max="16147" width="13.08984375" style="90" customWidth="1"/>
    <col min="16148" max="16148" width="6.08984375" style="90" customWidth="1"/>
    <col min="16149" max="16149" width="9.7265625" style="90" customWidth="1"/>
    <col min="16150" max="16150" width="1.36328125" style="90" customWidth="1"/>
    <col min="16151" max="16384" width="8.90625" style="90"/>
  </cols>
  <sheetData>
    <row r="1" spans="2:22" ht="10" customHeight="1" x14ac:dyDescent="0.2"/>
    <row r="2" spans="2:22" ht="25" customHeight="1" x14ac:dyDescent="0.2">
      <c r="B2" s="1" t="s">
        <v>463</v>
      </c>
      <c r="C2" s="92"/>
      <c r="D2" s="13"/>
      <c r="E2" s="13"/>
      <c r="F2" s="92"/>
      <c r="G2" s="160"/>
      <c r="H2" s="170"/>
      <c r="I2" s="160"/>
      <c r="J2" s="160"/>
      <c r="K2" s="160"/>
      <c r="L2" s="160"/>
      <c r="M2" s="160"/>
      <c r="N2" s="160"/>
      <c r="O2" s="13"/>
    </row>
    <row r="3" spans="2:22" ht="15" customHeight="1" thickBot="1" x14ac:dyDescent="0.25">
      <c r="B3" s="90" t="s">
        <v>234</v>
      </c>
      <c r="I3" s="13" t="s">
        <v>235</v>
      </c>
      <c r="P3" s="90" t="s">
        <v>255</v>
      </c>
    </row>
    <row r="4" spans="2:22" ht="15" customHeight="1" x14ac:dyDescent="0.2">
      <c r="B4" s="322" t="s">
        <v>90</v>
      </c>
      <c r="C4" s="209" t="s">
        <v>193</v>
      </c>
      <c r="D4" s="209" t="s">
        <v>154</v>
      </c>
      <c r="E4" s="209" t="s">
        <v>155</v>
      </c>
      <c r="F4" s="422" t="s">
        <v>24</v>
      </c>
      <c r="G4" s="197" t="s">
        <v>156</v>
      </c>
      <c r="H4" s="210"/>
      <c r="I4" s="1244" t="s">
        <v>90</v>
      </c>
      <c r="J4" s="1242" t="s">
        <v>197</v>
      </c>
      <c r="K4" s="399" t="s">
        <v>194</v>
      </c>
      <c r="L4" s="399" t="s">
        <v>157</v>
      </c>
      <c r="M4" s="1237" t="s">
        <v>24</v>
      </c>
      <c r="N4" s="1239" t="s">
        <v>156</v>
      </c>
      <c r="O4" s="229"/>
      <c r="P4" s="323" t="s">
        <v>200</v>
      </c>
      <c r="Q4" s="324" t="s">
        <v>201</v>
      </c>
      <c r="R4" s="324" t="s">
        <v>202</v>
      </c>
      <c r="S4" s="324" t="s">
        <v>203</v>
      </c>
      <c r="T4" s="1246" t="s">
        <v>204</v>
      </c>
      <c r="U4" s="1161"/>
      <c r="V4" s="325" t="s">
        <v>205</v>
      </c>
    </row>
    <row r="5" spans="2:22" ht="15" customHeight="1" x14ac:dyDescent="0.2">
      <c r="B5" s="1093" t="s">
        <v>189</v>
      </c>
      <c r="C5" s="111"/>
      <c r="D5" s="89"/>
      <c r="E5" s="100"/>
      <c r="F5" s="111"/>
      <c r="G5" s="198">
        <f t="shared" ref="G5:G6" si="0">D5*F5</f>
        <v>0</v>
      </c>
      <c r="H5" s="211"/>
      <c r="I5" s="1245"/>
      <c r="J5" s="1243"/>
      <c r="K5" s="400" t="s">
        <v>159</v>
      </c>
      <c r="L5" s="400" t="s">
        <v>312</v>
      </c>
      <c r="M5" s="1238"/>
      <c r="N5" s="1240"/>
      <c r="O5" s="229"/>
      <c r="P5" s="527" t="s">
        <v>423</v>
      </c>
      <c r="Q5" s="195"/>
      <c r="R5" s="486" t="s">
        <v>106</v>
      </c>
      <c r="S5" s="195"/>
      <c r="T5" s="1284"/>
      <c r="U5" s="1248"/>
      <c r="V5" s="218">
        <v>2000</v>
      </c>
    </row>
    <row r="6" spans="2:22" ht="15" customHeight="1" x14ac:dyDescent="0.2">
      <c r="B6" s="1094"/>
      <c r="C6" s="89"/>
      <c r="D6" s="89"/>
      <c r="E6" s="100"/>
      <c r="F6" s="89"/>
      <c r="G6" s="199">
        <f t="shared" si="0"/>
        <v>0</v>
      </c>
      <c r="H6" s="211"/>
      <c r="I6" s="1249" t="s">
        <v>196</v>
      </c>
      <c r="J6" s="360" t="s">
        <v>715</v>
      </c>
      <c r="K6" s="401">
        <v>10.6</v>
      </c>
      <c r="L6" s="401">
        <v>13</v>
      </c>
      <c r="M6" s="438">
        <v>84.7</v>
      </c>
      <c r="N6" s="402">
        <f>K6*L6*M6</f>
        <v>11671.66</v>
      </c>
      <c r="O6" s="229"/>
      <c r="P6" s="326"/>
      <c r="Q6" s="195"/>
      <c r="R6" s="423"/>
      <c r="S6" s="195"/>
      <c r="T6" s="1235"/>
      <c r="U6" s="1236"/>
      <c r="V6" s="218"/>
    </row>
    <row r="7" spans="2:22" ht="15" customHeight="1" thickBot="1" x14ac:dyDescent="0.25">
      <c r="B7" s="1254"/>
      <c r="C7" s="200" t="s">
        <v>160</v>
      </c>
      <c r="D7" s="200"/>
      <c r="E7" s="200"/>
      <c r="F7" s="200"/>
      <c r="G7" s="201">
        <f>SUM(G5:G6)</f>
        <v>0</v>
      </c>
      <c r="H7" s="211"/>
      <c r="I7" s="1250"/>
      <c r="J7" s="360" t="s">
        <v>716</v>
      </c>
      <c r="K7" s="401">
        <v>5.4</v>
      </c>
      <c r="L7" s="401">
        <f>5+6.5</f>
        <v>11.5</v>
      </c>
      <c r="M7" s="438">
        <v>84.7</v>
      </c>
      <c r="N7" s="402">
        <f t="shared" ref="N7:N11" si="1">K7*L7*M7</f>
        <v>5259.87</v>
      </c>
      <c r="O7" s="229"/>
      <c r="P7" s="326"/>
      <c r="Q7" s="195"/>
      <c r="R7" s="423"/>
      <c r="S7" s="195"/>
      <c r="T7" s="1235"/>
      <c r="U7" s="1236"/>
      <c r="V7" s="218"/>
    </row>
    <row r="8" spans="2:22" ht="15" customHeight="1" thickTop="1" x14ac:dyDescent="0.2">
      <c r="B8" s="1252" t="s">
        <v>187</v>
      </c>
      <c r="C8" s="89" t="s">
        <v>421</v>
      </c>
      <c r="D8" s="89">
        <v>10</v>
      </c>
      <c r="E8" s="100" t="s">
        <v>299</v>
      </c>
      <c r="F8" s="89">
        <v>3840</v>
      </c>
      <c r="G8" s="199">
        <f>D8*F8</f>
        <v>38400</v>
      </c>
      <c r="H8" s="211"/>
      <c r="I8" s="1250"/>
      <c r="J8" s="360" t="s">
        <v>313</v>
      </c>
      <c r="K8" s="401">
        <v>1.2</v>
      </c>
      <c r="L8" s="401">
        <v>3</v>
      </c>
      <c r="M8" s="438">
        <v>84.7</v>
      </c>
      <c r="N8" s="402">
        <f t="shared" si="1"/>
        <v>304.91999999999996</v>
      </c>
      <c r="O8" s="229"/>
      <c r="P8" s="326"/>
      <c r="Q8" s="195"/>
      <c r="R8" s="423"/>
      <c r="S8" s="195"/>
      <c r="T8" s="1235"/>
      <c r="U8" s="1236"/>
      <c r="V8" s="218"/>
    </row>
    <row r="9" spans="2:22" ht="15" customHeight="1" x14ac:dyDescent="0.2">
      <c r="B9" s="1094"/>
      <c r="C9" s="89"/>
      <c r="D9" s="89"/>
      <c r="E9" s="100"/>
      <c r="F9" s="89"/>
      <c r="G9" s="199">
        <f>D9*F9</f>
        <v>0</v>
      </c>
      <c r="H9" s="211"/>
      <c r="I9" s="1250"/>
      <c r="J9" s="410" t="s">
        <v>717</v>
      </c>
      <c r="K9" s="411">
        <v>3.5</v>
      </c>
      <c r="L9" s="411">
        <v>5</v>
      </c>
      <c r="M9" s="438">
        <v>84.7</v>
      </c>
      <c r="N9" s="412">
        <f t="shared" si="1"/>
        <v>1482.25</v>
      </c>
      <c r="O9" s="229"/>
      <c r="P9" s="326"/>
      <c r="Q9" s="195"/>
      <c r="R9" s="423"/>
      <c r="S9" s="195"/>
      <c r="T9" s="1235"/>
      <c r="U9" s="1236"/>
      <c r="V9" s="218"/>
    </row>
    <row r="10" spans="2:22" ht="15" customHeight="1" x14ac:dyDescent="0.2">
      <c r="B10" s="1094"/>
      <c r="C10" s="89"/>
      <c r="D10" s="89"/>
      <c r="E10" s="100"/>
      <c r="F10" s="89"/>
      <c r="G10" s="199">
        <f>D10*F10</f>
        <v>0</v>
      </c>
      <c r="H10" s="211"/>
      <c r="I10" s="1250"/>
      <c r="J10" s="416" t="s">
        <v>718</v>
      </c>
      <c r="K10" s="417">
        <v>2.5</v>
      </c>
      <c r="L10" s="417">
        <v>3.5</v>
      </c>
      <c r="M10" s="438">
        <v>84.7</v>
      </c>
      <c r="N10" s="418">
        <f t="shared" si="1"/>
        <v>741.125</v>
      </c>
      <c r="O10" s="229"/>
      <c r="P10" s="326"/>
      <c r="Q10" s="413"/>
      <c r="R10" s="414"/>
      <c r="S10" s="413"/>
      <c r="T10" s="415"/>
      <c r="U10" s="424"/>
      <c r="V10" s="218"/>
    </row>
    <row r="11" spans="2:22" ht="15" customHeight="1" thickBot="1" x14ac:dyDescent="0.25">
      <c r="B11" s="1254"/>
      <c r="C11" s="202" t="s">
        <v>161</v>
      </c>
      <c r="D11" s="203"/>
      <c r="E11" s="203"/>
      <c r="F11" s="203"/>
      <c r="G11" s="204">
        <f>SUM(G8:G10)</f>
        <v>38400</v>
      </c>
      <c r="H11" s="211"/>
      <c r="I11" s="1250"/>
      <c r="J11" s="419" t="s">
        <v>719</v>
      </c>
      <c r="K11" s="420">
        <v>2</v>
      </c>
      <c r="L11" s="420">
        <v>3.5</v>
      </c>
      <c r="M11" s="438">
        <v>84.7</v>
      </c>
      <c r="N11" s="421">
        <f t="shared" si="1"/>
        <v>592.9</v>
      </c>
      <c r="O11" s="229"/>
      <c r="P11" s="326"/>
      <c r="Q11" s="195"/>
      <c r="R11" s="423"/>
      <c r="S11" s="195"/>
      <c r="T11" s="1235"/>
      <c r="U11" s="1236"/>
      <c r="V11" s="218"/>
    </row>
    <row r="12" spans="2:22" ht="15" customHeight="1" thickTop="1" thickBot="1" x14ac:dyDescent="0.25">
      <c r="B12" s="1252" t="s">
        <v>188</v>
      </c>
      <c r="C12" s="89" t="s">
        <v>769</v>
      </c>
      <c r="D12" s="89">
        <v>550</v>
      </c>
      <c r="E12" s="100" t="s">
        <v>310</v>
      </c>
      <c r="F12" s="89">
        <f>3710/20</f>
        <v>185.5</v>
      </c>
      <c r="G12" s="199">
        <f>D12*F12</f>
        <v>102025</v>
      </c>
      <c r="H12" s="211"/>
      <c r="I12" s="1251"/>
      <c r="J12" s="397" t="s">
        <v>260</v>
      </c>
      <c r="K12" s="398">
        <f>SUM(K6:K9)</f>
        <v>20.7</v>
      </c>
      <c r="L12" s="398">
        <f>SUM(L6:L11)</f>
        <v>39.5</v>
      </c>
      <c r="M12" s="398"/>
      <c r="N12" s="403">
        <f>SUM(N6:N11)</f>
        <v>20052.724999999999</v>
      </c>
      <c r="O12" s="229"/>
      <c r="P12" s="326"/>
      <c r="Q12" s="195"/>
      <c r="R12" s="423"/>
      <c r="S12" s="195"/>
      <c r="T12" s="1235"/>
      <c r="U12" s="1236"/>
      <c r="V12" s="218"/>
    </row>
    <row r="13" spans="2:22" ht="15" customHeight="1" thickTop="1" x14ac:dyDescent="0.2">
      <c r="B13" s="1094"/>
      <c r="C13" s="89"/>
      <c r="D13" s="89"/>
      <c r="E13" s="100"/>
      <c r="F13" s="89"/>
      <c r="G13" s="199">
        <f>D13*F13</f>
        <v>0</v>
      </c>
      <c r="H13" s="211"/>
      <c r="I13" s="1278" t="s">
        <v>48</v>
      </c>
      <c r="J13" s="360" t="s">
        <v>720</v>
      </c>
      <c r="K13" s="401">
        <v>3.1</v>
      </c>
      <c r="L13" s="401">
        <v>6.2</v>
      </c>
      <c r="M13" s="438">
        <v>158.4</v>
      </c>
      <c r="N13" s="402">
        <f>K13*L13*M13</f>
        <v>3044.4480000000003</v>
      </c>
      <c r="O13" s="229"/>
      <c r="P13" s="326"/>
      <c r="Q13" s="195"/>
      <c r="R13" s="423"/>
      <c r="S13" s="195"/>
      <c r="T13" s="1235"/>
      <c r="U13" s="1236"/>
      <c r="V13" s="218"/>
    </row>
    <row r="14" spans="2:22" ht="15" customHeight="1" x14ac:dyDescent="0.2">
      <c r="B14" s="1094"/>
      <c r="C14" s="89"/>
      <c r="D14" s="89"/>
      <c r="E14" s="100"/>
      <c r="F14" s="89"/>
      <c r="G14" s="199">
        <f>D14*F14</f>
        <v>0</v>
      </c>
      <c r="H14" s="211"/>
      <c r="I14" s="1279"/>
      <c r="J14" s="360"/>
      <c r="K14" s="401"/>
      <c r="L14" s="401"/>
      <c r="M14" s="401"/>
      <c r="N14" s="402">
        <f t="shared" ref="N14:N15" si="2">K14*L14*M14</f>
        <v>0</v>
      </c>
      <c r="O14" s="229"/>
      <c r="P14" s="326"/>
      <c r="Q14" s="195"/>
      <c r="R14" s="423"/>
      <c r="S14" s="195"/>
      <c r="T14" s="1235"/>
      <c r="U14" s="1236"/>
      <c r="V14" s="218"/>
    </row>
    <row r="15" spans="2:22" ht="15" customHeight="1" x14ac:dyDescent="0.2">
      <c r="B15" s="1094"/>
      <c r="C15" s="89"/>
      <c r="D15" s="89"/>
      <c r="E15" s="89"/>
      <c r="F15" s="89"/>
      <c r="G15" s="199">
        <f t="shared" ref="G15" si="3">D15*F15</f>
        <v>0</v>
      </c>
      <c r="H15" s="211"/>
      <c r="I15" s="1279"/>
      <c r="J15" s="360"/>
      <c r="K15" s="401"/>
      <c r="L15" s="401"/>
      <c r="M15" s="401"/>
      <c r="N15" s="402">
        <f t="shared" si="2"/>
        <v>0</v>
      </c>
      <c r="O15" s="229"/>
      <c r="P15" s="326"/>
      <c r="Q15" s="195"/>
      <c r="R15" s="423"/>
      <c r="S15" s="195"/>
      <c r="T15" s="1235"/>
      <c r="U15" s="1236"/>
      <c r="V15" s="218"/>
    </row>
    <row r="16" spans="2:22" ht="15" customHeight="1" thickBot="1" x14ac:dyDescent="0.25">
      <c r="B16" s="1254"/>
      <c r="C16" s="202" t="s">
        <v>161</v>
      </c>
      <c r="D16" s="203"/>
      <c r="E16" s="203"/>
      <c r="F16" s="203"/>
      <c r="G16" s="204">
        <f>SUM(G12:G15)</f>
        <v>102025</v>
      </c>
      <c r="H16" s="211"/>
      <c r="I16" s="1280"/>
      <c r="J16" s="327" t="s">
        <v>260</v>
      </c>
      <c r="K16" s="214">
        <f>SUM(K13:K15)</f>
        <v>3.1</v>
      </c>
      <c r="L16" s="214">
        <f>SUM(L13:L15)</f>
        <v>6.2</v>
      </c>
      <c r="M16" s="214"/>
      <c r="N16" s="404">
        <f>SUM(N13:N15)</f>
        <v>3044.4480000000003</v>
      </c>
      <c r="O16" s="229"/>
      <c r="P16" s="326"/>
      <c r="Q16" s="195"/>
      <c r="R16" s="423"/>
      <c r="S16" s="195"/>
      <c r="T16" s="1235"/>
      <c r="U16" s="1236"/>
      <c r="V16" s="218"/>
    </row>
    <row r="17" spans="2:22" ht="15" customHeight="1" thickTop="1" x14ac:dyDescent="0.2">
      <c r="B17" s="1252" t="s">
        <v>190</v>
      </c>
      <c r="C17" s="89"/>
      <c r="D17" s="89"/>
      <c r="E17" s="100"/>
      <c r="F17" s="89"/>
      <c r="G17" s="199">
        <f t="shared" ref="G17" si="4">D17*F17</f>
        <v>0</v>
      </c>
      <c r="H17" s="211"/>
      <c r="I17" s="1278" t="s">
        <v>198</v>
      </c>
      <c r="J17" s="360"/>
      <c r="K17" s="401"/>
      <c r="L17" s="401"/>
      <c r="M17" s="401"/>
      <c r="N17" s="402">
        <f>K17*L17*M17</f>
        <v>0</v>
      </c>
      <c r="O17" s="229"/>
      <c r="P17" s="326"/>
      <c r="Q17" s="195"/>
      <c r="R17" s="423"/>
      <c r="S17" s="195"/>
      <c r="T17" s="1235"/>
      <c r="U17" s="1236"/>
      <c r="V17" s="218"/>
    </row>
    <row r="18" spans="2:22" ht="15" customHeight="1" x14ac:dyDescent="0.2">
      <c r="B18" s="1094"/>
      <c r="C18" s="89"/>
      <c r="D18" s="89"/>
      <c r="E18" s="100"/>
      <c r="F18" s="89"/>
      <c r="G18" s="199">
        <f>D18*F18</f>
        <v>0</v>
      </c>
      <c r="H18" s="211"/>
      <c r="I18" s="1279"/>
      <c r="J18" s="360"/>
      <c r="K18" s="401"/>
      <c r="L18" s="401"/>
      <c r="M18" s="401"/>
      <c r="N18" s="402">
        <f t="shared" ref="N18:N19" si="5">K18*L18*M18</f>
        <v>0</v>
      </c>
      <c r="O18" s="229"/>
      <c r="P18" s="326"/>
      <c r="Q18" s="195"/>
      <c r="R18" s="423"/>
      <c r="S18" s="195"/>
      <c r="T18" s="1235"/>
      <c r="U18" s="1236"/>
      <c r="V18" s="218"/>
    </row>
    <row r="19" spans="2:22" ht="15" customHeight="1" x14ac:dyDescent="0.2">
      <c r="B19" s="1094"/>
      <c r="C19" s="89"/>
      <c r="D19" s="89"/>
      <c r="E19" s="89"/>
      <c r="F19" s="89"/>
      <c r="G19" s="199">
        <f t="shared" ref="G19" si="6">D19*F19</f>
        <v>0</v>
      </c>
      <c r="H19" s="211"/>
      <c r="I19" s="1279"/>
      <c r="J19" s="360"/>
      <c r="K19" s="401"/>
      <c r="L19" s="401"/>
      <c r="M19" s="401"/>
      <c r="N19" s="402">
        <f t="shared" si="5"/>
        <v>0</v>
      </c>
      <c r="O19" s="229"/>
      <c r="P19" s="326"/>
      <c r="Q19" s="195"/>
      <c r="R19" s="423"/>
      <c r="S19" s="195"/>
      <c r="T19" s="1235"/>
      <c r="U19" s="1236"/>
      <c r="V19" s="218"/>
    </row>
    <row r="20" spans="2:22" ht="15" customHeight="1" thickBot="1" x14ac:dyDescent="0.25">
      <c r="B20" s="1254"/>
      <c r="C20" s="202" t="s">
        <v>161</v>
      </c>
      <c r="D20" s="203"/>
      <c r="E20" s="203"/>
      <c r="F20" s="203"/>
      <c r="G20" s="204">
        <f>SUM(G17:G19)</f>
        <v>0</v>
      </c>
      <c r="H20" s="211"/>
      <c r="I20" s="1280"/>
      <c r="J20" s="327" t="s">
        <v>260</v>
      </c>
      <c r="K20" s="214">
        <f>SUM(K17:K19)</f>
        <v>0</v>
      </c>
      <c r="L20" s="215">
        <f>SUM(L17:L19)</f>
        <v>0</v>
      </c>
      <c r="M20" s="216"/>
      <c r="N20" s="404">
        <f>SUM(N17:N19)</f>
        <v>0</v>
      </c>
      <c r="O20" s="229"/>
      <c r="P20" s="326"/>
      <c r="Q20" s="195"/>
      <c r="R20" s="423"/>
      <c r="S20" s="195"/>
      <c r="T20" s="1235"/>
      <c r="U20" s="1236"/>
      <c r="V20" s="218"/>
    </row>
    <row r="21" spans="2:22" ht="15" customHeight="1" thickTop="1" thickBot="1" x14ac:dyDescent="0.25">
      <c r="B21" s="1252" t="s">
        <v>191</v>
      </c>
      <c r="C21" s="89" t="s">
        <v>306</v>
      </c>
      <c r="D21" s="89">
        <f>131*4.3</f>
        <v>563.29999999999995</v>
      </c>
      <c r="E21" s="100" t="s">
        <v>303</v>
      </c>
      <c r="F21" s="89">
        <f>510/20</f>
        <v>25.5</v>
      </c>
      <c r="G21" s="199">
        <f>D21*F21</f>
        <v>14364.15</v>
      </c>
      <c r="H21" s="211"/>
      <c r="I21" s="1278" t="s">
        <v>199</v>
      </c>
      <c r="J21" s="360" t="s">
        <v>721</v>
      </c>
      <c r="K21" s="401">
        <v>28.2</v>
      </c>
      <c r="L21" s="401">
        <v>6.1</v>
      </c>
      <c r="M21" s="401">
        <v>102.1</v>
      </c>
      <c r="N21" s="402">
        <f>K21*L21*M21</f>
        <v>17563.241999999998</v>
      </c>
      <c r="O21" s="229"/>
      <c r="P21" s="219" t="s">
        <v>29</v>
      </c>
      <c r="Q21" s="220"/>
      <c r="R21" s="220"/>
      <c r="S21" s="220"/>
      <c r="T21" s="1241"/>
      <c r="U21" s="1232"/>
      <c r="V21" s="221">
        <f>SUM(V5:V20)</f>
        <v>2000</v>
      </c>
    </row>
    <row r="22" spans="2:22" ht="15" customHeight="1" x14ac:dyDescent="0.2">
      <c r="B22" s="1094"/>
      <c r="C22" s="89"/>
      <c r="D22" s="89"/>
      <c r="E22" s="100"/>
      <c r="F22" s="89"/>
      <c r="G22" s="199">
        <f>D22*F22</f>
        <v>0</v>
      </c>
      <c r="H22" s="211"/>
      <c r="I22" s="1279"/>
      <c r="J22" s="360"/>
      <c r="K22" s="401"/>
      <c r="L22" s="401"/>
      <c r="M22" s="401"/>
      <c r="N22" s="402">
        <f t="shared" ref="N22:N23" si="7">K22*L22*M22</f>
        <v>0</v>
      </c>
      <c r="O22" s="229"/>
    </row>
    <row r="23" spans="2:22" ht="15" customHeight="1" thickBot="1" x14ac:dyDescent="0.25">
      <c r="B23" s="1094"/>
      <c r="C23" s="89"/>
      <c r="D23" s="89"/>
      <c r="E23" s="100"/>
      <c r="F23" s="89"/>
      <c r="G23" s="199">
        <f>D23*F23</f>
        <v>0</v>
      </c>
      <c r="H23" s="211"/>
      <c r="I23" s="1279"/>
      <c r="J23" s="360"/>
      <c r="K23" s="401"/>
      <c r="L23" s="401"/>
      <c r="M23" s="401"/>
      <c r="N23" s="402">
        <f t="shared" si="7"/>
        <v>0</v>
      </c>
      <c r="O23" s="229"/>
      <c r="P23" s="90" t="s">
        <v>256</v>
      </c>
    </row>
    <row r="24" spans="2:22" ht="15" customHeight="1" thickBot="1" x14ac:dyDescent="0.25">
      <c r="B24" s="1253"/>
      <c r="C24" s="205" t="s">
        <v>163</v>
      </c>
      <c r="D24" s="206"/>
      <c r="E24" s="206"/>
      <c r="F24" s="213"/>
      <c r="G24" s="207">
        <f>SUM(G21:G23)</f>
        <v>14364.15</v>
      </c>
      <c r="H24" s="211"/>
      <c r="I24" s="1280"/>
      <c r="J24" s="327" t="s">
        <v>260</v>
      </c>
      <c r="K24" s="214">
        <f>SUM(K21:K23)</f>
        <v>28.2</v>
      </c>
      <c r="L24" s="215">
        <f>SUM(L21:L23)</f>
        <v>6.1</v>
      </c>
      <c r="M24" s="216"/>
      <c r="N24" s="404">
        <f>SUM(N21:N23)</f>
        <v>17563.241999999998</v>
      </c>
      <c r="O24" s="229"/>
      <c r="P24" s="323" t="s">
        <v>206</v>
      </c>
      <c r="Q24" s="324" t="s">
        <v>201</v>
      </c>
      <c r="R24" s="324" t="s">
        <v>202</v>
      </c>
      <c r="S24" s="324" t="s">
        <v>203</v>
      </c>
      <c r="T24" s="324" t="s">
        <v>204</v>
      </c>
      <c r="U24" s="425" t="s">
        <v>207</v>
      </c>
      <c r="V24" s="325" t="s">
        <v>205</v>
      </c>
    </row>
    <row r="25" spans="2:22" ht="15" customHeight="1" thickTop="1" x14ac:dyDescent="0.2">
      <c r="I25" s="1278" t="s">
        <v>280</v>
      </c>
      <c r="J25" s="360"/>
      <c r="K25" s="401"/>
      <c r="L25" s="401"/>
      <c r="M25" s="401"/>
      <c r="N25" s="402">
        <f>K25*L25*M25</f>
        <v>0</v>
      </c>
      <c r="O25" s="229"/>
      <c r="P25" s="326" t="s">
        <v>424</v>
      </c>
      <c r="Q25" s="195">
        <v>10</v>
      </c>
      <c r="R25" s="423" t="s">
        <v>259</v>
      </c>
      <c r="S25" s="487">
        <v>500</v>
      </c>
      <c r="T25" s="195">
        <v>2</v>
      </c>
      <c r="U25" s="867">
        <v>29.5</v>
      </c>
      <c r="V25" s="218">
        <f>Q25*S25/T25/U25</f>
        <v>84.745762711864401</v>
      </c>
    </row>
    <row r="26" spans="2:22" ht="15" customHeight="1" thickBot="1" x14ac:dyDescent="0.25">
      <c r="B26" s="13" t="s">
        <v>264</v>
      </c>
      <c r="C26" s="13"/>
      <c r="D26" s="92"/>
      <c r="E26" s="13"/>
      <c r="F26" s="92"/>
      <c r="G26" s="96"/>
      <c r="H26" s="212"/>
      <c r="I26" s="1279"/>
      <c r="J26" s="360"/>
      <c r="K26" s="401"/>
      <c r="L26" s="401"/>
      <c r="M26" s="401"/>
      <c r="N26" s="402">
        <f t="shared" ref="N26:N27" si="8">K26*L26*M26</f>
        <v>0</v>
      </c>
      <c r="O26" s="229"/>
      <c r="P26" s="326"/>
      <c r="Q26" s="195"/>
      <c r="R26" s="423"/>
      <c r="S26" s="195"/>
      <c r="T26" s="195"/>
      <c r="U26" s="196"/>
      <c r="V26" s="218"/>
    </row>
    <row r="27" spans="2:22" ht="15" customHeight="1" x14ac:dyDescent="0.2">
      <c r="B27" s="322" t="s">
        <v>90</v>
      </c>
      <c r="C27" s="209" t="s">
        <v>153</v>
      </c>
      <c r="D27" s="209" t="s">
        <v>154</v>
      </c>
      <c r="E27" s="209" t="s">
        <v>155</v>
      </c>
      <c r="F27" s="422" t="s">
        <v>24</v>
      </c>
      <c r="G27" s="197" t="s">
        <v>156</v>
      </c>
      <c r="H27" s="210"/>
      <c r="I27" s="1279"/>
      <c r="J27" s="360"/>
      <c r="K27" s="401"/>
      <c r="L27" s="401"/>
      <c r="M27" s="401"/>
      <c r="N27" s="402">
        <f t="shared" si="8"/>
        <v>0</v>
      </c>
      <c r="O27" s="229"/>
      <c r="P27" s="326"/>
      <c r="Q27" s="195"/>
      <c r="R27" s="423"/>
      <c r="S27" s="195"/>
      <c r="T27" s="195"/>
      <c r="U27" s="196"/>
      <c r="V27" s="218"/>
    </row>
    <row r="28" spans="2:22" ht="15" customHeight="1" thickBot="1" x14ac:dyDescent="0.25">
      <c r="B28" s="1093" t="s">
        <v>30</v>
      </c>
      <c r="C28" s="643" t="s">
        <v>763</v>
      </c>
      <c r="D28" s="89">
        <v>300</v>
      </c>
      <c r="E28" s="100" t="s">
        <v>309</v>
      </c>
      <c r="F28" s="89">
        <f>62610/10000</f>
        <v>6.2610000000000001</v>
      </c>
      <c r="G28" s="198">
        <f>D28*F28</f>
        <v>1878.3</v>
      </c>
      <c r="H28" s="211"/>
      <c r="I28" s="1280"/>
      <c r="J28" s="327" t="s">
        <v>260</v>
      </c>
      <c r="K28" s="214">
        <f>SUM(K25:K27)</f>
        <v>0</v>
      </c>
      <c r="L28" s="215">
        <f>SUM(L25:L27)</f>
        <v>0</v>
      </c>
      <c r="M28" s="216"/>
      <c r="N28" s="404">
        <f>SUM(N25:N27)</f>
        <v>0</v>
      </c>
      <c r="O28" s="229"/>
      <c r="P28" s="326"/>
      <c r="Q28" s="195"/>
      <c r="R28" s="423"/>
      <c r="S28" s="195"/>
      <c r="T28" s="195"/>
      <c r="U28" s="196"/>
      <c r="V28" s="218"/>
    </row>
    <row r="29" spans="2:22" ht="15" customHeight="1" thickTop="1" x14ac:dyDescent="0.2">
      <c r="B29" s="1094"/>
      <c r="C29" s="882" t="s">
        <v>764</v>
      </c>
      <c r="D29" s="360">
        <v>180</v>
      </c>
      <c r="E29" s="100" t="s">
        <v>309</v>
      </c>
      <c r="F29" s="360">
        <f>4180/500</f>
        <v>8.36</v>
      </c>
      <c r="G29" s="198">
        <f>D29*F29</f>
        <v>1504.8</v>
      </c>
      <c r="H29" s="211"/>
      <c r="I29" s="1278" t="s">
        <v>195</v>
      </c>
      <c r="J29" s="360" t="s">
        <v>721</v>
      </c>
      <c r="K29" s="401">
        <v>31.4</v>
      </c>
      <c r="L29" s="401">
        <v>3.2</v>
      </c>
      <c r="M29" s="401">
        <v>14</v>
      </c>
      <c r="N29" s="402">
        <f>K29*L29*M29</f>
        <v>1406.72</v>
      </c>
      <c r="O29" s="229"/>
      <c r="P29" s="326"/>
      <c r="Q29" s="195"/>
      <c r="R29" s="423"/>
      <c r="S29" s="195"/>
      <c r="T29" s="195"/>
      <c r="U29" s="196"/>
      <c r="V29" s="218"/>
    </row>
    <row r="30" spans="2:22" ht="15" customHeight="1" x14ac:dyDescent="0.2">
      <c r="B30" s="1094"/>
      <c r="C30" s="643" t="s">
        <v>30</v>
      </c>
      <c r="D30" s="89">
        <v>1000</v>
      </c>
      <c r="E30" s="100" t="s">
        <v>314</v>
      </c>
      <c r="F30" s="89">
        <f>42580/20000</f>
        <v>2.129</v>
      </c>
      <c r="G30" s="198">
        <f>D30*F30</f>
        <v>2129</v>
      </c>
      <c r="H30" s="211"/>
      <c r="I30" s="1279"/>
      <c r="J30" s="360" t="s">
        <v>722</v>
      </c>
      <c r="K30" s="401">
        <v>4</v>
      </c>
      <c r="L30" s="401">
        <v>1.9</v>
      </c>
      <c r="M30" s="401">
        <v>14</v>
      </c>
      <c r="N30" s="402">
        <f t="shared" ref="N30:N31" si="9">K30*L30*M30</f>
        <v>106.39999999999999</v>
      </c>
      <c r="O30" s="91"/>
      <c r="P30" s="326"/>
      <c r="Q30" s="195"/>
      <c r="R30" s="423"/>
      <c r="S30" s="195"/>
      <c r="T30" s="195"/>
      <c r="U30" s="359"/>
      <c r="V30" s="218"/>
    </row>
    <row r="31" spans="2:22" ht="15" customHeight="1" x14ac:dyDescent="0.2">
      <c r="B31" s="1094"/>
      <c r="C31" s="883"/>
      <c r="D31" s="360"/>
      <c r="E31" s="100"/>
      <c r="F31" s="360"/>
      <c r="G31" s="199"/>
      <c r="H31" s="211"/>
      <c r="I31" s="1279"/>
      <c r="J31" s="360" t="s">
        <v>723</v>
      </c>
      <c r="K31" s="401">
        <v>24.5</v>
      </c>
      <c r="L31" s="401">
        <v>6.7</v>
      </c>
      <c r="M31" s="401">
        <v>14</v>
      </c>
      <c r="N31" s="402">
        <f t="shared" si="9"/>
        <v>2298.1</v>
      </c>
      <c r="P31" s="326"/>
      <c r="Q31" s="195"/>
      <c r="R31" s="423"/>
      <c r="S31" s="195"/>
      <c r="T31" s="195"/>
      <c r="U31" s="196"/>
      <c r="V31" s="218"/>
    </row>
    <row r="32" spans="2:22" ht="15" customHeight="1" thickBot="1" x14ac:dyDescent="0.25">
      <c r="B32" s="1094"/>
      <c r="C32" s="643"/>
      <c r="D32" s="360"/>
      <c r="E32" s="100"/>
      <c r="F32" s="360"/>
      <c r="G32" s="199">
        <f t="shared" ref="G32:G37" si="10">D32*F32</f>
        <v>0</v>
      </c>
      <c r="H32" s="211"/>
      <c r="I32" s="1283"/>
      <c r="J32" s="405" t="s">
        <v>260</v>
      </c>
      <c r="K32" s="406">
        <f>SUM(K29:K31)</f>
        <v>59.9</v>
      </c>
      <c r="L32" s="407">
        <f>SUM(L29:L31)</f>
        <v>11.8</v>
      </c>
      <c r="M32" s="408"/>
      <c r="N32" s="409">
        <f>SUM(N29:N31)</f>
        <v>3811.2200000000003</v>
      </c>
      <c r="P32" s="326"/>
      <c r="Q32" s="195"/>
      <c r="R32" s="423"/>
      <c r="S32" s="195"/>
      <c r="T32" s="195"/>
      <c r="U32" s="196"/>
      <c r="V32" s="218"/>
    </row>
    <row r="33" spans="2:24" ht="15" customHeight="1" x14ac:dyDescent="0.2">
      <c r="B33" s="1094"/>
      <c r="C33" s="643"/>
      <c r="D33" s="360"/>
      <c r="E33" s="100"/>
      <c r="F33" s="360"/>
      <c r="G33" s="199">
        <f t="shared" si="10"/>
        <v>0</v>
      </c>
      <c r="H33" s="211"/>
      <c r="I33" s="189"/>
      <c r="J33" s="189"/>
      <c r="K33" s="189"/>
      <c r="L33" s="189"/>
      <c r="M33" s="189"/>
      <c r="N33" s="189"/>
      <c r="P33" s="326"/>
      <c r="Q33" s="195"/>
      <c r="R33" s="423"/>
      <c r="S33" s="195"/>
      <c r="T33" s="195"/>
      <c r="U33" s="196"/>
      <c r="V33" s="218"/>
    </row>
    <row r="34" spans="2:24" ht="15" customHeight="1" thickBot="1" x14ac:dyDescent="0.25">
      <c r="B34" s="1094"/>
      <c r="C34" s="643"/>
      <c r="D34" s="360"/>
      <c r="E34" s="100"/>
      <c r="F34" s="360"/>
      <c r="G34" s="199">
        <f t="shared" si="10"/>
        <v>0</v>
      </c>
      <c r="H34" s="211"/>
      <c r="I34" s="179" t="s">
        <v>254</v>
      </c>
      <c r="J34" s="179"/>
      <c r="K34" s="179"/>
      <c r="L34" s="179"/>
      <c r="M34" s="179"/>
      <c r="P34" s="330" t="s">
        <v>247</v>
      </c>
      <c r="Q34" s="220"/>
      <c r="R34" s="220"/>
      <c r="S34" s="220"/>
      <c r="T34" s="220"/>
      <c r="U34" s="222"/>
      <c r="V34" s="221">
        <f>SUM(V25:V33)</f>
        <v>84.745762711864401</v>
      </c>
    </row>
    <row r="35" spans="2:24" ht="15" customHeight="1" x14ac:dyDescent="0.2">
      <c r="B35" s="1094"/>
      <c r="C35" s="643"/>
      <c r="D35" s="360"/>
      <c r="E35" s="100"/>
      <c r="F35" s="360"/>
      <c r="G35" s="199">
        <f t="shared" si="10"/>
        <v>0</v>
      </c>
      <c r="H35" s="211"/>
      <c r="I35" s="303" t="s">
        <v>242</v>
      </c>
      <c r="J35" s="304" t="s">
        <v>5</v>
      </c>
      <c r="K35" s="1281" t="s">
        <v>243</v>
      </c>
      <c r="L35" s="1282"/>
      <c r="M35" s="328" t="s">
        <v>207</v>
      </c>
      <c r="N35" s="329" t="s">
        <v>266</v>
      </c>
    </row>
    <row r="36" spans="2:24" ht="15" customHeight="1" thickBot="1" x14ac:dyDescent="0.25">
      <c r="B36" s="1094"/>
      <c r="C36" s="643"/>
      <c r="D36" s="360"/>
      <c r="E36" s="100"/>
      <c r="F36" s="360"/>
      <c r="G36" s="199">
        <f t="shared" si="10"/>
        <v>0</v>
      </c>
      <c r="H36" s="211"/>
      <c r="I36" s="1262" t="s">
        <v>2</v>
      </c>
      <c r="J36" s="208" t="str">
        <f>'（参考）水稲資本装備'!C5</f>
        <v>農機具庫</v>
      </c>
      <c r="K36" s="1233">
        <f>'（参考）水稲資本装備'!I5</f>
        <v>5940000</v>
      </c>
      <c r="L36" s="1233"/>
      <c r="M36" s="456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36" s="317">
        <f>+K36/M36*0.014*0.3</f>
        <v>845.69491525423723</v>
      </c>
      <c r="P36" s="179" t="s">
        <v>248</v>
      </c>
      <c r="Q36" s="179"/>
      <c r="R36" s="179"/>
      <c r="S36" s="179"/>
      <c r="T36" s="179"/>
    </row>
    <row r="37" spans="2:24" ht="15" customHeight="1" x14ac:dyDescent="0.2">
      <c r="B37" s="1094"/>
      <c r="C37" s="643"/>
      <c r="D37" s="360"/>
      <c r="E37" s="100"/>
      <c r="F37" s="360"/>
      <c r="G37" s="199">
        <f t="shared" si="10"/>
        <v>0</v>
      </c>
      <c r="H37" s="211"/>
      <c r="I37" s="1275"/>
      <c r="J37" s="208" t="str">
        <f>'（参考）水稲資本装備'!C6</f>
        <v>乾燥調製施設</v>
      </c>
      <c r="K37" s="1233">
        <f>'（参考）水稲資本装備'!I6</f>
        <v>10692000</v>
      </c>
      <c r="L37" s="1233"/>
      <c r="M37" s="456">
        <f>'１　対象経営の概要，２　前提条件'!$N$7+'１　対象経営の概要，２　前提条件'!$N$8+'１　対象経営の概要，２　前提条件'!$N$9</f>
        <v>29.5</v>
      </c>
      <c r="N37" s="317">
        <f>+K37/M37*0.014*0.3</f>
        <v>1522.2508474576271</v>
      </c>
      <c r="P37" s="303" t="s">
        <v>241</v>
      </c>
      <c r="Q37" s="1234" t="s">
        <v>249</v>
      </c>
      <c r="R37" s="1234"/>
      <c r="S37" s="426" t="s">
        <v>252</v>
      </c>
      <c r="T37" s="426" t="s">
        <v>251</v>
      </c>
      <c r="U37" s="331" t="s">
        <v>207</v>
      </c>
      <c r="V37" s="332" t="s">
        <v>266</v>
      </c>
    </row>
    <row r="38" spans="2:24" ht="15" customHeight="1" thickBot="1" x14ac:dyDescent="0.25">
      <c r="B38" s="1254"/>
      <c r="C38" s="200" t="s">
        <v>160</v>
      </c>
      <c r="D38" s="200"/>
      <c r="E38" s="200"/>
      <c r="F38" s="200"/>
      <c r="G38" s="201">
        <f>SUM(G28:G37)</f>
        <v>5512.1</v>
      </c>
      <c r="H38" s="211"/>
      <c r="I38" s="1275"/>
      <c r="J38" s="208" t="str">
        <f>'（参考）水稲資本装備'!C7</f>
        <v>育苗ハウス</v>
      </c>
      <c r="K38" s="1233">
        <f>'（参考）水稲資本装備'!I7</f>
        <v>1761750</v>
      </c>
      <c r="L38" s="1233"/>
      <c r="M38" s="456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38" s="317">
        <f>+K38/M38*0.014*0.3</f>
        <v>250.82542372881352</v>
      </c>
      <c r="O38" s="217"/>
      <c r="P38" s="1273" t="s">
        <v>250</v>
      </c>
      <c r="Q38" s="308" t="s">
        <v>240</v>
      </c>
      <c r="R38" s="335"/>
      <c r="S38" s="309">
        <v>116400</v>
      </c>
      <c r="T38" s="336">
        <v>1</v>
      </c>
      <c r="U38" s="866">
        <v>29.5</v>
      </c>
      <c r="V38" s="317">
        <f>+S38*T38/U38</f>
        <v>3945.7627118644068</v>
      </c>
    </row>
    <row r="39" spans="2:24" ht="15" customHeight="1" thickTop="1" x14ac:dyDescent="0.2">
      <c r="B39" s="1252" t="s">
        <v>192</v>
      </c>
      <c r="C39" s="884" t="s">
        <v>765</v>
      </c>
      <c r="D39" s="89">
        <v>60</v>
      </c>
      <c r="E39" s="100" t="s">
        <v>314</v>
      </c>
      <c r="F39" s="89">
        <f>1450/500</f>
        <v>2.9</v>
      </c>
      <c r="G39" s="199">
        <f>D39*F39</f>
        <v>174</v>
      </c>
      <c r="H39" s="211"/>
      <c r="I39" s="1275"/>
      <c r="J39" s="208"/>
      <c r="K39" s="1233"/>
      <c r="L39" s="1233"/>
      <c r="M39" s="455"/>
      <c r="N39" s="317"/>
      <c r="O39" s="217"/>
      <c r="P39" s="1229"/>
      <c r="Q39" s="308" t="s">
        <v>318</v>
      </c>
      <c r="R39" s="335"/>
      <c r="S39" s="309">
        <f>6*5000</f>
        <v>30000</v>
      </c>
      <c r="T39" s="336">
        <v>1</v>
      </c>
      <c r="U39" s="866">
        <v>29.5</v>
      </c>
      <c r="V39" s="317">
        <f>+S39*T39/U39</f>
        <v>1016.9491525423729</v>
      </c>
    </row>
    <row r="40" spans="2:24" ht="15" customHeight="1" x14ac:dyDescent="0.2">
      <c r="B40" s="1094"/>
      <c r="C40" s="643" t="s">
        <v>337</v>
      </c>
      <c r="D40" s="89">
        <v>1000</v>
      </c>
      <c r="E40" s="100" t="s">
        <v>314</v>
      </c>
      <c r="F40" s="89">
        <f>96020/20000</f>
        <v>4.8010000000000002</v>
      </c>
      <c r="G40" s="199">
        <f>D40*F40</f>
        <v>4801</v>
      </c>
      <c r="H40" s="211"/>
      <c r="I40" s="1275"/>
      <c r="J40" s="208"/>
      <c r="K40" s="1233"/>
      <c r="L40" s="1233"/>
      <c r="M40" s="455"/>
      <c r="N40" s="317"/>
      <c r="O40" s="217"/>
      <c r="P40" s="1229"/>
      <c r="Q40" s="308" t="s">
        <v>319</v>
      </c>
      <c r="R40" s="335"/>
      <c r="S40" s="309">
        <v>11460</v>
      </c>
      <c r="T40" s="336">
        <v>1</v>
      </c>
      <c r="U40" s="866">
        <v>29.5</v>
      </c>
      <c r="V40" s="317">
        <f>+S40*T40/U40</f>
        <v>388.47457627118644</v>
      </c>
      <c r="X40" s="863" t="s">
        <v>320</v>
      </c>
    </row>
    <row r="41" spans="2:24" ht="15" customHeight="1" x14ac:dyDescent="0.2">
      <c r="B41" s="1094"/>
      <c r="C41" s="643"/>
      <c r="D41" s="89"/>
      <c r="E41" s="100"/>
      <c r="F41" s="89"/>
      <c r="G41" s="199">
        <f>D41*F41</f>
        <v>0</v>
      </c>
      <c r="H41" s="211"/>
      <c r="I41" s="1275"/>
      <c r="J41" s="208"/>
      <c r="K41" s="1233"/>
      <c r="L41" s="1233"/>
      <c r="M41" s="455"/>
      <c r="N41" s="317"/>
      <c r="O41" s="217"/>
      <c r="P41" s="1229"/>
      <c r="Q41" s="308"/>
      <c r="R41" s="335"/>
      <c r="S41" s="309"/>
      <c r="T41" s="336"/>
      <c r="U41" s="309"/>
      <c r="V41" s="317"/>
      <c r="X41" s="863" t="s">
        <v>321</v>
      </c>
    </row>
    <row r="42" spans="2:24" ht="15" customHeight="1" thickBot="1" x14ac:dyDescent="0.25">
      <c r="B42" s="1094"/>
      <c r="C42" s="643"/>
      <c r="D42" s="89"/>
      <c r="E42" s="100"/>
      <c r="F42" s="89"/>
      <c r="G42" s="199">
        <f t="shared" ref="G42:G52" si="11">D42*F42</f>
        <v>0</v>
      </c>
      <c r="H42" s="211"/>
      <c r="I42" s="1276"/>
      <c r="J42" s="305" t="s">
        <v>161</v>
      </c>
      <c r="K42" s="1257"/>
      <c r="L42" s="1258"/>
      <c r="M42" s="306"/>
      <c r="N42" s="313">
        <f>SUM(N36:N41)</f>
        <v>2618.7711864406779</v>
      </c>
      <c r="O42" s="217"/>
      <c r="P42" s="1229"/>
      <c r="Q42" s="308"/>
      <c r="R42" s="335"/>
      <c r="S42" s="309"/>
      <c r="T42" s="336"/>
      <c r="U42" s="309"/>
      <c r="V42" s="317"/>
    </row>
    <row r="43" spans="2:24" ht="15" customHeight="1" thickTop="1" thickBot="1" x14ac:dyDescent="0.25">
      <c r="B43" s="1094"/>
      <c r="C43" s="643"/>
      <c r="D43" s="89"/>
      <c r="E43" s="100"/>
      <c r="F43" s="89"/>
      <c r="G43" s="199"/>
      <c r="H43" s="211"/>
      <c r="I43" s="1260" t="s">
        <v>244</v>
      </c>
      <c r="J43" s="307" t="s">
        <v>726</v>
      </c>
      <c r="K43" s="1259">
        <v>8200</v>
      </c>
      <c r="L43" s="1259"/>
      <c r="M43" s="456">
        <v>29.5</v>
      </c>
      <c r="N43" s="334">
        <f>+K43/M43</f>
        <v>277.96610169491527</v>
      </c>
      <c r="O43" s="217"/>
      <c r="P43" s="1229"/>
      <c r="Q43" s="308"/>
      <c r="R43" s="335"/>
      <c r="S43" s="309"/>
      <c r="T43" s="336"/>
      <c r="U43" s="309"/>
      <c r="V43" s="317"/>
    </row>
    <row r="44" spans="2:24" ht="15" customHeight="1" thickTop="1" thickBot="1" x14ac:dyDescent="0.25">
      <c r="B44" s="1094"/>
      <c r="C44" s="643"/>
      <c r="D44" s="89"/>
      <c r="E44" s="100"/>
      <c r="F44" s="89"/>
      <c r="G44" s="199"/>
      <c r="H44" s="211"/>
      <c r="I44" s="1261"/>
      <c r="J44" s="308" t="s">
        <v>257</v>
      </c>
      <c r="K44" s="1233">
        <v>4100</v>
      </c>
      <c r="L44" s="1233"/>
      <c r="M44" s="456">
        <v>30</v>
      </c>
      <c r="N44" s="334">
        <f>+K44/M44</f>
        <v>136.66666666666666</v>
      </c>
      <c r="O44" s="217"/>
      <c r="P44" s="1274"/>
      <c r="Q44" s="318" t="s">
        <v>253</v>
      </c>
      <c r="R44" s="319"/>
      <c r="S44" s="319"/>
      <c r="T44" s="319"/>
      <c r="U44" s="319"/>
      <c r="V44" s="320">
        <f>SUM(V38:V43)</f>
        <v>5351.1864406779659</v>
      </c>
    </row>
    <row r="45" spans="2:24" ht="15" customHeight="1" thickTop="1" x14ac:dyDescent="0.2">
      <c r="B45" s="1094"/>
      <c r="C45" s="643"/>
      <c r="D45" s="89"/>
      <c r="E45" s="100"/>
      <c r="F45" s="89"/>
      <c r="G45" s="199"/>
      <c r="H45" s="211"/>
      <c r="I45" s="1261"/>
      <c r="J45" s="208"/>
      <c r="K45" s="1233"/>
      <c r="L45" s="1233"/>
      <c r="M45" s="455"/>
      <c r="N45" s="317"/>
      <c r="O45" s="217"/>
      <c r="P45" s="1228" t="s">
        <v>258</v>
      </c>
      <c r="Q45" s="1225" t="s">
        <v>267</v>
      </c>
      <c r="R45" s="337" t="s">
        <v>268</v>
      </c>
      <c r="S45" s="307">
        <v>35750</v>
      </c>
      <c r="T45" s="338">
        <v>1</v>
      </c>
      <c r="U45" s="870">
        <v>29.5</v>
      </c>
      <c r="V45" s="333">
        <f>+S45*T45/U45</f>
        <v>1211.8644067796611</v>
      </c>
    </row>
    <row r="46" spans="2:24" ht="15" customHeight="1" thickBot="1" x14ac:dyDescent="0.25">
      <c r="B46" s="1094"/>
      <c r="C46" s="643"/>
      <c r="D46" s="89"/>
      <c r="E46" s="100"/>
      <c r="F46" s="89"/>
      <c r="G46" s="199">
        <f t="shared" si="11"/>
        <v>0</v>
      </c>
      <c r="H46" s="211"/>
      <c r="I46" s="1277"/>
      <c r="J46" s="305" t="s">
        <v>161</v>
      </c>
      <c r="K46" s="1257"/>
      <c r="L46" s="1258"/>
      <c r="M46" s="306"/>
      <c r="N46" s="313">
        <f>SUM(N43:N45)</f>
        <v>414.63276836158195</v>
      </c>
      <c r="O46" s="217"/>
      <c r="P46" s="1229"/>
      <c r="Q46" s="1226"/>
      <c r="R46" s="339"/>
      <c r="S46" s="308"/>
      <c r="T46" s="336"/>
      <c r="U46" s="308"/>
      <c r="V46" s="317"/>
    </row>
    <row r="47" spans="2:24" ht="15" customHeight="1" thickTop="1" x14ac:dyDescent="0.2">
      <c r="B47" s="1094"/>
      <c r="C47" s="643"/>
      <c r="D47" s="89"/>
      <c r="E47" s="100"/>
      <c r="F47" s="89"/>
      <c r="G47" s="199">
        <f t="shared" si="11"/>
        <v>0</v>
      </c>
      <c r="H47" s="211"/>
      <c r="I47" s="1260" t="s">
        <v>245</v>
      </c>
      <c r="J47" s="307" t="s">
        <v>725</v>
      </c>
      <c r="K47" s="1259">
        <v>11500</v>
      </c>
      <c r="L47" s="1259"/>
      <c r="M47" s="845">
        <v>29.5</v>
      </c>
      <c r="N47" s="334">
        <f>+K47/M47</f>
        <v>389.83050847457628</v>
      </c>
      <c r="O47" s="217"/>
      <c r="P47" s="1229"/>
      <c r="Q47" s="1226"/>
      <c r="R47" s="339"/>
      <c r="S47" s="308"/>
      <c r="T47" s="308"/>
      <c r="U47" s="208"/>
      <c r="V47" s="340"/>
    </row>
    <row r="48" spans="2:24" ht="15" customHeight="1" x14ac:dyDescent="0.2">
      <c r="B48" s="1094"/>
      <c r="C48" s="643"/>
      <c r="D48" s="89"/>
      <c r="E48" s="100"/>
      <c r="F48" s="89"/>
      <c r="G48" s="199">
        <f t="shared" si="11"/>
        <v>0</v>
      </c>
      <c r="H48" s="211"/>
      <c r="I48" s="1261"/>
      <c r="J48" s="308"/>
      <c r="K48" s="1233"/>
      <c r="L48" s="1233"/>
      <c r="M48" s="455"/>
      <c r="N48" s="317"/>
      <c r="O48" s="217"/>
      <c r="P48" s="1229"/>
      <c r="Q48" s="1226"/>
      <c r="R48" s="339" t="s">
        <v>257</v>
      </c>
      <c r="S48" s="308">
        <v>15600</v>
      </c>
      <c r="T48" s="336">
        <v>1</v>
      </c>
      <c r="U48" s="869">
        <v>30</v>
      </c>
      <c r="V48" s="317">
        <f>+S48*T48/U48</f>
        <v>520</v>
      </c>
    </row>
    <row r="49" spans="2:22" ht="15" customHeight="1" thickBot="1" x14ac:dyDescent="0.25">
      <c r="B49" s="1254"/>
      <c r="C49" s="202" t="s">
        <v>161</v>
      </c>
      <c r="D49" s="203"/>
      <c r="E49" s="203"/>
      <c r="F49" s="203"/>
      <c r="G49" s="204">
        <f>SUM(G39:G48)</f>
        <v>4975</v>
      </c>
      <c r="H49" s="211"/>
      <c r="I49" s="1261"/>
      <c r="J49" s="208"/>
      <c r="K49" s="1233"/>
      <c r="L49" s="1233"/>
      <c r="M49" s="455"/>
      <c r="N49" s="317"/>
      <c r="O49" s="217"/>
      <c r="P49" s="1229"/>
      <c r="Q49" s="1227"/>
      <c r="R49" s="339"/>
      <c r="S49" s="308"/>
      <c r="T49" s="308"/>
      <c r="U49" s="208"/>
      <c r="V49" s="340"/>
    </row>
    <row r="50" spans="2:22" ht="15" customHeight="1" thickTop="1" thickBot="1" x14ac:dyDescent="0.25">
      <c r="B50" s="1252" t="s">
        <v>32</v>
      </c>
      <c r="C50" s="643" t="s">
        <v>766</v>
      </c>
      <c r="D50" s="89">
        <v>10</v>
      </c>
      <c r="E50" s="100" t="s">
        <v>303</v>
      </c>
      <c r="F50" s="89">
        <f>24330/10</f>
        <v>2433</v>
      </c>
      <c r="G50" s="199">
        <f t="shared" si="11"/>
        <v>24330</v>
      </c>
      <c r="H50" s="211"/>
      <c r="I50" s="1277"/>
      <c r="J50" s="305" t="s">
        <v>161</v>
      </c>
      <c r="K50" s="1257"/>
      <c r="L50" s="1258"/>
      <c r="M50" s="306"/>
      <c r="N50" s="313">
        <f>SUM(N47:N49)</f>
        <v>389.83050847457628</v>
      </c>
      <c r="O50" s="217"/>
      <c r="P50" s="1229"/>
      <c r="Q50" s="318" t="s">
        <v>253</v>
      </c>
      <c r="R50" s="319"/>
      <c r="S50" s="319"/>
      <c r="T50" s="319"/>
      <c r="U50" s="319"/>
      <c r="V50" s="320">
        <f>SUM(V45:V49)</f>
        <v>1731.8644067796611</v>
      </c>
    </row>
    <row r="51" spans="2:22" ht="15" customHeight="1" thickTop="1" x14ac:dyDescent="0.2">
      <c r="B51" s="1094"/>
      <c r="C51" s="643"/>
      <c r="D51" s="89"/>
      <c r="E51" s="89"/>
      <c r="F51" s="89"/>
      <c r="G51" s="199">
        <f t="shared" si="11"/>
        <v>0</v>
      </c>
      <c r="H51" s="211"/>
      <c r="I51" s="1260" t="s">
        <v>246</v>
      </c>
      <c r="J51" s="307" t="s">
        <v>54</v>
      </c>
      <c r="K51" s="1263">
        <v>2400</v>
      </c>
      <c r="L51" s="1264"/>
      <c r="M51" s="845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51" s="334">
        <f>+K51/M51</f>
        <v>81.355932203389827</v>
      </c>
      <c r="O51" s="217"/>
      <c r="P51" s="1229"/>
      <c r="Q51" s="1225" t="s">
        <v>269</v>
      </c>
      <c r="R51" s="337" t="s">
        <v>268</v>
      </c>
      <c r="S51" s="307">
        <v>60000</v>
      </c>
      <c r="T51" s="338">
        <v>1</v>
      </c>
      <c r="U51" s="870">
        <v>29.5</v>
      </c>
      <c r="V51" s="333">
        <f>+S51*T51/U51</f>
        <v>2033.8983050847457</v>
      </c>
    </row>
    <row r="52" spans="2:22" ht="15" customHeight="1" x14ac:dyDescent="0.2">
      <c r="B52" s="1094"/>
      <c r="C52" s="643"/>
      <c r="D52" s="89"/>
      <c r="E52" s="89"/>
      <c r="F52" s="89"/>
      <c r="G52" s="199">
        <f t="shared" si="11"/>
        <v>0</v>
      </c>
      <c r="H52" s="211"/>
      <c r="I52" s="1261"/>
      <c r="J52" s="308" t="s">
        <v>54</v>
      </c>
      <c r="K52" s="1265">
        <v>2400</v>
      </c>
      <c r="L52" s="1266"/>
      <c r="M52" s="844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52" s="317">
        <f t="shared" ref="N52:N55" si="12">+K52/M52</f>
        <v>81.355932203389827</v>
      </c>
      <c r="O52" s="217"/>
      <c r="P52" s="1229"/>
      <c r="Q52" s="1226"/>
      <c r="R52" s="339"/>
      <c r="S52" s="308"/>
      <c r="T52" s="336"/>
      <c r="U52" s="308"/>
      <c r="V52" s="317"/>
    </row>
    <row r="53" spans="2:22" ht="15" customHeight="1" thickBot="1" x14ac:dyDescent="0.25">
      <c r="B53" s="1254"/>
      <c r="C53" s="202" t="s">
        <v>161</v>
      </c>
      <c r="D53" s="203"/>
      <c r="E53" s="203"/>
      <c r="F53" s="203"/>
      <c r="G53" s="204">
        <f>SUM(G50:G52)</f>
        <v>24330</v>
      </c>
      <c r="H53" s="211"/>
      <c r="I53" s="1261"/>
      <c r="J53" s="308" t="s">
        <v>56</v>
      </c>
      <c r="K53" s="1267">
        <v>2400</v>
      </c>
      <c r="L53" s="1268"/>
      <c r="M53" s="846">
        <f>'１　対象経営の概要，２　前提条件'!N7</f>
        <v>29.5</v>
      </c>
      <c r="N53" s="317">
        <f t="shared" si="12"/>
        <v>81.355932203389827</v>
      </c>
      <c r="O53" s="217"/>
      <c r="P53" s="1229"/>
      <c r="Q53" s="1226"/>
      <c r="R53" s="339"/>
      <c r="S53" s="308"/>
      <c r="T53" s="308"/>
      <c r="U53" s="208"/>
      <c r="V53" s="340"/>
    </row>
    <row r="54" spans="2:22" ht="13.9" customHeight="1" thickTop="1" x14ac:dyDescent="0.2">
      <c r="B54" s="1252" t="s">
        <v>335</v>
      </c>
      <c r="C54" s="643" t="s">
        <v>767</v>
      </c>
      <c r="D54" s="427">
        <f>131*50/1000</f>
        <v>6.55</v>
      </c>
      <c r="E54" s="100" t="s">
        <v>303</v>
      </c>
      <c r="F54" s="89">
        <f>9650/3</f>
        <v>3216.6666666666665</v>
      </c>
      <c r="G54" s="198">
        <f>D54*F54</f>
        <v>21069.166666666664</v>
      </c>
      <c r="I54" s="1261"/>
      <c r="J54" s="455" t="s">
        <v>257</v>
      </c>
      <c r="K54" s="1269">
        <v>5000</v>
      </c>
      <c r="L54" s="1270"/>
      <c r="M54" s="844">
        <v>30</v>
      </c>
      <c r="N54" s="317">
        <f t="shared" si="12"/>
        <v>166.66666666666666</v>
      </c>
      <c r="O54" s="217"/>
      <c r="P54" s="1229"/>
      <c r="Q54" s="1226"/>
      <c r="R54" s="339" t="s">
        <v>257</v>
      </c>
      <c r="S54" s="308">
        <v>25000</v>
      </c>
      <c r="T54" s="336">
        <v>1</v>
      </c>
      <c r="U54" s="871">
        <v>30</v>
      </c>
      <c r="V54" s="317">
        <f>+S54*T54/U54</f>
        <v>833.33333333333337</v>
      </c>
    </row>
    <row r="55" spans="2:22" x14ac:dyDescent="0.2">
      <c r="B55" s="1094"/>
      <c r="C55" s="643" t="s">
        <v>768</v>
      </c>
      <c r="D55" s="89">
        <v>1000</v>
      </c>
      <c r="E55" s="100" t="s">
        <v>309</v>
      </c>
      <c r="F55" s="89">
        <f>68710/10000</f>
        <v>6.8710000000000004</v>
      </c>
      <c r="G55" s="199">
        <f>D55*F55</f>
        <v>6871</v>
      </c>
      <c r="I55" s="1261"/>
      <c r="J55" s="308" t="s">
        <v>475</v>
      </c>
      <c r="K55" s="1267">
        <v>5900</v>
      </c>
      <c r="L55" s="1268"/>
      <c r="M55" s="846">
        <v>29.5</v>
      </c>
      <c r="N55" s="548">
        <f t="shared" si="12"/>
        <v>200</v>
      </c>
      <c r="O55" s="217"/>
      <c r="P55" s="1229"/>
      <c r="Q55" s="1227"/>
      <c r="R55" s="339"/>
      <c r="S55" s="308"/>
      <c r="T55" s="308"/>
      <c r="U55" s="208"/>
      <c r="V55" s="340"/>
    </row>
    <row r="56" spans="2:22" x14ac:dyDescent="0.2">
      <c r="B56" s="1094"/>
      <c r="C56" s="89"/>
      <c r="D56" s="89"/>
      <c r="E56" s="100"/>
      <c r="F56" s="89"/>
      <c r="G56" s="199">
        <f>D56*F56</f>
        <v>0</v>
      </c>
      <c r="I56" s="1262"/>
      <c r="J56" s="310" t="s">
        <v>161</v>
      </c>
      <c r="K56" s="1271"/>
      <c r="L56" s="1272"/>
      <c r="M56" s="311"/>
      <c r="N56" s="314">
        <f>SUM(N51:N55)</f>
        <v>610.7344632768361</v>
      </c>
      <c r="O56" s="217"/>
      <c r="P56" s="1230"/>
      <c r="Q56" s="343" t="s">
        <v>253</v>
      </c>
      <c r="R56" s="344"/>
      <c r="S56" s="344"/>
      <c r="T56" s="344"/>
      <c r="U56" s="344"/>
      <c r="V56" s="345">
        <f>SUM(V51:V55)</f>
        <v>2867.231638418079</v>
      </c>
    </row>
    <row r="57" spans="2:22" ht="13.5" thickBot="1" x14ac:dyDescent="0.25">
      <c r="B57" s="1253"/>
      <c r="C57" s="205" t="s">
        <v>163</v>
      </c>
      <c r="D57" s="206"/>
      <c r="E57" s="206"/>
      <c r="F57" s="206"/>
      <c r="G57" s="207">
        <f>SUM(G54:G56)</f>
        <v>27940.166666666664</v>
      </c>
      <c r="I57" s="1231" t="s">
        <v>247</v>
      </c>
      <c r="J57" s="1232"/>
      <c r="K57" s="1255"/>
      <c r="L57" s="1256"/>
      <c r="M57" s="222"/>
      <c r="N57" s="315">
        <f>SUM(N42,N46,N50,N56)</f>
        <v>4033.9689265536717</v>
      </c>
      <c r="O57" s="217"/>
      <c r="P57" s="1223" t="s">
        <v>247</v>
      </c>
      <c r="Q57" s="1224"/>
      <c r="R57" s="341"/>
      <c r="S57" s="341"/>
      <c r="T57" s="341"/>
      <c r="U57" s="341"/>
      <c r="V57" s="342">
        <f>SUM(V44,V50,V56)</f>
        <v>9950.2824858757067</v>
      </c>
    </row>
    <row r="58" spans="2:22" x14ac:dyDescent="0.2">
      <c r="O58" s="217"/>
      <c r="V58" s="90"/>
    </row>
    <row r="59" spans="2:22" x14ac:dyDescent="0.2">
      <c r="I59" s="217"/>
      <c r="J59" s="217"/>
      <c r="K59" s="217"/>
      <c r="L59" s="217"/>
      <c r="M59" s="217"/>
      <c r="N59" s="217"/>
      <c r="O59" s="217"/>
    </row>
    <row r="60" spans="2:22" x14ac:dyDescent="0.2">
      <c r="I60" s="217"/>
      <c r="J60" s="217"/>
      <c r="K60" s="217"/>
      <c r="L60" s="217"/>
      <c r="M60" s="217"/>
      <c r="N60" s="217"/>
      <c r="O60" s="217"/>
    </row>
    <row r="61" spans="2:22" x14ac:dyDescent="0.2">
      <c r="I61" s="217"/>
      <c r="J61" s="217"/>
      <c r="K61" s="217"/>
      <c r="L61" s="217"/>
      <c r="M61" s="217"/>
      <c r="N61" s="217"/>
      <c r="O61" s="217"/>
    </row>
    <row r="62" spans="2:22" x14ac:dyDescent="0.2">
      <c r="I62" s="217"/>
      <c r="J62" s="217"/>
      <c r="K62" s="217"/>
      <c r="L62" s="217"/>
      <c r="M62" s="217"/>
      <c r="N62" s="217"/>
      <c r="O62" s="217"/>
    </row>
    <row r="63" spans="2:22" x14ac:dyDescent="0.2">
      <c r="I63" s="217"/>
      <c r="J63" s="217"/>
      <c r="K63" s="217"/>
      <c r="L63" s="217"/>
      <c r="M63" s="217"/>
      <c r="N63" s="217"/>
      <c r="O63" s="217"/>
    </row>
    <row r="64" spans="2:22" x14ac:dyDescent="0.2">
      <c r="I64" s="217"/>
      <c r="J64" s="217"/>
      <c r="K64" s="217"/>
      <c r="L64" s="217"/>
      <c r="M64" s="217"/>
      <c r="N64" s="217"/>
      <c r="O64" s="217"/>
    </row>
    <row r="65" spans="9:15" x14ac:dyDescent="0.2">
      <c r="I65" s="217"/>
      <c r="J65" s="217"/>
      <c r="K65" s="217"/>
      <c r="L65" s="217"/>
      <c r="M65" s="217"/>
      <c r="N65" s="217"/>
      <c r="O65" s="217"/>
    </row>
    <row r="66" spans="9:15" x14ac:dyDescent="0.2">
      <c r="I66" s="217"/>
      <c r="J66" s="217"/>
      <c r="K66" s="217"/>
      <c r="L66" s="217"/>
      <c r="M66" s="217"/>
      <c r="N66" s="217"/>
      <c r="O66" s="217"/>
    </row>
    <row r="67" spans="9:15" x14ac:dyDescent="0.2">
      <c r="I67" s="217"/>
      <c r="J67" s="217"/>
      <c r="K67" s="217"/>
      <c r="L67" s="217"/>
      <c r="M67" s="217"/>
      <c r="N67" s="217"/>
      <c r="O67" s="217"/>
    </row>
    <row r="68" spans="9:15" x14ac:dyDescent="0.2">
      <c r="I68" s="217"/>
      <c r="J68" s="217"/>
      <c r="K68" s="217"/>
      <c r="L68" s="217"/>
      <c r="M68" s="217"/>
      <c r="N68" s="217"/>
      <c r="O68" s="217"/>
    </row>
    <row r="69" spans="9:15" x14ac:dyDescent="0.2">
      <c r="I69" s="217"/>
      <c r="J69" s="217"/>
      <c r="K69" s="217"/>
      <c r="L69" s="217"/>
      <c r="M69" s="217"/>
      <c r="N69" s="217"/>
      <c r="O69" s="217"/>
    </row>
    <row r="70" spans="9:15" x14ac:dyDescent="0.2">
      <c r="I70" s="217"/>
      <c r="J70" s="217"/>
      <c r="K70" s="217"/>
      <c r="L70" s="217"/>
      <c r="M70" s="217"/>
      <c r="N70" s="217"/>
      <c r="O70" s="217"/>
    </row>
    <row r="71" spans="9:15" x14ac:dyDescent="0.2">
      <c r="I71" s="217"/>
      <c r="J71" s="217"/>
      <c r="K71" s="217"/>
      <c r="L71" s="217"/>
      <c r="M71" s="217"/>
      <c r="N71" s="217"/>
      <c r="O71" s="217"/>
    </row>
    <row r="72" spans="9:15" x14ac:dyDescent="0.2">
      <c r="I72" s="217"/>
      <c r="J72" s="217"/>
      <c r="K72" s="217"/>
      <c r="L72" s="217"/>
      <c r="M72" s="217"/>
      <c r="N72" s="217"/>
      <c r="O72" s="217"/>
    </row>
    <row r="73" spans="9:15" x14ac:dyDescent="0.2">
      <c r="I73" s="217"/>
      <c r="J73" s="217"/>
      <c r="K73" s="217"/>
      <c r="L73" s="217"/>
      <c r="M73" s="217"/>
      <c r="N73" s="217"/>
      <c r="O73" s="217"/>
    </row>
    <row r="74" spans="9:15" x14ac:dyDescent="0.2">
      <c r="I74" s="217"/>
      <c r="J74" s="217"/>
      <c r="K74" s="217"/>
      <c r="L74" s="217"/>
      <c r="M74" s="217"/>
      <c r="N74" s="217"/>
      <c r="O74" s="217"/>
    </row>
    <row r="75" spans="9:15" x14ac:dyDescent="0.2">
      <c r="I75" s="217"/>
      <c r="J75" s="217"/>
      <c r="K75" s="217"/>
      <c r="L75" s="217"/>
      <c r="M75" s="217"/>
      <c r="N75" s="217"/>
      <c r="O75" s="217"/>
    </row>
    <row r="76" spans="9:15" x14ac:dyDescent="0.2">
      <c r="I76" s="217"/>
      <c r="J76" s="217"/>
      <c r="K76" s="217"/>
      <c r="L76" s="217"/>
      <c r="M76" s="217"/>
      <c r="N76" s="217"/>
      <c r="O76" s="217"/>
    </row>
    <row r="77" spans="9:15" x14ac:dyDescent="0.2">
      <c r="I77" s="217"/>
      <c r="J77" s="217"/>
      <c r="K77" s="217"/>
      <c r="L77" s="217"/>
      <c r="M77" s="217"/>
      <c r="N77" s="217"/>
      <c r="O77" s="217"/>
    </row>
    <row r="78" spans="9:15" x14ac:dyDescent="0.2">
      <c r="I78" s="217"/>
      <c r="J78" s="217"/>
      <c r="K78" s="217"/>
      <c r="L78" s="217"/>
      <c r="M78" s="217"/>
      <c r="N78" s="217"/>
      <c r="O78" s="217"/>
    </row>
    <row r="79" spans="9:15" x14ac:dyDescent="0.2">
      <c r="I79" s="217"/>
      <c r="J79" s="217"/>
      <c r="K79" s="217"/>
      <c r="L79" s="217"/>
      <c r="M79" s="217"/>
      <c r="N79" s="217"/>
      <c r="O79" s="217"/>
    </row>
    <row r="80" spans="9:15" x14ac:dyDescent="0.2">
      <c r="I80" s="217"/>
      <c r="J80" s="217"/>
      <c r="K80" s="217"/>
      <c r="L80" s="217"/>
      <c r="M80" s="217"/>
      <c r="N80" s="217"/>
      <c r="O80" s="217"/>
    </row>
    <row r="81" spans="2:15" x14ac:dyDescent="0.2">
      <c r="I81" s="217"/>
      <c r="J81" s="217"/>
      <c r="K81" s="217"/>
      <c r="L81" s="217"/>
      <c r="M81" s="217"/>
      <c r="N81" s="217"/>
      <c r="O81" s="217"/>
    </row>
    <row r="82" spans="2:15" x14ac:dyDescent="0.2">
      <c r="I82" s="217"/>
      <c r="J82" s="217"/>
      <c r="K82" s="217"/>
      <c r="L82" s="217"/>
      <c r="M82" s="217"/>
      <c r="N82" s="217"/>
      <c r="O82" s="217"/>
    </row>
    <row r="83" spans="2:15" x14ac:dyDescent="0.2">
      <c r="B83" s="210"/>
      <c r="C83" s="211"/>
      <c r="D83" s="211"/>
      <c r="E83" s="211"/>
      <c r="F83" s="211"/>
      <c r="I83" s="217"/>
      <c r="J83" s="217"/>
      <c r="K83" s="217"/>
      <c r="L83" s="217"/>
      <c r="M83" s="217"/>
      <c r="N83" s="217"/>
      <c r="O83" s="217"/>
    </row>
    <row r="84" spans="2:15" x14ac:dyDescent="0.2">
      <c r="B84" s="210"/>
      <c r="C84" s="211"/>
      <c r="D84" s="211"/>
      <c r="E84" s="211"/>
      <c r="F84" s="211"/>
      <c r="I84" s="217"/>
      <c r="J84" s="217"/>
      <c r="K84" s="217"/>
      <c r="L84" s="217"/>
      <c r="M84" s="217"/>
      <c r="N84" s="217"/>
      <c r="O84" s="217"/>
    </row>
    <row r="85" spans="2:15" x14ac:dyDescent="0.2">
      <c r="I85" s="217"/>
      <c r="J85" s="217"/>
      <c r="K85" s="217"/>
      <c r="L85" s="217"/>
      <c r="M85" s="217"/>
      <c r="N85" s="217"/>
      <c r="O85" s="217"/>
    </row>
    <row r="86" spans="2:15" x14ac:dyDescent="0.2">
      <c r="I86" s="217"/>
      <c r="J86" s="217"/>
      <c r="K86" s="217"/>
      <c r="L86" s="217"/>
      <c r="M86" s="217"/>
      <c r="N86" s="217"/>
      <c r="O86" s="217"/>
    </row>
    <row r="87" spans="2:15" x14ac:dyDescent="0.2">
      <c r="I87" s="217"/>
      <c r="J87" s="217"/>
      <c r="K87" s="217"/>
      <c r="L87" s="217"/>
      <c r="M87" s="217"/>
      <c r="N87" s="217"/>
      <c r="O87" s="217"/>
    </row>
    <row r="88" spans="2:15" x14ac:dyDescent="0.2">
      <c r="I88" s="217"/>
      <c r="J88" s="217"/>
      <c r="K88" s="217"/>
      <c r="L88" s="217"/>
      <c r="M88" s="217"/>
      <c r="N88" s="217"/>
      <c r="O88" s="217"/>
    </row>
    <row r="89" spans="2:15" x14ac:dyDescent="0.2">
      <c r="I89" s="217"/>
      <c r="J89" s="217"/>
      <c r="K89" s="217"/>
      <c r="L89" s="217"/>
      <c r="M89" s="217"/>
      <c r="N89" s="217"/>
      <c r="O89" s="217"/>
    </row>
    <row r="90" spans="2:15" x14ac:dyDescent="0.2">
      <c r="I90" s="217"/>
      <c r="J90" s="217"/>
      <c r="K90" s="217"/>
      <c r="L90" s="217"/>
      <c r="M90" s="217"/>
      <c r="N90" s="217"/>
      <c r="O90" s="217"/>
    </row>
    <row r="91" spans="2:15" x14ac:dyDescent="0.2">
      <c r="I91" s="217"/>
      <c r="J91" s="217"/>
      <c r="K91" s="217"/>
      <c r="L91" s="217"/>
      <c r="M91" s="217"/>
      <c r="N91" s="217"/>
      <c r="O91" s="217"/>
    </row>
    <row r="92" spans="2:15" x14ac:dyDescent="0.2">
      <c r="I92" s="217"/>
      <c r="J92" s="217"/>
      <c r="K92" s="217"/>
      <c r="L92" s="217"/>
      <c r="M92" s="217"/>
      <c r="N92" s="217"/>
      <c r="O92" s="217"/>
    </row>
    <row r="93" spans="2:15" x14ac:dyDescent="0.2">
      <c r="I93" s="217"/>
      <c r="J93" s="217"/>
      <c r="K93" s="217"/>
      <c r="L93" s="217"/>
      <c r="M93" s="217"/>
      <c r="N93" s="217"/>
      <c r="O93" s="217"/>
    </row>
    <row r="94" spans="2:15" x14ac:dyDescent="0.2">
      <c r="I94" s="217"/>
      <c r="J94" s="217"/>
      <c r="K94" s="217"/>
      <c r="L94" s="217"/>
      <c r="M94" s="217"/>
      <c r="N94" s="217"/>
      <c r="O94" s="217"/>
    </row>
    <row r="95" spans="2:15" x14ac:dyDescent="0.2">
      <c r="I95" s="217"/>
      <c r="J95" s="217"/>
      <c r="K95" s="217"/>
      <c r="L95" s="217"/>
      <c r="M95" s="217"/>
      <c r="N95" s="217"/>
      <c r="O95" s="217"/>
    </row>
    <row r="96" spans="2:15" x14ac:dyDescent="0.2">
      <c r="I96" s="217"/>
      <c r="J96" s="217"/>
      <c r="K96" s="217"/>
      <c r="L96" s="217"/>
      <c r="M96" s="217"/>
      <c r="N96" s="217"/>
      <c r="O96" s="217"/>
    </row>
    <row r="97" spans="9:15" x14ac:dyDescent="0.2">
      <c r="I97" s="217"/>
      <c r="J97" s="217"/>
      <c r="K97" s="217"/>
      <c r="L97" s="217"/>
      <c r="M97" s="217"/>
      <c r="N97" s="217"/>
      <c r="O97" s="217"/>
    </row>
    <row r="98" spans="9:15" x14ac:dyDescent="0.2">
      <c r="I98" s="217"/>
      <c r="J98" s="217"/>
      <c r="K98" s="217"/>
      <c r="L98" s="217"/>
      <c r="M98" s="217"/>
      <c r="N98" s="217"/>
      <c r="O98" s="217"/>
    </row>
    <row r="99" spans="9:15" x14ac:dyDescent="0.2">
      <c r="I99" s="217"/>
      <c r="J99" s="217"/>
      <c r="K99" s="217"/>
      <c r="L99" s="217"/>
      <c r="M99" s="217"/>
      <c r="N99" s="217"/>
      <c r="O99" s="217"/>
    </row>
    <row r="100" spans="9:15" x14ac:dyDescent="0.2">
      <c r="I100" s="217"/>
      <c r="J100" s="217"/>
      <c r="K100" s="217"/>
      <c r="L100" s="217"/>
      <c r="M100" s="217"/>
      <c r="N100" s="217"/>
      <c r="O100" s="217"/>
    </row>
    <row r="101" spans="9:15" x14ac:dyDescent="0.2">
      <c r="I101" s="217"/>
      <c r="J101" s="217"/>
      <c r="K101" s="217"/>
      <c r="L101" s="217"/>
      <c r="M101" s="217"/>
      <c r="N101" s="217"/>
      <c r="O101" s="217"/>
    </row>
    <row r="102" spans="9:15" x14ac:dyDescent="0.2">
      <c r="I102" s="217"/>
      <c r="J102" s="217"/>
      <c r="K102" s="217"/>
      <c r="L102" s="217"/>
      <c r="M102" s="217"/>
      <c r="N102" s="217"/>
      <c r="O102" s="217"/>
    </row>
    <row r="103" spans="9:15" x14ac:dyDescent="0.2">
      <c r="I103" s="217"/>
      <c r="J103" s="217"/>
      <c r="K103" s="217"/>
      <c r="L103" s="217"/>
      <c r="M103" s="217"/>
      <c r="N103" s="217"/>
      <c r="O103" s="217"/>
    </row>
    <row r="104" spans="9:15" x14ac:dyDescent="0.2">
      <c r="I104" s="217"/>
      <c r="J104" s="217"/>
      <c r="K104" s="217"/>
      <c r="L104" s="217"/>
      <c r="M104" s="217"/>
      <c r="N104" s="217"/>
      <c r="O104" s="217"/>
    </row>
    <row r="105" spans="9:15" x14ac:dyDescent="0.2">
      <c r="I105" s="217"/>
      <c r="J105" s="217"/>
      <c r="K105" s="217"/>
      <c r="L105" s="217"/>
      <c r="M105" s="217"/>
      <c r="N105" s="217"/>
      <c r="O105" s="217"/>
    </row>
    <row r="106" spans="9:15" x14ac:dyDescent="0.2">
      <c r="I106" s="217"/>
      <c r="J106" s="217"/>
      <c r="K106" s="217"/>
      <c r="L106" s="217"/>
      <c r="M106" s="217"/>
      <c r="N106" s="217"/>
      <c r="O106" s="217"/>
    </row>
    <row r="107" spans="9:15" x14ac:dyDescent="0.2">
      <c r="I107" s="217"/>
      <c r="J107" s="217"/>
      <c r="K107" s="217"/>
      <c r="L107" s="217"/>
      <c r="M107" s="217"/>
      <c r="N107" s="217"/>
      <c r="O107" s="217"/>
    </row>
    <row r="108" spans="9:15" x14ac:dyDescent="0.2">
      <c r="I108" s="217"/>
      <c r="J108" s="217"/>
      <c r="K108" s="217"/>
      <c r="L108" s="217"/>
      <c r="M108" s="217"/>
      <c r="N108" s="217"/>
      <c r="O108" s="217"/>
    </row>
    <row r="109" spans="9:15" x14ac:dyDescent="0.2">
      <c r="I109" s="217"/>
      <c r="J109" s="217"/>
      <c r="K109" s="217"/>
      <c r="L109" s="217"/>
      <c r="M109" s="217"/>
      <c r="N109" s="217"/>
      <c r="O109" s="217"/>
    </row>
    <row r="110" spans="9:15" x14ac:dyDescent="0.2">
      <c r="I110" s="217"/>
      <c r="J110" s="217"/>
      <c r="K110" s="217"/>
      <c r="L110" s="217"/>
      <c r="M110" s="217"/>
      <c r="N110" s="217"/>
      <c r="O110" s="217"/>
    </row>
    <row r="111" spans="9:15" x14ac:dyDescent="0.2">
      <c r="I111" s="217"/>
      <c r="J111" s="217"/>
      <c r="K111" s="217"/>
      <c r="L111" s="217"/>
      <c r="M111" s="217"/>
      <c r="N111" s="217"/>
      <c r="O111" s="217"/>
    </row>
    <row r="112" spans="9:15" x14ac:dyDescent="0.2">
      <c r="I112" s="217"/>
      <c r="J112" s="217"/>
      <c r="K112" s="217"/>
      <c r="L112" s="217"/>
      <c r="M112" s="217"/>
      <c r="N112" s="217"/>
      <c r="O112" s="217"/>
    </row>
    <row r="113" spans="9:15" x14ac:dyDescent="0.2">
      <c r="I113" s="217"/>
      <c r="J113" s="217"/>
      <c r="K113" s="217"/>
      <c r="L113" s="217"/>
      <c r="M113" s="217"/>
      <c r="N113" s="217"/>
      <c r="O113" s="217"/>
    </row>
    <row r="114" spans="9:15" x14ac:dyDescent="0.2">
      <c r="I114" s="217"/>
      <c r="J114" s="217"/>
      <c r="K114" s="217"/>
      <c r="L114" s="217"/>
      <c r="M114" s="217"/>
      <c r="N114" s="217"/>
      <c r="O114" s="217"/>
    </row>
    <row r="115" spans="9:15" x14ac:dyDescent="0.2">
      <c r="I115" s="217"/>
      <c r="J115" s="217"/>
      <c r="K115" s="217"/>
      <c r="L115" s="217"/>
      <c r="M115" s="217"/>
      <c r="N115" s="217"/>
      <c r="O115" s="217"/>
    </row>
    <row r="116" spans="9:15" x14ac:dyDescent="0.2">
      <c r="I116" s="217"/>
      <c r="J116" s="217"/>
      <c r="K116" s="217"/>
      <c r="L116" s="217"/>
      <c r="M116" s="217"/>
      <c r="N116" s="217"/>
      <c r="O116" s="217"/>
    </row>
    <row r="117" spans="9:15" x14ac:dyDescent="0.2">
      <c r="I117" s="217"/>
      <c r="J117" s="217"/>
      <c r="K117" s="217"/>
      <c r="L117" s="217"/>
      <c r="M117" s="217"/>
      <c r="N117" s="217"/>
      <c r="O117" s="217"/>
    </row>
    <row r="118" spans="9:15" x14ac:dyDescent="0.2">
      <c r="I118" s="217"/>
      <c r="J118" s="217"/>
      <c r="K118" s="217"/>
      <c r="L118" s="217"/>
      <c r="M118" s="217"/>
      <c r="N118" s="217"/>
      <c r="O118" s="217"/>
    </row>
    <row r="119" spans="9:15" x14ac:dyDescent="0.2">
      <c r="I119" s="217"/>
      <c r="J119" s="217"/>
      <c r="K119" s="217"/>
      <c r="L119" s="217"/>
      <c r="M119" s="217"/>
      <c r="N119" s="217"/>
      <c r="O119" s="217"/>
    </row>
    <row r="120" spans="9:15" x14ac:dyDescent="0.2">
      <c r="I120" s="217"/>
      <c r="J120" s="217"/>
      <c r="K120" s="217"/>
      <c r="L120" s="217"/>
      <c r="M120" s="217"/>
      <c r="N120" s="217"/>
      <c r="O120" s="217"/>
    </row>
    <row r="121" spans="9:15" x14ac:dyDescent="0.2">
      <c r="I121" s="217"/>
      <c r="J121" s="217"/>
      <c r="K121" s="217"/>
      <c r="L121" s="217"/>
      <c r="M121" s="217"/>
      <c r="N121" s="217"/>
      <c r="O121" s="217"/>
    </row>
    <row r="122" spans="9:15" x14ac:dyDescent="0.2">
      <c r="I122" s="217"/>
      <c r="J122" s="217"/>
      <c r="K122" s="217"/>
      <c r="L122" s="217"/>
      <c r="M122" s="217"/>
      <c r="N122" s="217"/>
      <c r="O122" s="217"/>
    </row>
    <row r="123" spans="9:15" x14ac:dyDescent="0.2">
      <c r="I123" s="217"/>
      <c r="J123" s="217"/>
      <c r="K123" s="217"/>
      <c r="L123" s="217"/>
      <c r="M123" s="217"/>
      <c r="N123" s="217"/>
      <c r="O123" s="217"/>
    </row>
    <row r="124" spans="9:15" x14ac:dyDescent="0.2">
      <c r="I124" s="217"/>
      <c r="J124" s="217"/>
      <c r="K124" s="217"/>
      <c r="L124" s="217"/>
      <c r="M124" s="217"/>
      <c r="N124" s="217"/>
      <c r="O124" s="217"/>
    </row>
    <row r="125" spans="9:15" x14ac:dyDescent="0.2">
      <c r="I125" s="217"/>
      <c r="J125" s="217"/>
      <c r="K125" s="217"/>
      <c r="L125" s="217"/>
      <c r="M125" s="217"/>
      <c r="N125" s="217"/>
      <c r="O125" s="217"/>
    </row>
    <row r="126" spans="9:15" x14ac:dyDescent="0.2">
      <c r="I126" s="217"/>
      <c r="J126" s="217"/>
      <c r="K126" s="217"/>
      <c r="L126" s="217"/>
      <c r="M126" s="217"/>
      <c r="N126" s="217"/>
      <c r="O126" s="217"/>
    </row>
    <row r="127" spans="9:15" x14ac:dyDescent="0.2">
      <c r="I127" s="217"/>
      <c r="J127" s="217"/>
      <c r="K127" s="217"/>
      <c r="L127" s="217"/>
      <c r="M127" s="217"/>
      <c r="N127" s="217"/>
      <c r="O127" s="217"/>
    </row>
    <row r="128" spans="9:15" x14ac:dyDescent="0.2">
      <c r="I128" s="217"/>
      <c r="J128" s="217"/>
      <c r="K128" s="217"/>
      <c r="L128" s="217"/>
      <c r="M128" s="217"/>
      <c r="N128" s="217"/>
      <c r="O128" s="217"/>
    </row>
    <row r="129" spans="9:15" x14ac:dyDescent="0.2">
      <c r="I129" s="217"/>
      <c r="J129" s="217"/>
      <c r="K129" s="217"/>
      <c r="L129" s="217"/>
      <c r="M129" s="217"/>
      <c r="N129" s="217"/>
      <c r="O129" s="217"/>
    </row>
    <row r="130" spans="9:15" x14ac:dyDescent="0.2">
      <c r="I130" s="217"/>
      <c r="J130" s="217"/>
      <c r="K130" s="217"/>
      <c r="L130" s="217"/>
      <c r="M130" s="217"/>
      <c r="N130" s="217"/>
      <c r="O130" s="217"/>
    </row>
    <row r="131" spans="9:15" x14ac:dyDescent="0.2">
      <c r="I131" s="217"/>
      <c r="J131" s="217"/>
      <c r="K131" s="217"/>
      <c r="L131" s="217"/>
      <c r="M131" s="217"/>
      <c r="N131" s="217"/>
      <c r="O131" s="217"/>
    </row>
    <row r="132" spans="9:15" x14ac:dyDescent="0.2">
      <c r="I132" s="217"/>
      <c r="J132" s="217"/>
      <c r="K132" s="217"/>
      <c r="L132" s="217"/>
      <c r="M132" s="217"/>
      <c r="N132" s="217"/>
      <c r="O132" s="217"/>
    </row>
    <row r="133" spans="9:15" x14ac:dyDescent="0.2">
      <c r="I133" s="217"/>
      <c r="J133" s="217"/>
      <c r="K133" s="217"/>
      <c r="L133" s="217"/>
      <c r="M133" s="217"/>
      <c r="N133" s="217"/>
      <c r="O133" s="217"/>
    </row>
    <row r="134" spans="9:15" x14ac:dyDescent="0.2">
      <c r="I134" s="217"/>
      <c r="J134" s="217"/>
      <c r="K134" s="217"/>
      <c r="L134" s="217"/>
      <c r="M134" s="217"/>
      <c r="N134" s="217"/>
      <c r="O134" s="217"/>
    </row>
    <row r="135" spans="9:15" x14ac:dyDescent="0.2">
      <c r="I135" s="217"/>
      <c r="J135" s="217"/>
      <c r="K135" s="217"/>
      <c r="L135" s="217"/>
      <c r="M135" s="217"/>
      <c r="N135" s="217"/>
      <c r="O135" s="217"/>
    </row>
    <row r="136" spans="9:15" x14ac:dyDescent="0.2">
      <c r="I136" s="217"/>
      <c r="J136" s="217"/>
      <c r="K136" s="217"/>
      <c r="L136" s="217"/>
      <c r="M136" s="217"/>
      <c r="N136" s="217"/>
      <c r="O136" s="217"/>
    </row>
    <row r="137" spans="9:15" x14ac:dyDescent="0.2">
      <c r="I137" s="217"/>
      <c r="J137" s="217"/>
      <c r="K137" s="217"/>
      <c r="L137" s="217"/>
      <c r="M137" s="217"/>
      <c r="N137" s="217"/>
      <c r="O137" s="217"/>
    </row>
    <row r="138" spans="9:15" x14ac:dyDescent="0.2">
      <c r="I138" s="217"/>
      <c r="J138" s="217"/>
      <c r="K138" s="217"/>
      <c r="L138" s="217"/>
      <c r="M138" s="217"/>
      <c r="N138" s="217"/>
      <c r="O138" s="217"/>
    </row>
    <row r="139" spans="9:15" x14ac:dyDescent="0.2">
      <c r="I139" s="217"/>
      <c r="J139" s="217"/>
      <c r="K139" s="217"/>
      <c r="L139" s="217"/>
      <c r="M139" s="217"/>
      <c r="N139" s="217"/>
      <c r="O139" s="217"/>
    </row>
    <row r="140" spans="9:15" x14ac:dyDescent="0.2">
      <c r="I140" s="217"/>
      <c r="J140" s="217"/>
      <c r="K140" s="217"/>
      <c r="L140" s="217"/>
      <c r="M140" s="217"/>
      <c r="N140" s="217"/>
    </row>
    <row r="141" spans="9:15" x14ac:dyDescent="0.2">
      <c r="I141" s="217"/>
      <c r="J141" s="217"/>
      <c r="K141" s="217"/>
      <c r="L141" s="217"/>
      <c r="M141" s="217"/>
      <c r="N141" s="217"/>
    </row>
    <row r="142" spans="9:15" x14ac:dyDescent="0.2">
      <c r="I142" s="217"/>
      <c r="J142" s="217"/>
      <c r="K142" s="217"/>
      <c r="L142" s="217"/>
      <c r="M142" s="217"/>
      <c r="N142" s="217"/>
    </row>
    <row r="143" spans="9:15" x14ac:dyDescent="0.2">
      <c r="I143" s="217"/>
      <c r="J143" s="217"/>
      <c r="K143" s="217"/>
      <c r="L143" s="217"/>
      <c r="M143" s="217"/>
      <c r="N143" s="217"/>
    </row>
    <row r="144" spans="9:15" x14ac:dyDescent="0.2">
      <c r="I144" s="217"/>
      <c r="J144" s="217"/>
      <c r="K144" s="217"/>
      <c r="L144" s="217"/>
      <c r="M144" s="217"/>
      <c r="N144" s="217"/>
    </row>
    <row r="145" spans="9:14" x14ac:dyDescent="0.2">
      <c r="I145" s="217"/>
      <c r="J145" s="217"/>
      <c r="K145" s="217"/>
      <c r="L145" s="217"/>
      <c r="M145" s="217"/>
      <c r="N145" s="217"/>
    </row>
    <row r="146" spans="9:14" x14ac:dyDescent="0.2">
      <c r="I146" s="217"/>
      <c r="J146" s="217"/>
      <c r="K146" s="217"/>
      <c r="L146" s="217"/>
      <c r="M146" s="217"/>
      <c r="N146" s="217"/>
    </row>
    <row r="147" spans="9:14" x14ac:dyDescent="0.2">
      <c r="I147" s="217"/>
      <c r="J147" s="217"/>
      <c r="K147" s="217"/>
      <c r="L147" s="217"/>
      <c r="M147" s="217"/>
      <c r="N147" s="217"/>
    </row>
    <row r="148" spans="9:14" x14ac:dyDescent="0.2">
      <c r="I148" s="217"/>
      <c r="J148" s="217"/>
      <c r="K148" s="217"/>
      <c r="L148" s="217"/>
      <c r="M148" s="217"/>
      <c r="N148" s="217"/>
    </row>
    <row r="149" spans="9:14" x14ac:dyDescent="0.2">
      <c r="I149" s="217"/>
      <c r="J149" s="217"/>
      <c r="K149" s="217"/>
      <c r="L149" s="217"/>
      <c r="M149" s="217"/>
      <c r="N149" s="217"/>
    </row>
    <row r="150" spans="9:14" x14ac:dyDescent="0.2">
      <c r="I150" s="217"/>
      <c r="J150" s="217"/>
      <c r="K150" s="217"/>
      <c r="L150" s="217"/>
      <c r="M150" s="217"/>
      <c r="N150" s="217"/>
    </row>
    <row r="151" spans="9:14" x14ac:dyDescent="0.2">
      <c r="I151" s="217"/>
      <c r="J151" s="217"/>
      <c r="K151" s="217"/>
      <c r="L151" s="217"/>
      <c r="M151" s="217"/>
      <c r="N151" s="217"/>
    </row>
    <row r="152" spans="9:14" x14ac:dyDescent="0.2">
      <c r="I152" s="217"/>
      <c r="J152" s="217"/>
      <c r="K152" s="217"/>
      <c r="L152" s="217"/>
      <c r="M152" s="217"/>
      <c r="N152" s="217"/>
    </row>
    <row r="153" spans="9:14" x14ac:dyDescent="0.2">
      <c r="I153" s="217"/>
      <c r="J153" s="217"/>
      <c r="K153" s="217"/>
      <c r="L153" s="217"/>
      <c r="M153" s="217"/>
      <c r="N153" s="217"/>
    </row>
    <row r="154" spans="9:14" x14ac:dyDescent="0.2">
      <c r="I154" s="217"/>
      <c r="J154" s="217"/>
      <c r="K154" s="217"/>
      <c r="L154" s="217"/>
      <c r="M154" s="217"/>
      <c r="N154" s="217"/>
    </row>
    <row r="155" spans="9:14" x14ac:dyDescent="0.2">
      <c r="J155" s="217"/>
      <c r="K155" s="217"/>
      <c r="L155" s="217"/>
      <c r="M155" s="217"/>
      <c r="N155" s="217"/>
    </row>
    <row r="156" spans="9:14" x14ac:dyDescent="0.2">
      <c r="J156" s="217"/>
      <c r="K156" s="217"/>
      <c r="L156" s="217"/>
      <c r="M156" s="217"/>
      <c r="N156" s="217"/>
    </row>
    <row r="173" spans="15:15" x14ac:dyDescent="0.2">
      <c r="O173" s="217"/>
    </row>
    <row r="174" spans="15:15" x14ac:dyDescent="0.2">
      <c r="O174" s="217"/>
    </row>
    <row r="175" spans="15:15" x14ac:dyDescent="0.2">
      <c r="O175" s="217"/>
    </row>
    <row r="176" spans="15:15" x14ac:dyDescent="0.2">
      <c r="O176" s="217"/>
    </row>
    <row r="177" spans="15:15" x14ac:dyDescent="0.2">
      <c r="O177" s="217"/>
    </row>
    <row r="178" spans="15:15" x14ac:dyDescent="0.2">
      <c r="O178" s="217"/>
    </row>
    <row r="179" spans="15:15" x14ac:dyDescent="0.2">
      <c r="O179" s="217"/>
    </row>
    <row r="180" spans="15:15" x14ac:dyDescent="0.2">
      <c r="O180" s="217"/>
    </row>
    <row r="181" spans="15:15" x14ac:dyDescent="0.2">
      <c r="O181" s="217"/>
    </row>
    <row r="182" spans="15:15" x14ac:dyDescent="0.2">
      <c r="O182" s="217"/>
    </row>
    <row r="183" spans="15:15" x14ac:dyDescent="0.2">
      <c r="O183" s="217"/>
    </row>
    <row r="184" spans="15:15" x14ac:dyDescent="0.2">
      <c r="O184" s="217"/>
    </row>
    <row r="185" spans="15:15" x14ac:dyDescent="0.2">
      <c r="O185" s="217"/>
    </row>
    <row r="186" spans="15:15" x14ac:dyDescent="0.2">
      <c r="O186" s="217"/>
    </row>
    <row r="187" spans="15:15" x14ac:dyDescent="0.2">
      <c r="O187" s="217"/>
    </row>
    <row r="188" spans="15:15" x14ac:dyDescent="0.2">
      <c r="O188" s="217"/>
    </row>
    <row r="189" spans="15:15" x14ac:dyDescent="0.2">
      <c r="O189" s="217"/>
    </row>
    <row r="190" spans="15:15" x14ac:dyDescent="0.2">
      <c r="O190" s="217"/>
    </row>
    <row r="191" spans="15:15" x14ac:dyDescent="0.2">
      <c r="O191" s="217"/>
    </row>
    <row r="192" spans="15:15" x14ac:dyDescent="0.2">
      <c r="O192" s="217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K39:L39"/>
    <mergeCell ref="P38:P44"/>
    <mergeCell ref="K40:L40"/>
    <mergeCell ref="K41:L41"/>
    <mergeCell ref="K42:L4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conditionalFormatting sqref="G5:G6">
    <cfRule type="cellIs" dxfId="25" priority="13" operator="equal">
      <formula>0</formula>
    </cfRule>
  </conditionalFormatting>
  <conditionalFormatting sqref="G8:G10">
    <cfRule type="cellIs" dxfId="24" priority="12" operator="equal">
      <formula>0</formula>
    </cfRule>
  </conditionalFormatting>
  <conditionalFormatting sqref="G12:G15">
    <cfRule type="cellIs" dxfId="23" priority="11" operator="equal">
      <formula>0</formula>
    </cfRule>
  </conditionalFormatting>
  <conditionalFormatting sqref="G17:G19">
    <cfRule type="cellIs" dxfId="22" priority="10" operator="equal">
      <formula>0</formula>
    </cfRule>
  </conditionalFormatting>
  <conditionalFormatting sqref="G21:G23">
    <cfRule type="cellIs" dxfId="21" priority="9" operator="equal">
      <formula>0</formula>
    </cfRule>
  </conditionalFormatting>
  <conditionalFormatting sqref="G28:G37">
    <cfRule type="cellIs" dxfId="20" priority="8" operator="equal">
      <formula>0</formula>
    </cfRule>
  </conditionalFormatting>
  <conditionalFormatting sqref="G39:G48">
    <cfRule type="cellIs" dxfId="19" priority="7" operator="equal">
      <formula>0</formula>
    </cfRule>
  </conditionalFormatting>
  <conditionalFormatting sqref="G50:G52">
    <cfRule type="cellIs" dxfId="18" priority="6" operator="equal">
      <formula>0</formula>
    </cfRule>
  </conditionalFormatting>
  <conditionalFormatting sqref="G54:G56">
    <cfRule type="cellIs" dxfId="17" priority="5" operator="equal">
      <formula>0</formula>
    </cfRule>
  </conditionalFormatting>
  <conditionalFormatting sqref="N13:N15">
    <cfRule type="cellIs" dxfId="16" priority="4" operator="equal">
      <formula>0</formula>
    </cfRule>
  </conditionalFormatting>
  <conditionalFormatting sqref="N17:N19">
    <cfRule type="cellIs" dxfId="15" priority="3" operator="equal">
      <formula>0</formula>
    </cfRule>
  </conditionalFormatting>
  <conditionalFormatting sqref="N21:N23">
    <cfRule type="cellIs" dxfId="14" priority="2" operator="equal">
      <formula>0</formula>
    </cfRule>
  </conditionalFormatting>
  <conditionalFormatting sqref="N25:N27">
    <cfRule type="cellIs" dxfId="13" priority="1" operator="equal">
      <formula>0</formula>
    </cfRule>
  </conditionalFormatting>
  <pageMargins left="0" right="0" top="0.78740157480314965" bottom="0" header="0.39370078740157483" footer="0.39370078740157483"/>
  <pageSetup paperSize="9" scale="68" orientation="landscape" r:id="rId1"/>
  <headerFooter alignWithMargins="0"/>
  <ignoredErrors>
    <ignoredError sqref="N28 N12 N1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92"/>
  <sheetViews>
    <sheetView zoomScale="75" zoomScaleNormal="75" workbookViewId="0"/>
  </sheetViews>
  <sheetFormatPr defaultRowHeight="13" x14ac:dyDescent="0.2"/>
  <cols>
    <col min="1" max="1" width="1.6328125" style="90" customWidth="1"/>
    <col min="2" max="2" width="3.6328125" style="90" customWidth="1"/>
    <col min="3" max="3" width="19.453125" style="90" customWidth="1"/>
    <col min="4" max="7" width="8.6328125" style="90" customWidth="1"/>
    <col min="8" max="8" width="2.36328125" style="217" customWidth="1"/>
    <col min="9" max="9" width="3.6328125" style="90" customWidth="1"/>
    <col min="10" max="10" width="15.6328125" style="90" customWidth="1"/>
    <col min="11" max="14" width="8.6328125" style="90" customWidth="1"/>
    <col min="15" max="15" width="3.453125" style="90" customWidth="1"/>
    <col min="16" max="16" width="15.6328125" style="188" customWidth="1"/>
    <col min="17" max="17" width="8.6328125" style="90" customWidth="1"/>
    <col min="18" max="18" width="8.6328125" style="91" customWidth="1"/>
    <col min="19" max="21" width="8.6328125" style="90" customWidth="1"/>
    <col min="22" max="22" width="10.6328125" style="91" customWidth="1"/>
    <col min="23" max="262" width="8.90625" style="90"/>
    <col min="263" max="263" width="1.36328125" style="90" customWidth="1"/>
    <col min="264" max="264" width="3.453125" style="90" customWidth="1"/>
    <col min="265" max="265" width="22.08984375" style="90" customWidth="1"/>
    <col min="266" max="266" width="9.7265625" style="90" customWidth="1"/>
    <col min="267" max="267" width="7.36328125" style="90" customWidth="1"/>
    <col min="268" max="268" width="8.90625" style="90"/>
    <col min="269" max="269" width="9.26953125" style="90" customWidth="1"/>
    <col min="270" max="270" width="3.453125" style="90" customWidth="1"/>
    <col min="271" max="272" width="12.6328125" style="90" customWidth="1"/>
    <col min="273" max="273" width="8.90625" style="90"/>
    <col min="274" max="274" width="7.7265625" style="90" customWidth="1"/>
    <col min="275" max="275" width="13.08984375" style="90" customWidth="1"/>
    <col min="276" max="276" width="6.08984375" style="90" customWidth="1"/>
    <col min="277" max="277" width="9.7265625" style="90" customWidth="1"/>
    <col min="278" max="278" width="1.36328125" style="90" customWidth="1"/>
    <col min="279" max="518" width="8.90625" style="90"/>
    <col min="519" max="519" width="1.36328125" style="90" customWidth="1"/>
    <col min="520" max="520" width="3.453125" style="90" customWidth="1"/>
    <col min="521" max="521" width="22.08984375" style="90" customWidth="1"/>
    <col min="522" max="522" width="9.7265625" style="90" customWidth="1"/>
    <col min="523" max="523" width="7.36328125" style="90" customWidth="1"/>
    <col min="524" max="524" width="8.90625" style="90"/>
    <col min="525" max="525" width="9.26953125" style="90" customWidth="1"/>
    <col min="526" max="526" width="3.453125" style="90" customWidth="1"/>
    <col min="527" max="528" width="12.6328125" style="90" customWidth="1"/>
    <col min="529" max="529" width="8.90625" style="90"/>
    <col min="530" max="530" width="7.7265625" style="90" customWidth="1"/>
    <col min="531" max="531" width="13.08984375" style="90" customWidth="1"/>
    <col min="532" max="532" width="6.08984375" style="90" customWidth="1"/>
    <col min="533" max="533" width="9.7265625" style="90" customWidth="1"/>
    <col min="534" max="534" width="1.36328125" style="90" customWidth="1"/>
    <col min="535" max="774" width="8.90625" style="90"/>
    <col min="775" max="775" width="1.36328125" style="90" customWidth="1"/>
    <col min="776" max="776" width="3.453125" style="90" customWidth="1"/>
    <col min="777" max="777" width="22.08984375" style="90" customWidth="1"/>
    <col min="778" max="778" width="9.7265625" style="90" customWidth="1"/>
    <col min="779" max="779" width="7.36328125" style="90" customWidth="1"/>
    <col min="780" max="780" width="8.90625" style="90"/>
    <col min="781" max="781" width="9.26953125" style="90" customWidth="1"/>
    <col min="782" max="782" width="3.453125" style="90" customWidth="1"/>
    <col min="783" max="784" width="12.6328125" style="90" customWidth="1"/>
    <col min="785" max="785" width="8.90625" style="90"/>
    <col min="786" max="786" width="7.7265625" style="90" customWidth="1"/>
    <col min="787" max="787" width="13.08984375" style="90" customWidth="1"/>
    <col min="788" max="788" width="6.08984375" style="90" customWidth="1"/>
    <col min="789" max="789" width="9.7265625" style="90" customWidth="1"/>
    <col min="790" max="790" width="1.36328125" style="90" customWidth="1"/>
    <col min="791" max="1030" width="8.90625" style="90"/>
    <col min="1031" max="1031" width="1.36328125" style="90" customWidth="1"/>
    <col min="1032" max="1032" width="3.453125" style="90" customWidth="1"/>
    <col min="1033" max="1033" width="22.08984375" style="90" customWidth="1"/>
    <col min="1034" max="1034" width="9.7265625" style="90" customWidth="1"/>
    <col min="1035" max="1035" width="7.36328125" style="90" customWidth="1"/>
    <col min="1036" max="1036" width="8.90625" style="90"/>
    <col min="1037" max="1037" width="9.26953125" style="90" customWidth="1"/>
    <col min="1038" max="1038" width="3.453125" style="90" customWidth="1"/>
    <col min="1039" max="1040" width="12.6328125" style="90" customWidth="1"/>
    <col min="1041" max="1041" width="8.90625" style="90"/>
    <col min="1042" max="1042" width="7.7265625" style="90" customWidth="1"/>
    <col min="1043" max="1043" width="13.08984375" style="90" customWidth="1"/>
    <col min="1044" max="1044" width="6.08984375" style="90" customWidth="1"/>
    <col min="1045" max="1045" width="9.7265625" style="90" customWidth="1"/>
    <col min="1046" max="1046" width="1.36328125" style="90" customWidth="1"/>
    <col min="1047" max="1286" width="8.90625" style="90"/>
    <col min="1287" max="1287" width="1.36328125" style="90" customWidth="1"/>
    <col min="1288" max="1288" width="3.453125" style="90" customWidth="1"/>
    <col min="1289" max="1289" width="22.08984375" style="90" customWidth="1"/>
    <col min="1290" max="1290" width="9.7265625" style="90" customWidth="1"/>
    <col min="1291" max="1291" width="7.36328125" style="90" customWidth="1"/>
    <col min="1292" max="1292" width="8.90625" style="90"/>
    <col min="1293" max="1293" width="9.26953125" style="90" customWidth="1"/>
    <col min="1294" max="1294" width="3.453125" style="90" customWidth="1"/>
    <col min="1295" max="1296" width="12.6328125" style="90" customWidth="1"/>
    <col min="1297" max="1297" width="8.90625" style="90"/>
    <col min="1298" max="1298" width="7.7265625" style="90" customWidth="1"/>
    <col min="1299" max="1299" width="13.08984375" style="90" customWidth="1"/>
    <col min="1300" max="1300" width="6.08984375" style="90" customWidth="1"/>
    <col min="1301" max="1301" width="9.7265625" style="90" customWidth="1"/>
    <col min="1302" max="1302" width="1.36328125" style="90" customWidth="1"/>
    <col min="1303" max="1542" width="8.90625" style="90"/>
    <col min="1543" max="1543" width="1.36328125" style="90" customWidth="1"/>
    <col min="1544" max="1544" width="3.453125" style="90" customWidth="1"/>
    <col min="1545" max="1545" width="22.08984375" style="90" customWidth="1"/>
    <col min="1546" max="1546" width="9.7265625" style="90" customWidth="1"/>
    <col min="1547" max="1547" width="7.36328125" style="90" customWidth="1"/>
    <col min="1548" max="1548" width="8.90625" style="90"/>
    <col min="1549" max="1549" width="9.26953125" style="90" customWidth="1"/>
    <col min="1550" max="1550" width="3.453125" style="90" customWidth="1"/>
    <col min="1551" max="1552" width="12.6328125" style="90" customWidth="1"/>
    <col min="1553" max="1553" width="8.90625" style="90"/>
    <col min="1554" max="1554" width="7.7265625" style="90" customWidth="1"/>
    <col min="1555" max="1555" width="13.08984375" style="90" customWidth="1"/>
    <col min="1556" max="1556" width="6.08984375" style="90" customWidth="1"/>
    <col min="1557" max="1557" width="9.7265625" style="90" customWidth="1"/>
    <col min="1558" max="1558" width="1.36328125" style="90" customWidth="1"/>
    <col min="1559" max="1798" width="8.90625" style="90"/>
    <col min="1799" max="1799" width="1.36328125" style="90" customWidth="1"/>
    <col min="1800" max="1800" width="3.453125" style="90" customWidth="1"/>
    <col min="1801" max="1801" width="22.08984375" style="90" customWidth="1"/>
    <col min="1802" max="1802" width="9.7265625" style="90" customWidth="1"/>
    <col min="1803" max="1803" width="7.36328125" style="90" customWidth="1"/>
    <col min="1804" max="1804" width="8.90625" style="90"/>
    <col min="1805" max="1805" width="9.26953125" style="90" customWidth="1"/>
    <col min="1806" max="1806" width="3.453125" style="90" customWidth="1"/>
    <col min="1807" max="1808" width="12.6328125" style="90" customWidth="1"/>
    <col min="1809" max="1809" width="8.90625" style="90"/>
    <col min="1810" max="1810" width="7.7265625" style="90" customWidth="1"/>
    <col min="1811" max="1811" width="13.08984375" style="90" customWidth="1"/>
    <col min="1812" max="1812" width="6.08984375" style="90" customWidth="1"/>
    <col min="1813" max="1813" width="9.7265625" style="90" customWidth="1"/>
    <col min="1814" max="1814" width="1.36328125" style="90" customWidth="1"/>
    <col min="1815" max="2054" width="8.90625" style="90"/>
    <col min="2055" max="2055" width="1.36328125" style="90" customWidth="1"/>
    <col min="2056" max="2056" width="3.453125" style="90" customWidth="1"/>
    <col min="2057" max="2057" width="22.08984375" style="90" customWidth="1"/>
    <col min="2058" max="2058" width="9.7265625" style="90" customWidth="1"/>
    <col min="2059" max="2059" width="7.36328125" style="90" customWidth="1"/>
    <col min="2060" max="2060" width="8.90625" style="90"/>
    <col min="2061" max="2061" width="9.26953125" style="90" customWidth="1"/>
    <col min="2062" max="2062" width="3.453125" style="90" customWidth="1"/>
    <col min="2063" max="2064" width="12.6328125" style="90" customWidth="1"/>
    <col min="2065" max="2065" width="8.90625" style="90"/>
    <col min="2066" max="2066" width="7.7265625" style="90" customWidth="1"/>
    <col min="2067" max="2067" width="13.08984375" style="90" customWidth="1"/>
    <col min="2068" max="2068" width="6.08984375" style="90" customWidth="1"/>
    <col min="2069" max="2069" width="9.7265625" style="90" customWidth="1"/>
    <col min="2070" max="2070" width="1.36328125" style="90" customWidth="1"/>
    <col min="2071" max="2310" width="8.90625" style="90"/>
    <col min="2311" max="2311" width="1.36328125" style="90" customWidth="1"/>
    <col min="2312" max="2312" width="3.453125" style="90" customWidth="1"/>
    <col min="2313" max="2313" width="22.08984375" style="90" customWidth="1"/>
    <col min="2314" max="2314" width="9.7265625" style="90" customWidth="1"/>
    <col min="2315" max="2315" width="7.36328125" style="90" customWidth="1"/>
    <col min="2316" max="2316" width="8.90625" style="90"/>
    <col min="2317" max="2317" width="9.26953125" style="90" customWidth="1"/>
    <col min="2318" max="2318" width="3.453125" style="90" customWidth="1"/>
    <col min="2319" max="2320" width="12.6328125" style="90" customWidth="1"/>
    <col min="2321" max="2321" width="8.90625" style="90"/>
    <col min="2322" max="2322" width="7.7265625" style="90" customWidth="1"/>
    <col min="2323" max="2323" width="13.08984375" style="90" customWidth="1"/>
    <col min="2324" max="2324" width="6.08984375" style="90" customWidth="1"/>
    <col min="2325" max="2325" width="9.7265625" style="90" customWidth="1"/>
    <col min="2326" max="2326" width="1.36328125" style="90" customWidth="1"/>
    <col min="2327" max="2566" width="8.90625" style="90"/>
    <col min="2567" max="2567" width="1.36328125" style="90" customWidth="1"/>
    <col min="2568" max="2568" width="3.453125" style="90" customWidth="1"/>
    <col min="2569" max="2569" width="22.08984375" style="90" customWidth="1"/>
    <col min="2570" max="2570" width="9.7265625" style="90" customWidth="1"/>
    <col min="2571" max="2571" width="7.36328125" style="90" customWidth="1"/>
    <col min="2572" max="2572" width="8.90625" style="90"/>
    <col min="2573" max="2573" width="9.26953125" style="90" customWidth="1"/>
    <col min="2574" max="2574" width="3.453125" style="90" customWidth="1"/>
    <col min="2575" max="2576" width="12.6328125" style="90" customWidth="1"/>
    <col min="2577" max="2577" width="8.90625" style="90"/>
    <col min="2578" max="2578" width="7.7265625" style="90" customWidth="1"/>
    <col min="2579" max="2579" width="13.08984375" style="90" customWidth="1"/>
    <col min="2580" max="2580" width="6.08984375" style="90" customWidth="1"/>
    <col min="2581" max="2581" width="9.7265625" style="90" customWidth="1"/>
    <col min="2582" max="2582" width="1.36328125" style="90" customWidth="1"/>
    <col min="2583" max="2822" width="8.90625" style="90"/>
    <col min="2823" max="2823" width="1.36328125" style="90" customWidth="1"/>
    <col min="2824" max="2824" width="3.453125" style="90" customWidth="1"/>
    <col min="2825" max="2825" width="22.08984375" style="90" customWidth="1"/>
    <col min="2826" max="2826" width="9.7265625" style="90" customWidth="1"/>
    <col min="2827" max="2827" width="7.36328125" style="90" customWidth="1"/>
    <col min="2828" max="2828" width="8.90625" style="90"/>
    <col min="2829" max="2829" width="9.26953125" style="90" customWidth="1"/>
    <col min="2830" max="2830" width="3.453125" style="90" customWidth="1"/>
    <col min="2831" max="2832" width="12.6328125" style="90" customWidth="1"/>
    <col min="2833" max="2833" width="8.90625" style="90"/>
    <col min="2834" max="2834" width="7.7265625" style="90" customWidth="1"/>
    <col min="2835" max="2835" width="13.08984375" style="90" customWidth="1"/>
    <col min="2836" max="2836" width="6.08984375" style="90" customWidth="1"/>
    <col min="2837" max="2837" width="9.7265625" style="90" customWidth="1"/>
    <col min="2838" max="2838" width="1.36328125" style="90" customWidth="1"/>
    <col min="2839" max="3078" width="8.90625" style="90"/>
    <col min="3079" max="3079" width="1.36328125" style="90" customWidth="1"/>
    <col min="3080" max="3080" width="3.453125" style="90" customWidth="1"/>
    <col min="3081" max="3081" width="22.08984375" style="90" customWidth="1"/>
    <col min="3082" max="3082" width="9.7265625" style="90" customWidth="1"/>
    <col min="3083" max="3083" width="7.36328125" style="90" customWidth="1"/>
    <col min="3084" max="3084" width="8.90625" style="90"/>
    <col min="3085" max="3085" width="9.26953125" style="90" customWidth="1"/>
    <col min="3086" max="3086" width="3.453125" style="90" customWidth="1"/>
    <col min="3087" max="3088" width="12.6328125" style="90" customWidth="1"/>
    <col min="3089" max="3089" width="8.90625" style="90"/>
    <col min="3090" max="3090" width="7.7265625" style="90" customWidth="1"/>
    <col min="3091" max="3091" width="13.08984375" style="90" customWidth="1"/>
    <col min="3092" max="3092" width="6.08984375" style="90" customWidth="1"/>
    <col min="3093" max="3093" width="9.7265625" style="90" customWidth="1"/>
    <col min="3094" max="3094" width="1.36328125" style="90" customWidth="1"/>
    <col min="3095" max="3334" width="8.90625" style="90"/>
    <col min="3335" max="3335" width="1.36328125" style="90" customWidth="1"/>
    <col min="3336" max="3336" width="3.453125" style="90" customWidth="1"/>
    <col min="3337" max="3337" width="22.08984375" style="90" customWidth="1"/>
    <col min="3338" max="3338" width="9.7265625" style="90" customWidth="1"/>
    <col min="3339" max="3339" width="7.36328125" style="90" customWidth="1"/>
    <col min="3340" max="3340" width="8.90625" style="90"/>
    <col min="3341" max="3341" width="9.26953125" style="90" customWidth="1"/>
    <col min="3342" max="3342" width="3.453125" style="90" customWidth="1"/>
    <col min="3343" max="3344" width="12.6328125" style="90" customWidth="1"/>
    <col min="3345" max="3345" width="8.90625" style="90"/>
    <col min="3346" max="3346" width="7.7265625" style="90" customWidth="1"/>
    <col min="3347" max="3347" width="13.08984375" style="90" customWidth="1"/>
    <col min="3348" max="3348" width="6.08984375" style="90" customWidth="1"/>
    <col min="3349" max="3349" width="9.7265625" style="90" customWidth="1"/>
    <col min="3350" max="3350" width="1.36328125" style="90" customWidth="1"/>
    <col min="3351" max="3590" width="8.90625" style="90"/>
    <col min="3591" max="3591" width="1.36328125" style="90" customWidth="1"/>
    <col min="3592" max="3592" width="3.453125" style="90" customWidth="1"/>
    <col min="3593" max="3593" width="22.08984375" style="90" customWidth="1"/>
    <col min="3594" max="3594" width="9.7265625" style="90" customWidth="1"/>
    <col min="3595" max="3595" width="7.36328125" style="90" customWidth="1"/>
    <col min="3596" max="3596" width="8.90625" style="90"/>
    <col min="3597" max="3597" width="9.26953125" style="90" customWidth="1"/>
    <col min="3598" max="3598" width="3.453125" style="90" customWidth="1"/>
    <col min="3599" max="3600" width="12.6328125" style="90" customWidth="1"/>
    <col min="3601" max="3601" width="8.90625" style="90"/>
    <col min="3602" max="3602" width="7.7265625" style="90" customWidth="1"/>
    <col min="3603" max="3603" width="13.08984375" style="90" customWidth="1"/>
    <col min="3604" max="3604" width="6.08984375" style="90" customWidth="1"/>
    <col min="3605" max="3605" width="9.7265625" style="90" customWidth="1"/>
    <col min="3606" max="3606" width="1.36328125" style="90" customWidth="1"/>
    <col min="3607" max="3846" width="8.90625" style="90"/>
    <col min="3847" max="3847" width="1.36328125" style="90" customWidth="1"/>
    <col min="3848" max="3848" width="3.453125" style="90" customWidth="1"/>
    <col min="3849" max="3849" width="22.08984375" style="90" customWidth="1"/>
    <col min="3850" max="3850" width="9.7265625" style="90" customWidth="1"/>
    <col min="3851" max="3851" width="7.36328125" style="90" customWidth="1"/>
    <col min="3852" max="3852" width="8.90625" style="90"/>
    <col min="3853" max="3853" width="9.26953125" style="90" customWidth="1"/>
    <col min="3854" max="3854" width="3.453125" style="90" customWidth="1"/>
    <col min="3855" max="3856" width="12.6328125" style="90" customWidth="1"/>
    <col min="3857" max="3857" width="8.90625" style="90"/>
    <col min="3858" max="3858" width="7.7265625" style="90" customWidth="1"/>
    <col min="3859" max="3859" width="13.08984375" style="90" customWidth="1"/>
    <col min="3860" max="3860" width="6.08984375" style="90" customWidth="1"/>
    <col min="3861" max="3861" width="9.7265625" style="90" customWidth="1"/>
    <col min="3862" max="3862" width="1.36328125" style="90" customWidth="1"/>
    <col min="3863" max="4102" width="8.90625" style="90"/>
    <col min="4103" max="4103" width="1.36328125" style="90" customWidth="1"/>
    <col min="4104" max="4104" width="3.453125" style="90" customWidth="1"/>
    <col min="4105" max="4105" width="22.08984375" style="90" customWidth="1"/>
    <col min="4106" max="4106" width="9.7265625" style="90" customWidth="1"/>
    <col min="4107" max="4107" width="7.36328125" style="90" customWidth="1"/>
    <col min="4108" max="4108" width="8.90625" style="90"/>
    <col min="4109" max="4109" width="9.26953125" style="90" customWidth="1"/>
    <col min="4110" max="4110" width="3.453125" style="90" customWidth="1"/>
    <col min="4111" max="4112" width="12.6328125" style="90" customWidth="1"/>
    <col min="4113" max="4113" width="8.90625" style="90"/>
    <col min="4114" max="4114" width="7.7265625" style="90" customWidth="1"/>
    <col min="4115" max="4115" width="13.08984375" style="90" customWidth="1"/>
    <col min="4116" max="4116" width="6.08984375" style="90" customWidth="1"/>
    <col min="4117" max="4117" width="9.7265625" style="90" customWidth="1"/>
    <col min="4118" max="4118" width="1.36328125" style="90" customWidth="1"/>
    <col min="4119" max="4358" width="8.90625" style="90"/>
    <col min="4359" max="4359" width="1.36328125" style="90" customWidth="1"/>
    <col min="4360" max="4360" width="3.453125" style="90" customWidth="1"/>
    <col min="4361" max="4361" width="22.08984375" style="90" customWidth="1"/>
    <col min="4362" max="4362" width="9.7265625" style="90" customWidth="1"/>
    <col min="4363" max="4363" width="7.36328125" style="90" customWidth="1"/>
    <col min="4364" max="4364" width="8.90625" style="90"/>
    <col min="4365" max="4365" width="9.26953125" style="90" customWidth="1"/>
    <col min="4366" max="4366" width="3.453125" style="90" customWidth="1"/>
    <col min="4367" max="4368" width="12.6328125" style="90" customWidth="1"/>
    <col min="4369" max="4369" width="8.90625" style="90"/>
    <col min="4370" max="4370" width="7.7265625" style="90" customWidth="1"/>
    <col min="4371" max="4371" width="13.08984375" style="90" customWidth="1"/>
    <col min="4372" max="4372" width="6.08984375" style="90" customWidth="1"/>
    <col min="4373" max="4373" width="9.7265625" style="90" customWidth="1"/>
    <col min="4374" max="4374" width="1.36328125" style="90" customWidth="1"/>
    <col min="4375" max="4614" width="8.90625" style="90"/>
    <col min="4615" max="4615" width="1.36328125" style="90" customWidth="1"/>
    <col min="4616" max="4616" width="3.453125" style="90" customWidth="1"/>
    <col min="4617" max="4617" width="22.08984375" style="90" customWidth="1"/>
    <col min="4618" max="4618" width="9.7265625" style="90" customWidth="1"/>
    <col min="4619" max="4619" width="7.36328125" style="90" customWidth="1"/>
    <col min="4620" max="4620" width="8.90625" style="90"/>
    <col min="4621" max="4621" width="9.26953125" style="90" customWidth="1"/>
    <col min="4622" max="4622" width="3.453125" style="90" customWidth="1"/>
    <col min="4623" max="4624" width="12.6328125" style="90" customWidth="1"/>
    <col min="4625" max="4625" width="8.90625" style="90"/>
    <col min="4626" max="4626" width="7.7265625" style="90" customWidth="1"/>
    <col min="4627" max="4627" width="13.08984375" style="90" customWidth="1"/>
    <col min="4628" max="4628" width="6.08984375" style="90" customWidth="1"/>
    <col min="4629" max="4629" width="9.7265625" style="90" customWidth="1"/>
    <col min="4630" max="4630" width="1.36328125" style="90" customWidth="1"/>
    <col min="4631" max="4870" width="8.90625" style="90"/>
    <col min="4871" max="4871" width="1.36328125" style="90" customWidth="1"/>
    <col min="4872" max="4872" width="3.453125" style="90" customWidth="1"/>
    <col min="4873" max="4873" width="22.08984375" style="90" customWidth="1"/>
    <col min="4874" max="4874" width="9.7265625" style="90" customWidth="1"/>
    <col min="4875" max="4875" width="7.36328125" style="90" customWidth="1"/>
    <col min="4876" max="4876" width="8.90625" style="90"/>
    <col min="4877" max="4877" width="9.26953125" style="90" customWidth="1"/>
    <col min="4878" max="4878" width="3.453125" style="90" customWidth="1"/>
    <col min="4879" max="4880" width="12.6328125" style="90" customWidth="1"/>
    <col min="4881" max="4881" width="8.90625" style="90"/>
    <col min="4882" max="4882" width="7.7265625" style="90" customWidth="1"/>
    <col min="4883" max="4883" width="13.08984375" style="90" customWidth="1"/>
    <col min="4884" max="4884" width="6.08984375" style="90" customWidth="1"/>
    <col min="4885" max="4885" width="9.7265625" style="90" customWidth="1"/>
    <col min="4886" max="4886" width="1.36328125" style="90" customWidth="1"/>
    <col min="4887" max="5126" width="8.90625" style="90"/>
    <col min="5127" max="5127" width="1.36328125" style="90" customWidth="1"/>
    <col min="5128" max="5128" width="3.453125" style="90" customWidth="1"/>
    <col min="5129" max="5129" width="22.08984375" style="90" customWidth="1"/>
    <col min="5130" max="5130" width="9.7265625" style="90" customWidth="1"/>
    <col min="5131" max="5131" width="7.36328125" style="90" customWidth="1"/>
    <col min="5132" max="5132" width="8.90625" style="90"/>
    <col min="5133" max="5133" width="9.26953125" style="90" customWidth="1"/>
    <col min="5134" max="5134" width="3.453125" style="90" customWidth="1"/>
    <col min="5135" max="5136" width="12.6328125" style="90" customWidth="1"/>
    <col min="5137" max="5137" width="8.90625" style="90"/>
    <col min="5138" max="5138" width="7.7265625" style="90" customWidth="1"/>
    <col min="5139" max="5139" width="13.08984375" style="90" customWidth="1"/>
    <col min="5140" max="5140" width="6.08984375" style="90" customWidth="1"/>
    <col min="5141" max="5141" width="9.7265625" style="90" customWidth="1"/>
    <col min="5142" max="5142" width="1.36328125" style="90" customWidth="1"/>
    <col min="5143" max="5382" width="8.90625" style="90"/>
    <col min="5383" max="5383" width="1.36328125" style="90" customWidth="1"/>
    <col min="5384" max="5384" width="3.453125" style="90" customWidth="1"/>
    <col min="5385" max="5385" width="22.08984375" style="90" customWidth="1"/>
    <col min="5386" max="5386" width="9.7265625" style="90" customWidth="1"/>
    <col min="5387" max="5387" width="7.36328125" style="90" customWidth="1"/>
    <col min="5388" max="5388" width="8.90625" style="90"/>
    <col min="5389" max="5389" width="9.26953125" style="90" customWidth="1"/>
    <col min="5390" max="5390" width="3.453125" style="90" customWidth="1"/>
    <col min="5391" max="5392" width="12.6328125" style="90" customWidth="1"/>
    <col min="5393" max="5393" width="8.90625" style="90"/>
    <col min="5394" max="5394" width="7.7265625" style="90" customWidth="1"/>
    <col min="5395" max="5395" width="13.08984375" style="90" customWidth="1"/>
    <col min="5396" max="5396" width="6.08984375" style="90" customWidth="1"/>
    <col min="5397" max="5397" width="9.7265625" style="90" customWidth="1"/>
    <col min="5398" max="5398" width="1.36328125" style="90" customWidth="1"/>
    <col min="5399" max="5638" width="8.90625" style="90"/>
    <col min="5639" max="5639" width="1.36328125" style="90" customWidth="1"/>
    <col min="5640" max="5640" width="3.453125" style="90" customWidth="1"/>
    <col min="5641" max="5641" width="22.08984375" style="90" customWidth="1"/>
    <col min="5642" max="5642" width="9.7265625" style="90" customWidth="1"/>
    <col min="5643" max="5643" width="7.36328125" style="90" customWidth="1"/>
    <col min="5644" max="5644" width="8.90625" style="90"/>
    <col min="5645" max="5645" width="9.26953125" style="90" customWidth="1"/>
    <col min="5646" max="5646" width="3.453125" style="90" customWidth="1"/>
    <col min="5647" max="5648" width="12.6328125" style="90" customWidth="1"/>
    <col min="5649" max="5649" width="8.90625" style="90"/>
    <col min="5650" max="5650" width="7.7265625" style="90" customWidth="1"/>
    <col min="5651" max="5651" width="13.08984375" style="90" customWidth="1"/>
    <col min="5652" max="5652" width="6.08984375" style="90" customWidth="1"/>
    <col min="5653" max="5653" width="9.7265625" style="90" customWidth="1"/>
    <col min="5654" max="5654" width="1.36328125" style="90" customWidth="1"/>
    <col min="5655" max="5894" width="8.90625" style="90"/>
    <col min="5895" max="5895" width="1.36328125" style="90" customWidth="1"/>
    <col min="5896" max="5896" width="3.453125" style="90" customWidth="1"/>
    <col min="5897" max="5897" width="22.08984375" style="90" customWidth="1"/>
    <col min="5898" max="5898" width="9.7265625" style="90" customWidth="1"/>
    <col min="5899" max="5899" width="7.36328125" style="90" customWidth="1"/>
    <col min="5900" max="5900" width="8.90625" style="90"/>
    <col min="5901" max="5901" width="9.26953125" style="90" customWidth="1"/>
    <col min="5902" max="5902" width="3.453125" style="90" customWidth="1"/>
    <col min="5903" max="5904" width="12.6328125" style="90" customWidth="1"/>
    <col min="5905" max="5905" width="8.90625" style="90"/>
    <col min="5906" max="5906" width="7.7265625" style="90" customWidth="1"/>
    <col min="5907" max="5907" width="13.08984375" style="90" customWidth="1"/>
    <col min="5908" max="5908" width="6.08984375" style="90" customWidth="1"/>
    <col min="5909" max="5909" width="9.7265625" style="90" customWidth="1"/>
    <col min="5910" max="5910" width="1.36328125" style="90" customWidth="1"/>
    <col min="5911" max="6150" width="8.90625" style="90"/>
    <col min="6151" max="6151" width="1.36328125" style="90" customWidth="1"/>
    <col min="6152" max="6152" width="3.453125" style="90" customWidth="1"/>
    <col min="6153" max="6153" width="22.08984375" style="90" customWidth="1"/>
    <col min="6154" max="6154" width="9.7265625" style="90" customWidth="1"/>
    <col min="6155" max="6155" width="7.36328125" style="90" customWidth="1"/>
    <col min="6156" max="6156" width="8.90625" style="90"/>
    <col min="6157" max="6157" width="9.26953125" style="90" customWidth="1"/>
    <col min="6158" max="6158" width="3.453125" style="90" customWidth="1"/>
    <col min="6159" max="6160" width="12.6328125" style="90" customWidth="1"/>
    <col min="6161" max="6161" width="8.90625" style="90"/>
    <col min="6162" max="6162" width="7.7265625" style="90" customWidth="1"/>
    <col min="6163" max="6163" width="13.08984375" style="90" customWidth="1"/>
    <col min="6164" max="6164" width="6.08984375" style="90" customWidth="1"/>
    <col min="6165" max="6165" width="9.7265625" style="90" customWidth="1"/>
    <col min="6166" max="6166" width="1.36328125" style="90" customWidth="1"/>
    <col min="6167" max="6406" width="8.90625" style="90"/>
    <col min="6407" max="6407" width="1.36328125" style="90" customWidth="1"/>
    <col min="6408" max="6408" width="3.453125" style="90" customWidth="1"/>
    <col min="6409" max="6409" width="22.08984375" style="90" customWidth="1"/>
    <col min="6410" max="6410" width="9.7265625" style="90" customWidth="1"/>
    <col min="6411" max="6411" width="7.36328125" style="90" customWidth="1"/>
    <col min="6412" max="6412" width="8.90625" style="90"/>
    <col min="6413" max="6413" width="9.26953125" style="90" customWidth="1"/>
    <col min="6414" max="6414" width="3.453125" style="90" customWidth="1"/>
    <col min="6415" max="6416" width="12.6328125" style="90" customWidth="1"/>
    <col min="6417" max="6417" width="8.90625" style="90"/>
    <col min="6418" max="6418" width="7.7265625" style="90" customWidth="1"/>
    <col min="6419" max="6419" width="13.08984375" style="90" customWidth="1"/>
    <col min="6420" max="6420" width="6.08984375" style="90" customWidth="1"/>
    <col min="6421" max="6421" width="9.7265625" style="90" customWidth="1"/>
    <col min="6422" max="6422" width="1.36328125" style="90" customWidth="1"/>
    <col min="6423" max="6662" width="8.90625" style="90"/>
    <col min="6663" max="6663" width="1.36328125" style="90" customWidth="1"/>
    <col min="6664" max="6664" width="3.453125" style="90" customWidth="1"/>
    <col min="6665" max="6665" width="22.08984375" style="90" customWidth="1"/>
    <col min="6666" max="6666" width="9.7265625" style="90" customWidth="1"/>
    <col min="6667" max="6667" width="7.36328125" style="90" customWidth="1"/>
    <col min="6668" max="6668" width="8.90625" style="90"/>
    <col min="6669" max="6669" width="9.26953125" style="90" customWidth="1"/>
    <col min="6670" max="6670" width="3.453125" style="90" customWidth="1"/>
    <col min="6671" max="6672" width="12.6328125" style="90" customWidth="1"/>
    <col min="6673" max="6673" width="8.90625" style="90"/>
    <col min="6674" max="6674" width="7.7265625" style="90" customWidth="1"/>
    <col min="6675" max="6675" width="13.08984375" style="90" customWidth="1"/>
    <col min="6676" max="6676" width="6.08984375" style="90" customWidth="1"/>
    <col min="6677" max="6677" width="9.7265625" style="90" customWidth="1"/>
    <col min="6678" max="6678" width="1.36328125" style="90" customWidth="1"/>
    <col min="6679" max="6918" width="8.90625" style="90"/>
    <col min="6919" max="6919" width="1.36328125" style="90" customWidth="1"/>
    <col min="6920" max="6920" width="3.453125" style="90" customWidth="1"/>
    <col min="6921" max="6921" width="22.08984375" style="90" customWidth="1"/>
    <col min="6922" max="6922" width="9.7265625" style="90" customWidth="1"/>
    <col min="6923" max="6923" width="7.36328125" style="90" customWidth="1"/>
    <col min="6924" max="6924" width="8.90625" style="90"/>
    <col min="6925" max="6925" width="9.26953125" style="90" customWidth="1"/>
    <col min="6926" max="6926" width="3.453125" style="90" customWidth="1"/>
    <col min="6927" max="6928" width="12.6328125" style="90" customWidth="1"/>
    <col min="6929" max="6929" width="8.90625" style="90"/>
    <col min="6930" max="6930" width="7.7265625" style="90" customWidth="1"/>
    <col min="6931" max="6931" width="13.08984375" style="90" customWidth="1"/>
    <col min="6932" max="6932" width="6.08984375" style="90" customWidth="1"/>
    <col min="6933" max="6933" width="9.7265625" style="90" customWidth="1"/>
    <col min="6934" max="6934" width="1.36328125" style="90" customWidth="1"/>
    <col min="6935" max="7174" width="8.90625" style="90"/>
    <col min="7175" max="7175" width="1.36328125" style="90" customWidth="1"/>
    <col min="7176" max="7176" width="3.453125" style="90" customWidth="1"/>
    <col min="7177" max="7177" width="22.08984375" style="90" customWidth="1"/>
    <col min="7178" max="7178" width="9.7265625" style="90" customWidth="1"/>
    <col min="7179" max="7179" width="7.36328125" style="90" customWidth="1"/>
    <col min="7180" max="7180" width="8.90625" style="90"/>
    <col min="7181" max="7181" width="9.26953125" style="90" customWidth="1"/>
    <col min="7182" max="7182" width="3.453125" style="90" customWidth="1"/>
    <col min="7183" max="7184" width="12.6328125" style="90" customWidth="1"/>
    <col min="7185" max="7185" width="8.90625" style="90"/>
    <col min="7186" max="7186" width="7.7265625" style="90" customWidth="1"/>
    <col min="7187" max="7187" width="13.08984375" style="90" customWidth="1"/>
    <col min="7188" max="7188" width="6.08984375" style="90" customWidth="1"/>
    <col min="7189" max="7189" width="9.7265625" style="90" customWidth="1"/>
    <col min="7190" max="7190" width="1.36328125" style="90" customWidth="1"/>
    <col min="7191" max="7430" width="8.90625" style="90"/>
    <col min="7431" max="7431" width="1.36328125" style="90" customWidth="1"/>
    <col min="7432" max="7432" width="3.453125" style="90" customWidth="1"/>
    <col min="7433" max="7433" width="22.08984375" style="90" customWidth="1"/>
    <col min="7434" max="7434" width="9.7265625" style="90" customWidth="1"/>
    <col min="7435" max="7435" width="7.36328125" style="90" customWidth="1"/>
    <col min="7436" max="7436" width="8.90625" style="90"/>
    <col min="7437" max="7437" width="9.26953125" style="90" customWidth="1"/>
    <col min="7438" max="7438" width="3.453125" style="90" customWidth="1"/>
    <col min="7439" max="7440" width="12.6328125" style="90" customWidth="1"/>
    <col min="7441" max="7441" width="8.90625" style="90"/>
    <col min="7442" max="7442" width="7.7265625" style="90" customWidth="1"/>
    <col min="7443" max="7443" width="13.08984375" style="90" customWidth="1"/>
    <col min="7444" max="7444" width="6.08984375" style="90" customWidth="1"/>
    <col min="7445" max="7445" width="9.7265625" style="90" customWidth="1"/>
    <col min="7446" max="7446" width="1.36328125" style="90" customWidth="1"/>
    <col min="7447" max="7686" width="8.90625" style="90"/>
    <col min="7687" max="7687" width="1.36328125" style="90" customWidth="1"/>
    <col min="7688" max="7688" width="3.453125" style="90" customWidth="1"/>
    <col min="7689" max="7689" width="22.08984375" style="90" customWidth="1"/>
    <col min="7690" max="7690" width="9.7265625" style="90" customWidth="1"/>
    <col min="7691" max="7691" width="7.36328125" style="90" customWidth="1"/>
    <col min="7692" max="7692" width="8.90625" style="90"/>
    <col min="7693" max="7693" width="9.26953125" style="90" customWidth="1"/>
    <col min="7694" max="7694" width="3.453125" style="90" customWidth="1"/>
    <col min="7695" max="7696" width="12.6328125" style="90" customWidth="1"/>
    <col min="7697" max="7697" width="8.90625" style="90"/>
    <col min="7698" max="7698" width="7.7265625" style="90" customWidth="1"/>
    <col min="7699" max="7699" width="13.08984375" style="90" customWidth="1"/>
    <col min="7700" max="7700" width="6.08984375" style="90" customWidth="1"/>
    <col min="7701" max="7701" width="9.7265625" style="90" customWidth="1"/>
    <col min="7702" max="7702" width="1.36328125" style="90" customWidth="1"/>
    <col min="7703" max="7942" width="8.90625" style="90"/>
    <col min="7943" max="7943" width="1.36328125" style="90" customWidth="1"/>
    <col min="7944" max="7944" width="3.453125" style="90" customWidth="1"/>
    <col min="7945" max="7945" width="22.08984375" style="90" customWidth="1"/>
    <col min="7946" max="7946" width="9.7265625" style="90" customWidth="1"/>
    <col min="7947" max="7947" width="7.36328125" style="90" customWidth="1"/>
    <col min="7948" max="7948" width="8.90625" style="90"/>
    <col min="7949" max="7949" width="9.26953125" style="90" customWidth="1"/>
    <col min="7950" max="7950" width="3.453125" style="90" customWidth="1"/>
    <col min="7951" max="7952" width="12.6328125" style="90" customWidth="1"/>
    <col min="7953" max="7953" width="8.90625" style="90"/>
    <col min="7954" max="7954" width="7.7265625" style="90" customWidth="1"/>
    <col min="7955" max="7955" width="13.08984375" style="90" customWidth="1"/>
    <col min="7956" max="7956" width="6.08984375" style="90" customWidth="1"/>
    <col min="7957" max="7957" width="9.7265625" style="90" customWidth="1"/>
    <col min="7958" max="7958" width="1.36328125" style="90" customWidth="1"/>
    <col min="7959" max="8198" width="8.90625" style="90"/>
    <col min="8199" max="8199" width="1.36328125" style="90" customWidth="1"/>
    <col min="8200" max="8200" width="3.453125" style="90" customWidth="1"/>
    <col min="8201" max="8201" width="22.08984375" style="90" customWidth="1"/>
    <col min="8202" max="8202" width="9.7265625" style="90" customWidth="1"/>
    <col min="8203" max="8203" width="7.36328125" style="90" customWidth="1"/>
    <col min="8204" max="8204" width="8.90625" style="90"/>
    <col min="8205" max="8205" width="9.26953125" style="90" customWidth="1"/>
    <col min="8206" max="8206" width="3.453125" style="90" customWidth="1"/>
    <col min="8207" max="8208" width="12.6328125" style="90" customWidth="1"/>
    <col min="8209" max="8209" width="8.90625" style="90"/>
    <col min="8210" max="8210" width="7.7265625" style="90" customWidth="1"/>
    <col min="8211" max="8211" width="13.08984375" style="90" customWidth="1"/>
    <col min="8212" max="8212" width="6.08984375" style="90" customWidth="1"/>
    <col min="8213" max="8213" width="9.7265625" style="90" customWidth="1"/>
    <col min="8214" max="8214" width="1.36328125" style="90" customWidth="1"/>
    <col min="8215" max="8454" width="8.90625" style="90"/>
    <col min="8455" max="8455" width="1.36328125" style="90" customWidth="1"/>
    <col min="8456" max="8456" width="3.453125" style="90" customWidth="1"/>
    <col min="8457" max="8457" width="22.08984375" style="90" customWidth="1"/>
    <col min="8458" max="8458" width="9.7265625" style="90" customWidth="1"/>
    <col min="8459" max="8459" width="7.36328125" style="90" customWidth="1"/>
    <col min="8460" max="8460" width="8.90625" style="90"/>
    <col min="8461" max="8461" width="9.26953125" style="90" customWidth="1"/>
    <col min="8462" max="8462" width="3.453125" style="90" customWidth="1"/>
    <col min="8463" max="8464" width="12.6328125" style="90" customWidth="1"/>
    <col min="8465" max="8465" width="8.90625" style="90"/>
    <col min="8466" max="8466" width="7.7265625" style="90" customWidth="1"/>
    <col min="8467" max="8467" width="13.08984375" style="90" customWidth="1"/>
    <col min="8468" max="8468" width="6.08984375" style="90" customWidth="1"/>
    <col min="8469" max="8469" width="9.7265625" style="90" customWidth="1"/>
    <col min="8470" max="8470" width="1.36328125" style="90" customWidth="1"/>
    <col min="8471" max="8710" width="8.90625" style="90"/>
    <col min="8711" max="8711" width="1.36328125" style="90" customWidth="1"/>
    <col min="8712" max="8712" width="3.453125" style="90" customWidth="1"/>
    <col min="8713" max="8713" width="22.08984375" style="90" customWidth="1"/>
    <col min="8714" max="8714" width="9.7265625" style="90" customWidth="1"/>
    <col min="8715" max="8715" width="7.36328125" style="90" customWidth="1"/>
    <col min="8716" max="8716" width="8.90625" style="90"/>
    <col min="8717" max="8717" width="9.26953125" style="90" customWidth="1"/>
    <col min="8718" max="8718" width="3.453125" style="90" customWidth="1"/>
    <col min="8719" max="8720" width="12.6328125" style="90" customWidth="1"/>
    <col min="8721" max="8721" width="8.90625" style="90"/>
    <col min="8722" max="8722" width="7.7265625" style="90" customWidth="1"/>
    <col min="8723" max="8723" width="13.08984375" style="90" customWidth="1"/>
    <col min="8724" max="8724" width="6.08984375" style="90" customWidth="1"/>
    <col min="8725" max="8725" width="9.7265625" style="90" customWidth="1"/>
    <col min="8726" max="8726" width="1.36328125" style="90" customWidth="1"/>
    <col min="8727" max="8966" width="8.90625" style="90"/>
    <col min="8967" max="8967" width="1.36328125" style="90" customWidth="1"/>
    <col min="8968" max="8968" width="3.453125" style="90" customWidth="1"/>
    <col min="8969" max="8969" width="22.08984375" style="90" customWidth="1"/>
    <col min="8970" max="8970" width="9.7265625" style="90" customWidth="1"/>
    <col min="8971" max="8971" width="7.36328125" style="90" customWidth="1"/>
    <col min="8972" max="8972" width="8.90625" style="90"/>
    <col min="8973" max="8973" width="9.26953125" style="90" customWidth="1"/>
    <col min="8974" max="8974" width="3.453125" style="90" customWidth="1"/>
    <col min="8975" max="8976" width="12.6328125" style="90" customWidth="1"/>
    <col min="8977" max="8977" width="8.90625" style="90"/>
    <col min="8978" max="8978" width="7.7265625" style="90" customWidth="1"/>
    <col min="8979" max="8979" width="13.08984375" style="90" customWidth="1"/>
    <col min="8980" max="8980" width="6.08984375" style="90" customWidth="1"/>
    <col min="8981" max="8981" width="9.7265625" style="90" customWidth="1"/>
    <col min="8982" max="8982" width="1.36328125" style="90" customWidth="1"/>
    <col min="8983" max="9222" width="8.90625" style="90"/>
    <col min="9223" max="9223" width="1.36328125" style="90" customWidth="1"/>
    <col min="9224" max="9224" width="3.453125" style="90" customWidth="1"/>
    <col min="9225" max="9225" width="22.08984375" style="90" customWidth="1"/>
    <col min="9226" max="9226" width="9.7265625" style="90" customWidth="1"/>
    <col min="9227" max="9227" width="7.36328125" style="90" customWidth="1"/>
    <col min="9228" max="9228" width="8.90625" style="90"/>
    <col min="9229" max="9229" width="9.26953125" style="90" customWidth="1"/>
    <col min="9230" max="9230" width="3.453125" style="90" customWidth="1"/>
    <col min="9231" max="9232" width="12.6328125" style="90" customWidth="1"/>
    <col min="9233" max="9233" width="8.90625" style="90"/>
    <col min="9234" max="9234" width="7.7265625" style="90" customWidth="1"/>
    <col min="9235" max="9235" width="13.08984375" style="90" customWidth="1"/>
    <col min="9236" max="9236" width="6.08984375" style="90" customWidth="1"/>
    <col min="9237" max="9237" width="9.7265625" style="90" customWidth="1"/>
    <col min="9238" max="9238" width="1.36328125" style="90" customWidth="1"/>
    <col min="9239" max="9478" width="8.90625" style="90"/>
    <col min="9479" max="9479" width="1.36328125" style="90" customWidth="1"/>
    <col min="9480" max="9480" width="3.453125" style="90" customWidth="1"/>
    <col min="9481" max="9481" width="22.08984375" style="90" customWidth="1"/>
    <col min="9482" max="9482" width="9.7265625" style="90" customWidth="1"/>
    <col min="9483" max="9483" width="7.36328125" style="90" customWidth="1"/>
    <col min="9484" max="9484" width="8.90625" style="90"/>
    <col min="9485" max="9485" width="9.26953125" style="90" customWidth="1"/>
    <col min="9486" max="9486" width="3.453125" style="90" customWidth="1"/>
    <col min="9487" max="9488" width="12.6328125" style="90" customWidth="1"/>
    <col min="9489" max="9489" width="8.90625" style="90"/>
    <col min="9490" max="9490" width="7.7265625" style="90" customWidth="1"/>
    <col min="9491" max="9491" width="13.08984375" style="90" customWidth="1"/>
    <col min="9492" max="9492" width="6.08984375" style="90" customWidth="1"/>
    <col min="9493" max="9493" width="9.7265625" style="90" customWidth="1"/>
    <col min="9494" max="9494" width="1.36328125" style="90" customWidth="1"/>
    <col min="9495" max="9734" width="8.90625" style="90"/>
    <col min="9735" max="9735" width="1.36328125" style="90" customWidth="1"/>
    <col min="9736" max="9736" width="3.453125" style="90" customWidth="1"/>
    <col min="9737" max="9737" width="22.08984375" style="90" customWidth="1"/>
    <col min="9738" max="9738" width="9.7265625" style="90" customWidth="1"/>
    <col min="9739" max="9739" width="7.36328125" style="90" customWidth="1"/>
    <col min="9740" max="9740" width="8.90625" style="90"/>
    <col min="9741" max="9741" width="9.26953125" style="90" customWidth="1"/>
    <col min="9742" max="9742" width="3.453125" style="90" customWidth="1"/>
    <col min="9743" max="9744" width="12.6328125" style="90" customWidth="1"/>
    <col min="9745" max="9745" width="8.90625" style="90"/>
    <col min="9746" max="9746" width="7.7265625" style="90" customWidth="1"/>
    <col min="9747" max="9747" width="13.08984375" style="90" customWidth="1"/>
    <col min="9748" max="9748" width="6.08984375" style="90" customWidth="1"/>
    <col min="9749" max="9749" width="9.7265625" style="90" customWidth="1"/>
    <col min="9750" max="9750" width="1.36328125" style="90" customWidth="1"/>
    <col min="9751" max="9990" width="8.90625" style="90"/>
    <col min="9991" max="9991" width="1.36328125" style="90" customWidth="1"/>
    <col min="9992" max="9992" width="3.453125" style="90" customWidth="1"/>
    <col min="9993" max="9993" width="22.08984375" style="90" customWidth="1"/>
    <col min="9994" max="9994" width="9.7265625" style="90" customWidth="1"/>
    <col min="9995" max="9995" width="7.36328125" style="90" customWidth="1"/>
    <col min="9996" max="9996" width="8.90625" style="90"/>
    <col min="9997" max="9997" width="9.26953125" style="90" customWidth="1"/>
    <col min="9998" max="9998" width="3.453125" style="90" customWidth="1"/>
    <col min="9999" max="10000" width="12.6328125" style="90" customWidth="1"/>
    <col min="10001" max="10001" width="8.90625" style="90"/>
    <col min="10002" max="10002" width="7.7265625" style="90" customWidth="1"/>
    <col min="10003" max="10003" width="13.08984375" style="90" customWidth="1"/>
    <col min="10004" max="10004" width="6.08984375" style="90" customWidth="1"/>
    <col min="10005" max="10005" width="9.7265625" style="90" customWidth="1"/>
    <col min="10006" max="10006" width="1.36328125" style="90" customWidth="1"/>
    <col min="10007" max="10246" width="8.90625" style="90"/>
    <col min="10247" max="10247" width="1.36328125" style="90" customWidth="1"/>
    <col min="10248" max="10248" width="3.453125" style="90" customWidth="1"/>
    <col min="10249" max="10249" width="22.08984375" style="90" customWidth="1"/>
    <col min="10250" max="10250" width="9.7265625" style="90" customWidth="1"/>
    <col min="10251" max="10251" width="7.36328125" style="90" customWidth="1"/>
    <col min="10252" max="10252" width="8.90625" style="90"/>
    <col min="10253" max="10253" width="9.26953125" style="90" customWidth="1"/>
    <col min="10254" max="10254" width="3.453125" style="90" customWidth="1"/>
    <col min="10255" max="10256" width="12.6328125" style="90" customWidth="1"/>
    <col min="10257" max="10257" width="8.90625" style="90"/>
    <col min="10258" max="10258" width="7.7265625" style="90" customWidth="1"/>
    <col min="10259" max="10259" width="13.08984375" style="90" customWidth="1"/>
    <col min="10260" max="10260" width="6.08984375" style="90" customWidth="1"/>
    <col min="10261" max="10261" width="9.7265625" style="90" customWidth="1"/>
    <col min="10262" max="10262" width="1.36328125" style="90" customWidth="1"/>
    <col min="10263" max="10502" width="8.90625" style="90"/>
    <col min="10503" max="10503" width="1.36328125" style="90" customWidth="1"/>
    <col min="10504" max="10504" width="3.453125" style="90" customWidth="1"/>
    <col min="10505" max="10505" width="22.08984375" style="90" customWidth="1"/>
    <col min="10506" max="10506" width="9.7265625" style="90" customWidth="1"/>
    <col min="10507" max="10507" width="7.36328125" style="90" customWidth="1"/>
    <col min="10508" max="10508" width="8.90625" style="90"/>
    <col min="10509" max="10509" width="9.26953125" style="90" customWidth="1"/>
    <col min="10510" max="10510" width="3.453125" style="90" customWidth="1"/>
    <col min="10511" max="10512" width="12.6328125" style="90" customWidth="1"/>
    <col min="10513" max="10513" width="8.90625" style="90"/>
    <col min="10514" max="10514" width="7.7265625" style="90" customWidth="1"/>
    <col min="10515" max="10515" width="13.08984375" style="90" customWidth="1"/>
    <col min="10516" max="10516" width="6.08984375" style="90" customWidth="1"/>
    <col min="10517" max="10517" width="9.7265625" style="90" customWidth="1"/>
    <col min="10518" max="10518" width="1.36328125" style="90" customWidth="1"/>
    <col min="10519" max="10758" width="8.90625" style="90"/>
    <col min="10759" max="10759" width="1.36328125" style="90" customWidth="1"/>
    <col min="10760" max="10760" width="3.453125" style="90" customWidth="1"/>
    <col min="10761" max="10761" width="22.08984375" style="90" customWidth="1"/>
    <col min="10762" max="10762" width="9.7265625" style="90" customWidth="1"/>
    <col min="10763" max="10763" width="7.36328125" style="90" customWidth="1"/>
    <col min="10764" max="10764" width="8.90625" style="90"/>
    <col min="10765" max="10765" width="9.26953125" style="90" customWidth="1"/>
    <col min="10766" max="10766" width="3.453125" style="90" customWidth="1"/>
    <col min="10767" max="10768" width="12.6328125" style="90" customWidth="1"/>
    <col min="10769" max="10769" width="8.90625" style="90"/>
    <col min="10770" max="10770" width="7.7265625" style="90" customWidth="1"/>
    <col min="10771" max="10771" width="13.08984375" style="90" customWidth="1"/>
    <col min="10772" max="10772" width="6.08984375" style="90" customWidth="1"/>
    <col min="10773" max="10773" width="9.7265625" style="90" customWidth="1"/>
    <col min="10774" max="10774" width="1.36328125" style="90" customWidth="1"/>
    <col min="10775" max="11014" width="8.90625" style="90"/>
    <col min="11015" max="11015" width="1.36328125" style="90" customWidth="1"/>
    <col min="11016" max="11016" width="3.453125" style="90" customWidth="1"/>
    <col min="11017" max="11017" width="22.08984375" style="90" customWidth="1"/>
    <col min="11018" max="11018" width="9.7265625" style="90" customWidth="1"/>
    <col min="11019" max="11019" width="7.36328125" style="90" customWidth="1"/>
    <col min="11020" max="11020" width="8.90625" style="90"/>
    <col min="11021" max="11021" width="9.26953125" style="90" customWidth="1"/>
    <col min="11022" max="11022" width="3.453125" style="90" customWidth="1"/>
    <col min="11023" max="11024" width="12.6328125" style="90" customWidth="1"/>
    <col min="11025" max="11025" width="8.90625" style="90"/>
    <col min="11026" max="11026" width="7.7265625" style="90" customWidth="1"/>
    <col min="11027" max="11027" width="13.08984375" style="90" customWidth="1"/>
    <col min="11028" max="11028" width="6.08984375" style="90" customWidth="1"/>
    <col min="11029" max="11029" width="9.7265625" style="90" customWidth="1"/>
    <col min="11030" max="11030" width="1.36328125" style="90" customWidth="1"/>
    <col min="11031" max="11270" width="8.90625" style="90"/>
    <col min="11271" max="11271" width="1.36328125" style="90" customWidth="1"/>
    <col min="11272" max="11272" width="3.453125" style="90" customWidth="1"/>
    <col min="11273" max="11273" width="22.08984375" style="90" customWidth="1"/>
    <col min="11274" max="11274" width="9.7265625" style="90" customWidth="1"/>
    <col min="11275" max="11275" width="7.36328125" style="90" customWidth="1"/>
    <col min="11276" max="11276" width="8.90625" style="90"/>
    <col min="11277" max="11277" width="9.26953125" style="90" customWidth="1"/>
    <col min="11278" max="11278" width="3.453125" style="90" customWidth="1"/>
    <col min="11279" max="11280" width="12.6328125" style="90" customWidth="1"/>
    <col min="11281" max="11281" width="8.90625" style="90"/>
    <col min="11282" max="11282" width="7.7265625" style="90" customWidth="1"/>
    <col min="11283" max="11283" width="13.08984375" style="90" customWidth="1"/>
    <col min="11284" max="11284" width="6.08984375" style="90" customWidth="1"/>
    <col min="11285" max="11285" width="9.7265625" style="90" customWidth="1"/>
    <col min="11286" max="11286" width="1.36328125" style="90" customWidth="1"/>
    <col min="11287" max="11526" width="8.90625" style="90"/>
    <col min="11527" max="11527" width="1.36328125" style="90" customWidth="1"/>
    <col min="11528" max="11528" width="3.453125" style="90" customWidth="1"/>
    <col min="11529" max="11529" width="22.08984375" style="90" customWidth="1"/>
    <col min="11530" max="11530" width="9.7265625" style="90" customWidth="1"/>
    <col min="11531" max="11531" width="7.36328125" style="90" customWidth="1"/>
    <col min="11532" max="11532" width="8.90625" style="90"/>
    <col min="11533" max="11533" width="9.26953125" style="90" customWidth="1"/>
    <col min="11534" max="11534" width="3.453125" style="90" customWidth="1"/>
    <col min="11535" max="11536" width="12.6328125" style="90" customWidth="1"/>
    <col min="11537" max="11537" width="8.90625" style="90"/>
    <col min="11538" max="11538" width="7.7265625" style="90" customWidth="1"/>
    <col min="11539" max="11539" width="13.08984375" style="90" customWidth="1"/>
    <col min="11540" max="11540" width="6.08984375" style="90" customWidth="1"/>
    <col min="11541" max="11541" width="9.7265625" style="90" customWidth="1"/>
    <col min="11542" max="11542" width="1.36328125" style="90" customWidth="1"/>
    <col min="11543" max="11782" width="8.90625" style="90"/>
    <col min="11783" max="11783" width="1.36328125" style="90" customWidth="1"/>
    <col min="11784" max="11784" width="3.453125" style="90" customWidth="1"/>
    <col min="11785" max="11785" width="22.08984375" style="90" customWidth="1"/>
    <col min="11786" max="11786" width="9.7265625" style="90" customWidth="1"/>
    <col min="11787" max="11787" width="7.36328125" style="90" customWidth="1"/>
    <col min="11788" max="11788" width="8.90625" style="90"/>
    <col min="11789" max="11789" width="9.26953125" style="90" customWidth="1"/>
    <col min="11790" max="11790" width="3.453125" style="90" customWidth="1"/>
    <col min="11791" max="11792" width="12.6328125" style="90" customWidth="1"/>
    <col min="11793" max="11793" width="8.90625" style="90"/>
    <col min="11794" max="11794" width="7.7265625" style="90" customWidth="1"/>
    <col min="11795" max="11795" width="13.08984375" style="90" customWidth="1"/>
    <col min="11796" max="11796" width="6.08984375" style="90" customWidth="1"/>
    <col min="11797" max="11797" width="9.7265625" style="90" customWidth="1"/>
    <col min="11798" max="11798" width="1.36328125" style="90" customWidth="1"/>
    <col min="11799" max="12038" width="8.90625" style="90"/>
    <col min="12039" max="12039" width="1.36328125" style="90" customWidth="1"/>
    <col min="12040" max="12040" width="3.453125" style="90" customWidth="1"/>
    <col min="12041" max="12041" width="22.08984375" style="90" customWidth="1"/>
    <col min="12042" max="12042" width="9.7265625" style="90" customWidth="1"/>
    <col min="12043" max="12043" width="7.36328125" style="90" customWidth="1"/>
    <col min="12044" max="12044" width="8.90625" style="90"/>
    <col min="12045" max="12045" width="9.26953125" style="90" customWidth="1"/>
    <col min="12046" max="12046" width="3.453125" style="90" customWidth="1"/>
    <col min="12047" max="12048" width="12.6328125" style="90" customWidth="1"/>
    <col min="12049" max="12049" width="8.90625" style="90"/>
    <col min="12050" max="12050" width="7.7265625" style="90" customWidth="1"/>
    <col min="12051" max="12051" width="13.08984375" style="90" customWidth="1"/>
    <col min="12052" max="12052" width="6.08984375" style="90" customWidth="1"/>
    <col min="12053" max="12053" width="9.7265625" style="90" customWidth="1"/>
    <col min="12054" max="12054" width="1.36328125" style="90" customWidth="1"/>
    <col min="12055" max="12294" width="8.90625" style="90"/>
    <col min="12295" max="12295" width="1.36328125" style="90" customWidth="1"/>
    <col min="12296" max="12296" width="3.453125" style="90" customWidth="1"/>
    <col min="12297" max="12297" width="22.08984375" style="90" customWidth="1"/>
    <col min="12298" max="12298" width="9.7265625" style="90" customWidth="1"/>
    <col min="12299" max="12299" width="7.36328125" style="90" customWidth="1"/>
    <col min="12300" max="12300" width="8.90625" style="90"/>
    <col min="12301" max="12301" width="9.26953125" style="90" customWidth="1"/>
    <col min="12302" max="12302" width="3.453125" style="90" customWidth="1"/>
    <col min="12303" max="12304" width="12.6328125" style="90" customWidth="1"/>
    <col min="12305" max="12305" width="8.90625" style="90"/>
    <col min="12306" max="12306" width="7.7265625" style="90" customWidth="1"/>
    <col min="12307" max="12307" width="13.08984375" style="90" customWidth="1"/>
    <col min="12308" max="12308" width="6.08984375" style="90" customWidth="1"/>
    <col min="12309" max="12309" width="9.7265625" style="90" customWidth="1"/>
    <col min="12310" max="12310" width="1.36328125" style="90" customWidth="1"/>
    <col min="12311" max="12550" width="8.90625" style="90"/>
    <col min="12551" max="12551" width="1.36328125" style="90" customWidth="1"/>
    <col min="12552" max="12552" width="3.453125" style="90" customWidth="1"/>
    <col min="12553" max="12553" width="22.08984375" style="90" customWidth="1"/>
    <col min="12554" max="12554" width="9.7265625" style="90" customWidth="1"/>
    <col min="12555" max="12555" width="7.36328125" style="90" customWidth="1"/>
    <col min="12556" max="12556" width="8.90625" style="90"/>
    <col min="12557" max="12557" width="9.26953125" style="90" customWidth="1"/>
    <col min="12558" max="12558" width="3.453125" style="90" customWidth="1"/>
    <col min="12559" max="12560" width="12.6328125" style="90" customWidth="1"/>
    <col min="12561" max="12561" width="8.90625" style="90"/>
    <col min="12562" max="12562" width="7.7265625" style="90" customWidth="1"/>
    <col min="12563" max="12563" width="13.08984375" style="90" customWidth="1"/>
    <col min="12564" max="12564" width="6.08984375" style="90" customWidth="1"/>
    <col min="12565" max="12565" width="9.7265625" style="90" customWidth="1"/>
    <col min="12566" max="12566" width="1.36328125" style="90" customWidth="1"/>
    <col min="12567" max="12806" width="8.90625" style="90"/>
    <col min="12807" max="12807" width="1.36328125" style="90" customWidth="1"/>
    <col min="12808" max="12808" width="3.453125" style="90" customWidth="1"/>
    <col min="12809" max="12809" width="22.08984375" style="90" customWidth="1"/>
    <col min="12810" max="12810" width="9.7265625" style="90" customWidth="1"/>
    <col min="12811" max="12811" width="7.36328125" style="90" customWidth="1"/>
    <col min="12812" max="12812" width="8.90625" style="90"/>
    <col min="12813" max="12813" width="9.26953125" style="90" customWidth="1"/>
    <col min="12814" max="12814" width="3.453125" style="90" customWidth="1"/>
    <col min="12815" max="12816" width="12.6328125" style="90" customWidth="1"/>
    <col min="12817" max="12817" width="8.90625" style="90"/>
    <col min="12818" max="12818" width="7.7265625" style="90" customWidth="1"/>
    <col min="12819" max="12819" width="13.08984375" style="90" customWidth="1"/>
    <col min="12820" max="12820" width="6.08984375" style="90" customWidth="1"/>
    <col min="12821" max="12821" width="9.7265625" style="90" customWidth="1"/>
    <col min="12822" max="12822" width="1.36328125" style="90" customWidth="1"/>
    <col min="12823" max="13062" width="8.90625" style="90"/>
    <col min="13063" max="13063" width="1.36328125" style="90" customWidth="1"/>
    <col min="13064" max="13064" width="3.453125" style="90" customWidth="1"/>
    <col min="13065" max="13065" width="22.08984375" style="90" customWidth="1"/>
    <col min="13066" max="13066" width="9.7265625" style="90" customWidth="1"/>
    <col min="13067" max="13067" width="7.36328125" style="90" customWidth="1"/>
    <col min="13068" max="13068" width="8.90625" style="90"/>
    <col min="13069" max="13069" width="9.26953125" style="90" customWidth="1"/>
    <col min="13070" max="13070" width="3.453125" style="90" customWidth="1"/>
    <col min="13071" max="13072" width="12.6328125" style="90" customWidth="1"/>
    <col min="13073" max="13073" width="8.90625" style="90"/>
    <col min="13074" max="13074" width="7.7265625" style="90" customWidth="1"/>
    <col min="13075" max="13075" width="13.08984375" style="90" customWidth="1"/>
    <col min="13076" max="13076" width="6.08984375" style="90" customWidth="1"/>
    <col min="13077" max="13077" width="9.7265625" style="90" customWidth="1"/>
    <col min="13078" max="13078" width="1.36328125" style="90" customWidth="1"/>
    <col min="13079" max="13318" width="8.90625" style="90"/>
    <col min="13319" max="13319" width="1.36328125" style="90" customWidth="1"/>
    <col min="13320" max="13320" width="3.453125" style="90" customWidth="1"/>
    <col min="13321" max="13321" width="22.08984375" style="90" customWidth="1"/>
    <col min="13322" max="13322" width="9.7265625" style="90" customWidth="1"/>
    <col min="13323" max="13323" width="7.36328125" style="90" customWidth="1"/>
    <col min="13324" max="13324" width="8.90625" style="90"/>
    <col min="13325" max="13325" width="9.26953125" style="90" customWidth="1"/>
    <col min="13326" max="13326" width="3.453125" style="90" customWidth="1"/>
    <col min="13327" max="13328" width="12.6328125" style="90" customWidth="1"/>
    <col min="13329" max="13329" width="8.90625" style="90"/>
    <col min="13330" max="13330" width="7.7265625" style="90" customWidth="1"/>
    <col min="13331" max="13331" width="13.08984375" style="90" customWidth="1"/>
    <col min="13332" max="13332" width="6.08984375" style="90" customWidth="1"/>
    <col min="13333" max="13333" width="9.7265625" style="90" customWidth="1"/>
    <col min="13334" max="13334" width="1.36328125" style="90" customWidth="1"/>
    <col min="13335" max="13574" width="8.90625" style="90"/>
    <col min="13575" max="13575" width="1.36328125" style="90" customWidth="1"/>
    <col min="13576" max="13576" width="3.453125" style="90" customWidth="1"/>
    <col min="13577" max="13577" width="22.08984375" style="90" customWidth="1"/>
    <col min="13578" max="13578" width="9.7265625" style="90" customWidth="1"/>
    <col min="13579" max="13579" width="7.36328125" style="90" customWidth="1"/>
    <col min="13580" max="13580" width="8.90625" style="90"/>
    <col min="13581" max="13581" width="9.26953125" style="90" customWidth="1"/>
    <col min="13582" max="13582" width="3.453125" style="90" customWidth="1"/>
    <col min="13583" max="13584" width="12.6328125" style="90" customWidth="1"/>
    <col min="13585" max="13585" width="8.90625" style="90"/>
    <col min="13586" max="13586" width="7.7265625" style="90" customWidth="1"/>
    <col min="13587" max="13587" width="13.08984375" style="90" customWidth="1"/>
    <col min="13588" max="13588" width="6.08984375" style="90" customWidth="1"/>
    <col min="13589" max="13589" width="9.7265625" style="90" customWidth="1"/>
    <col min="13590" max="13590" width="1.36328125" style="90" customWidth="1"/>
    <col min="13591" max="13830" width="8.90625" style="90"/>
    <col min="13831" max="13831" width="1.36328125" style="90" customWidth="1"/>
    <col min="13832" max="13832" width="3.453125" style="90" customWidth="1"/>
    <col min="13833" max="13833" width="22.08984375" style="90" customWidth="1"/>
    <col min="13834" max="13834" width="9.7265625" style="90" customWidth="1"/>
    <col min="13835" max="13835" width="7.36328125" style="90" customWidth="1"/>
    <col min="13836" max="13836" width="8.90625" style="90"/>
    <col min="13837" max="13837" width="9.26953125" style="90" customWidth="1"/>
    <col min="13838" max="13838" width="3.453125" style="90" customWidth="1"/>
    <col min="13839" max="13840" width="12.6328125" style="90" customWidth="1"/>
    <col min="13841" max="13841" width="8.90625" style="90"/>
    <col min="13842" max="13842" width="7.7265625" style="90" customWidth="1"/>
    <col min="13843" max="13843" width="13.08984375" style="90" customWidth="1"/>
    <col min="13844" max="13844" width="6.08984375" style="90" customWidth="1"/>
    <col min="13845" max="13845" width="9.7265625" style="90" customWidth="1"/>
    <col min="13846" max="13846" width="1.36328125" style="90" customWidth="1"/>
    <col min="13847" max="14086" width="8.90625" style="90"/>
    <col min="14087" max="14087" width="1.36328125" style="90" customWidth="1"/>
    <col min="14088" max="14088" width="3.453125" style="90" customWidth="1"/>
    <col min="14089" max="14089" width="22.08984375" style="90" customWidth="1"/>
    <col min="14090" max="14090" width="9.7265625" style="90" customWidth="1"/>
    <col min="14091" max="14091" width="7.36328125" style="90" customWidth="1"/>
    <col min="14092" max="14092" width="8.90625" style="90"/>
    <col min="14093" max="14093" width="9.26953125" style="90" customWidth="1"/>
    <col min="14094" max="14094" width="3.453125" style="90" customWidth="1"/>
    <col min="14095" max="14096" width="12.6328125" style="90" customWidth="1"/>
    <col min="14097" max="14097" width="8.90625" style="90"/>
    <col min="14098" max="14098" width="7.7265625" style="90" customWidth="1"/>
    <col min="14099" max="14099" width="13.08984375" style="90" customWidth="1"/>
    <col min="14100" max="14100" width="6.08984375" style="90" customWidth="1"/>
    <col min="14101" max="14101" width="9.7265625" style="90" customWidth="1"/>
    <col min="14102" max="14102" width="1.36328125" style="90" customWidth="1"/>
    <col min="14103" max="14342" width="8.90625" style="90"/>
    <col min="14343" max="14343" width="1.36328125" style="90" customWidth="1"/>
    <col min="14344" max="14344" width="3.453125" style="90" customWidth="1"/>
    <col min="14345" max="14345" width="22.08984375" style="90" customWidth="1"/>
    <col min="14346" max="14346" width="9.7265625" style="90" customWidth="1"/>
    <col min="14347" max="14347" width="7.36328125" style="90" customWidth="1"/>
    <col min="14348" max="14348" width="8.90625" style="90"/>
    <col min="14349" max="14349" width="9.26953125" style="90" customWidth="1"/>
    <col min="14350" max="14350" width="3.453125" style="90" customWidth="1"/>
    <col min="14351" max="14352" width="12.6328125" style="90" customWidth="1"/>
    <col min="14353" max="14353" width="8.90625" style="90"/>
    <col min="14354" max="14354" width="7.7265625" style="90" customWidth="1"/>
    <col min="14355" max="14355" width="13.08984375" style="90" customWidth="1"/>
    <col min="14356" max="14356" width="6.08984375" style="90" customWidth="1"/>
    <col min="14357" max="14357" width="9.7265625" style="90" customWidth="1"/>
    <col min="14358" max="14358" width="1.36328125" style="90" customWidth="1"/>
    <col min="14359" max="14598" width="8.90625" style="90"/>
    <col min="14599" max="14599" width="1.36328125" style="90" customWidth="1"/>
    <col min="14600" max="14600" width="3.453125" style="90" customWidth="1"/>
    <col min="14601" max="14601" width="22.08984375" style="90" customWidth="1"/>
    <col min="14602" max="14602" width="9.7265625" style="90" customWidth="1"/>
    <col min="14603" max="14603" width="7.36328125" style="90" customWidth="1"/>
    <col min="14604" max="14604" width="8.90625" style="90"/>
    <col min="14605" max="14605" width="9.26953125" style="90" customWidth="1"/>
    <col min="14606" max="14606" width="3.453125" style="90" customWidth="1"/>
    <col min="14607" max="14608" width="12.6328125" style="90" customWidth="1"/>
    <col min="14609" max="14609" width="8.90625" style="90"/>
    <col min="14610" max="14610" width="7.7265625" style="90" customWidth="1"/>
    <col min="14611" max="14611" width="13.08984375" style="90" customWidth="1"/>
    <col min="14612" max="14612" width="6.08984375" style="90" customWidth="1"/>
    <col min="14613" max="14613" width="9.7265625" style="90" customWidth="1"/>
    <col min="14614" max="14614" width="1.36328125" style="90" customWidth="1"/>
    <col min="14615" max="14854" width="8.90625" style="90"/>
    <col min="14855" max="14855" width="1.36328125" style="90" customWidth="1"/>
    <col min="14856" max="14856" width="3.453125" style="90" customWidth="1"/>
    <col min="14857" max="14857" width="22.08984375" style="90" customWidth="1"/>
    <col min="14858" max="14858" width="9.7265625" style="90" customWidth="1"/>
    <col min="14859" max="14859" width="7.36328125" style="90" customWidth="1"/>
    <col min="14860" max="14860" width="8.90625" style="90"/>
    <col min="14861" max="14861" width="9.26953125" style="90" customWidth="1"/>
    <col min="14862" max="14862" width="3.453125" style="90" customWidth="1"/>
    <col min="14863" max="14864" width="12.6328125" style="90" customWidth="1"/>
    <col min="14865" max="14865" width="8.90625" style="90"/>
    <col min="14866" max="14866" width="7.7265625" style="90" customWidth="1"/>
    <col min="14867" max="14867" width="13.08984375" style="90" customWidth="1"/>
    <col min="14868" max="14868" width="6.08984375" style="90" customWidth="1"/>
    <col min="14869" max="14869" width="9.7265625" style="90" customWidth="1"/>
    <col min="14870" max="14870" width="1.36328125" style="90" customWidth="1"/>
    <col min="14871" max="15110" width="8.90625" style="90"/>
    <col min="15111" max="15111" width="1.36328125" style="90" customWidth="1"/>
    <col min="15112" max="15112" width="3.453125" style="90" customWidth="1"/>
    <col min="15113" max="15113" width="22.08984375" style="90" customWidth="1"/>
    <col min="15114" max="15114" width="9.7265625" style="90" customWidth="1"/>
    <col min="15115" max="15115" width="7.36328125" style="90" customWidth="1"/>
    <col min="15116" max="15116" width="8.90625" style="90"/>
    <col min="15117" max="15117" width="9.26953125" style="90" customWidth="1"/>
    <col min="15118" max="15118" width="3.453125" style="90" customWidth="1"/>
    <col min="15119" max="15120" width="12.6328125" style="90" customWidth="1"/>
    <col min="15121" max="15121" width="8.90625" style="90"/>
    <col min="15122" max="15122" width="7.7265625" style="90" customWidth="1"/>
    <col min="15123" max="15123" width="13.08984375" style="90" customWidth="1"/>
    <col min="15124" max="15124" width="6.08984375" style="90" customWidth="1"/>
    <col min="15125" max="15125" width="9.7265625" style="90" customWidth="1"/>
    <col min="15126" max="15126" width="1.36328125" style="90" customWidth="1"/>
    <col min="15127" max="15366" width="8.90625" style="90"/>
    <col min="15367" max="15367" width="1.36328125" style="90" customWidth="1"/>
    <col min="15368" max="15368" width="3.453125" style="90" customWidth="1"/>
    <col min="15369" max="15369" width="22.08984375" style="90" customWidth="1"/>
    <col min="15370" max="15370" width="9.7265625" style="90" customWidth="1"/>
    <col min="15371" max="15371" width="7.36328125" style="90" customWidth="1"/>
    <col min="15372" max="15372" width="8.90625" style="90"/>
    <col min="15373" max="15373" width="9.26953125" style="90" customWidth="1"/>
    <col min="15374" max="15374" width="3.453125" style="90" customWidth="1"/>
    <col min="15375" max="15376" width="12.6328125" style="90" customWidth="1"/>
    <col min="15377" max="15377" width="8.90625" style="90"/>
    <col min="15378" max="15378" width="7.7265625" style="90" customWidth="1"/>
    <col min="15379" max="15379" width="13.08984375" style="90" customWidth="1"/>
    <col min="15380" max="15380" width="6.08984375" style="90" customWidth="1"/>
    <col min="15381" max="15381" width="9.7265625" style="90" customWidth="1"/>
    <col min="15382" max="15382" width="1.36328125" style="90" customWidth="1"/>
    <col min="15383" max="15622" width="8.90625" style="90"/>
    <col min="15623" max="15623" width="1.36328125" style="90" customWidth="1"/>
    <col min="15624" max="15624" width="3.453125" style="90" customWidth="1"/>
    <col min="15625" max="15625" width="22.08984375" style="90" customWidth="1"/>
    <col min="15626" max="15626" width="9.7265625" style="90" customWidth="1"/>
    <col min="15627" max="15627" width="7.36328125" style="90" customWidth="1"/>
    <col min="15628" max="15628" width="8.90625" style="90"/>
    <col min="15629" max="15629" width="9.26953125" style="90" customWidth="1"/>
    <col min="15630" max="15630" width="3.453125" style="90" customWidth="1"/>
    <col min="15631" max="15632" width="12.6328125" style="90" customWidth="1"/>
    <col min="15633" max="15633" width="8.90625" style="90"/>
    <col min="15634" max="15634" width="7.7265625" style="90" customWidth="1"/>
    <col min="15635" max="15635" width="13.08984375" style="90" customWidth="1"/>
    <col min="15636" max="15636" width="6.08984375" style="90" customWidth="1"/>
    <col min="15637" max="15637" width="9.7265625" style="90" customWidth="1"/>
    <col min="15638" max="15638" width="1.36328125" style="90" customWidth="1"/>
    <col min="15639" max="15878" width="8.90625" style="90"/>
    <col min="15879" max="15879" width="1.36328125" style="90" customWidth="1"/>
    <col min="15880" max="15880" width="3.453125" style="90" customWidth="1"/>
    <col min="15881" max="15881" width="22.08984375" style="90" customWidth="1"/>
    <col min="15882" max="15882" width="9.7265625" style="90" customWidth="1"/>
    <col min="15883" max="15883" width="7.36328125" style="90" customWidth="1"/>
    <col min="15884" max="15884" width="8.90625" style="90"/>
    <col min="15885" max="15885" width="9.26953125" style="90" customWidth="1"/>
    <col min="15886" max="15886" width="3.453125" style="90" customWidth="1"/>
    <col min="15887" max="15888" width="12.6328125" style="90" customWidth="1"/>
    <col min="15889" max="15889" width="8.90625" style="90"/>
    <col min="15890" max="15890" width="7.7265625" style="90" customWidth="1"/>
    <col min="15891" max="15891" width="13.08984375" style="90" customWidth="1"/>
    <col min="15892" max="15892" width="6.08984375" style="90" customWidth="1"/>
    <col min="15893" max="15893" width="9.7265625" style="90" customWidth="1"/>
    <col min="15894" max="15894" width="1.36328125" style="90" customWidth="1"/>
    <col min="15895" max="16134" width="8.90625" style="90"/>
    <col min="16135" max="16135" width="1.36328125" style="90" customWidth="1"/>
    <col min="16136" max="16136" width="3.453125" style="90" customWidth="1"/>
    <col min="16137" max="16137" width="22.08984375" style="90" customWidth="1"/>
    <col min="16138" max="16138" width="9.7265625" style="90" customWidth="1"/>
    <col min="16139" max="16139" width="7.36328125" style="90" customWidth="1"/>
    <col min="16140" max="16140" width="8.90625" style="90"/>
    <col min="16141" max="16141" width="9.26953125" style="90" customWidth="1"/>
    <col min="16142" max="16142" width="3.453125" style="90" customWidth="1"/>
    <col min="16143" max="16144" width="12.6328125" style="90" customWidth="1"/>
    <col min="16145" max="16145" width="8.90625" style="90"/>
    <col min="16146" max="16146" width="7.7265625" style="90" customWidth="1"/>
    <col min="16147" max="16147" width="13.08984375" style="90" customWidth="1"/>
    <col min="16148" max="16148" width="6.08984375" style="90" customWidth="1"/>
    <col min="16149" max="16149" width="9.7265625" style="90" customWidth="1"/>
    <col min="16150" max="16150" width="1.36328125" style="90" customWidth="1"/>
    <col min="16151" max="16384" width="8.90625" style="90"/>
  </cols>
  <sheetData>
    <row r="1" spans="2:22" ht="10" customHeight="1" x14ac:dyDescent="0.2"/>
    <row r="2" spans="2:22" ht="25" customHeight="1" x14ac:dyDescent="0.2">
      <c r="B2" s="1" t="s">
        <v>414</v>
      </c>
      <c r="C2" s="92"/>
      <c r="D2" s="13"/>
      <c r="E2" s="13"/>
      <c r="F2" s="92"/>
      <c r="G2" s="160"/>
      <c r="H2" s="170"/>
      <c r="I2" s="160"/>
      <c r="J2" s="160"/>
      <c r="K2" s="160"/>
      <c r="L2" s="160"/>
      <c r="M2" s="160"/>
      <c r="N2" s="160"/>
      <c r="O2" s="13"/>
    </row>
    <row r="3" spans="2:22" ht="15" customHeight="1" thickBot="1" x14ac:dyDescent="0.25">
      <c r="B3" s="90" t="s">
        <v>234</v>
      </c>
      <c r="I3" s="13" t="s">
        <v>235</v>
      </c>
      <c r="P3" s="90" t="s">
        <v>255</v>
      </c>
    </row>
    <row r="4" spans="2:22" ht="15" customHeight="1" x14ac:dyDescent="0.2">
      <c r="B4" s="322" t="s">
        <v>90</v>
      </c>
      <c r="C4" s="209" t="s">
        <v>193</v>
      </c>
      <c r="D4" s="209" t="s">
        <v>154</v>
      </c>
      <c r="E4" s="209" t="s">
        <v>155</v>
      </c>
      <c r="F4" s="422" t="s">
        <v>24</v>
      </c>
      <c r="G4" s="197" t="s">
        <v>156</v>
      </c>
      <c r="H4" s="210"/>
      <c r="I4" s="1244" t="s">
        <v>90</v>
      </c>
      <c r="J4" s="1242" t="s">
        <v>197</v>
      </c>
      <c r="K4" s="399" t="s">
        <v>194</v>
      </c>
      <c r="L4" s="399" t="s">
        <v>157</v>
      </c>
      <c r="M4" s="1237" t="s">
        <v>24</v>
      </c>
      <c r="N4" s="1239" t="s">
        <v>156</v>
      </c>
      <c r="O4" s="229"/>
      <c r="P4" s="323" t="s">
        <v>200</v>
      </c>
      <c r="Q4" s="324" t="s">
        <v>201</v>
      </c>
      <c r="R4" s="324" t="s">
        <v>202</v>
      </c>
      <c r="S4" s="324" t="s">
        <v>203</v>
      </c>
      <c r="T4" s="1246" t="s">
        <v>204</v>
      </c>
      <c r="U4" s="1161"/>
      <c r="V4" s="325" t="s">
        <v>205</v>
      </c>
    </row>
    <row r="5" spans="2:22" ht="15" customHeight="1" x14ac:dyDescent="0.2">
      <c r="B5" s="1093" t="s">
        <v>189</v>
      </c>
      <c r="C5" s="111"/>
      <c r="D5" s="89"/>
      <c r="E5" s="100"/>
      <c r="F5" s="111"/>
      <c r="G5" s="198">
        <f t="shared" ref="G5:G6" si="0">D5*F5</f>
        <v>0</v>
      </c>
      <c r="H5" s="211"/>
      <c r="I5" s="1245"/>
      <c r="J5" s="1243"/>
      <c r="K5" s="400" t="s">
        <v>159</v>
      </c>
      <c r="L5" s="400" t="s">
        <v>312</v>
      </c>
      <c r="M5" s="1238"/>
      <c r="N5" s="1240"/>
      <c r="O5" s="229"/>
      <c r="P5" s="326" t="s">
        <v>423</v>
      </c>
      <c r="Q5" s="195"/>
      <c r="R5" s="423" t="s">
        <v>106</v>
      </c>
      <c r="S5" s="195"/>
      <c r="T5" s="1235"/>
      <c r="U5" s="1236"/>
      <c r="V5" s="218">
        <v>2000</v>
      </c>
    </row>
    <row r="6" spans="2:22" ht="15" customHeight="1" x14ac:dyDescent="0.2">
      <c r="B6" s="1094"/>
      <c r="C6" s="89"/>
      <c r="D6" s="89"/>
      <c r="E6" s="100"/>
      <c r="F6" s="89"/>
      <c r="G6" s="199">
        <f t="shared" si="0"/>
        <v>0</v>
      </c>
      <c r="H6" s="211"/>
      <c r="I6" s="1249" t="s">
        <v>196</v>
      </c>
      <c r="J6" s="360" t="s">
        <v>715</v>
      </c>
      <c r="K6" s="401">
        <v>10.6</v>
      </c>
      <c r="L6" s="401">
        <v>13</v>
      </c>
      <c r="M6" s="438">
        <v>84.7</v>
      </c>
      <c r="N6" s="402">
        <f>K6*L6*M6</f>
        <v>11671.66</v>
      </c>
      <c r="O6" s="229"/>
      <c r="P6" s="326"/>
      <c r="Q6" s="195"/>
      <c r="R6" s="423"/>
      <c r="S6" s="195"/>
      <c r="T6" s="1235"/>
      <c r="U6" s="1236"/>
      <c r="V6" s="218"/>
    </row>
    <row r="7" spans="2:22" ht="15" customHeight="1" thickBot="1" x14ac:dyDescent="0.25">
      <c r="B7" s="1254"/>
      <c r="C7" s="200" t="s">
        <v>160</v>
      </c>
      <c r="D7" s="200"/>
      <c r="E7" s="200"/>
      <c r="F7" s="200"/>
      <c r="G7" s="201">
        <f>SUM(G5:G6)</f>
        <v>0</v>
      </c>
      <c r="H7" s="211"/>
      <c r="I7" s="1250"/>
      <c r="J7" s="360" t="s">
        <v>716</v>
      </c>
      <c r="K7" s="401">
        <v>5.4</v>
      </c>
      <c r="L7" s="401">
        <f>5+6.5</f>
        <v>11.5</v>
      </c>
      <c r="M7" s="438">
        <v>84.7</v>
      </c>
      <c r="N7" s="402">
        <f t="shared" ref="N7:N11" si="1">K7*L7*M7</f>
        <v>5259.87</v>
      </c>
      <c r="O7" s="229"/>
      <c r="P7" s="326"/>
      <c r="Q7" s="195"/>
      <c r="R7" s="423"/>
      <c r="S7" s="195"/>
      <c r="T7" s="1235"/>
      <c r="U7" s="1236"/>
      <c r="V7" s="218"/>
    </row>
    <row r="8" spans="2:22" ht="15" customHeight="1" thickTop="1" x14ac:dyDescent="0.2">
      <c r="B8" s="1252" t="s">
        <v>187</v>
      </c>
      <c r="C8" s="89" t="s">
        <v>421</v>
      </c>
      <c r="D8" s="89">
        <v>10</v>
      </c>
      <c r="E8" s="100" t="s">
        <v>299</v>
      </c>
      <c r="F8" s="89">
        <v>3840</v>
      </c>
      <c r="G8" s="199">
        <f>D8*F8</f>
        <v>38400</v>
      </c>
      <c r="H8" s="211"/>
      <c r="I8" s="1250"/>
      <c r="J8" s="360" t="s">
        <v>313</v>
      </c>
      <c r="K8" s="401">
        <v>1.2</v>
      </c>
      <c r="L8" s="401">
        <v>3</v>
      </c>
      <c r="M8" s="438">
        <v>84.7</v>
      </c>
      <c r="N8" s="402">
        <f t="shared" si="1"/>
        <v>304.91999999999996</v>
      </c>
      <c r="O8" s="229"/>
      <c r="P8" s="326"/>
      <c r="Q8" s="195"/>
      <c r="R8" s="423"/>
      <c r="S8" s="195"/>
      <c r="T8" s="1235"/>
      <c r="U8" s="1236"/>
      <c r="V8" s="218"/>
    </row>
    <row r="9" spans="2:22" ht="15" customHeight="1" x14ac:dyDescent="0.2">
      <c r="B9" s="1094"/>
      <c r="C9" s="89"/>
      <c r="D9" s="89"/>
      <c r="E9" s="100"/>
      <c r="F9" s="89"/>
      <c r="G9" s="199">
        <f>D9*F9</f>
        <v>0</v>
      </c>
      <c r="H9" s="211"/>
      <c r="I9" s="1250"/>
      <c r="J9" s="410" t="s">
        <v>717</v>
      </c>
      <c r="K9" s="411">
        <v>3.5</v>
      </c>
      <c r="L9" s="411">
        <v>5</v>
      </c>
      <c r="M9" s="438">
        <v>84.7</v>
      </c>
      <c r="N9" s="412">
        <f t="shared" si="1"/>
        <v>1482.25</v>
      </c>
      <c r="O9" s="229"/>
      <c r="P9" s="326"/>
      <c r="Q9" s="195"/>
      <c r="R9" s="423"/>
      <c r="S9" s="195"/>
      <c r="T9" s="1235"/>
      <c r="U9" s="1236"/>
      <c r="V9" s="218"/>
    </row>
    <row r="10" spans="2:22" ht="15" customHeight="1" x14ac:dyDescent="0.2">
      <c r="B10" s="1094"/>
      <c r="C10" s="89"/>
      <c r="D10" s="89"/>
      <c r="E10" s="100"/>
      <c r="F10" s="89"/>
      <c r="G10" s="199">
        <f>D10*F10</f>
        <v>0</v>
      </c>
      <c r="H10" s="211"/>
      <c r="I10" s="1250"/>
      <c r="J10" s="416" t="s">
        <v>718</v>
      </c>
      <c r="K10" s="417">
        <v>2.5</v>
      </c>
      <c r="L10" s="417">
        <v>3.5</v>
      </c>
      <c r="M10" s="438">
        <v>84.7</v>
      </c>
      <c r="N10" s="418">
        <f t="shared" si="1"/>
        <v>741.125</v>
      </c>
      <c r="O10" s="229"/>
      <c r="P10" s="326"/>
      <c r="Q10" s="413"/>
      <c r="R10" s="414"/>
      <c r="S10" s="413"/>
      <c r="T10" s="415"/>
      <c r="U10" s="424"/>
      <c r="V10" s="218"/>
    </row>
    <row r="11" spans="2:22" ht="15" customHeight="1" thickBot="1" x14ac:dyDescent="0.25">
      <c r="B11" s="1254"/>
      <c r="C11" s="202" t="s">
        <v>161</v>
      </c>
      <c r="D11" s="203"/>
      <c r="E11" s="203"/>
      <c r="F11" s="203"/>
      <c r="G11" s="204">
        <f>SUM(G8:G10)</f>
        <v>38400</v>
      </c>
      <c r="H11" s="211"/>
      <c r="I11" s="1250"/>
      <c r="J11" s="419" t="s">
        <v>719</v>
      </c>
      <c r="K11" s="420">
        <v>2</v>
      </c>
      <c r="L11" s="420">
        <v>3.5</v>
      </c>
      <c r="M11" s="438">
        <v>84.7</v>
      </c>
      <c r="N11" s="421">
        <f t="shared" si="1"/>
        <v>592.9</v>
      </c>
      <c r="O11" s="229"/>
      <c r="P11" s="326"/>
      <c r="Q11" s="195"/>
      <c r="R11" s="423"/>
      <c r="S11" s="195"/>
      <c r="T11" s="1235"/>
      <c r="U11" s="1236"/>
      <c r="V11" s="218"/>
    </row>
    <row r="12" spans="2:22" ht="15" customHeight="1" thickTop="1" thickBot="1" x14ac:dyDescent="0.25">
      <c r="B12" s="1252" t="s">
        <v>188</v>
      </c>
      <c r="C12" s="89" t="s">
        <v>769</v>
      </c>
      <c r="D12" s="89">
        <v>550</v>
      </c>
      <c r="E12" s="100" t="s">
        <v>310</v>
      </c>
      <c r="F12" s="111">
        <v>185.5</v>
      </c>
      <c r="G12" s="199">
        <f>D12*F12</f>
        <v>102025</v>
      </c>
      <c r="H12" s="211"/>
      <c r="I12" s="1251"/>
      <c r="J12" s="397" t="s">
        <v>260</v>
      </c>
      <c r="K12" s="398">
        <f>SUM(K6:K9)</f>
        <v>20.7</v>
      </c>
      <c r="L12" s="398">
        <f>SUM(L6:L11)</f>
        <v>39.5</v>
      </c>
      <c r="M12" s="398"/>
      <c r="N12" s="403">
        <f>SUM(N6:N11)</f>
        <v>20052.724999999999</v>
      </c>
      <c r="O12" s="229"/>
      <c r="P12" s="326"/>
      <c r="Q12" s="195"/>
      <c r="R12" s="423"/>
      <c r="S12" s="195"/>
      <c r="T12" s="1235"/>
      <c r="U12" s="1236"/>
      <c r="V12" s="218"/>
    </row>
    <row r="13" spans="2:22" ht="15" customHeight="1" thickTop="1" x14ac:dyDescent="0.2">
      <c r="B13" s="1094"/>
      <c r="C13" s="89"/>
      <c r="D13" s="89"/>
      <c r="E13" s="100"/>
      <c r="F13" s="89"/>
      <c r="G13" s="199">
        <f>D13*F13</f>
        <v>0</v>
      </c>
      <c r="H13" s="211"/>
      <c r="I13" s="1278" t="s">
        <v>48</v>
      </c>
      <c r="J13" s="360" t="s">
        <v>720</v>
      </c>
      <c r="K13" s="401">
        <v>3.1</v>
      </c>
      <c r="L13" s="401">
        <v>6.2</v>
      </c>
      <c r="M13" s="438">
        <v>158.4</v>
      </c>
      <c r="N13" s="402">
        <f>K13*L13*M13</f>
        <v>3044.4480000000003</v>
      </c>
      <c r="O13" s="229"/>
      <c r="P13" s="326"/>
      <c r="Q13" s="195"/>
      <c r="R13" s="423"/>
      <c r="S13" s="195"/>
      <c r="T13" s="1235"/>
      <c r="U13" s="1236"/>
      <c r="V13" s="218"/>
    </row>
    <row r="14" spans="2:22" ht="15" customHeight="1" x14ac:dyDescent="0.2">
      <c r="B14" s="1094"/>
      <c r="C14" s="89"/>
      <c r="D14" s="89"/>
      <c r="E14" s="100"/>
      <c r="F14" s="89"/>
      <c r="G14" s="199">
        <f>D14*F14</f>
        <v>0</v>
      </c>
      <c r="H14" s="211"/>
      <c r="I14" s="1279"/>
      <c r="J14" s="360"/>
      <c r="K14" s="401"/>
      <c r="L14" s="401"/>
      <c r="M14" s="401"/>
      <c r="N14" s="402">
        <f t="shared" ref="N14:N15" si="2">K14*L14*M14</f>
        <v>0</v>
      </c>
      <c r="O14" s="229"/>
      <c r="P14" s="326"/>
      <c r="Q14" s="195"/>
      <c r="R14" s="423"/>
      <c r="S14" s="195"/>
      <c r="T14" s="1235"/>
      <c r="U14" s="1236"/>
      <c r="V14" s="218"/>
    </row>
    <row r="15" spans="2:22" ht="15" customHeight="1" x14ac:dyDescent="0.2">
      <c r="B15" s="1094"/>
      <c r="C15" s="89"/>
      <c r="D15" s="89"/>
      <c r="E15" s="89"/>
      <c r="F15" s="89"/>
      <c r="G15" s="199">
        <f t="shared" ref="G15" si="3">D15*F15</f>
        <v>0</v>
      </c>
      <c r="H15" s="211"/>
      <c r="I15" s="1279"/>
      <c r="J15" s="360"/>
      <c r="K15" s="401"/>
      <c r="L15" s="401"/>
      <c r="M15" s="401"/>
      <c r="N15" s="402">
        <f t="shared" si="2"/>
        <v>0</v>
      </c>
      <c r="O15" s="229"/>
      <c r="P15" s="326"/>
      <c r="Q15" s="195"/>
      <c r="R15" s="423"/>
      <c r="S15" s="195"/>
      <c r="T15" s="1235"/>
      <c r="U15" s="1236"/>
      <c r="V15" s="218"/>
    </row>
    <row r="16" spans="2:22" ht="15" customHeight="1" thickBot="1" x14ac:dyDescent="0.25">
      <c r="B16" s="1254"/>
      <c r="C16" s="202" t="s">
        <v>161</v>
      </c>
      <c r="D16" s="203"/>
      <c r="E16" s="203"/>
      <c r="F16" s="203"/>
      <c r="G16" s="204">
        <f>SUM(G12:G15)</f>
        <v>102025</v>
      </c>
      <c r="H16" s="211"/>
      <c r="I16" s="1280"/>
      <c r="J16" s="327" t="s">
        <v>260</v>
      </c>
      <c r="K16" s="214">
        <f>SUM(K13:K15)</f>
        <v>3.1</v>
      </c>
      <c r="L16" s="214">
        <f>SUM(L13:L15)</f>
        <v>6.2</v>
      </c>
      <c r="M16" s="214"/>
      <c r="N16" s="404">
        <f>SUM(N13:N15)</f>
        <v>3044.4480000000003</v>
      </c>
      <c r="O16" s="229"/>
      <c r="P16" s="326"/>
      <c r="Q16" s="195"/>
      <c r="R16" s="423"/>
      <c r="S16" s="195"/>
      <c r="T16" s="1235"/>
      <c r="U16" s="1236"/>
      <c r="V16" s="218"/>
    </row>
    <row r="17" spans="2:22" ht="15" customHeight="1" thickTop="1" x14ac:dyDescent="0.2">
      <c r="B17" s="1252" t="s">
        <v>190</v>
      </c>
      <c r="C17" s="89"/>
      <c r="D17" s="89"/>
      <c r="E17" s="100"/>
      <c r="F17" s="89"/>
      <c r="G17" s="199">
        <f t="shared" ref="G17" si="4">D17*F17</f>
        <v>0</v>
      </c>
      <c r="H17" s="211"/>
      <c r="I17" s="1278" t="s">
        <v>198</v>
      </c>
      <c r="J17" s="360"/>
      <c r="K17" s="401">
        <v>0</v>
      </c>
      <c r="L17" s="401"/>
      <c r="M17" s="401"/>
      <c r="N17" s="402">
        <f>K17*L17*M17</f>
        <v>0</v>
      </c>
      <c r="O17" s="229"/>
      <c r="P17" s="326"/>
      <c r="Q17" s="195"/>
      <c r="R17" s="423"/>
      <c r="S17" s="195"/>
      <c r="T17" s="1235"/>
      <c r="U17" s="1236"/>
      <c r="V17" s="218"/>
    </row>
    <row r="18" spans="2:22" ht="15" customHeight="1" x14ac:dyDescent="0.2">
      <c r="B18" s="1094"/>
      <c r="C18" s="89"/>
      <c r="D18" s="89"/>
      <c r="E18" s="100"/>
      <c r="F18" s="89"/>
      <c r="G18" s="199">
        <f>D18*F18</f>
        <v>0</v>
      </c>
      <c r="H18" s="211"/>
      <c r="I18" s="1279"/>
      <c r="J18" s="360"/>
      <c r="K18" s="401"/>
      <c r="L18" s="401"/>
      <c r="M18" s="401"/>
      <c r="N18" s="402">
        <f t="shared" ref="N18:N19" si="5">K18*L18*M18</f>
        <v>0</v>
      </c>
      <c r="O18" s="229"/>
      <c r="P18" s="326"/>
      <c r="Q18" s="195"/>
      <c r="R18" s="423"/>
      <c r="S18" s="195"/>
      <c r="T18" s="1235"/>
      <c r="U18" s="1236"/>
      <c r="V18" s="218"/>
    </row>
    <row r="19" spans="2:22" ht="15" customHeight="1" x14ac:dyDescent="0.2">
      <c r="B19" s="1094"/>
      <c r="C19" s="89"/>
      <c r="D19" s="89"/>
      <c r="E19" s="89"/>
      <c r="F19" s="89"/>
      <c r="G19" s="199">
        <f t="shared" ref="G19" si="6">D19*F19</f>
        <v>0</v>
      </c>
      <c r="H19" s="211"/>
      <c r="I19" s="1279"/>
      <c r="J19" s="360"/>
      <c r="K19" s="401"/>
      <c r="L19" s="401"/>
      <c r="M19" s="401"/>
      <c r="N19" s="402">
        <f t="shared" si="5"/>
        <v>0</v>
      </c>
      <c r="O19" s="229"/>
      <c r="P19" s="326"/>
      <c r="Q19" s="195"/>
      <c r="R19" s="423"/>
      <c r="S19" s="195"/>
      <c r="T19" s="1235"/>
      <c r="U19" s="1236"/>
      <c r="V19" s="218"/>
    </row>
    <row r="20" spans="2:22" ht="15" customHeight="1" thickBot="1" x14ac:dyDescent="0.25">
      <c r="B20" s="1254"/>
      <c r="C20" s="202" t="s">
        <v>161</v>
      </c>
      <c r="D20" s="203"/>
      <c r="E20" s="203"/>
      <c r="F20" s="203"/>
      <c r="G20" s="204">
        <f>SUM(G17:G19)</f>
        <v>0</v>
      </c>
      <c r="H20" s="211"/>
      <c r="I20" s="1280"/>
      <c r="J20" s="327" t="s">
        <v>260</v>
      </c>
      <c r="K20" s="214">
        <f>SUM(K17:K19)</f>
        <v>0</v>
      </c>
      <c r="L20" s="215">
        <f>SUM(L17:L19)</f>
        <v>0</v>
      </c>
      <c r="M20" s="216"/>
      <c r="N20" s="404">
        <f>SUM(N17:N19)</f>
        <v>0</v>
      </c>
      <c r="O20" s="229"/>
      <c r="P20" s="326"/>
      <c r="Q20" s="195"/>
      <c r="R20" s="423"/>
      <c r="S20" s="195"/>
      <c r="T20" s="1235"/>
      <c r="U20" s="1236"/>
      <c r="V20" s="218"/>
    </row>
    <row r="21" spans="2:22" ht="15" customHeight="1" thickTop="1" thickBot="1" x14ac:dyDescent="0.25">
      <c r="B21" s="1252" t="s">
        <v>191</v>
      </c>
      <c r="C21" s="89" t="s">
        <v>306</v>
      </c>
      <c r="D21" s="89">
        <f>189*4.3</f>
        <v>812.69999999999993</v>
      </c>
      <c r="E21" s="100" t="s">
        <v>303</v>
      </c>
      <c r="F21" s="89">
        <f>510/20</f>
        <v>25.5</v>
      </c>
      <c r="G21" s="199">
        <f>D21*F21</f>
        <v>20723.849999999999</v>
      </c>
      <c r="H21" s="211"/>
      <c r="I21" s="1278" t="s">
        <v>199</v>
      </c>
      <c r="J21" s="360" t="s">
        <v>721</v>
      </c>
      <c r="K21" s="401">
        <v>28.2</v>
      </c>
      <c r="L21" s="401">
        <v>6.1</v>
      </c>
      <c r="M21" s="401">
        <v>102.1</v>
      </c>
      <c r="N21" s="402">
        <f>K21*L21*M21</f>
        <v>17563.241999999998</v>
      </c>
      <c r="O21" s="229"/>
      <c r="P21" s="219" t="s">
        <v>29</v>
      </c>
      <c r="Q21" s="220"/>
      <c r="R21" s="220"/>
      <c r="S21" s="220"/>
      <c r="T21" s="1241"/>
      <c r="U21" s="1232"/>
      <c r="V21" s="221">
        <f>SUM(V5:V20)</f>
        <v>2000</v>
      </c>
    </row>
    <row r="22" spans="2:22" ht="15" customHeight="1" x14ac:dyDescent="0.2">
      <c r="B22" s="1094"/>
      <c r="C22" s="89"/>
      <c r="D22" s="89"/>
      <c r="E22" s="100"/>
      <c r="F22" s="89"/>
      <c r="G22" s="199">
        <f>D22*F22</f>
        <v>0</v>
      </c>
      <c r="H22" s="211"/>
      <c r="I22" s="1279"/>
      <c r="J22" s="360"/>
      <c r="K22" s="401"/>
      <c r="L22" s="401"/>
      <c r="M22" s="401"/>
      <c r="N22" s="402">
        <f t="shared" ref="N22:N23" si="7">K22*L22*M22</f>
        <v>0</v>
      </c>
      <c r="O22" s="229"/>
    </row>
    <row r="23" spans="2:22" ht="15" customHeight="1" thickBot="1" x14ac:dyDescent="0.25">
      <c r="B23" s="1094"/>
      <c r="C23" s="89"/>
      <c r="D23" s="89"/>
      <c r="E23" s="100"/>
      <c r="F23" s="89"/>
      <c r="G23" s="199">
        <f>D23*F23</f>
        <v>0</v>
      </c>
      <c r="H23" s="211"/>
      <c r="I23" s="1279"/>
      <c r="J23" s="360"/>
      <c r="K23" s="401"/>
      <c r="L23" s="401"/>
      <c r="M23" s="401"/>
      <c r="N23" s="402">
        <f t="shared" si="7"/>
        <v>0</v>
      </c>
      <c r="O23" s="229"/>
      <c r="P23" s="90" t="s">
        <v>256</v>
      </c>
    </row>
    <row r="24" spans="2:22" ht="15" customHeight="1" thickBot="1" x14ac:dyDescent="0.25">
      <c r="B24" s="1253"/>
      <c r="C24" s="205" t="s">
        <v>163</v>
      </c>
      <c r="D24" s="206"/>
      <c r="E24" s="206"/>
      <c r="F24" s="213"/>
      <c r="G24" s="207">
        <f>SUM(G21:G23)</f>
        <v>20723.849999999999</v>
      </c>
      <c r="H24" s="211"/>
      <c r="I24" s="1280"/>
      <c r="J24" s="327" t="s">
        <v>260</v>
      </c>
      <c r="K24" s="214">
        <f>SUM(K21:K23)</f>
        <v>28.2</v>
      </c>
      <c r="L24" s="215">
        <f>SUM(L21:L23)</f>
        <v>6.1</v>
      </c>
      <c r="M24" s="216"/>
      <c r="N24" s="404">
        <f>SUM(N21:N23)</f>
        <v>17563.241999999998</v>
      </c>
      <c r="O24" s="229"/>
      <c r="P24" s="323" t="s">
        <v>206</v>
      </c>
      <c r="Q24" s="324" t="s">
        <v>201</v>
      </c>
      <c r="R24" s="324" t="s">
        <v>202</v>
      </c>
      <c r="S24" s="324" t="s">
        <v>203</v>
      </c>
      <c r="T24" s="324" t="s">
        <v>204</v>
      </c>
      <c r="U24" s="425" t="s">
        <v>207</v>
      </c>
      <c r="V24" s="325" t="s">
        <v>205</v>
      </c>
    </row>
    <row r="25" spans="2:22" ht="15" customHeight="1" thickTop="1" x14ac:dyDescent="0.2">
      <c r="I25" s="1278" t="s">
        <v>280</v>
      </c>
      <c r="J25" s="360"/>
      <c r="K25" s="401"/>
      <c r="L25" s="401"/>
      <c r="M25" s="401"/>
      <c r="N25" s="402">
        <f>K25*L25*M25</f>
        <v>0</v>
      </c>
      <c r="O25" s="229"/>
      <c r="P25" s="326" t="s">
        <v>424</v>
      </c>
      <c r="Q25" s="195">
        <v>10</v>
      </c>
      <c r="R25" s="423" t="s">
        <v>259</v>
      </c>
      <c r="S25" s="487">
        <v>500</v>
      </c>
      <c r="T25" s="195">
        <v>2</v>
      </c>
      <c r="U25" s="867">
        <v>29.5</v>
      </c>
      <c r="V25" s="218">
        <f>Q25*S25/T25/U25</f>
        <v>84.745762711864401</v>
      </c>
    </row>
    <row r="26" spans="2:22" ht="15" customHeight="1" thickBot="1" x14ac:dyDescent="0.25">
      <c r="B26" s="13" t="s">
        <v>264</v>
      </c>
      <c r="C26" s="13"/>
      <c r="D26" s="92"/>
      <c r="E26" s="13"/>
      <c r="F26" s="92"/>
      <c r="G26" s="96"/>
      <c r="H26" s="212"/>
      <c r="I26" s="1279"/>
      <c r="J26" s="360"/>
      <c r="K26" s="401"/>
      <c r="L26" s="401"/>
      <c r="M26" s="401"/>
      <c r="N26" s="402">
        <f t="shared" ref="N26:N27" si="8">K26*L26*M26</f>
        <v>0</v>
      </c>
      <c r="O26" s="229"/>
      <c r="P26" s="326"/>
      <c r="Q26" s="195"/>
      <c r="R26" s="423"/>
      <c r="S26" s="195"/>
      <c r="T26" s="195"/>
      <c r="U26" s="196"/>
      <c r="V26" s="218"/>
    </row>
    <row r="27" spans="2:22" ht="15" customHeight="1" x14ac:dyDescent="0.2">
      <c r="B27" s="322" t="s">
        <v>90</v>
      </c>
      <c r="C27" s="209" t="s">
        <v>153</v>
      </c>
      <c r="D27" s="209" t="s">
        <v>154</v>
      </c>
      <c r="E27" s="209" t="s">
        <v>155</v>
      </c>
      <c r="F27" s="422" t="s">
        <v>24</v>
      </c>
      <c r="G27" s="197" t="s">
        <v>156</v>
      </c>
      <c r="H27" s="210"/>
      <c r="I27" s="1279"/>
      <c r="J27" s="360"/>
      <c r="K27" s="401"/>
      <c r="L27" s="401"/>
      <c r="M27" s="401"/>
      <c r="N27" s="402">
        <f t="shared" si="8"/>
        <v>0</v>
      </c>
      <c r="O27" s="229"/>
      <c r="P27" s="326"/>
      <c r="Q27" s="195"/>
      <c r="R27" s="423"/>
      <c r="S27" s="195"/>
      <c r="T27" s="195"/>
      <c r="U27" s="196"/>
      <c r="V27" s="218"/>
    </row>
    <row r="28" spans="2:22" ht="15" customHeight="1" thickBot="1" x14ac:dyDescent="0.25">
      <c r="B28" s="1093" t="s">
        <v>30</v>
      </c>
      <c r="C28" s="643" t="s">
        <v>763</v>
      </c>
      <c r="D28" s="89">
        <v>300</v>
      </c>
      <c r="E28" s="100" t="s">
        <v>309</v>
      </c>
      <c r="F28" s="89">
        <f>62610/10000</f>
        <v>6.2610000000000001</v>
      </c>
      <c r="G28" s="198">
        <f>D28*F28</f>
        <v>1878.3</v>
      </c>
      <c r="H28" s="211"/>
      <c r="I28" s="1280"/>
      <c r="J28" s="327" t="s">
        <v>260</v>
      </c>
      <c r="K28" s="214">
        <f>SUM(K25:K27)</f>
        <v>0</v>
      </c>
      <c r="L28" s="215">
        <f>SUM(L25:L27)</f>
        <v>0</v>
      </c>
      <c r="M28" s="216"/>
      <c r="N28" s="404">
        <f>SUM(N25:N27)</f>
        <v>0</v>
      </c>
      <c r="O28" s="229"/>
      <c r="P28" s="326"/>
      <c r="Q28" s="195"/>
      <c r="R28" s="423"/>
      <c r="S28" s="195"/>
      <c r="T28" s="195"/>
      <c r="U28" s="196"/>
      <c r="V28" s="218"/>
    </row>
    <row r="29" spans="2:22" ht="15" customHeight="1" thickTop="1" x14ac:dyDescent="0.2">
      <c r="B29" s="1094"/>
      <c r="C29" s="882" t="s">
        <v>764</v>
      </c>
      <c r="D29" s="360">
        <v>180</v>
      </c>
      <c r="E29" s="100" t="s">
        <v>309</v>
      </c>
      <c r="F29" s="360">
        <f>4180/500</f>
        <v>8.36</v>
      </c>
      <c r="G29" s="198">
        <f>D29*F29</f>
        <v>1504.8</v>
      </c>
      <c r="H29" s="211"/>
      <c r="I29" s="1278" t="s">
        <v>195</v>
      </c>
      <c r="J29" s="360" t="s">
        <v>721</v>
      </c>
      <c r="K29" s="401">
        <v>31.4</v>
      </c>
      <c r="L29" s="401">
        <v>3.2</v>
      </c>
      <c r="M29" s="401">
        <v>14</v>
      </c>
      <c r="N29" s="402">
        <f>K29*L29*M29</f>
        <v>1406.72</v>
      </c>
      <c r="O29" s="229"/>
      <c r="P29" s="326"/>
      <c r="Q29" s="195"/>
      <c r="R29" s="423"/>
      <c r="S29" s="195"/>
      <c r="T29" s="195"/>
      <c r="U29" s="359"/>
      <c r="V29" s="218"/>
    </row>
    <row r="30" spans="2:22" ht="15" customHeight="1" x14ac:dyDescent="0.2">
      <c r="B30" s="1094"/>
      <c r="C30" s="643" t="s">
        <v>30</v>
      </c>
      <c r="D30" s="89">
        <v>1000</v>
      </c>
      <c r="E30" s="100" t="s">
        <v>314</v>
      </c>
      <c r="F30" s="89">
        <f>42580/20000</f>
        <v>2.129</v>
      </c>
      <c r="G30" s="198">
        <f>D30*F30</f>
        <v>2129</v>
      </c>
      <c r="H30" s="211"/>
      <c r="I30" s="1279"/>
      <c r="J30" s="360" t="s">
        <v>722</v>
      </c>
      <c r="K30" s="401">
        <v>4</v>
      </c>
      <c r="L30" s="401">
        <v>1.9</v>
      </c>
      <c r="M30" s="401">
        <v>14</v>
      </c>
      <c r="N30" s="402">
        <f t="shared" ref="N30:N31" si="9">K30*L30*M30</f>
        <v>106.39999999999999</v>
      </c>
      <c r="O30" s="91"/>
      <c r="P30" s="326"/>
      <c r="Q30" s="195"/>
      <c r="R30" s="423"/>
      <c r="S30" s="195"/>
      <c r="T30" s="195"/>
      <c r="U30" s="359"/>
      <c r="V30" s="218"/>
    </row>
    <row r="31" spans="2:22" ht="15" customHeight="1" x14ac:dyDescent="0.2">
      <c r="B31" s="1094"/>
      <c r="C31" s="883"/>
      <c r="D31" s="360"/>
      <c r="E31" s="100"/>
      <c r="F31" s="360"/>
      <c r="G31" s="199">
        <v>0</v>
      </c>
      <c r="H31" s="211"/>
      <c r="I31" s="1279"/>
      <c r="J31" s="360" t="s">
        <v>723</v>
      </c>
      <c r="K31" s="401">
        <v>24.5</v>
      </c>
      <c r="L31" s="401">
        <v>6.7</v>
      </c>
      <c r="M31" s="401">
        <v>14</v>
      </c>
      <c r="N31" s="402">
        <f t="shared" si="9"/>
        <v>2298.1</v>
      </c>
      <c r="P31" s="326"/>
      <c r="Q31" s="195"/>
      <c r="R31" s="423"/>
      <c r="S31" s="195"/>
      <c r="T31" s="195"/>
      <c r="U31" s="196"/>
      <c r="V31" s="218"/>
    </row>
    <row r="32" spans="2:22" ht="15" customHeight="1" thickBot="1" x14ac:dyDescent="0.25">
      <c r="B32" s="1094"/>
      <c r="C32" s="643"/>
      <c r="D32" s="360"/>
      <c r="E32" s="100"/>
      <c r="F32" s="360"/>
      <c r="G32" s="199">
        <f t="shared" ref="G32:G37" si="10">D32*F32</f>
        <v>0</v>
      </c>
      <c r="H32" s="211"/>
      <c r="I32" s="1283"/>
      <c r="J32" s="405" t="s">
        <v>260</v>
      </c>
      <c r="K32" s="406">
        <f>SUM(K29:K31)</f>
        <v>59.9</v>
      </c>
      <c r="L32" s="407">
        <f>SUM(L29:L31)</f>
        <v>11.8</v>
      </c>
      <c r="M32" s="408"/>
      <c r="N32" s="409">
        <f>SUM(N29:N31)</f>
        <v>3811.2200000000003</v>
      </c>
      <c r="P32" s="326"/>
      <c r="Q32" s="195"/>
      <c r="R32" s="423"/>
      <c r="S32" s="195"/>
      <c r="T32" s="195"/>
      <c r="U32" s="196"/>
      <c r="V32" s="218"/>
    </row>
    <row r="33" spans="2:24" ht="15" customHeight="1" x14ac:dyDescent="0.2">
      <c r="B33" s="1094"/>
      <c r="C33" s="643"/>
      <c r="D33" s="360"/>
      <c r="E33" s="100"/>
      <c r="F33" s="360"/>
      <c r="G33" s="199">
        <f t="shared" si="10"/>
        <v>0</v>
      </c>
      <c r="H33" s="211"/>
      <c r="I33" s="189"/>
      <c r="J33" s="189"/>
      <c r="K33" s="189"/>
      <c r="L33" s="189"/>
      <c r="M33" s="189"/>
      <c r="N33" s="189"/>
      <c r="P33" s="326"/>
      <c r="Q33" s="195"/>
      <c r="R33" s="423"/>
      <c r="S33" s="195"/>
      <c r="T33" s="195"/>
      <c r="U33" s="196"/>
      <c r="V33" s="218"/>
    </row>
    <row r="34" spans="2:24" ht="15" customHeight="1" thickBot="1" x14ac:dyDescent="0.25">
      <c r="B34" s="1094"/>
      <c r="C34" s="643"/>
      <c r="D34" s="360"/>
      <c r="E34" s="100"/>
      <c r="F34" s="360"/>
      <c r="G34" s="199">
        <f t="shared" si="10"/>
        <v>0</v>
      </c>
      <c r="H34" s="211"/>
      <c r="I34" s="179" t="s">
        <v>254</v>
      </c>
      <c r="J34" s="179"/>
      <c r="K34" s="179"/>
      <c r="L34" s="179"/>
      <c r="M34" s="179"/>
      <c r="P34" s="330" t="s">
        <v>247</v>
      </c>
      <c r="Q34" s="220"/>
      <c r="R34" s="220"/>
      <c r="S34" s="220"/>
      <c r="T34" s="220"/>
      <c r="U34" s="222"/>
      <c r="V34" s="221">
        <f>SUM(V25:V33)</f>
        <v>84.745762711864401</v>
      </c>
    </row>
    <row r="35" spans="2:24" ht="15" customHeight="1" x14ac:dyDescent="0.2">
      <c r="B35" s="1094"/>
      <c r="C35" s="643"/>
      <c r="D35" s="360"/>
      <c r="E35" s="100"/>
      <c r="F35" s="360"/>
      <c r="G35" s="199">
        <f t="shared" si="10"/>
        <v>0</v>
      </c>
      <c r="H35" s="211"/>
      <c r="I35" s="303" t="s">
        <v>242</v>
      </c>
      <c r="J35" s="304" t="s">
        <v>5</v>
      </c>
      <c r="K35" s="1281" t="s">
        <v>243</v>
      </c>
      <c r="L35" s="1282"/>
      <c r="M35" s="328" t="s">
        <v>207</v>
      </c>
      <c r="N35" s="329" t="s">
        <v>266</v>
      </c>
    </row>
    <row r="36" spans="2:24" ht="15" customHeight="1" thickBot="1" x14ac:dyDescent="0.25">
      <c r="B36" s="1094"/>
      <c r="C36" s="643"/>
      <c r="D36" s="360"/>
      <c r="E36" s="100"/>
      <c r="F36" s="360"/>
      <c r="G36" s="199">
        <f t="shared" si="10"/>
        <v>0</v>
      </c>
      <c r="H36" s="211"/>
      <c r="I36" s="1262" t="s">
        <v>2</v>
      </c>
      <c r="J36" s="208" t="str">
        <f>'（参考）水稲資本装備'!C5</f>
        <v>農機具庫</v>
      </c>
      <c r="K36" s="1233">
        <f>'（参考）水稲資本装備'!I5</f>
        <v>5940000</v>
      </c>
      <c r="L36" s="1233"/>
      <c r="M36" s="456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36" s="317">
        <f>+K36/M36*0.014*0.3</f>
        <v>845.69491525423723</v>
      </c>
      <c r="P36" s="179" t="s">
        <v>248</v>
      </c>
      <c r="Q36" s="179"/>
      <c r="R36" s="179"/>
      <c r="S36" s="179"/>
      <c r="T36" s="179"/>
    </row>
    <row r="37" spans="2:24" ht="15" customHeight="1" x14ac:dyDescent="0.2">
      <c r="B37" s="1094"/>
      <c r="C37" s="643"/>
      <c r="D37" s="360"/>
      <c r="E37" s="100"/>
      <c r="F37" s="360"/>
      <c r="G37" s="199">
        <f t="shared" si="10"/>
        <v>0</v>
      </c>
      <c r="H37" s="211"/>
      <c r="I37" s="1275"/>
      <c r="J37" s="208" t="str">
        <f>'（参考）水稲資本装備'!C6</f>
        <v>乾燥調製施設</v>
      </c>
      <c r="K37" s="1233">
        <f>'（参考）水稲資本装備'!I6</f>
        <v>10692000</v>
      </c>
      <c r="L37" s="1233"/>
      <c r="M37" s="456">
        <f>'１　対象経営の概要，２　前提条件'!$N$7+'１　対象経営の概要，２　前提条件'!$N$8+'１　対象経営の概要，２　前提条件'!$N$9</f>
        <v>29.5</v>
      </c>
      <c r="N37" s="317">
        <f>+K37/M37*0.014*0.3</f>
        <v>1522.2508474576271</v>
      </c>
      <c r="P37" s="303" t="s">
        <v>241</v>
      </c>
      <c r="Q37" s="1234" t="s">
        <v>249</v>
      </c>
      <c r="R37" s="1234"/>
      <c r="S37" s="426" t="s">
        <v>252</v>
      </c>
      <c r="T37" s="426" t="s">
        <v>251</v>
      </c>
      <c r="U37" s="331" t="s">
        <v>207</v>
      </c>
      <c r="V37" s="332" t="s">
        <v>266</v>
      </c>
    </row>
    <row r="38" spans="2:24" ht="15" customHeight="1" thickBot="1" x14ac:dyDescent="0.25">
      <c r="B38" s="1254"/>
      <c r="C38" s="200" t="s">
        <v>160</v>
      </c>
      <c r="D38" s="200"/>
      <c r="E38" s="200"/>
      <c r="F38" s="200"/>
      <c r="G38" s="201">
        <f>SUM(G28:G37)</f>
        <v>5512.1</v>
      </c>
      <c r="H38" s="211"/>
      <c r="I38" s="1275"/>
      <c r="J38" s="208" t="str">
        <f>'（参考）水稲資本装備'!C7</f>
        <v>育苗ハウス</v>
      </c>
      <c r="K38" s="1233">
        <f>'（参考）水稲資本装備'!I7</f>
        <v>1761750</v>
      </c>
      <c r="L38" s="1233"/>
      <c r="M38" s="456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38" s="317">
        <f>+K38/M38*0.014*0.3</f>
        <v>250.82542372881352</v>
      </c>
      <c r="O38" s="217"/>
      <c r="P38" s="1273" t="s">
        <v>250</v>
      </c>
      <c r="Q38" s="308" t="s">
        <v>240</v>
      </c>
      <c r="R38" s="335"/>
      <c r="S38" s="309">
        <v>116400</v>
      </c>
      <c r="T38" s="336">
        <v>1</v>
      </c>
      <c r="U38" s="866">
        <v>29.5</v>
      </c>
      <c r="V38" s="317">
        <f>+S38*T38/U38</f>
        <v>3945.7627118644068</v>
      </c>
    </row>
    <row r="39" spans="2:24" ht="15" customHeight="1" thickTop="1" x14ac:dyDescent="0.2">
      <c r="B39" s="1252" t="s">
        <v>192</v>
      </c>
      <c r="C39" s="884" t="s">
        <v>765</v>
      </c>
      <c r="D39" s="89">
        <v>60</v>
      </c>
      <c r="E39" s="100" t="s">
        <v>314</v>
      </c>
      <c r="F39" s="89">
        <f>1450/500</f>
        <v>2.9</v>
      </c>
      <c r="G39" s="199">
        <f>D39*F39</f>
        <v>174</v>
      </c>
      <c r="H39" s="211"/>
      <c r="I39" s="1275"/>
      <c r="J39" s="208"/>
      <c r="K39" s="1233"/>
      <c r="L39" s="1233"/>
      <c r="M39" s="456"/>
      <c r="N39" s="317"/>
      <c r="O39" s="217"/>
      <c r="P39" s="1229"/>
      <c r="Q39" s="308" t="s">
        <v>318</v>
      </c>
      <c r="R39" s="335"/>
      <c r="S39" s="309">
        <f>6*5000</f>
        <v>30000</v>
      </c>
      <c r="T39" s="336">
        <v>1</v>
      </c>
      <c r="U39" s="866">
        <v>29.5</v>
      </c>
      <c r="V39" s="317">
        <f>+S39*T39/U39</f>
        <v>1016.9491525423729</v>
      </c>
    </row>
    <row r="40" spans="2:24" ht="15" customHeight="1" x14ac:dyDescent="0.2">
      <c r="B40" s="1094"/>
      <c r="C40" s="643" t="s">
        <v>337</v>
      </c>
      <c r="D40" s="89">
        <v>1000</v>
      </c>
      <c r="E40" s="100" t="s">
        <v>314</v>
      </c>
      <c r="F40" s="89">
        <f>96020/20000</f>
        <v>4.8010000000000002</v>
      </c>
      <c r="G40" s="199">
        <f>D40*F40</f>
        <v>4801</v>
      </c>
      <c r="H40" s="211"/>
      <c r="I40" s="1275"/>
      <c r="J40" s="208"/>
      <c r="K40" s="1233"/>
      <c r="L40" s="1233"/>
      <c r="M40" s="456"/>
      <c r="N40" s="317"/>
      <c r="O40" s="217"/>
      <c r="P40" s="1229"/>
      <c r="Q40" s="308" t="s">
        <v>319</v>
      </c>
      <c r="R40" s="335"/>
      <c r="S40" s="309">
        <v>11460</v>
      </c>
      <c r="T40" s="336">
        <v>1</v>
      </c>
      <c r="U40" s="866">
        <v>29.5</v>
      </c>
      <c r="V40" s="317">
        <f>+S40*T40/U40</f>
        <v>388.47457627118644</v>
      </c>
      <c r="X40" s="851" t="s">
        <v>320</v>
      </c>
    </row>
    <row r="41" spans="2:24" ht="15" customHeight="1" x14ac:dyDescent="0.2">
      <c r="B41" s="1094"/>
      <c r="C41" s="643"/>
      <c r="D41" s="89"/>
      <c r="E41" s="100"/>
      <c r="F41" s="89"/>
      <c r="G41" s="199">
        <f>D41*F41</f>
        <v>0</v>
      </c>
      <c r="H41" s="211"/>
      <c r="I41" s="1275"/>
      <c r="J41" s="208"/>
      <c r="K41" s="1233"/>
      <c r="L41" s="1233"/>
      <c r="M41" s="456"/>
      <c r="N41" s="317"/>
      <c r="O41" s="217"/>
      <c r="P41" s="1229"/>
      <c r="Q41" s="308"/>
      <c r="R41" s="335"/>
      <c r="S41" s="309"/>
      <c r="T41" s="336"/>
      <c r="U41" s="866"/>
      <c r="V41" s="317"/>
      <c r="X41" s="851" t="s">
        <v>321</v>
      </c>
    </row>
    <row r="42" spans="2:24" ht="15" customHeight="1" thickBot="1" x14ac:dyDescent="0.25">
      <c r="B42" s="1094"/>
      <c r="C42" s="643"/>
      <c r="D42" s="89"/>
      <c r="E42" s="100"/>
      <c r="F42" s="89"/>
      <c r="G42" s="199">
        <f t="shared" ref="G42:G52" si="11">D42*F42</f>
        <v>0</v>
      </c>
      <c r="H42" s="211"/>
      <c r="I42" s="1276"/>
      <c r="J42" s="305" t="s">
        <v>161</v>
      </c>
      <c r="K42" s="1257"/>
      <c r="L42" s="1258"/>
      <c r="M42" s="306"/>
      <c r="N42" s="313">
        <f>SUM(N36:N41)</f>
        <v>2618.7711864406779</v>
      </c>
      <c r="O42" s="217"/>
      <c r="P42" s="1229"/>
      <c r="Q42" s="308"/>
      <c r="R42" s="335"/>
      <c r="S42" s="309"/>
      <c r="T42" s="336"/>
      <c r="U42" s="866"/>
      <c r="V42" s="317"/>
    </row>
    <row r="43" spans="2:24" ht="15" customHeight="1" thickTop="1" thickBot="1" x14ac:dyDescent="0.25">
      <c r="B43" s="1094"/>
      <c r="C43" s="643"/>
      <c r="D43" s="89"/>
      <c r="E43" s="100"/>
      <c r="F43" s="89"/>
      <c r="G43" s="199"/>
      <c r="H43" s="211"/>
      <c r="I43" s="1260" t="s">
        <v>244</v>
      </c>
      <c r="J43" s="307" t="s">
        <v>726</v>
      </c>
      <c r="K43" s="1259">
        <v>8200</v>
      </c>
      <c r="L43" s="1259"/>
      <c r="M43" s="456">
        <v>29.5</v>
      </c>
      <c r="N43" s="334">
        <f>+K43/M43</f>
        <v>277.96610169491527</v>
      </c>
      <c r="O43" s="217"/>
      <c r="P43" s="1229"/>
      <c r="Q43" s="308"/>
      <c r="R43" s="335"/>
      <c r="S43" s="309"/>
      <c r="T43" s="336"/>
      <c r="U43" s="866"/>
      <c r="V43" s="317"/>
    </row>
    <row r="44" spans="2:24" ht="15" customHeight="1" thickTop="1" thickBot="1" x14ac:dyDescent="0.25">
      <c r="B44" s="1094"/>
      <c r="C44" s="643"/>
      <c r="D44" s="89"/>
      <c r="E44" s="100"/>
      <c r="F44" s="89"/>
      <c r="G44" s="199"/>
      <c r="H44" s="211"/>
      <c r="I44" s="1261"/>
      <c r="J44" s="308" t="s">
        <v>257</v>
      </c>
      <c r="K44" s="1233">
        <v>4100</v>
      </c>
      <c r="L44" s="1233"/>
      <c r="M44" s="456">
        <v>30</v>
      </c>
      <c r="N44" s="334">
        <f>+K44/M44</f>
        <v>136.66666666666666</v>
      </c>
      <c r="O44" s="217"/>
      <c r="P44" s="1274"/>
      <c r="Q44" s="318" t="s">
        <v>253</v>
      </c>
      <c r="R44" s="319"/>
      <c r="S44" s="319"/>
      <c r="T44" s="319"/>
      <c r="U44" s="319"/>
      <c r="V44" s="320">
        <f>SUM(V38:V43)</f>
        <v>5351.1864406779659</v>
      </c>
    </row>
    <row r="45" spans="2:24" ht="15" customHeight="1" thickTop="1" x14ac:dyDescent="0.2">
      <c r="B45" s="1094"/>
      <c r="C45" s="643"/>
      <c r="D45" s="89"/>
      <c r="E45" s="100"/>
      <c r="F45" s="89"/>
      <c r="G45" s="199"/>
      <c r="H45" s="211"/>
      <c r="I45" s="1261"/>
      <c r="J45" s="208"/>
      <c r="K45" s="1233"/>
      <c r="L45" s="1233"/>
      <c r="M45" s="456"/>
      <c r="N45" s="317"/>
      <c r="O45" s="217"/>
      <c r="P45" s="1228" t="s">
        <v>258</v>
      </c>
      <c r="Q45" s="1225" t="s">
        <v>267</v>
      </c>
      <c r="R45" s="337" t="s">
        <v>268</v>
      </c>
      <c r="S45" s="307">
        <v>35750</v>
      </c>
      <c r="T45" s="338">
        <v>1</v>
      </c>
      <c r="U45" s="870">
        <v>29.5</v>
      </c>
      <c r="V45" s="333">
        <f>+S45*T45/U45</f>
        <v>1211.8644067796611</v>
      </c>
    </row>
    <row r="46" spans="2:24" ht="15" customHeight="1" thickBot="1" x14ac:dyDescent="0.25">
      <c r="B46" s="1094"/>
      <c r="C46" s="643"/>
      <c r="D46" s="89"/>
      <c r="E46" s="100"/>
      <c r="F46" s="89"/>
      <c r="G46" s="199">
        <f t="shared" si="11"/>
        <v>0</v>
      </c>
      <c r="H46" s="211"/>
      <c r="I46" s="1277"/>
      <c r="J46" s="305" t="s">
        <v>161</v>
      </c>
      <c r="K46" s="1257"/>
      <c r="L46" s="1258"/>
      <c r="M46" s="306"/>
      <c r="N46" s="313">
        <f>SUM(N43:N45)</f>
        <v>414.63276836158195</v>
      </c>
      <c r="O46" s="217"/>
      <c r="P46" s="1229"/>
      <c r="Q46" s="1226"/>
      <c r="R46" s="339"/>
      <c r="S46" s="308"/>
      <c r="T46" s="336"/>
      <c r="U46" s="871"/>
      <c r="V46" s="317"/>
    </row>
    <row r="47" spans="2:24" ht="15" customHeight="1" thickTop="1" x14ac:dyDescent="0.2">
      <c r="B47" s="1094"/>
      <c r="C47" s="643"/>
      <c r="D47" s="89"/>
      <c r="E47" s="100"/>
      <c r="F47" s="89"/>
      <c r="G47" s="199">
        <f t="shared" si="11"/>
        <v>0</v>
      </c>
      <c r="H47" s="211"/>
      <c r="I47" s="1260" t="s">
        <v>245</v>
      </c>
      <c r="J47" s="307" t="s">
        <v>725</v>
      </c>
      <c r="K47" s="1259">
        <v>11500</v>
      </c>
      <c r="L47" s="1259"/>
      <c r="M47" s="845">
        <v>29.5</v>
      </c>
      <c r="N47" s="334">
        <f>+K47/M47</f>
        <v>389.83050847457628</v>
      </c>
      <c r="O47" s="217"/>
      <c r="P47" s="1229"/>
      <c r="Q47" s="1226"/>
      <c r="R47" s="339"/>
      <c r="S47" s="308"/>
      <c r="T47" s="308"/>
      <c r="U47" s="872"/>
      <c r="V47" s="340"/>
    </row>
    <row r="48" spans="2:24" ht="15" customHeight="1" x14ac:dyDescent="0.2">
      <c r="B48" s="1094"/>
      <c r="C48" s="643"/>
      <c r="D48" s="89"/>
      <c r="E48" s="100"/>
      <c r="F48" s="89"/>
      <c r="G48" s="199">
        <f t="shared" si="11"/>
        <v>0</v>
      </c>
      <c r="H48" s="211"/>
      <c r="I48" s="1261"/>
      <c r="J48" s="308"/>
      <c r="K48" s="1233"/>
      <c r="L48" s="1233"/>
      <c r="M48" s="456"/>
      <c r="N48" s="317"/>
      <c r="O48" s="217"/>
      <c r="P48" s="1229"/>
      <c r="Q48" s="1226"/>
      <c r="R48" s="339" t="s">
        <v>257</v>
      </c>
      <c r="S48" s="308">
        <v>15600</v>
      </c>
      <c r="T48" s="336">
        <v>1</v>
      </c>
      <c r="U48" s="871">
        <v>30</v>
      </c>
      <c r="V48" s="317">
        <f>+S48*T48/U48</f>
        <v>520</v>
      </c>
    </row>
    <row r="49" spans="2:22" ht="15" customHeight="1" thickBot="1" x14ac:dyDescent="0.25">
      <c r="B49" s="1254"/>
      <c r="C49" s="202" t="s">
        <v>161</v>
      </c>
      <c r="D49" s="203"/>
      <c r="E49" s="203"/>
      <c r="F49" s="203"/>
      <c r="G49" s="204">
        <f>SUM(G39:G48)</f>
        <v>4975</v>
      </c>
      <c r="H49" s="211"/>
      <c r="I49" s="1261"/>
      <c r="J49" s="208"/>
      <c r="K49" s="1233"/>
      <c r="L49" s="1233"/>
      <c r="M49" s="456"/>
      <c r="N49" s="317"/>
      <c r="O49" s="217"/>
      <c r="P49" s="1229"/>
      <c r="Q49" s="1227"/>
      <c r="R49" s="339"/>
      <c r="S49" s="308"/>
      <c r="T49" s="308"/>
      <c r="U49" s="872"/>
      <c r="V49" s="340"/>
    </row>
    <row r="50" spans="2:22" ht="15" customHeight="1" thickTop="1" thickBot="1" x14ac:dyDescent="0.25">
      <c r="B50" s="1252" t="s">
        <v>32</v>
      </c>
      <c r="C50" s="643" t="s">
        <v>766</v>
      </c>
      <c r="D50" s="89">
        <v>10</v>
      </c>
      <c r="E50" s="100" t="s">
        <v>303</v>
      </c>
      <c r="F50" s="89">
        <f>24330/10</f>
        <v>2433</v>
      </c>
      <c r="G50" s="199">
        <f t="shared" si="11"/>
        <v>24330</v>
      </c>
      <c r="H50" s="211"/>
      <c r="I50" s="1277"/>
      <c r="J50" s="305" t="s">
        <v>161</v>
      </c>
      <c r="K50" s="1257"/>
      <c r="L50" s="1258"/>
      <c r="M50" s="306"/>
      <c r="N50" s="313">
        <f>SUM(N47:N49)</f>
        <v>389.83050847457628</v>
      </c>
      <c r="O50" s="217"/>
      <c r="P50" s="1229"/>
      <c r="Q50" s="318" t="s">
        <v>253</v>
      </c>
      <c r="R50" s="319"/>
      <c r="S50" s="319"/>
      <c r="T50" s="319"/>
      <c r="U50" s="319"/>
      <c r="V50" s="320">
        <f>SUM(V45:V49)</f>
        <v>1731.8644067796611</v>
      </c>
    </row>
    <row r="51" spans="2:22" ht="15" customHeight="1" thickTop="1" x14ac:dyDescent="0.2">
      <c r="B51" s="1094"/>
      <c r="C51" s="643"/>
      <c r="D51" s="89"/>
      <c r="E51" s="89"/>
      <c r="F51" s="89"/>
      <c r="G51" s="199">
        <f t="shared" si="11"/>
        <v>0</v>
      </c>
      <c r="H51" s="211"/>
      <c r="I51" s="1260" t="s">
        <v>246</v>
      </c>
      <c r="J51" s="307" t="s">
        <v>54</v>
      </c>
      <c r="K51" s="1263">
        <v>2400</v>
      </c>
      <c r="L51" s="1264"/>
      <c r="M51" s="845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51" s="334">
        <f>+K51/M51</f>
        <v>81.355932203389827</v>
      </c>
      <c r="O51" s="217"/>
      <c r="P51" s="1229"/>
      <c r="Q51" s="1225" t="s">
        <v>269</v>
      </c>
      <c r="R51" s="337" t="s">
        <v>268</v>
      </c>
      <c r="S51" s="307">
        <v>60000</v>
      </c>
      <c r="T51" s="338">
        <v>1</v>
      </c>
      <c r="U51" s="870">
        <v>29.5</v>
      </c>
      <c r="V51" s="333">
        <f>+S51*T51/U51</f>
        <v>2033.8983050847457</v>
      </c>
    </row>
    <row r="52" spans="2:22" ht="15" customHeight="1" x14ac:dyDescent="0.2">
      <c r="B52" s="1094"/>
      <c r="C52" s="643"/>
      <c r="D52" s="89"/>
      <c r="E52" s="89"/>
      <c r="F52" s="89"/>
      <c r="G52" s="199">
        <f t="shared" si="11"/>
        <v>0</v>
      </c>
      <c r="H52" s="211"/>
      <c r="I52" s="1261"/>
      <c r="J52" s="308" t="s">
        <v>54</v>
      </c>
      <c r="K52" s="1265">
        <v>2400</v>
      </c>
      <c r="L52" s="1266"/>
      <c r="M52" s="844">
        <f>'１　対象経営の概要，２　前提条件'!$N$7+'１　対象経営の概要，２　前提条件'!$Y$7+'１　対象経営の概要，２　前提条件'!$N$8+'１　対象経営の概要，２　前提条件'!$N$9</f>
        <v>29.5</v>
      </c>
      <c r="N52" s="317">
        <f t="shared" ref="N52:N55" si="12">+K52/M52</f>
        <v>81.355932203389827</v>
      </c>
      <c r="O52" s="217"/>
      <c r="P52" s="1229"/>
      <c r="Q52" s="1226"/>
      <c r="R52" s="339"/>
      <c r="S52" s="308"/>
      <c r="T52" s="336"/>
      <c r="U52" s="871"/>
      <c r="V52" s="317"/>
    </row>
    <row r="53" spans="2:22" ht="15" customHeight="1" thickBot="1" x14ac:dyDescent="0.25">
      <c r="B53" s="1254"/>
      <c r="C53" s="202" t="s">
        <v>161</v>
      </c>
      <c r="D53" s="203"/>
      <c r="E53" s="203"/>
      <c r="F53" s="203"/>
      <c r="G53" s="204">
        <f>SUM(G50:G52)</f>
        <v>24330</v>
      </c>
      <c r="H53" s="211"/>
      <c r="I53" s="1261"/>
      <c r="J53" s="308" t="s">
        <v>56</v>
      </c>
      <c r="K53" s="1267">
        <v>2400</v>
      </c>
      <c r="L53" s="1268"/>
      <c r="M53" s="846">
        <f>'１　対象経営の概要，２　前提条件'!N7</f>
        <v>29.5</v>
      </c>
      <c r="N53" s="317">
        <f t="shared" si="12"/>
        <v>81.355932203389827</v>
      </c>
      <c r="O53" s="217"/>
      <c r="P53" s="1229"/>
      <c r="Q53" s="1226"/>
      <c r="R53" s="339"/>
      <c r="S53" s="308"/>
      <c r="T53" s="308"/>
      <c r="U53" s="872"/>
      <c r="V53" s="340"/>
    </row>
    <row r="54" spans="2:22" ht="13.9" customHeight="1" thickTop="1" x14ac:dyDescent="0.2">
      <c r="B54" s="1252" t="s">
        <v>335</v>
      </c>
      <c r="C54" s="643" t="s">
        <v>767</v>
      </c>
      <c r="D54" s="427">
        <f>189*50/1000</f>
        <v>9.4499999999999993</v>
      </c>
      <c r="E54" s="100" t="s">
        <v>303</v>
      </c>
      <c r="F54" s="89">
        <f>9650/3</f>
        <v>3216.6666666666665</v>
      </c>
      <c r="G54" s="198">
        <f>D54*F54</f>
        <v>30397.499999999996</v>
      </c>
      <c r="I54" s="1261"/>
      <c r="J54" s="455" t="s">
        <v>257</v>
      </c>
      <c r="K54" s="1269">
        <v>5000</v>
      </c>
      <c r="L54" s="1270"/>
      <c r="M54" s="844">
        <v>30</v>
      </c>
      <c r="N54" s="317">
        <f t="shared" si="12"/>
        <v>166.66666666666666</v>
      </c>
      <c r="O54" s="217"/>
      <c r="P54" s="1229"/>
      <c r="Q54" s="1226"/>
      <c r="R54" s="339" t="s">
        <v>257</v>
      </c>
      <c r="S54" s="308">
        <v>25000</v>
      </c>
      <c r="T54" s="336">
        <v>1</v>
      </c>
      <c r="U54" s="871">
        <v>30</v>
      </c>
      <c r="V54" s="317">
        <f>+S54*T54/U54</f>
        <v>833.33333333333337</v>
      </c>
    </row>
    <row r="55" spans="2:22" x14ac:dyDescent="0.2">
      <c r="B55" s="1094"/>
      <c r="C55" s="643" t="s">
        <v>768</v>
      </c>
      <c r="D55" s="89">
        <v>1000</v>
      </c>
      <c r="E55" s="100" t="s">
        <v>309</v>
      </c>
      <c r="F55" s="89">
        <f>68710/10000</f>
        <v>6.8710000000000004</v>
      </c>
      <c r="G55" s="199">
        <f>D55*F55</f>
        <v>6871</v>
      </c>
      <c r="I55" s="1261"/>
      <c r="J55" s="308" t="s">
        <v>475</v>
      </c>
      <c r="K55" s="1267">
        <v>5900</v>
      </c>
      <c r="L55" s="1268"/>
      <c r="M55" s="846">
        <v>29.5</v>
      </c>
      <c r="N55" s="548">
        <f t="shared" si="12"/>
        <v>200</v>
      </c>
      <c r="O55" s="217"/>
      <c r="P55" s="1229"/>
      <c r="Q55" s="1227"/>
      <c r="R55" s="339"/>
      <c r="S55" s="308"/>
      <c r="T55" s="308"/>
      <c r="U55" s="872"/>
      <c r="V55" s="340"/>
    </row>
    <row r="56" spans="2:22" x14ac:dyDescent="0.2">
      <c r="B56" s="1094"/>
      <c r="C56" s="89"/>
      <c r="D56" s="89"/>
      <c r="E56" s="100"/>
      <c r="F56" s="89"/>
      <c r="G56" s="199">
        <f>D56*F56</f>
        <v>0</v>
      </c>
      <c r="I56" s="1262"/>
      <c r="J56" s="310" t="s">
        <v>161</v>
      </c>
      <c r="K56" s="1271"/>
      <c r="L56" s="1272"/>
      <c r="M56" s="311"/>
      <c r="N56" s="314">
        <f>SUM(N51:N55)</f>
        <v>610.7344632768361</v>
      </c>
      <c r="O56" s="217"/>
      <c r="P56" s="1230"/>
      <c r="Q56" s="343" t="s">
        <v>253</v>
      </c>
      <c r="R56" s="344"/>
      <c r="S56" s="344"/>
      <c r="T56" s="344"/>
      <c r="U56" s="344"/>
      <c r="V56" s="345">
        <f>SUM(V51:V55)</f>
        <v>2867.231638418079</v>
      </c>
    </row>
    <row r="57" spans="2:22" ht="13.5" thickBot="1" x14ac:dyDescent="0.25">
      <c r="B57" s="1253"/>
      <c r="C57" s="205" t="s">
        <v>163</v>
      </c>
      <c r="D57" s="206"/>
      <c r="E57" s="206"/>
      <c r="F57" s="206"/>
      <c r="G57" s="207">
        <f>SUM(G54:G56)</f>
        <v>37268.5</v>
      </c>
      <c r="I57" s="1231" t="s">
        <v>247</v>
      </c>
      <c r="J57" s="1232"/>
      <c r="K57" s="1255"/>
      <c r="L57" s="1256"/>
      <c r="M57" s="222"/>
      <c r="N57" s="315">
        <f>SUM(N42,N46,N50,N56)</f>
        <v>4033.9689265536717</v>
      </c>
      <c r="O57" s="217"/>
      <c r="P57" s="1223" t="s">
        <v>247</v>
      </c>
      <c r="Q57" s="1224"/>
      <c r="R57" s="341"/>
      <c r="S57" s="341"/>
      <c r="T57" s="341"/>
      <c r="U57" s="341"/>
      <c r="V57" s="342">
        <f>SUM(V44,V50,V56)</f>
        <v>9950.2824858757067</v>
      </c>
    </row>
    <row r="58" spans="2:22" x14ac:dyDescent="0.2">
      <c r="O58" s="217"/>
      <c r="V58" s="90"/>
    </row>
    <row r="59" spans="2:22" x14ac:dyDescent="0.2">
      <c r="I59" s="217"/>
      <c r="J59" s="217"/>
      <c r="K59" s="217"/>
      <c r="L59" s="217"/>
      <c r="M59" s="217"/>
      <c r="N59" s="217"/>
      <c r="O59" s="217"/>
    </row>
    <row r="60" spans="2:22" x14ac:dyDescent="0.2">
      <c r="I60" s="217"/>
      <c r="J60" s="217"/>
      <c r="K60" s="217"/>
      <c r="L60" s="217"/>
      <c r="M60" s="217"/>
      <c r="N60" s="217"/>
      <c r="O60" s="217"/>
    </row>
    <row r="61" spans="2:22" x14ac:dyDescent="0.2">
      <c r="I61" s="217"/>
      <c r="J61" s="217"/>
      <c r="K61" s="217"/>
      <c r="L61" s="217"/>
      <c r="M61" s="217"/>
      <c r="N61" s="217"/>
      <c r="O61" s="217"/>
    </row>
    <row r="62" spans="2:22" x14ac:dyDescent="0.2">
      <c r="I62" s="217"/>
      <c r="J62" s="217"/>
      <c r="K62" s="217"/>
      <c r="L62" s="217"/>
      <c r="M62" s="217"/>
      <c r="N62" s="217"/>
      <c r="O62" s="217"/>
    </row>
    <row r="63" spans="2:22" x14ac:dyDescent="0.2">
      <c r="I63" s="217"/>
      <c r="J63" s="217"/>
      <c r="K63" s="217"/>
      <c r="L63" s="217"/>
      <c r="M63" s="217"/>
      <c r="N63" s="217"/>
      <c r="O63" s="217"/>
    </row>
    <row r="64" spans="2:22" x14ac:dyDescent="0.2">
      <c r="I64" s="217"/>
      <c r="J64" s="217"/>
      <c r="K64" s="217"/>
      <c r="L64" s="217"/>
      <c r="M64" s="217"/>
      <c r="N64" s="217"/>
      <c r="O64" s="217"/>
    </row>
    <row r="65" spans="9:15" x14ac:dyDescent="0.2">
      <c r="I65" s="217"/>
      <c r="J65" s="217"/>
      <c r="K65" s="217"/>
      <c r="L65" s="217"/>
      <c r="M65" s="217"/>
      <c r="N65" s="217"/>
      <c r="O65" s="217"/>
    </row>
    <row r="66" spans="9:15" x14ac:dyDescent="0.2">
      <c r="I66" s="217"/>
      <c r="J66" s="217"/>
      <c r="K66" s="217"/>
      <c r="L66" s="217"/>
      <c r="M66" s="217"/>
      <c r="N66" s="217"/>
      <c r="O66" s="217"/>
    </row>
    <row r="67" spans="9:15" x14ac:dyDescent="0.2">
      <c r="I67" s="217"/>
      <c r="J67" s="217"/>
      <c r="K67" s="217"/>
      <c r="L67" s="217"/>
      <c r="M67" s="217"/>
      <c r="N67" s="217"/>
      <c r="O67" s="217"/>
    </row>
    <row r="68" spans="9:15" x14ac:dyDescent="0.2">
      <c r="I68" s="217"/>
      <c r="J68" s="217"/>
      <c r="K68" s="217"/>
      <c r="L68" s="217"/>
      <c r="M68" s="217"/>
      <c r="N68" s="217"/>
      <c r="O68" s="217"/>
    </row>
    <row r="69" spans="9:15" x14ac:dyDescent="0.2">
      <c r="I69" s="217"/>
      <c r="J69" s="217"/>
      <c r="K69" s="217"/>
      <c r="L69" s="217"/>
      <c r="M69" s="217"/>
      <c r="N69" s="217"/>
      <c r="O69" s="217"/>
    </row>
    <row r="70" spans="9:15" x14ac:dyDescent="0.2">
      <c r="I70" s="217"/>
      <c r="J70" s="217"/>
      <c r="K70" s="217"/>
      <c r="L70" s="217"/>
      <c r="M70" s="217"/>
      <c r="N70" s="217"/>
      <c r="O70" s="217"/>
    </row>
    <row r="71" spans="9:15" x14ac:dyDescent="0.2">
      <c r="I71" s="217"/>
      <c r="J71" s="217"/>
      <c r="K71" s="217"/>
      <c r="L71" s="217"/>
      <c r="M71" s="217"/>
      <c r="N71" s="217"/>
      <c r="O71" s="217"/>
    </row>
    <row r="72" spans="9:15" x14ac:dyDescent="0.2">
      <c r="I72" s="217"/>
      <c r="J72" s="217"/>
      <c r="K72" s="217"/>
      <c r="L72" s="217"/>
      <c r="M72" s="217"/>
      <c r="N72" s="217"/>
      <c r="O72" s="217"/>
    </row>
    <row r="73" spans="9:15" x14ac:dyDescent="0.2">
      <c r="I73" s="217"/>
      <c r="J73" s="217"/>
      <c r="K73" s="217"/>
      <c r="L73" s="217"/>
      <c r="M73" s="217"/>
      <c r="N73" s="217"/>
      <c r="O73" s="217"/>
    </row>
    <row r="74" spans="9:15" x14ac:dyDescent="0.2">
      <c r="I74" s="217"/>
      <c r="J74" s="217"/>
      <c r="K74" s="217"/>
      <c r="L74" s="217"/>
      <c r="M74" s="217"/>
      <c r="N74" s="217"/>
      <c r="O74" s="217"/>
    </row>
    <row r="75" spans="9:15" x14ac:dyDescent="0.2">
      <c r="I75" s="217"/>
      <c r="J75" s="217"/>
      <c r="K75" s="217"/>
      <c r="L75" s="217"/>
      <c r="M75" s="217"/>
      <c r="N75" s="217"/>
      <c r="O75" s="217"/>
    </row>
    <row r="76" spans="9:15" x14ac:dyDescent="0.2">
      <c r="I76" s="217"/>
      <c r="J76" s="217"/>
      <c r="K76" s="217"/>
      <c r="L76" s="217"/>
      <c r="M76" s="217"/>
      <c r="N76" s="217"/>
      <c r="O76" s="217"/>
    </row>
    <row r="77" spans="9:15" x14ac:dyDescent="0.2">
      <c r="I77" s="217"/>
      <c r="J77" s="217"/>
      <c r="K77" s="217"/>
      <c r="L77" s="217"/>
      <c r="M77" s="217"/>
      <c r="N77" s="217"/>
      <c r="O77" s="217"/>
    </row>
    <row r="78" spans="9:15" x14ac:dyDescent="0.2">
      <c r="I78" s="217"/>
      <c r="J78" s="217"/>
      <c r="K78" s="217"/>
      <c r="L78" s="217"/>
      <c r="M78" s="217"/>
      <c r="N78" s="217"/>
      <c r="O78" s="217"/>
    </row>
    <row r="79" spans="9:15" x14ac:dyDescent="0.2">
      <c r="I79" s="217"/>
      <c r="J79" s="217"/>
      <c r="K79" s="217"/>
      <c r="L79" s="217"/>
      <c r="M79" s="217"/>
      <c r="N79" s="217"/>
      <c r="O79" s="217"/>
    </row>
    <row r="80" spans="9:15" x14ac:dyDescent="0.2">
      <c r="I80" s="217"/>
      <c r="J80" s="217"/>
      <c r="K80" s="217"/>
      <c r="L80" s="217"/>
      <c r="M80" s="217"/>
      <c r="N80" s="217"/>
      <c r="O80" s="217"/>
    </row>
    <row r="81" spans="2:15" x14ac:dyDescent="0.2">
      <c r="I81" s="217"/>
      <c r="J81" s="217"/>
      <c r="K81" s="217"/>
      <c r="L81" s="217"/>
      <c r="M81" s="217"/>
      <c r="N81" s="217"/>
      <c r="O81" s="217"/>
    </row>
    <row r="82" spans="2:15" x14ac:dyDescent="0.2">
      <c r="I82" s="217"/>
      <c r="J82" s="217"/>
      <c r="K82" s="217"/>
      <c r="L82" s="217"/>
      <c r="M82" s="217"/>
      <c r="N82" s="217"/>
      <c r="O82" s="217"/>
    </row>
    <row r="83" spans="2:15" x14ac:dyDescent="0.2">
      <c r="B83" s="210"/>
      <c r="C83" s="211"/>
      <c r="D83" s="211"/>
      <c r="E83" s="211"/>
      <c r="F83" s="211"/>
      <c r="I83" s="217"/>
      <c r="J83" s="217"/>
      <c r="K83" s="217"/>
      <c r="L83" s="217"/>
      <c r="M83" s="217"/>
      <c r="N83" s="217"/>
      <c r="O83" s="217"/>
    </row>
    <row r="84" spans="2:15" x14ac:dyDescent="0.2">
      <c r="B84" s="210"/>
      <c r="C84" s="211"/>
      <c r="D84" s="211"/>
      <c r="E84" s="211"/>
      <c r="F84" s="211"/>
      <c r="I84" s="217"/>
      <c r="J84" s="217"/>
      <c r="K84" s="217"/>
      <c r="L84" s="217"/>
      <c r="M84" s="217"/>
      <c r="N84" s="217"/>
      <c r="O84" s="217"/>
    </row>
    <row r="85" spans="2:15" x14ac:dyDescent="0.2">
      <c r="I85" s="217"/>
      <c r="J85" s="217"/>
      <c r="K85" s="217"/>
      <c r="L85" s="217"/>
      <c r="M85" s="217"/>
      <c r="N85" s="217"/>
      <c r="O85" s="217"/>
    </row>
    <row r="86" spans="2:15" x14ac:dyDescent="0.2">
      <c r="I86" s="217"/>
      <c r="J86" s="217"/>
      <c r="K86" s="217"/>
      <c r="L86" s="217"/>
      <c r="M86" s="217"/>
      <c r="N86" s="217"/>
      <c r="O86" s="217"/>
    </row>
    <row r="87" spans="2:15" x14ac:dyDescent="0.2">
      <c r="I87" s="217"/>
      <c r="J87" s="217"/>
      <c r="K87" s="217"/>
      <c r="L87" s="217"/>
      <c r="M87" s="217"/>
      <c r="N87" s="217"/>
      <c r="O87" s="217"/>
    </row>
    <row r="88" spans="2:15" x14ac:dyDescent="0.2">
      <c r="I88" s="217"/>
      <c r="J88" s="217"/>
      <c r="K88" s="217"/>
      <c r="L88" s="217"/>
      <c r="M88" s="217"/>
      <c r="N88" s="217"/>
      <c r="O88" s="217"/>
    </row>
    <row r="89" spans="2:15" x14ac:dyDescent="0.2">
      <c r="I89" s="217"/>
      <c r="J89" s="217"/>
      <c r="K89" s="217"/>
      <c r="L89" s="217"/>
      <c r="M89" s="217"/>
      <c r="N89" s="217"/>
      <c r="O89" s="217"/>
    </row>
    <row r="90" spans="2:15" x14ac:dyDescent="0.2">
      <c r="I90" s="217"/>
      <c r="J90" s="217"/>
      <c r="K90" s="217"/>
      <c r="L90" s="217"/>
      <c r="M90" s="217"/>
      <c r="N90" s="217"/>
      <c r="O90" s="217"/>
    </row>
    <row r="91" spans="2:15" x14ac:dyDescent="0.2">
      <c r="I91" s="217"/>
      <c r="J91" s="217"/>
      <c r="K91" s="217"/>
      <c r="L91" s="217"/>
      <c r="M91" s="217"/>
      <c r="N91" s="217"/>
      <c r="O91" s="217"/>
    </row>
    <row r="92" spans="2:15" x14ac:dyDescent="0.2">
      <c r="I92" s="217"/>
      <c r="J92" s="217"/>
      <c r="K92" s="217"/>
      <c r="L92" s="217"/>
      <c r="M92" s="217"/>
      <c r="N92" s="217"/>
      <c r="O92" s="217"/>
    </row>
    <row r="93" spans="2:15" x14ac:dyDescent="0.2">
      <c r="I93" s="217"/>
      <c r="J93" s="217"/>
      <c r="K93" s="217"/>
      <c r="L93" s="217"/>
      <c r="M93" s="217"/>
      <c r="N93" s="217"/>
      <c r="O93" s="217"/>
    </row>
    <row r="94" spans="2:15" x14ac:dyDescent="0.2">
      <c r="I94" s="217"/>
      <c r="J94" s="217"/>
      <c r="K94" s="217"/>
      <c r="L94" s="217"/>
      <c r="M94" s="217"/>
      <c r="N94" s="217"/>
      <c r="O94" s="217"/>
    </row>
    <row r="95" spans="2:15" x14ac:dyDescent="0.2">
      <c r="I95" s="217"/>
      <c r="J95" s="217"/>
      <c r="K95" s="217"/>
      <c r="L95" s="217"/>
      <c r="M95" s="217"/>
      <c r="N95" s="217"/>
      <c r="O95" s="217"/>
    </row>
    <row r="96" spans="2:15" x14ac:dyDescent="0.2">
      <c r="I96" s="217"/>
      <c r="J96" s="217"/>
      <c r="K96" s="217"/>
      <c r="L96" s="217"/>
      <c r="M96" s="217"/>
      <c r="N96" s="217"/>
      <c r="O96" s="217"/>
    </row>
    <row r="97" spans="9:15" x14ac:dyDescent="0.2">
      <c r="I97" s="217"/>
      <c r="J97" s="217"/>
      <c r="K97" s="217"/>
      <c r="L97" s="217"/>
      <c r="M97" s="217"/>
      <c r="N97" s="217"/>
      <c r="O97" s="217"/>
    </row>
    <row r="98" spans="9:15" x14ac:dyDescent="0.2">
      <c r="I98" s="217"/>
      <c r="J98" s="217"/>
      <c r="K98" s="217"/>
      <c r="L98" s="217"/>
      <c r="M98" s="217"/>
      <c r="N98" s="217"/>
      <c r="O98" s="217"/>
    </row>
    <row r="99" spans="9:15" x14ac:dyDescent="0.2">
      <c r="I99" s="217"/>
      <c r="J99" s="217"/>
      <c r="K99" s="217"/>
      <c r="L99" s="217"/>
      <c r="M99" s="217"/>
      <c r="N99" s="217"/>
      <c r="O99" s="217"/>
    </row>
    <row r="100" spans="9:15" x14ac:dyDescent="0.2">
      <c r="I100" s="217"/>
      <c r="J100" s="217"/>
      <c r="K100" s="217"/>
      <c r="L100" s="217"/>
      <c r="M100" s="217"/>
      <c r="N100" s="217"/>
      <c r="O100" s="217"/>
    </row>
    <row r="101" spans="9:15" x14ac:dyDescent="0.2">
      <c r="I101" s="217"/>
      <c r="J101" s="217"/>
      <c r="K101" s="217"/>
      <c r="L101" s="217"/>
      <c r="M101" s="217"/>
      <c r="N101" s="217"/>
      <c r="O101" s="217"/>
    </row>
    <row r="102" spans="9:15" x14ac:dyDescent="0.2">
      <c r="I102" s="217"/>
      <c r="J102" s="217"/>
      <c r="K102" s="217"/>
      <c r="L102" s="217"/>
      <c r="M102" s="217"/>
      <c r="N102" s="217"/>
      <c r="O102" s="217"/>
    </row>
    <row r="103" spans="9:15" x14ac:dyDescent="0.2">
      <c r="I103" s="217"/>
      <c r="J103" s="217"/>
      <c r="K103" s="217"/>
      <c r="L103" s="217"/>
      <c r="M103" s="217"/>
      <c r="N103" s="217"/>
      <c r="O103" s="217"/>
    </row>
    <row r="104" spans="9:15" x14ac:dyDescent="0.2">
      <c r="I104" s="217"/>
      <c r="J104" s="217"/>
      <c r="K104" s="217"/>
      <c r="L104" s="217"/>
      <c r="M104" s="217"/>
      <c r="N104" s="217"/>
      <c r="O104" s="217"/>
    </row>
    <row r="105" spans="9:15" x14ac:dyDescent="0.2">
      <c r="I105" s="217"/>
      <c r="J105" s="217"/>
      <c r="K105" s="217"/>
      <c r="L105" s="217"/>
      <c r="M105" s="217"/>
      <c r="N105" s="217"/>
      <c r="O105" s="217"/>
    </row>
    <row r="106" spans="9:15" x14ac:dyDescent="0.2">
      <c r="I106" s="217"/>
      <c r="J106" s="217"/>
      <c r="K106" s="217"/>
      <c r="L106" s="217"/>
      <c r="M106" s="217"/>
      <c r="N106" s="217"/>
      <c r="O106" s="217"/>
    </row>
    <row r="107" spans="9:15" x14ac:dyDescent="0.2">
      <c r="I107" s="217"/>
      <c r="J107" s="217"/>
      <c r="K107" s="217"/>
      <c r="L107" s="217"/>
      <c r="M107" s="217"/>
      <c r="N107" s="217"/>
      <c r="O107" s="217"/>
    </row>
    <row r="108" spans="9:15" x14ac:dyDescent="0.2">
      <c r="I108" s="217"/>
      <c r="J108" s="217"/>
      <c r="K108" s="217"/>
      <c r="L108" s="217"/>
      <c r="M108" s="217"/>
      <c r="N108" s="217"/>
      <c r="O108" s="217"/>
    </row>
    <row r="109" spans="9:15" x14ac:dyDescent="0.2">
      <c r="I109" s="217"/>
      <c r="J109" s="217"/>
      <c r="K109" s="217"/>
      <c r="L109" s="217"/>
      <c r="M109" s="217"/>
      <c r="N109" s="217"/>
      <c r="O109" s="217"/>
    </row>
    <row r="110" spans="9:15" x14ac:dyDescent="0.2">
      <c r="I110" s="217"/>
      <c r="J110" s="217"/>
      <c r="K110" s="217"/>
      <c r="L110" s="217"/>
      <c r="M110" s="217"/>
      <c r="N110" s="217"/>
      <c r="O110" s="217"/>
    </row>
    <row r="111" spans="9:15" x14ac:dyDescent="0.2">
      <c r="I111" s="217"/>
      <c r="J111" s="217"/>
      <c r="K111" s="217"/>
      <c r="L111" s="217"/>
      <c r="M111" s="217"/>
      <c r="N111" s="217"/>
      <c r="O111" s="217"/>
    </row>
    <row r="112" spans="9:15" x14ac:dyDescent="0.2">
      <c r="I112" s="217"/>
      <c r="J112" s="217"/>
      <c r="K112" s="217"/>
      <c r="L112" s="217"/>
      <c r="M112" s="217"/>
      <c r="N112" s="217"/>
      <c r="O112" s="217"/>
    </row>
    <row r="113" spans="9:15" x14ac:dyDescent="0.2">
      <c r="I113" s="217"/>
      <c r="J113" s="217"/>
      <c r="K113" s="217"/>
      <c r="L113" s="217"/>
      <c r="M113" s="217"/>
      <c r="N113" s="217"/>
      <c r="O113" s="217"/>
    </row>
    <row r="114" spans="9:15" x14ac:dyDescent="0.2">
      <c r="I114" s="217"/>
      <c r="J114" s="217"/>
      <c r="K114" s="217"/>
      <c r="L114" s="217"/>
      <c r="M114" s="217"/>
      <c r="N114" s="217"/>
      <c r="O114" s="217"/>
    </row>
    <row r="115" spans="9:15" x14ac:dyDescent="0.2">
      <c r="I115" s="217"/>
      <c r="J115" s="217"/>
      <c r="K115" s="217"/>
      <c r="L115" s="217"/>
      <c r="M115" s="217"/>
      <c r="N115" s="217"/>
      <c r="O115" s="217"/>
    </row>
    <row r="116" spans="9:15" x14ac:dyDescent="0.2">
      <c r="I116" s="217"/>
      <c r="J116" s="217"/>
      <c r="K116" s="217"/>
      <c r="L116" s="217"/>
      <c r="M116" s="217"/>
      <c r="N116" s="217"/>
      <c r="O116" s="217"/>
    </row>
    <row r="117" spans="9:15" x14ac:dyDescent="0.2">
      <c r="I117" s="217"/>
      <c r="J117" s="217"/>
      <c r="K117" s="217"/>
      <c r="L117" s="217"/>
      <c r="M117" s="217"/>
      <c r="N117" s="217"/>
      <c r="O117" s="217"/>
    </row>
    <row r="118" spans="9:15" x14ac:dyDescent="0.2">
      <c r="I118" s="217"/>
      <c r="J118" s="217"/>
      <c r="K118" s="217"/>
      <c r="L118" s="217"/>
      <c r="M118" s="217"/>
      <c r="N118" s="217"/>
      <c r="O118" s="217"/>
    </row>
    <row r="119" spans="9:15" x14ac:dyDescent="0.2">
      <c r="I119" s="217"/>
      <c r="J119" s="217"/>
      <c r="K119" s="217"/>
      <c r="L119" s="217"/>
      <c r="M119" s="217"/>
      <c r="N119" s="217"/>
      <c r="O119" s="217"/>
    </row>
    <row r="120" spans="9:15" x14ac:dyDescent="0.2">
      <c r="I120" s="217"/>
      <c r="J120" s="217"/>
      <c r="K120" s="217"/>
      <c r="L120" s="217"/>
      <c r="M120" s="217"/>
      <c r="N120" s="217"/>
      <c r="O120" s="217"/>
    </row>
    <row r="121" spans="9:15" x14ac:dyDescent="0.2">
      <c r="I121" s="217"/>
      <c r="J121" s="217"/>
      <c r="K121" s="217"/>
      <c r="L121" s="217"/>
      <c r="M121" s="217"/>
      <c r="N121" s="217"/>
      <c r="O121" s="217"/>
    </row>
    <row r="122" spans="9:15" x14ac:dyDescent="0.2">
      <c r="I122" s="217"/>
      <c r="J122" s="217"/>
      <c r="K122" s="217"/>
      <c r="L122" s="217"/>
      <c r="M122" s="217"/>
      <c r="N122" s="217"/>
      <c r="O122" s="217"/>
    </row>
    <row r="123" spans="9:15" x14ac:dyDescent="0.2">
      <c r="I123" s="217"/>
      <c r="J123" s="217"/>
      <c r="K123" s="217"/>
      <c r="L123" s="217"/>
      <c r="M123" s="217"/>
      <c r="N123" s="217"/>
      <c r="O123" s="217"/>
    </row>
    <row r="124" spans="9:15" x14ac:dyDescent="0.2">
      <c r="I124" s="217"/>
      <c r="J124" s="217"/>
      <c r="K124" s="217"/>
      <c r="L124" s="217"/>
      <c r="M124" s="217"/>
      <c r="N124" s="217"/>
      <c r="O124" s="217"/>
    </row>
    <row r="125" spans="9:15" x14ac:dyDescent="0.2">
      <c r="I125" s="217"/>
      <c r="J125" s="217"/>
      <c r="K125" s="217"/>
      <c r="L125" s="217"/>
      <c r="M125" s="217"/>
      <c r="N125" s="217"/>
      <c r="O125" s="217"/>
    </row>
    <row r="126" spans="9:15" x14ac:dyDescent="0.2">
      <c r="I126" s="217"/>
      <c r="J126" s="217"/>
      <c r="K126" s="217"/>
      <c r="L126" s="217"/>
      <c r="M126" s="217"/>
      <c r="N126" s="217"/>
      <c r="O126" s="217"/>
    </row>
    <row r="127" spans="9:15" x14ac:dyDescent="0.2">
      <c r="I127" s="217"/>
      <c r="J127" s="217"/>
      <c r="K127" s="217"/>
      <c r="L127" s="217"/>
      <c r="M127" s="217"/>
      <c r="N127" s="217"/>
      <c r="O127" s="217"/>
    </row>
    <row r="128" spans="9:15" x14ac:dyDescent="0.2">
      <c r="I128" s="217"/>
      <c r="J128" s="217"/>
      <c r="K128" s="217"/>
      <c r="L128" s="217"/>
      <c r="M128" s="217"/>
      <c r="N128" s="217"/>
      <c r="O128" s="217"/>
    </row>
    <row r="129" spans="9:15" x14ac:dyDescent="0.2">
      <c r="I129" s="217"/>
      <c r="J129" s="217"/>
      <c r="K129" s="217"/>
      <c r="L129" s="217"/>
      <c r="M129" s="217"/>
      <c r="N129" s="217"/>
      <c r="O129" s="217"/>
    </row>
    <row r="130" spans="9:15" x14ac:dyDescent="0.2">
      <c r="I130" s="217"/>
      <c r="J130" s="217"/>
      <c r="K130" s="217"/>
      <c r="L130" s="217"/>
      <c r="M130" s="217"/>
      <c r="N130" s="217"/>
      <c r="O130" s="217"/>
    </row>
    <row r="131" spans="9:15" x14ac:dyDescent="0.2">
      <c r="I131" s="217"/>
      <c r="J131" s="217"/>
      <c r="K131" s="217"/>
      <c r="L131" s="217"/>
      <c r="M131" s="217"/>
      <c r="N131" s="217"/>
      <c r="O131" s="217"/>
    </row>
    <row r="132" spans="9:15" x14ac:dyDescent="0.2">
      <c r="I132" s="217"/>
      <c r="J132" s="217"/>
      <c r="K132" s="217"/>
      <c r="L132" s="217"/>
      <c r="M132" s="217"/>
      <c r="N132" s="217"/>
      <c r="O132" s="217"/>
    </row>
    <row r="133" spans="9:15" x14ac:dyDescent="0.2">
      <c r="I133" s="217"/>
      <c r="J133" s="217"/>
      <c r="K133" s="217"/>
      <c r="L133" s="217"/>
      <c r="M133" s="217"/>
      <c r="N133" s="217"/>
      <c r="O133" s="217"/>
    </row>
    <row r="134" spans="9:15" x14ac:dyDescent="0.2">
      <c r="I134" s="217"/>
      <c r="J134" s="217"/>
      <c r="K134" s="217"/>
      <c r="L134" s="217"/>
      <c r="M134" s="217"/>
      <c r="N134" s="217"/>
      <c r="O134" s="217"/>
    </row>
    <row r="135" spans="9:15" x14ac:dyDescent="0.2">
      <c r="I135" s="217"/>
      <c r="J135" s="217"/>
      <c r="K135" s="217"/>
      <c r="L135" s="217"/>
      <c r="M135" s="217"/>
      <c r="N135" s="217"/>
      <c r="O135" s="217"/>
    </row>
    <row r="136" spans="9:15" x14ac:dyDescent="0.2">
      <c r="I136" s="217"/>
      <c r="J136" s="217"/>
      <c r="K136" s="217"/>
      <c r="L136" s="217"/>
      <c r="M136" s="217"/>
      <c r="N136" s="217"/>
      <c r="O136" s="217"/>
    </row>
    <row r="137" spans="9:15" x14ac:dyDescent="0.2">
      <c r="I137" s="217"/>
      <c r="J137" s="217"/>
      <c r="K137" s="217"/>
      <c r="L137" s="217"/>
      <c r="M137" s="217"/>
      <c r="N137" s="217"/>
      <c r="O137" s="217"/>
    </row>
    <row r="138" spans="9:15" x14ac:dyDescent="0.2">
      <c r="I138" s="217"/>
      <c r="J138" s="217"/>
      <c r="K138" s="217"/>
      <c r="L138" s="217"/>
      <c r="M138" s="217"/>
      <c r="N138" s="217"/>
      <c r="O138" s="217"/>
    </row>
    <row r="139" spans="9:15" x14ac:dyDescent="0.2">
      <c r="I139" s="217"/>
      <c r="J139" s="217"/>
      <c r="K139" s="217"/>
      <c r="L139" s="217"/>
      <c r="M139" s="217"/>
      <c r="N139" s="217"/>
      <c r="O139" s="217"/>
    </row>
    <row r="140" spans="9:15" x14ac:dyDescent="0.2">
      <c r="I140" s="217"/>
      <c r="J140" s="217"/>
      <c r="K140" s="217"/>
      <c r="L140" s="217"/>
      <c r="M140" s="217"/>
      <c r="N140" s="217"/>
    </row>
    <row r="141" spans="9:15" x14ac:dyDescent="0.2">
      <c r="I141" s="217"/>
      <c r="J141" s="217"/>
      <c r="K141" s="217"/>
      <c r="L141" s="217"/>
      <c r="M141" s="217"/>
      <c r="N141" s="217"/>
    </row>
    <row r="142" spans="9:15" x14ac:dyDescent="0.2">
      <c r="I142" s="217"/>
      <c r="J142" s="217"/>
      <c r="K142" s="217"/>
      <c r="L142" s="217"/>
      <c r="M142" s="217"/>
      <c r="N142" s="217"/>
    </row>
    <row r="143" spans="9:15" x14ac:dyDescent="0.2">
      <c r="I143" s="217"/>
      <c r="J143" s="217"/>
      <c r="K143" s="217"/>
      <c r="L143" s="217"/>
      <c r="M143" s="217"/>
      <c r="N143" s="217"/>
    </row>
    <row r="144" spans="9:15" x14ac:dyDescent="0.2">
      <c r="I144" s="217"/>
      <c r="J144" s="217"/>
      <c r="K144" s="217"/>
      <c r="L144" s="217"/>
      <c r="M144" s="217"/>
      <c r="N144" s="217"/>
    </row>
    <row r="145" spans="9:14" x14ac:dyDescent="0.2">
      <c r="I145" s="217"/>
      <c r="J145" s="217"/>
      <c r="K145" s="217"/>
      <c r="L145" s="217"/>
      <c r="M145" s="217"/>
      <c r="N145" s="217"/>
    </row>
    <row r="146" spans="9:14" x14ac:dyDescent="0.2">
      <c r="I146" s="217"/>
      <c r="J146" s="217"/>
      <c r="K146" s="217"/>
      <c r="L146" s="217"/>
      <c r="M146" s="217"/>
      <c r="N146" s="217"/>
    </row>
    <row r="147" spans="9:14" x14ac:dyDescent="0.2">
      <c r="I147" s="217"/>
      <c r="J147" s="217"/>
      <c r="K147" s="217"/>
      <c r="L147" s="217"/>
      <c r="M147" s="217"/>
      <c r="N147" s="217"/>
    </row>
    <row r="148" spans="9:14" x14ac:dyDescent="0.2">
      <c r="I148" s="217"/>
      <c r="J148" s="217"/>
      <c r="K148" s="217"/>
      <c r="L148" s="217"/>
      <c r="M148" s="217"/>
      <c r="N148" s="217"/>
    </row>
    <row r="149" spans="9:14" x14ac:dyDescent="0.2">
      <c r="I149" s="217"/>
      <c r="J149" s="217"/>
      <c r="K149" s="217"/>
      <c r="L149" s="217"/>
      <c r="M149" s="217"/>
      <c r="N149" s="217"/>
    </row>
    <row r="150" spans="9:14" x14ac:dyDescent="0.2">
      <c r="I150" s="217"/>
      <c r="J150" s="217"/>
      <c r="K150" s="217"/>
      <c r="L150" s="217"/>
      <c r="M150" s="217"/>
      <c r="N150" s="217"/>
    </row>
    <row r="151" spans="9:14" x14ac:dyDescent="0.2">
      <c r="I151" s="217"/>
      <c r="J151" s="217"/>
      <c r="K151" s="217"/>
      <c r="L151" s="217"/>
      <c r="M151" s="217"/>
      <c r="N151" s="217"/>
    </row>
    <row r="152" spans="9:14" x14ac:dyDescent="0.2">
      <c r="I152" s="217"/>
      <c r="J152" s="217"/>
      <c r="K152" s="217"/>
      <c r="L152" s="217"/>
      <c r="M152" s="217"/>
      <c r="N152" s="217"/>
    </row>
    <row r="153" spans="9:14" x14ac:dyDescent="0.2">
      <c r="I153" s="217"/>
      <c r="J153" s="217"/>
      <c r="K153" s="217"/>
      <c r="L153" s="217"/>
      <c r="M153" s="217"/>
      <c r="N153" s="217"/>
    </row>
    <row r="154" spans="9:14" x14ac:dyDescent="0.2">
      <c r="I154" s="217"/>
      <c r="J154" s="217"/>
      <c r="K154" s="217"/>
      <c r="L154" s="217"/>
      <c r="M154" s="217"/>
      <c r="N154" s="217"/>
    </row>
    <row r="155" spans="9:14" x14ac:dyDescent="0.2">
      <c r="J155" s="217"/>
      <c r="K155" s="217"/>
      <c r="L155" s="217"/>
      <c r="M155" s="217"/>
      <c r="N155" s="217"/>
    </row>
    <row r="156" spans="9:14" x14ac:dyDescent="0.2">
      <c r="J156" s="217"/>
      <c r="K156" s="217"/>
      <c r="L156" s="217"/>
      <c r="M156" s="217"/>
      <c r="N156" s="217"/>
    </row>
    <row r="173" spans="15:15" x14ac:dyDescent="0.2">
      <c r="O173" s="217"/>
    </row>
    <row r="174" spans="15:15" x14ac:dyDescent="0.2">
      <c r="O174" s="217"/>
    </row>
    <row r="175" spans="15:15" x14ac:dyDescent="0.2">
      <c r="O175" s="217"/>
    </row>
    <row r="176" spans="15:15" x14ac:dyDescent="0.2">
      <c r="O176" s="217"/>
    </row>
    <row r="177" spans="15:15" x14ac:dyDescent="0.2">
      <c r="O177" s="217"/>
    </row>
    <row r="178" spans="15:15" x14ac:dyDescent="0.2">
      <c r="O178" s="217"/>
    </row>
    <row r="179" spans="15:15" x14ac:dyDescent="0.2">
      <c r="O179" s="217"/>
    </row>
    <row r="180" spans="15:15" x14ac:dyDescent="0.2">
      <c r="O180" s="217"/>
    </row>
    <row r="181" spans="15:15" x14ac:dyDescent="0.2">
      <c r="O181" s="217"/>
    </row>
    <row r="182" spans="15:15" x14ac:dyDescent="0.2">
      <c r="O182" s="217"/>
    </row>
    <row r="183" spans="15:15" x14ac:dyDescent="0.2">
      <c r="O183" s="217"/>
    </row>
    <row r="184" spans="15:15" x14ac:dyDescent="0.2">
      <c r="O184" s="217"/>
    </row>
    <row r="185" spans="15:15" x14ac:dyDescent="0.2">
      <c r="O185" s="217"/>
    </row>
    <row r="186" spans="15:15" x14ac:dyDescent="0.2">
      <c r="O186" s="217"/>
    </row>
    <row r="187" spans="15:15" x14ac:dyDescent="0.2">
      <c r="O187" s="217"/>
    </row>
    <row r="188" spans="15:15" x14ac:dyDescent="0.2">
      <c r="O188" s="217"/>
    </row>
    <row r="189" spans="15:15" x14ac:dyDescent="0.2">
      <c r="O189" s="217"/>
    </row>
    <row r="190" spans="15:15" x14ac:dyDescent="0.2">
      <c r="O190" s="217"/>
    </row>
    <row r="191" spans="15:15" x14ac:dyDescent="0.2">
      <c r="O191" s="217"/>
    </row>
    <row r="192" spans="15:15" x14ac:dyDescent="0.2">
      <c r="O192" s="217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conditionalFormatting sqref="G5:G6">
    <cfRule type="cellIs" dxfId="12" priority="13" operator="equal">
      <formula>0</formula>
    </cfRule>
  </conditionalFormatting>
  <conditionalFormatting sqref="G8:G10">
    <cfRule type="cellIs" dxfId="11" priority="12" operator="equal">
      <formula>0</formula>
    </cfRule>
  </conditionalFormatting>
  <conditionalFormatting sqref="G12:G15">
    <cfRule type="cellIs" dxfId="10" priority="11" operator="equal">
      <formula>0</formula>
    </cfRule>
  </conditionalFormatting>
  <conditionalFormatting sqref="G17:G19">
    <cfRule type="cellIs" dxfId="9" priority="10" operator="equal">
      <formula>0</formula>
    </cfRule>
  </conditionalFormatting>
  <conditionalFormatting sqref="G21:G23">
    <cfRule type="cellIs" dxfId="8" priority="9" operator="equal">
      <formula>0</formula>
    </cfRule>
  </conditionalFormatting>
  <conditionalFormatting sqref="G28:G37">
    <cfRule type="cellIs" dxfId="7" priority="8" operator="equal">
      <formula>0</formula>
    </cfRule>
  </conditionalFormatting>
  <conditionalFormatting sqref="G39:G48">
    <cfRule type="cellIs" dxfId="6" priority="7" operator="equal">
      <formula>0</formula>
    </cfRule>
  </conditionalFormatting>
  <conditionalFormatting sqref="G50:G52">
    <cfRule type="cellIs" dxfId="5" priority="6" operator="equal">
      <formula>0</formula>
    </cfRule>
  </conditionalFormatting>
  <conditionalFormatting sqref="G54:G56">
    <cfRule type="cellIs" dxfId="4" priority="5" operator="equal">
      <formula>0</formula>
    </cfRule>
  </conditionalFormatting>
  <conditionalFormatting sqref="N13:N15">
    <cfRule type="cellIs" dxfId="3" priority="4" operator="equal">
      <formula>0</formula>
    </cfRule>
  </conditionalFormatting>
  <conditionalFormatting sqref="N17:N19">
    <cfRule type="cellIs" dxfId="2" priority="3" operator="equal">
      <formula>0</formula>
    </cfRule>
  </conditionalFormatting>
  <conditionalFormatting sqref="N21:N23">
    <cfRule type="cellIs" dxfId="1" priority="2" operator="equal">
      <formula>0</formula>
    </cfRule>
  </conditionalFormatting>
  <conditionalFormatting sqref="N25:N27">
    <cfRule type="cellIs" dxfId="0" priority="1" operator="equal">
      <formula>0</formula>
    </cfRule>
  </conditionalFormatting>
  <pageMargins left="0" right="0" top="0.78740157480314965" bottom="0" header="0.39370078740157483" footer="0.39370078740157483"/>
  <pageSetup paperSize="9" scale="69" orientation="landscape" r:id="rId1"/>
  <headerFooter alignWithMargins="0"/>
  <ignoredErrors>
    <ignoredError sqref="G3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topLeftCell="A7" zoomScale="75" zoomScaleNormal="75" zoomScaleSheetLayoutView="80" workbookViewId="0"/>
  </sheetViews>
  <sheetFormatPr defaultRowHeight="13" x14ac:dyDescent="0.2"/>
  <cols>
    <col min="1" max="1" width="1.6328125" style="90" customWidth="1"/>
    <col min="2" max="2" width="3.6328125" style="90" customWidth="1"/>
    <col min="3" max="3" width="15.6328125" style="90" customWidth="1"/>
    <col min="4" max="7" width="8.6328125" style="90" customWidth="1"/>
    <col min="8" max="8" width="1.6328125" style="217" customWidth="1"/>
    <col min="9" max="9" width="3.6328125" style="90" customWidth="1"/>
    <col min="10" max="10" width="15.6328125" style="90" customWidth="1"/>
    <col min="11" max="14" width="8.6328125" style="90" customWidth="1"/>
    <col min="15" max="15" width="3.453125" style="90" customWidth="1"/>
    <col min="16" max="16" width="15.6328125" style="188" customWidth="1"/>
    <col min="17" max="17" width="8.6328125" style="90" customWidth="1"/>
    <col min="18" max="18" width="8.6328125" style="91" customWidth="1"/>
    <col min="19" max="21" width="8.6328125" style="90" customWidth="1"/>
    <col min="22" max="22" width="10.6328125" style="91" customWidth="1"/>
    <col min="23" max="262" width="9" style="90"/>
    <col min="263" max="263" width="1.36328125" style="90" customWidth="1"/>
    <col min="264" max="264" width="3.453125" style="90" customWidth="1"/>
    <col min="265" max="265" width="22.08984375" style="90" customWidth="1"/>
    <col min="266" max="266" width="9.7265625" style="90" customWidth="1"/>
    <col min="267" max="267" width="7.36328125" style="90" customWidth="1"/>
    <col min="268" max="268" width="9" style="90"/>
    <col min="269" max="269" width="9.26953125" style="90" customWidth="1"/>
    <col min="270" max="270" width="3.453125" style="90" customWidth="1"/>
    <col min="271" max="272" width="12.6328125" style="90" customWidth="1"/>
    <col min="273" max="273" width="9" style="90"/>
    <col min="274" max="274" width="7.7265625" style="90" customWidth="1"/>
    <col min="275" max="275" width="13.08984375" style="90" customWidth="1"/>
    <col min="276" max="276" width="6.08984375" style="90" customWidth="1"/>
    <col min="277" max="277" width="9.7265625" style="90" customWidth="1"/>
    <col min="278" max="278" width="1.36328125" style="90" customWidth="1"/>
    <col min="279" max="518" width="9" style="90"/>
    <col min="519" max="519" width="1.36328125" style="90" customWidth="1"/>
    <col min="520" max="520" width="3.453125" style="90" customWidth="1"/>
    <col min="521" max="521" width="22.08984375" style="90" customWidth="1"/>
    <col min="522" max="522" width="9.7265625" style="90" customWidth="1"/>
    <col min="523" max="523" width="7.36328125" style="90" customWidth="1"/>
    <col min="524" max="524" width="9" style="90"/>
    <col min="525" max="525" width="9.26953125" style="90" customWidth="1"/>
    <col min="526" max="526" width="3.453125" style="90" customWidth="1"/>
    <col min="527" max="528" width="12.6328125" style="90" customWidth="1"/>
    <col min="529" max="529" width="9" style="90"/>
    <col min="530" max="530" width="7.7265625" style="90" customWidth="1"/>
    <col min="531" max="531" width="13.08984375" style="90" customWidth="1"/>
    <col min="532" max="532" width="6.08984375" style="90" customWidth="1"/>
    <col min="533" max="533" width="9.7265625" style="90" customWidth="1"/>
    <col min="534" max="534" width="1.36328125" style="90" customWidth="1"/>
    <col min="535" max="774" width="9" style="90"/>
    <col min="775" max="775" width="1.36328125" style="90" customWidth="1"/>
    <col min="776" max="776" width="3.453125" style="90" customWidth="1"/>
    <col min="777" max="777" width="22.08984375" style="90" customWidth="1"/>
    <col min="778" max="778" width="9.7265625" style="90" customWidth="1"/>
    <col min="779" max="779" width="7.36328125" style="90" customWidth="1"/>
    <col min="780" max="780" width="9" style="90"/>
    <col min="781" max="781" width="9.26953125" style="90" customWidth="1"/>
    <col min="782" max="782" width="3.453125" style="90" customWidth="1"/>
    <col min="783" max="784" width="12.6328125" style="90" customWidth="1"/>
    <col min="785" max="785" width="9" style="90"/>
    <col min="786" max="786" width="7.7265625" style="90" customWidth="1"/>
    <col min="787" max="787" width="13.08984375" style="90" customWidth="1"/>
    <col min="788" max="788" width="6.08984375" style="90" customWidth="1"/>
    <col min="789" max="789" width="9.7265625" style="90" customWidth="1"/>
    <col min="790" max="790" width="1.36328125" style="90" customWidth="1"/>
    <col min="791" max="1030" width="9" style="90"/>
    <col min="1031" max="1031" width="1.36328125" style="90" customWidth="1"/>
    <col min="1032" max="1032" width="3.453125" style="90" customWidth="1"/>
    <col min="1033" max="1033" width="22.08984375" style="90" customWidth="1"/>
    <col min="1034" max="1034" width="9.7265625" style="90" customWidth="1"/>
    <col min="1035" max="1035" width="7.36328125" style="90" customWidth="1"/>
    <col min="1036" max="1036" width="9" style="90"/>
    <col min="1037" max="1037" width="9.26953125" style="90" customWidth="1"/>
    <col min="1038" max="1038" width="3.453125" style="90" customWidth="1"/>
    <col min="1039" max="1040" width="12.6328125" style="90" customWidth="1"/>
    <col min="1041" max="1041" width="9" style="90"/>
    <col min="1042" max="1042" width="7.7265625" style="90" customWidth="1"/>
    <col min="1043" max="1043" width="13.08984375" style="90" customWidth="1"/>
    <col min="1044" max="1044" width="6.08984375" style="90" customWidth="1"/>
    <col min="1045" max="1045" width="9.7265625" style="90" customWidth="1"/>
    <col min="1046" max="1046" width="1.36328125" style="90" customWidth="1"/>
    <col min="1047" max="1286" width="9" style="90"/>
    <col min="1287" max="1287" width="1.36328125" style="90" customWidth="1"/>
    <col min="1288" max="1288" width="3.453125" style="90" customWidth="1"/>
    <col min="1289" max="1289" width="22.08984375" style="90" customWidth="1"/>
    <col min="1290" max="1290" width="9.7265625" style="90" customWidth="1"/>
    <col min="1291" max="1291" width="7.36328125" style="90" customWidth="1"/>
    <col min="1292" max="1292" width="9" style="90"/>
    <col min="1293" max="1293" width="9.26953125" style="90" customWidth="1"/>
    <col min="1294" max="1294" width="3.453125" style="90" customWidth="1"/>
    <col min="1295" max="1296" width="12.6328125" style="90" customWidth="1"/>
    <col min="1297" max="1297" width="9" style="90"/>
    <col min="1298" max="1298" width="7.7265625" style="90" customWidth="1"/>
    <col min="1299" max="1299" width="13.08984375" style="90" customWidth="1"/>
    <col min="1300" max="1300" width="6.08984375" style="90" customWidth="1"/>
    <col min="1301" max="1301" width="9.7265625" style="90" customWidth="1"/>
    <col min="1302" max="1302" width="1.36328125" style="90" customWidth="1"/>
    <col min="1303" max="1542" width="9" style="90"/>
    <col min="1543" max="1543" width="1.36328125" style="90" customWidth="1"/>
    <col min="1544" max="1544" width="3.453125" style="90" customWidth="1"/>
    <col min="1545" max="1545" width="22.08984375" style="90" customWidth="1"/>
    <col min="1546" max="1546" width="9.7265625" style="90" customWidth="1"/>
    <col min="1547" max="1547" width="7.36328125" style="90" customWidth="1"/>
    <col min="1548" max="1548" width="9" style="90"/>
    <col min="1549" max="1549" width="9.26953125" style="90" customWidth="1"/>
    <col min="1550" max="1550" width="3.453125" style="90" customWidth="1"/>
    <col min="1551" max="1552" width="12.6328125" style="90" customWidth="1"/>
    <col min="1553" max="1553" width="9" style="90"/>
    <col min="1554" max="1554" width="7.7265625" style="90" customWidth="1"/>
    <col min="1555" max="1555" width="13.08984375" style="90" customWidth="1"/>
    <col min="1556" max="1556" width="6.08984375" style="90" customWidth="1"/>
    <col min="1557" max="1557" width="9.7265625" style="90" customWidth="1"/>
    <col min="1558" max="1558" width="1.36328125" style="90" customWidth="1"/>
    <col min="1559" max="1798" width="9" style="90"/>
    <col min="1799" max="1799" width="1.36328125" style="90" customWidth="1"/>
    <col min="1800" max="1800" width="3.453125" style="90" customWidth="1"/>
    <col min="1801" max="1801" width="22.08984375" style="90" customWidth="1"/>
    <col min="1802" max="1802" width="9.7265625" style="90" customWidth="1"/>
    <col min="1803" max="1803" width="7.36328125" style="90" customWidth="1"/>
    <col min="1804" max="1804" width="9" style="90"/>
    <col min="1805" max="1805" width="9.26953125" style="90" customWidth="1"/>
    <col min="1806" max="1806" width="3.453125" style="90" customWidth="1"/>
    <col min="1807" max="1808" width="12.6328125" style="90" customWidth="1"/>
    <col min="1809" max="1809" width="9" style="90"/>
    <col min="1810" max="1810" width="7.7265625" style="90" customWidth="1"/>
    <col min="1811" max="1811" width="13.08984375" style="90" customWidth="1"/>
    <col min="1812" max="1812" width="6.08984375" style="90" customWidth="1"/>
    <col min="1813" max="1813" width="9.7265625" style="90" customWidth="1"/>
    <col min="1814" max="1814" width="1.36328125" style="90" customWidth="1"/>
    <col min="1815" max="2054" width="9" style="90"/>
    <col min="2055" max="2055" width="1.36328125" style="90" customWidth="1"/>
    <col min="2056" max="2056" width="3.453125" style="90" customWidth="1"/>
    <col min="2057" max="2057" width="22.08984375" style="90" customWidth="1"/>
    <col min="2058" max="2058" width="9.7265625" style="90" customWidth="1"/>
    <col min="2059" max="2059" width="7.36328125" style="90" customWidth="1"/>
    <col min="2060" max="2060" width="9" style="90"/>
    <col min="2061" max="2061" width="9.26953125" style="90" customWidth="1"/>
    <col min="2062" max="2062" width="3.453125" style="90" customWidth="1"/>
    <col min="2063" max="2064" width="12.6328125" style="90" customWidth="1"/>
    <col min="2065" max="2065" width="9" style="90"/>
    <col min="2066" max="2066" width="7.7265625" style="90" customWidth="1"/>
    <col min="2067" max="2067" width="13.08984375" style="90" customWidth="1"/>
    <col min="2068" max="2068" width="6.08984375" style="90" customWidth="1"/>
    <col min="2069" max="2069" width="9.7265625" style="90" customWidth="1"/>
    <col min="2070" max="2070" width="1.36328125" style="90" customWidth="1"/>
    <col min="2071" max="2310" width="9" style="90"/>
    <col min="2311" max="2311" width="1.36328125" style="90" customWidth="1"/>
    <col min="2312" max="2312" width="3.453125" style="90" customWidth="1"/>
    <col min="2313" max="2313" width="22.08984375" style="90" customWidth="1"/>
    <col min="2314" max="2314" width="9.7265625" style="90" customWidth="1"/>
    <col min="2315" max="2315" width="7.36328125" style="90" customWidth="1"/>
    <col min="2316" max="2316" width="9" style="90"/>
    <col min="2317" max="2317" width="9.26953125" style="90" customWidth="1"/>
    <col min="2318" max="2318" width="3.453125" style="90" customWidth="1"/>
    <col min="2319" max="2320" width="12.6328125" style="90" customWidth="1"/>
    <col min="2321" max="2321" width="9" style="90"/>
    <col min="2322" max="2322" width="7.7265625" style="90" customWidth="1"/>
    <col min="2323" max="2323" width="13.08984375" style="90" customWidth="1"/>
    <col min="2324" max="2324" width="6.08984375" style="90" customWidth="1"/>
    <col min="2325" max="2325" width="9.7265625" style="90" customWidth="1"/>
    <col min="2326" max="2326" width="1.36328125" style="90" customWidth="1"/>
    <col min="2327" max="2566" width="9" style="90"/>
    <col min="2567" max="2567" width="1.36328125" style="90" customWidth="1"/>
    <col min="2568" max="2568" width="3.453125" style="90" customWidth="1"/>
    <col min="2569" max="2569" width="22.08984375" style="90" customWidth="1"/>
    <col min="2570" max="2570" width="9.7265625" style="90" customWidth="1"/>
    <col min="2571" max="2571" width="7.36328125" style="90" customWidth="1"/>
    <col min="2572" max="2572" width="9" style="90"/>
    <col min="2573" max="2573" width="9.26953125" style="90" customWidth="1"/>
    <col min="2574" max="2574" width="3.453125" style="90" customWidth="1"/>
    <col min="2575" max="2576" width="12.6328125" style="90" customWidth="1"/>
    <col min="2577" max="2577" width="9" style="90"/>
    <col min="2578" max="2578" width="7.7265625" style="90" customWidth="1"/>
    <col min="2579" max="2579" width="13.08984375" style="90" customWidth="1"/>
    <col min="2580" max="2580" width="6.08984375" style="90" customWidth="1"/>
    <col min="2581" max="2581" width="9.7265625" style="90" customWidth="1"/>
    <col min="2582" max="2582" width="1.36328125" style="90" customWidth="1"/>
    <col min="2583" max="2822" width="9" style="90"/>
    <col min="2823" max="2823" width="1.36328125" style="90" customWidth="1"/>
    <col min="2824" max="2824" width="3.453125" style="90" customWidth="1"/>
    <col min="2825" max="2825" width="22.08984375" style="90" customWidth="1"/>
    <col min="2826" max="2826" width="9.7265625" style="90" customWidth="1"/>
    <col min="2827" max="2827" width="7.36328125" style="90" customWidth="1"/>
    <col min="2828" max="2828" width="9" style="90"/>
    <col min="2829" max="2829" width="9.26953125" style="90" customWidth="1"/>
    <col min="2830" max="2830" width="3.453125" style="90" customWidth="1"/>
    <col min="2831" max="2832" width="12.6328125" style="90" customWidth="1"/>
    <col min="2833" max="2833" width="9" style="90"/>
    <col min="2834" max="2834" width="7.7265625" style="90" customWidth="1"/>
    <col min="2835" max="2835" width="13.08984375" style="90" customWidth="1"/>
    <col min="2836" max="2836" width="6.08984375" style="90" customWidth="1"/>
    <col min="2837" max="2837" width="9.7265625" style="90" customWidth="1"/>
    <col min="2838" max="2838" width="1.36328125" style="90" customWidth="1"/>
    <col min="2839" max="3078" width="9" style="90"/>
    <col min="3079" max="3079" width="1.36328125" style="90" customWidth="1"/>
    <col min="3080" max="3080" width="3.453125" style="90" customWidth="1"/>
    <col min="3081" max="3081" width="22.08984375" style="90" customWidth="1"/>
    <col min="3082" max="3082" width="9.7265625" style="90" customWidth="1"/>
    <col min="3083" max="3083" width="7.36328125" style="90" customWidth="1"/>
    <col min="3084" max="3084" width="9" style="90"/>
    <col min="3085" max="3085" width="9.26953125" style="90" customWidth="1"/>
    <col min="3086" max="3086" width="3.453125" style="90" customWidth="1"/>
    <col min="3087" max="3088" width="12.6328125" style="90" customWidth="1"/>
    <col min="3089" max="3089" width="9" style="90"/>
    <col min="3090" max="3090" width="7.7265625" style="90" customWidth="1"/>
    <col min="3091" max="3091" width="13.08984375" style="90" customWidth="1"/>
    <col min="3092" max="3092" width="6.08984375" style="90" customWidth="1"/>
    <col min="3093" max="3093" width="9.7265625" style="90" customWidth="1"/>
    <col min="3094" max="3094" width="1.36328125" style="90" customWidth="1"/>
    <col min="3095" max="3334" width="9" style="90"/>
    <col min="3335" max="3335" width="1.36328125" style="90" customWidth="1"/>
    <col min="3336" max="3336" width="3.453125" style="90" customWidth="1"/>
    <col min="3337" max="3337" width="22.08984375" style="90" customWidth="1"/>
    <col min="3338" max="3338" width="9.7265625" style="90" customWidth="1"/>
    <col min="3339" max="3339" width="7.36328125" style="90" customWidth="1"/>
    <col min="3340" max="3340" width="9" style="90"/>
    <col min="3341" max="3341" width="9.26953125" style="90" customWidth="1"/>
    <col min="3342" max="3342" width="3.453125" style="90" customWidth="1"/>
    <col min="3343" max="3344" width="12.6328125" style="90" customWidth="1"/>
    <col min="3345" max="3345" width="9" style="90"/>
    <col min="3346" max="3346" width="7.7265625" style="90" customWidth="1"/>
    <col min="3347" max="3347" width="13.08984375" style="90" customWidth="1"/>
    <col min="3348" max="3348" width="6.08984375" style="90" customWidth="1"/>
    <col min="3349" max="3349" width="9.7265625" style="90" customWidth="1"/>
    <col min="3350" max="3350" width="1.36328125" style="90" customWidth="1"/>
    <col min="3351" max="3590" width="9" style="90"/>
    <col min="3591" max="3591" width="1.36328125" style="90" customWidth="1"/>
    <col min="3592" max="3592" width="3.453125" style="90" customWidth="1"/>
    <col min="3593" max="3593" width="22.08984375" style="90" customWidth="1"/>
    <col min="3594" max="3594" width="9.7265625" style="90" customWidth="1"/>
    <col min="3595" max="3595" width="7.36328125" style="90" customWidth="1"/>
    <col min="3596" max="3596" width="9" style="90"/>
    <col min="3597" max="3597" width="9.26953125" style="90" customWidth="1"/>
    <col min="3598" max="3598" width="3.453125" style="90" customWidth="1"/>
    <col min="3599" max="3600" width="12.6328125" style="90" customWidth="1"/>
    <col min="3601" max="3601" width="9" style="90"/>
    <col min="3602" max="3602" width="7.7265625" style="90" customWidth="1"/>
    <col min="3603" max="3603" width="13.08984375" style="90" customWidth="1"/>
    <col min="3604" max="3604" width="6.08984375" style="90" customWidth="1"/>
    <col min="3605" max="3605" width="9.7265625" style="90" customWidth="1"/>
    <col min="3606" max="3606" width="1.36328125" style="90" customWidth="1"/>
    <col min="3607" max="3846" width="9" style="90"/>
    <col min="3847" max="3847" width="1.36328125" style="90" customWidth="1"/>
    <col min="3848" max="3848" width="3.453125" style="90" customWidth="1"/>
    <col min="3849" max="3849" width="22.08984375" style="90" customWidth="1"/>
    <col min="3850" max="3850" width="9.7265625" style="90" customWidth="1"/>
    <col min="3851" max="3851" width="7.36328125" style="90" customWidth="1"/>
    <col min="3852" max="3852" width="9" style="90"/>
    <col min="3853" max="3853" width="9.26953125" style="90" customWidth="1"/>
    <col min="3854" max="3854" width="3.453125" style="90" customWidth="1"/>
    <col min="3855" max="3856" width="12.6328125" style="90" customWidth="1"/>
    <col min="3857" max="3857" width="9" style="90"/>
    <col min="3858" max="3858" width="7.7265625" style="90" customWidth="1"/>
    <col min="3859" max="3859" width="13.08984375" style="90" customWidth="1"/>
    <col min="3860" max="3860" width="6.08984375" style="90" customWidth="1"/>
    <col min="3861" max="3861" width="9.7265625" style="90" customWidth="1"/>
    <col min="3862" max="3862" width="1.36328125" style="90" customWidth="1"/>
    <col min="3863" max="4102" width="9" style="90"/>
    <col min="4103" max="4103" width="1.36328125" style="90" customWidth="1"/>
    <col min="4104" max="4104" width="3.453125" style="90" customWidth="1"/>
    <col min="4105" max="4105" width="22.08984375" style="90" customWidth="1"/>
    <col min="4106" max="4106" width="9.7265625" style="90" customWidth="1"/>
    <col min="4107" max="4107" width="7.36328125" style="90" customWidth="1"/>
    <col min="4108" max="4108" width="9" style="90"/>
    <col min="4109" max="4109" width="9.26953125" style="90" customWidth="1"/>
    <col min="4110" max="4110" width="3.453125" style="90" customWidth="1"/>
    <col min="4111" max="4112" width="12.6328125" style="90" customWidth="1"/>
    <col min="4113" max="4113" width="9" style="90"/>
    <col min="4114" max="4114" width="7.7265625" style="90" customWidth="1"/>
    <col min="4115" max="4115" width="13.08984375" style="90" customWidth="1"/>
    <col min="4116" max="4116" width="6.08984375" style="90" customWidth="1"/>
    <col min="4117" max="4117" width="9.7265625" style="90" customWidth="1"/>
    <col min="4118" max="4118" width="1.36328125" style="90" customWidth="1"/>
    <col min="4119" max="4358" width="9" style="90"/>
    <col min="4359" max="4359" width="1.36328125" style="90" customWidth="1"/>
    <col min="4360" max="4360" width="3.453125" style="90" customWidth="1"/>
    <col min="4361" max="4361" width="22.08984375" style="90" customWidth="1"/>
    <col min="4362" max="4362" width="9.7265625" style="90" customWidth="1"/>
    <col min="4363" max="4363" width="7.36328125" style="90" customWidth="1"/>
    <col min="4364" max="4364" width="9" style="90"/>
    <col min="4365" max="4365" width="9.26953125" style="90" customWidth="1"/>
    <col min="4366" max="4366" width="3.453125" style="90" customWidth="1"/>
    <col min="4367" max="4368" width="12.6328125" style="90" customWidth="1"/>
    <col min="4369" max="4369" width="9" style="90"/>
    <col min="4370" max="4370" width="7.7265625" style="90" customWidth="1"/>
    <col min="4371" max="4371" width="13.08984375" style="90" customWidth="1"/>
    <col min="4372" max="4372" width="6.08984375" style="90" customWidth="1"/>
    <col min="4373" max="4373" width="9.7265625" style="90" customWidth="1"/>
    <col min="4374" max="4374" width="1.36328125" style="90" customWidth="1"/>
    <col min="4375" max="4614" width="9" style="90"/>
    <col min="4615" max="4615" width="1.36328125" style="90" customWidth="1"/>
    <col min="4616" max="4616" width="3.453125" style="90" customWidth="1"/>
    <col min="4617" max="4617" width="22.08984375" style="90" customWidth="1"/>
    <col min="4618" max="4618" width="9.7265625" style="90" customWidth="1"/>
    <col min="4619" max="4619" width="7.36328125" style="90" customWidth="1"/>
    <col min="4620" max="4620" width="9" style="90"/>
    <col min="4621" max="4621" width="9.26953125" style="90" customWidth="1"/>
    <col min="4622" max="4622" width="3.453125" style="90" customWidth="1"/>
    <col min="4623" max="4624" width="12.6328125" style="90" customWidth="1"/>
    <col min="4625" max="4625" width="9" style="90"/>
    <col min="4626" max="4626" width="7.7265625" style="90" customWidth="1"/>
    <col min="4627" max="4627" width="13.08984375" style="90" customWidth="1"/>
    <col min="4628" max="4628" width="6.08984375" style="90" customWidth="1"/>
    <col min="4629" max="4629" width="9.7265625" style="90" customWidth="1"/>
    <col min="4630" max="4630" width="1.36328125" style="90" customWidth="1"/>
    <col min="4631" max="4870" width="9" style="90"/>
    <col min="4871" max="4871" width="1.36328125" style="90" customWidth="1"/>
    <col min="4872" max="4872" width="3.453125" style="90" customWidth="1"/>
    <col min="4873" max="4873" width="22.08984375" style="90" customWidth="1"/>
    <col min="4874" max="4874" width="9.7265625" style="90" customWidth="1"/>
    <col min="4875" max="4875" width="7.36328125" style="90" customWidth="1"/>
    <col min="4876" max="4876" width="9" style="90"/>
    <col min="4877" max="4877" width="9.26953125" style="90" customWidth="1"/>
    <col min="4878" max="4878" width="3.453125" style="90" customWidth="1"/>
    <col min="4879" max="4880" width="12.6328125" style="90" customWidth="1"/>
    <col min="4881" max="4881" width="9" style="90"/>
    <col min="4882" max="4882" width="7.7265625" style="90" customWidth="1"/>
    <col min="4883" max="4883" width="13.08984375" style="90" customWidth="1"/>
    <col min="4884" max="4884" width="6.08984375" style="90" customWidth="1"/>
    <col min="4885" max="4885" width="9.7265625" style="90" customWidth="1"/>
    <col min="4886" max="4886" width="1.36328125" style="90" customWidth="1"/>
    <col min="4887" max="5126" width="9" style="90"/>
    <col min="5127" max="5127" width="1.36328125" style="90" customWidth="1"/>
    <col min="5128" max="5128" width="3.453125" style="90" customWidth="1"/>
    <col min="5129" max="5129" width="22.08984375" style="90" customWidth="1"/>
    <col min="5130" max="5130" width="9.7265625" style="90" customWidth="1"/>
    <col min="5131" max="5131" width="7.36328125" style="90" customWidth="1"/>
    <col min="5132" max="5132" width="9" style="90"/>
    <col min="5133" max="5133" width="9.26953125" style="90" customWidth="1"/>
    <col min="5134" max="5134" width="3.453125" style="90" customWidth="1"/>
    <col min="5135" max="5136" width="12.6328125" style="90" customWidth="1"/>
    <col min="5137" max="5137" width="9" style="90"/>
    <col min="5138" max="5138" width="7.7265625" style="90" customWidth="1"/>
    <col min="5139" max="5139" width="13.08984375" style="90" customWidth="1"/>
    <col min="5140" max="5140" width="6.08984375" style="90" customWidth="1"/>
    <col min="5141" max="5141" width="9.7265625" style="90" customWidth="1"/>
    <col min="5142" max="5142" width="1.36328125" style="90" customWidth="1"/>
    <col min="5143" max="5382" width="9" style="90"/>
    <col min="5383" max="5383" width="1.36328125" style="90" customWidth="1"/>
    <col min="5384" max="5384" width="3.453125" style="90" customWidth="1"/>
    <col min="5385" max="5385" width="22.08984375" style="90" customWidth="1"/>
    <col min="5386" max="5386" width="9.7265625" style="90" customWidth="1"/>
    <col min="5387" max="5387" width="7.36328125" style="90" customWidth="1"/>
    <col min="5388" max="5388" width="9" style="90"/>
    <col min="5389" max="5389" width="9.26953125" style="90" customWidth="1"/>
    <col min="5390" max="5390" width="3.453125" style="90" customWidth="1"/>
    <col min="5391" max="5392" width="12.6328125" style="90" customWidth="1"/>
    <col min="5393" max="5393" width="9" style="90"/>
    <col min="5394" max="5394" width="7.7265625" style="90" customWidth="1"/>
    <col min="5395" max="5395" width="13.08984375" style="90" customWidth="1"/>
    <col min="5396" max="5396" width="6.08984375" style="90" customWidth="1"/>
    <col min="5397" max="5397" width="9.7265625" style="90" customWidth="1"/>
    <col min="5398" max="5398" width="1.36328125" style="90" customWidth="1"/>
    <col min="5399" max="5638" width="9" style="90"/>
    <col min="5639" max="5639" width="1.36328125" style="90" customWidth="1"/>
    <col min="5640" max="5640" width="3.453125" style="90" customWidth="1"/>
    <col min="5641" max="5641" width="22.08984375" style="90" customWidth="1"/>
    <col min="5642" max="5642" width="9.7265625" style="90" customWidth="1"/>
    <col min="5643" max="5643" width="7.36328125" style="90" customWidth="1"/>
    <col min="5644" max="5644" width="9" style="90"/>
    <col min="5645" max="5645" width="9.26953125" style="90" customWidth="1"/>
    <col min="5646" max="5646" width="3.453125" style="90" customWidth="1"/>
    <col min="5647" max="5648" width="12.6328125" style="90" customWidth="1"/>
    <col min="5649" max="5649" width="9" style="90"/>
    <col min="5650" max="5650" width="7.7265625" style="90" customWidth="1"/>
    <col min="5651" max="5651" width="13.08984375" style="90" customWidth="1"/>
    <col min="5652" max="5652" width="6.08984375" style="90" customWidth="1"/>
    <col min="5653" max="5653" width="9.7265625" style="90" customWidth="1"/>
    <col min="5654" max="5654" width="1.36328125" style="90" customWidth="1"/>
    <col min="5655" max="5894" width="9" style="90"/>
    <col min="5895" max="5895" width="1.36328125" style="90" customWidth="1"/>
    <col min="5896" max="5896" width="3.453125" style="90" customWidth="1"/>
    <col min="5897" max="5897" width="22.08984375" style="90" customWidth="1"/>
    <col min="5898" max="5898" width="9.7265625" style="90" customWidth="1"/>
    <col min="5899" max="5899" width="7.36328125" style="90" customWidth="1"/>
    <col min="5900" max="5900" width="9" style="90"/>
    <col min="5901" max="5901" width="9.26953125" style="90" customWidth="1"/>
    <col min="5902" max="5902" width="3.453125" style="90" customWidth="1"/>
    <col min="5903" max="5904" width="12.6328125" style="90" customWidth="1"/>
    <col min="5905" max="5905" width="9" style="90"/>
    <col min="5906" max="5906" width="7.7265625" style="90" customWidth="1"/>
    <col min="5907" max="5907" width="13.08984375" style="90" customWidth="1"/>
    <col min="5908" max="5908" width="6.08984375" style="90" customWidth="1"/>
    <col min="5909" max="5909" width="9.7265625" style="90" customWidth="1"/>
    <col min="5910" max="5910" width="1.36328125" style="90" customWidth="1"/>
    <col min="5911" max="6150" width="9" style="90"/>
    <col min="6151" max="6151" width="1.36328125" style="90" customWidth="1"/>
    <col min="6152" max="6152" width="3.453125" style="90" customWidth="1"/>
    <col min="6153" max="6153" width="22.08984375" style="90" customWidth="1"/>
    <col min="6154" max="6154" width="9.7265625" style="90" customWidth="1"/>
    <col min="6155" max="6155" width="7.36328125" style="90" customWidth="1"/>
    <col min="6156" max="6156" width="9" style="90"/>
    <col min="6157" max="6157" width="9.26953125" style="90" customWidth="1"/>
    <col min="6158" max="6158" width="3.453125" style="90" customWidth="1"/>
    <col min="6159" max="6160" width="12.6328125" style="90" customWidth="1"/>
    <col min="6161" max="6161" width="9" style="90"/>
    <col min="6162" max="6162" width="7.7265625" style="90" customWidth="1"/>
    <col min="6163" max="6163" width="13.08984375" style="90" customWidth="1"/>
    <col min="6164" max="6164" width="6.08984375" style="90" customWidth="1"/>
    <col min="6165" max="6165" width="9.7265625" style="90" customWidth="1"/>
    <col min="6166" max="6166" width="1.36328125" style="90" customWidth="1"/>
    <col min="6167" max="6406" width="9" style="90"/>
    <col min="6407" max="6407" width="1.36328125" style="90" customWidth="1"/>
    <col min="6408" max="6408" width="3.453125" style="90" customWidth="1"/>
    <col min="6409" max="6409" width="22.08984375" style="90" customWidth="1"/>
    <col min="6410" max="6410" width="9.7265625" style="90" customWidth="1"/>
    <col min="6411" max="6411" width="7.36328125" style="90" customWidth="1"/>
    <col min="6412" max="6412" width="9" style="90"/>
    <col min="6413" max="6413" width="9.26953125" style="90" customWidth="1"/>
    <col min="6414" max="6414" width="3.453125" style="90" customWidth="1"/>
    <col min="6415" max="6416" width="12.6328125" style="90" customWidth="1"/>
    <col min="6417" max="6417" width="9" style="90"/>
    <col min="6418" max="6418" width="7.7265625" style="90" customWidth="1"/>
    <col min="6419" max="6419" width="13.08984375" style="90" customWidth="1"/>
    <col min="6420" max="6420" width="6.08984375" style="90" customWidth="1"/>
    <col min="6421" max="6421" width="9.7265625" style="90" customWidth="1"/>
    <col min="6422" max="6422" width="1.36328125" style="90" customWidth="1"/>
    <col min="6423" max="6662" width="9" style="90"/>
    <col min="6663" max="6663" width="1.36328125" style="90" customWidth="1"/>
    <col min="6664" max="6664" width="3.453125" style="90" customWidth="1"/>
    <col min="6665" max="6665" width="22.08984375" style="90" customWidth="1"/>
    <col min="6666" max="6666" width="9.7265625" style="90" customWidth="1"/>
    <col min="6667" max="6667" width="7.36328125" style="90" customWidth="1"/>
    <col min="6668" max="6668" width="9" style="90"/>
    <col min="6669" max="6669" width="9.26953125" style="90" customWidth="1"/>
    <col min="6670" max="6670" width="3.453125" style="90" customWidth="1"/>
    <col min="6671" max="6672" width="12.6328125" style="90" customWidth="1"/>
    <col min="6673" max="6673" width="9" style="90"/>
    <col min="6674" max="6674" width="7.7265625" style="90" customWidth="1"/>
    <col min="6675" max="6675" width="13.08984375" style="90" customWidth="1"/>
    <col min="6676" max="6676" width="6.08984375" style="90" customWidth="1"/>
    <col min="6677" max="6677" width="9.7265625" style="90" customWidth="1"/>
    <col min="6678" max="6678" width="1.36328125" style="90" customWidth="1"/>
    <col min="6679" max="6918" width="9" style="90"/>
    <col min="6919" max="6919" width="1.36328125" style="90" customWidth="1"/>
    <col min="6920" max="6920" width="3.453125" style="90" customWidth="1"/>
    <col min="6921" max="6921" width="22.08984375" style="90" customWidth="1"/>
    <col min="6922" max="6922" width="9.7265625" style="90" customWidth="1"/>
    <col min="6923" max="6923" width="7.36328125" style="90" customWidth="1"/>
    <col min="6924" max="6924" width="9" style="90"/>
    <col min="6925" max="6925" width="9.26953125" style="90" customWidth="1"/>
    <col min="6926" max="6926" width="3.453125" style="90" customWidth="1"/>
    <col min="6927" max="6928" width="12.6328125" style="90" customWidth="1"/>
    <col min="6929" max="6929" width="9" style="90"/>
    <col min="6930" max="6930" width="7.7265625" style="90" customWidth="1"/>
    <col min="6931" max="6931" width="13.08984375" style="90" customWidth="1"/>
    <col min="6932" max="6932" width="6.08984375" style="90" customWidth="1"/>
    <col min="6933" max="6933" width="9.7265625" style="90" customWidth="1"/>
    <col min="6934" max="6934" width="1.36328125" style="90" customWidth="1"/>
    <col min="6935" max="7174" width="9" style="90"/>
    <col min="7175" max="7175" width="1.36328125" style="90" customWidth="1"/>
    <col min="7176" max="7176" width="3.453125" style="90" customWidth="1"/>
    <col min="7177" max="7177" width="22.08984375" style="90" customWidth="1"/>
    <col min="7178" max="7178" width="9.7265625" style="90" customWidth="1"/>
    <col min="7179" max="7179" width="7.36328125" style="90" customWidth="1"/>
    <col min="7180" max="7180" width="9" style="90"/>
    <col min="7181" max="7181" width="9.26953125" style="90" customWidth="1"/>
    <col min="7182" max="7182" width="3.453125" style="90" customWidth="1"/>
    <col min="7183" max="7184" width="12.6328125" style="90" customWidth="1"/>
    <col min="7185" max="7185" width="9" style="90"/>
    <col min="7186" max="7186" width="7.7265625" style="90" customWidth="1"/>
    <col min="7187" max="7187" width="13.08984375" style="90" customWidth="1"/>
    <col min="7188" max="7188" width="6.08984375" style="90" customWidth="1"/>
    <col min="7189" max="7189" width="9.7265625" style="90" customWidth="1"/>
    <col min="7190" max="7190" width="1.36328125" style="90" customWidth="1"/>
    <col min="7191" max="7430" width="9" style="90"/>
    <col min="7431" max="7431" width="1.36328125" style="90" customWidth="1"/>
    <col min="7432" max="7432" width="3.453125" style="90" customWidth="1"/>
    <col min="7433" max="7433" width="22.08984375" style="90" customWidth="1"/>
    <col min="7434" max="7434" width="9.7265625" style="90" customWidth="1"/>
    <col min="7435" max="7435" width="7.36328125" style="90" customWidth="1"/>
    <col min="7436" max="7436" width="9" style="90"/>
    <col min="7437" max="7437" width="9.26953125" style="90" customWidth="1"/>
    <col min="7438" max="7438" width="3.453125" style="90" customWidth="1"/>
    <col min="7439" max="7440" width="12.6328125" style="90" customWidth="1"/>
    <col min="7441" max="7441" width="9" style="90"/>
    <col min="7442" max="7442" width="7.7265625" style="90" customWidth="1"/>
    <col min="7443" max="7443" width="13.08984375" style="90" customWidth="1"/>
    <col min="7444" max="7444" width="6.08984375" style="90" customWidth="1"/>
    <col min="7445" max="7445" width="9.7265625" style="90" customWidth="1"/>
    <col min="7446" max="7446" width="1.36328125" style="90" customWidth="1"/>
    <col min="7447" max="7686" width="9" style="90"/>
    <col min="7687" max="7687" width="1.36328125" style="90" customWidth="1"/>
    <col min="7688" max="7688" width="3.453125" style="90" customWidth="1"/>
    <col min="7689" max="7689" width="22.08984375" style="90" customWidth="1"/>
    <col min="7690" max="7690" width="9.7265625" style="90" customWidth="1"/>
    <col min="7691" max="7691" width="7.36328125" style="90" customWidth="1"/>
    <col min="7692" max="7692" width="9" style="90"/>
    <col min="7693" max="7693" width="9.26953125" style="90" customWidth="1"/>
    <col min="7694" max="7694" width="3.453125" style="90" customWidth="1"/>
    <col min="7695" max="7696" width="12.6328125" style="90" customWidth="1"/>
    <col min="7697" max="7697" width="9" style="90"/>
    <col min="7698" max="7698" width="7.7265625" style="90" customWidth="1"/>
    <col min="7699" max="7699" width="13.08984375" style="90" customWidth="1"/>
    <col min="7700" max="7700" width="6.08984375" style="90" customWidth="1"/>
    <col min="7701" max="7701" width="9.7265625" style="90" customWidth="1"/>
    <col min="7702" max="7702" width="1.36328125" style="90" customWidth="1"/>
    <col min="7703" max="7942" width="9" style="90"/>
    <col min="7943" max="7943" width="1.36328125" style="90" customWidth="1"/>
    <col min="7944" max="7944" width="3.453125" style="90" customWidth="1"/>
    <col min="7945" max="7945" width="22.08984375" style="90" customWidth="1"/>
    <col min="7946" max="7946" width="9.7265625" style="90" customWidth="1"/>
    <col min="7947" max="7947" width="7.36328125" style="90" customWidth="1"/>
    <col min="7948" max="7948" width="9" style="90"/>
    <col min="7949" max="7949" width="9.26953125" style="90" customWidth="1"/>
    <col min="7950" max="7950" width="3.453125" style="90" customWidth="1"/>
    <col min="7951" max="7952" width="12.6328125" style="90" customWidth="1"/>
    <col min="7953" max="7953" width="9" style="90"/>
    <col min="7954" max="7954" width="7.7265625" style="90" customWidth="1"/>
    <col min="7955" max="7955" width="13.08984375" style="90" customWidth="1"/>
    <col min="7956" max="7956" width="6.08984375" style="90" customWidth="1"/>
    <col min="7957" max="7957" width="9.7265625" style="90" customWidth="1"/>
    <col min="7958" max="7958" width="1.36328125" style="90" customWidth="1"/>
    <col min="7959" max="8198" width="9" style="90"/>
    <col min="8199" max="8199" width="1.36328125" style="90" customWidth="1"/>
    <col min="8200" max="8200" width="3.453125" style="90" customWidth="1"/>
    <col min="8201" max="8201" width="22.08984375" style="90" customWidth="1"/>
    <col min="8202" max="8202" width="9.7265625" style="90" customWidth="1"/>
    <col min="8203" max="8203" width="7.36328125" style="90" customWidth="1"/>
    <col min="8204" max="8204" width="9" style="90"/>
    <col min="8205" max="8205" width="9.26953125" style="90" customWidth="1"/>
    <col min="8206" max="8206" width="3.453125" style="90" customWidth="1"/>
    <col min="8207" max="8208" width="12.6328125" style="90" customWidth="1"/>
    <col min="8209" max="8209" width="9" style="90"/>
    <col min="8210" max="8210" width="7.7265625" style="90" customWidth="1"/>
    <col min="8211" max="8211" width="13.08984375" style="90" customWidth="1"/>
    <col min="8212" max="8212" width="6.08984375" style="90" customWidth="1"/>
    <col min="8213" max="8213" width="9.7265625" style="90" customWidth="1"/>
    <col min="8214" max="8214" width="1.36328125" style="90" customWidth="1"/>
    <col min="8215" max="8454" width="9" style="90"/>
    <col min="8455" max="8455" width="1.36328125" style="90" customWidth="1"/>
    <col min="8456" max="8456" width="3.453125" style="90" customWidth="1"/>
    <col min="8457" max="8457" width="22.08984375" style="90" customWidth="1"/>
    <col min="8458" max="8458" width="9.7265625" style="90" customWidth="1"/>
    <col min="8459" max="8459" width="7.36328125" style="90" customWidth="1"/>
    <col min="8460" max="8460" width="9" style="90"/>
    <col min="8461" max="8461" width="9.26953125" style="90" customWidth="1"/>
    <col min="8462" max="8462" width="3.453125" style="90" customWidth="1"/>
    <col min="8463" max="8464" width="12.6328125" style="90" customWidth="1"/>
    <col min="8465" max="8465" width="9" style="90"/>
    <col min="8466" max="8466" width="7.7265625" style="90" customWidth="1"/>
    <col min="8467" max="8467" width="13.08984375" style="90" customWidth="1"/>
    <col min="8468" max="8468" width="6.08984375" style="90" customWidth="1"/>
    <col min="8469" max="8469" width="9.7265625" style="90" customWidth="1"/>
    <col min="8470" max="8470" width="1.36328125" style="90" customWidth="1"/>
    <col min="8471" max="8710" width="9" style="90"/>
    <col min="8711" max="8711" width="1.36328125" style="90" customWidth="1"/>
    <col min="8712" max="8712" width="3.453125" style="90" customWidth="1"/>
    <col min="8713" max="8713" width="22.08984375" style="90" customWidth="1"/>
    <col min="8714" max="8714" width="9.7265625" style="90" customWidth="1"/>
    <col min="8715" max="8715" width="7.36328125" style="90" customWidth="1"/>
    <col min="8716" max="8716" width="9" style="90"/>
    <col min="8717" max="8717" width="9.26953125" style="90" customWidth="1"/>
    <col min="8718" max="8718" width="3.453125" style="90" customWidth="1"/>
    <col min="8719" max="8720" width="12.6328125" style="90" customWidth="1"/>
    <col min="8721" max="8721" width="9" style="90"/>
    <col min="8722" max="8722" width="7.7265625" style="90" customWidth="1"/>
    <col min="8723" max="8723" width="13.08984375" style="90" customWidth="1"/>
    <col min="8724" max="8724" width="6.08984375" style="90" customWidth="1"/>
    <col min="8725" max="8725" width="9.7265625" style="90" customWidth="1"/>
    <col min="8726" max="8726" width="1.36328125" style="90" customWidth="1"/>
    <col min="8727" max="8966" width="9" style="90"/>
    <col min="8967" max="8967" width="1.36328125" style="90" customWidth="1"/>
    <col min="8968" max="8968" width="3.453125" style="90" customWidth="1"/>
    <col min="8969" max="8969" width="22.08984375" style="90" customWidth="1"/>
    <col min="8970" max="8970" width="9.7265625" style="90" customWidth="1"/>
    <col min="8971" max="8971" width="7.36328125" style="90" customWidth="1"/>
    <col min="8972" max="8972" width="9" style="90"/>
    <col min="8973" max="8973" width="9.26953125" style="90" customWidth="1"/>
    <col min="8974" max="8974" width="3.453125" style="90" customWidth="1"/>
    <col min="8975" max="8976" width="12.6328125" style="90" customWidth="1"/>
    <col min="8977" max="8977" width="9" style="90"/>
    <col min="8978" max="8978" width="7.7265625" style="90" customWidth="1"/>
    <col min="8979" max="8979" width="13.08984375" style="90" customWidth="1"/>
    <col min="8980" max="8980" width="6.08984375" style="90" customWidth="1"/>
    <col min="8981" max="8981" width="9.7265625" style="90" customWidth="1"/>
    <col min="8982" max="8982" width="1.36328125" style="90" customWidth="1"/>
    <col min="8983" max="9222" width="9" style="90"/>
    <col min="9223" max="9223" width="1.36328125" style="90" customWidth="1"/>
    <col min="9224" max="9224" width="3.453125" style="90" customWidth="1"/>
    <col min="9225" max="9225" width="22.08984375" style="90" customWidth="1"/>
    <col min="9226" max="9226" width="9.7265625" style="90" customWidth="1"/>
    <col min="9227" max="9227" width="7.36328125" style="90" customWidth="1"/>
    <col min="9228" max="9228" width="9" style="90"/>
    <col min="9229" max="9229" width="9.26953125" style="90" customWidth="1"/>
    <col min="9230" max="9230" width="3.453125" style="90" customWidth="1"/>
    <col min="9231" max="9232" width="12.6328125" style="90" customWidth="1"/>
    <col min="9233" max="9233" width="9" style="90"/>
    <col min="9234" max="9234" width="7.7265625" style="90" customWidth="1"/>
    <col min="9235" max="9235" width="13.08984375" style="90" customWidth="1"/>
    <col min="9236" max="9236" width="6.08984375" style="90" customWidth="1"/>
    <col min="9237" max="9237" width="9.7265625" style="90" customWidth="1"/>
    <col min="9238" max="9238" width="1.36328125" style="90" customWidth="1"/>
    <col min="9239" max="9478" width="9" style="90"/>
    <col min="9479" max="9479" width="1.36328125" style="90" customWidth="1"/>
    <col min="9480" max="9480" width="3.453125" style="90" customWidth="1"/>
    <col min="9481" max="9481" width="22.08984375" style="90" customWidth="1"/>
    <col min="9482" max="9482" width="9.7265625" style="90" customWidth="1"/>
    <col min="9483" max="9483" width="7.36328125" style="90" customWidth="1"/>
    <col min="9484" max="9484" width="9" style="90"/>
    <col min="9485" max="9485" width="9.26953125" style="90" customWidth="1"/>
    <col min="9486" max="9486" width="3.453125" style="90" customWidth="1"/>
    <col min="9487" max="9488" width="12.6328125" style="90" customWidth="1"/>
    <col min="9489" max="9489" width="9" style="90"/>
    <col min="9490" max="9490" width="7.7265625" style="90" customWidth="1"/>
    <col min="9491" max="9491" width="13.08984375" style="90" customWidth="1"/>
    <col min="9492" max="9492" width="6.08984375" style="90" customWidth="1"/>
    <col min="9493" max="9493" width="9.7265625" style="90" customWidth="1"/>
    <col min="9494" max="9494" width="1.36328125" style="90" customWidth="1"/>
    <col min="9495" max="9734" width="9" style="90"/>
    <col min="9735" max="9735" width="1.36328125" style="90" customWidth="1"/>
    <col min="9736" max="9736" width="3.453125" style="90" customWidth="1"/>
    <col min="9737" max="9737" width="22.08984375" style="90" customWidth="1"/>
    <col min="9738" max="9738" width="9.7265625" style="90" customWidth="1"/>
    <col min="9739" max="9739" width="7.36328125" style="90" customWidth="1"/>
    <col min="9740" max="9740" width="9" style="90"/>
    <col min="9741" max="9741" width="9.26953125" style="90" customWidth="1"/>
    <col min="9742" max="9742" width="3.453125" style="90" customWidth="1"/>
    <col min="9743" max="9744" width="12.6328125" style="90" customWidth="1"/>
    <col min="9745" max="9745" width="9" style="90"/>
    <col min="9746" max="9746" width="7.7265625" style="90" customWidth="1"/>
    <col min="9747" max="9747" width="13.08984375" style="90" customWidth="1"/>
    <col min="9748" max="9748" width="6.08984375" style="90" customWidth="1"/>
    <col min="9749" max="9749" width="9.7265625" style="90" customWidth="1"/>
    <col min="9750" max="9750" width="1.36328125" style="90" customWidth="1"/>
    <col min="9751" max="9990" width="9" style="90"/>
    <col min="9991" max="9991" width="1.36328125" style="90" customWidth="1"/>
    <col min="9992" max="9992" width="3.453125" style="90" customWidth="1"/>
    <col min="9993" max="9993" width="22.08984375" style="90" customWidth="1"/>
    <col min="9994" max="9994" width="9.7265625" style="90" customWidth="1"/>
    <col min="9995" max="9995" width="7.36328125" style="90" customWidth="1"/>
    <col min="9996" max="9996" width="9" style="90"/>
    <col min="9997" max="9997" width="9.26953125" style="90" customWidth="1"/>
    <col min="9998" max="9998" width="3.453125" style="90" customWidth="1"/>
    <col min="9999" max="10000" width="12.6328125" style="90" customWidth="1"/>
    <col min="10001" max="10001" width="9" style="90"/>
    <col min="10002" max="10002" width="7.7265625" style="90" customWidth="1"/>
    <col min="10003" max="10003" width="13.08984375" style="90" customWidth="1"/>
    <col min="10004" max="10004" width="6.08984375" style="90" customWidth="1"/>
    <col min="10005" max="10005" width="9.7265625" style="90" customWidth="1"/>
    <col min="10006" max="10006" width="1.36328125" style="90" customWidth="1"/>
    <col min="10007" max="10246" width="9" style="90"/>
    <col min="10247" max="10247" width="1.36328125" style="90" customWidth="1"/>
    <col min="10248" max="10248" width="3.453125" style="90" customWidth="1"/>
    <col min="10249" max="10249" width="22.08984375" style="90" customWidth="1"/>
    <col min="10250" max="10250" width="9.7265625" style="90" customWidth="1"/>
    <col min="10251" max="10251" width="7.36328125" style="90" customWidth="1"/>
    <col min="10252" max="10252" width="9" style="90"/>
    <col min="10253" max="10253" width="9.26953125" style="90" customWidth="1"/>
    <col min="10254" max="10254" width="3.453125" style="90" customWidth="1"/>
    <col min="10255" max="10256" width="12.6328125" style="90" customWidth="1"/>
    <col min="10257" max="10257" width="9" style="90"/>
    <col min="10258" max="10258" width="7.7265625" style="90" customWidth="1"/>
    <col min="10259" max="10259" width="13.08984375" style="90" customWidth="1"/>
    <col min="10260" max="10260" width="6.08984375" style="90" customWidth="1"/>
    <col min="10261" max="10261" width="9.7265625" style="90" customWidth="1"/>
    <col min="10262" max="10262" width="1.36328125" style="90" customWidth="1"/>
    <col min="10263" max="10502" width="9" style="90"/>
    <col min="10503" max="10503" width="1.36328125" style="90" customWidth="1"/>
    <col min="10504" max="10504" width="3.453125" style="90" customWidth="1"/>
    <col min="10505" max="10505" width="22.08984375" style="90" customWidth="1"/>
    <col min="10506" max="10506" width="9.7265625" style="90" customWidth="1"/>
    <col min="10507" max="10507" width="7.36328125" style="90" customWidth="1"/>
    <col min="10508" max="10508" width="9" style="90"/>
    <col min="10509" max="10509" width="9.26953125" style="90" customWidth="1"/>
    <col min="10510" max="10510" width="3.453125" style="90" customWidth="1"/>
    <col min="10511" max="10512" width="12.6328125" style="90" customWidth="1"/>
    <col min="10513" max="10513" width="9" style="90"/>
    <col min="10514" max="10514" width="7.7265625" style="90" customWidth="1"/>
    <col min="10515" max="10515" width="13.08984375" style="90" customWidth="1"/>
    <col min="10516" max="10516" width="6.08984375" style="90" customWidth="1"/>
    <col min="10517" max="10517" width="9.7265625" style="90" customWidth="1"/>
    <col min="10518" max="10518" width="1.36328125" style="90" customWidth="1"/>
    <col min="10519" max="10758" width="9" style="90"/>
    <col min="10759" max="10759" width="1.36328125" style="90" customWidth="1"/>
    <col min="10760" max="10760" width="3.453125" style="90" customWidth="1"/>
    <col min="10761" max="10761" width="22.08984375" style="90" customWidth="1"/>
    <col min="10762" max="10762" width="9.7265625" style="90" customWidth="1"/>
    <col min="10763" max="10763" width="7.36328125" style="90" customWidth="1"/>
    <col min="10764" max="10764" width="9" style="90"/>
    <col min="10765" max="10765" width="9.26953125" style="90" customWidth="1"/>
    <col min="10766" max="10766" width="3.453125" style="90" customWidth="1"/>
    <col min="10767" max="10768" width="12.6328125" style="90" customWidth="1"/>
    <col min="10769" max="10769" width="9" style="90"/>
    <col min="10770" max="10770" width="7.7265625" style="90" customWidth="1"/>
    <col min="10771" max="10771" width="13.08984375" style="90" customWidth="1"/>
    <col min="10772" max="10772" width="6.08984375" style="90" customWidth="1"/>
    <col min="10773" max="10773" width="9.7265625" style="90" customWidth="1"/>
    <col min="10774" max="10774" width="1.36328125" style="90" customWidth="1"/>
    <col min="10775" max="11014" width="9" style="90"/>
    <col min="11015" max="11015" width="1.36328125" style="90" customWidth="1"/>
    <col min="11016" max="11016" width="3.453125" style="90" customWidth="1"/>
    <col min="11017" max="11017" width="22.08984375" style="90" customWidth="1"/>
    <col min="11018" max="11018" width="9.7265625" style="90" customWidth="1"/>
    <col min="11019" max="11019" width="7.36328125" style="90" customWidth="1"/>
    <col min="11020" max="11020" width="9" style="90"/>
    <col min="11021" max="11021" width="9.26953125" style="90" customWidth="1"/>
    <col min="11022" max="11022" width="3.453125" style="90" customWidth="1"/>
    <col min="11023" max="11024" width="12.6328125" style="90" customWidth="1"/>
    <col min="11025" max="11025" width="9" style="90"/>
    <col min="11026" max="11026" width="7.7265625" style="90" customWidth="1"/>
    <col min="11027" max="11027" width="13.08984375" style="90" customWidth="1"/>
    <col min="11028" max="11028" width="6.08984375" style="90" customWidth="1"/>
    <col min="11029" max="11029" width="9.7265625" style="90" customWidth="1"/>
    <col min="11030" max="11030" width="1.36328125" style="90" customWidth="1"/>
    <col min="11031" max="11270" width="9" style="90"/>
    <col min="11271" max="11271" width="1.36328125" style="90" customWidth="1"/>
    <col min="11272" max="11272" width="3.453125" style="90" customWidth="1"/>
    <col min="11273" max="11273" width="22.08984375" style="90" customWidth="1"/>
    <col min="11274" max="11274" width="9.7265625" style="90" customWidth="1"/>
    <col min="11275" max="11275" width="7.36328125" style="90" customWidth="1"/>
    <col min="11276" max="11276" width="9" style="90"/>
    <col min="11277" max="11277" width="9.26953125" style="90" customWidth="1"/>
    <col min="11278" max="11278" width="3.453125" style="90" customWidth="1"/>
    <col min="11279" max="11280" width="12.6328125" style="90" customWidth="1"/>
    <col min="11281" max="11281" width="9" style="90"/>
    <col min="11282" max="11282" width="7.7265625" style="90" customWidth="1"/>
    <col min="11283" max="11283" width="13.08984375" style="90" customWidth="1"/>
    <col min="11284" max="11284" width="6.08984375" style="90" customWidth="1"/>
    <col min="11285" max="11285" width="9.7265625" style="90" customWidth="1"/>
    <col min="11286" max="11286" width="1.36328125" style="90" customWidth="1"/>
    <col min="11287" max="11526" width="9" style="90"/>
    <col min="11527" max="11527" width="1.36328125" style="90" customWidth="1"/>
    <col min="11528" max="11528" width="3.453125" style="90" customWidth="1"/>
    <col min="11529" max="11529" width="22.08984375" style="90" customWidth="1"/>
    <col min="11530" max="11530" width="9.7265625" style="90" customWidth="1"/>
    <col min="11531" max="11531" width="7.36328125" style="90" customWidth="1"/>
    <col min="11532" max="11532" width="9" style="90"/>
    <col min="11533" max="11533" width="9.26953125" style="90" customWidth="1"/>
    <col min="11534" max="11534" width="3.453125" style="90" customWidth="1"/>
    <col min="11535" max="11536" width="12.6328125" style="90" customWidth="1"/>
    <col min="11537" max="11537" width="9" style="90"/>
    <col min="11538" max="11538" width="7.7265625" style="90" customWidth="1"/>
    <col min="11539" max="11539" width="13.08984375" style="90" customWidth="1"/>
    <col min="11540" max="11540" width="6.08984375" style="90" customWidth="1"/>
    <col min="11541" max="11541" width="9.7265625" style="90" customWidth="1"/>
    <col min="11542" max="11542" width="1.36328125" style="90" customWidth="1"/>
    <col min="11543" max="11782" width="9" style="90"/>
    <col min="11783" max="11783" width="1.36328125" style="90" customWidth="1"/>
    <col min="11784" max="11784" width="3.453125" style="90" customWidth="1"/>
    <col min="11785" max="11785" width="22.08984375" style="90" customWidth="1"/>
    <col min="11786" max="11786" width="9.7265625" style="90" customWidth="1"/>
    <col min="11787" max="11787" width="7.36328125" style="90" customWidth="1"/>
    <col min="11788" max="11788" width="9" style="90"/>
    <col min="11789" max="11789" width="9.26953125" style="90" customWidth="1"/>
    <col min="11790" max="11790" width="3.453125" style="90" customWidth="1"/>
    <col min="11791" max="11792" width="12.6328125" style="90" customWidth="1"/>
    <col min="11793" max="11793" width="9" style="90"/>
    <col min="11794" max="11794" width="7.7265625" style="90" customWidth="1"/>
    <col min="11795" max="11795" width="13.08984375" style="90" customWidth="1"/>
    <col min="11796" max="11796" width="6.08984375" style="90" customWidth="1"/>
    <col min="11797" max="11797" width="9.7265625" style="90" customWidth="1"/>
    <col min="11798" max="11798" width="1.36328125" style="90" customWidth="1"/>
    <col min="11799" max="12038" width="9" style="90"/>
    <col min="12039" max="12039" width="1.36328125" style="90" customWidth="1"/>
    <col min="12040" max="12040" width="3.453125" style="90" customWidth="1"/>
    <col min="12041" max="12041" width="22.08984375" style="90" customWidth="1"/>
    <col min="12042" max="12042" width="9.7265625" style="90" customWidth="1"/>
    <col min="12043" max="12043" width="7.36328125" style="90" customWidth="1"/>
    <col min="12044" max="12044" width="9" style="90"/>
    <col min="12045" max="12045" width="9.26953125" style="90" customWidth="1"/>
    <col min="12046" max="12046" width="3.453125" style="90" customWidth="1"/>
    <col min="12047" max="12048" width="12.6328125" style="90" customWidth="1"/>
    <col min="12049" max="12049" width="9" style="90"/>
    <col min="12050" max="12050" width="7.7265625" style="90" customWidth="1"/>
    <col min="12051" max="12051" width="13.08984375" style="90" customWidth="1"/>
    <col min="12052" max="12052" width="6.08984375" style="90" customWidth="1"/>
    <col min="12053" max="12053" width="9.7265625" style="90" customWidth="1"/>
    <col min="12054" max="12054" width="1.36328125" style="90" customWidth="1"/>
    <col min="12055" max="12294" width="9" style="90"/>
    <col min="12295" max="12295" width="1.36328125" style="90" customWidth="1"/>
    <col min="12296" max="12296" width="3.453125" style="90" customWidth="1"/>
    <col min="12297" max="12297" width="22.08984375" style="90" customWidth="1"/>
    <col min="12298" max="12298" width="9.7265625" style="90" customWidth="1"/>
    <col min="12299" max="12299" width="7.36328125" style="90" customWidth="1"/>
    <col min="12300" max="12300" width="9" style="90"/>
    <col min="12301" max="12301" width="9.26953125" style="90" customWidth="1"/>
    <col min="12302" max="12302" width="3.453125" style="90" customWidth="1"/>
    <col min="12303" max="12304" width="12.6328125" style="90" customWidth="1"/>
    <col min="12305" max="12305" width="9" style="90"/>
    <col min="12306" max="12306" width="7.7265625" style="90" customWidth="1"/>
    <col min="12307" max="12307" width="13.08984375" style="90" customWidth="1"/>
    <col min="12308" max="12308" width="6.08984375" style="90" customWidth="1"/>
    <col min="12309" max="12309" width="9.7265625" style="90" customWidth="1"/>
    <col min="12310" max="12310" width="1.36328125" style="90" customWidth="1"/>
    <col min="12311" max="12550" width="9" style="90"/>
    <col min="12551" max="12551" width="1.36328125" style="90" customWidth="1"/>
    <col min="12552" max="12552" width="3.453125" style="90" customWidth="1"/>
    <col min="12553" max="12553" width="22.08984375" style="90" customWidth="1"/>
    <col min="12554" max="12554" width="9.7265625" style="90" customWidth="1"/>
    <col min="12555" max="12555" width="7.36328125" style="90" customWidth="1"/>
    <col min="12556" max="12556" width="9" style="90"/>
    <col min="12557" max="12557" width="9.26953125" style="90" customWidth="1"/>
    <col min="12558" max="12558" width="3.453125" style="90" customWidth="1"/>
    <col min="12559" max="12560" width="12.6328125" style="90" customWidth="1"/>
    <col min="12561" max="12561" width="9" style="90"/>
    <col min="12562" max="12562" width="7.7265625" style="90" customWidth="1"/>
    <col min="12563" max="12563" width="13.08984375" style="90" customWidth="1"/>
    <col min="12564" max="12564" width="6.08984375" style="90" customWidth="1"/>
    <col min="12565" max="12565" width="9.7265625" style="90" customWidth="1"/>
    <col min="12566" max="12566" width="1.36328125" style="90" customWidth="1"/>
    <col min="12567" max="12806" width="9" style="90"/>
    <col min="12807" max="12807" width="1.36328125" style="90" customWidth="1"/>
    <col min="12808" max="12808" width="3.453125" style="90" customWidth="1"/>
    <col min="12809" max="12809" width="22.08984375" style="90" customWidth="1"/>
    <col min="12810" max="12810" width="9.7265625" style="90" customWidth="1"/>
    <col min="12811" max="12811" width="7.36328125" style="90" customWidth="1"/>
    <col min="12812" max="12812" width="9" style="90"/>
    <col min="12813" max="12813" width="9.26953125" style="90" customWidth="1"/>
    <col min="12814" max="12814" width="3.453125" style="90" customWidth="1"/>
    <col min="12815" max="12816" width="12.6328125" style="90" customWidth="1"/>
    <col min="12817" max="12817" width="9" style="90"/>
    <col min="12818" max="12818" width="7.7265625" style="90" customWidth="1"/>
    <col min="12819" max="12819" width="13.08984375" style="90" customWidth="1"/>
    <col min="12820" max="12820" width="6.08984375" style="90" customWidth="1"/>
    <col min="12821" max="12821" width="9.7265625" style="90" customWidth="1"/>
    <col min="12822" max="12822" width="1.36328125" style="90" customWidth="1"/>
    <col min="12823" max="13062" width="9" style="90"/>
    <col min="13063" max="13063" width="1.36328125" style="90" customWidth="1"/>
    <col min="13064" max="13064" width="3.453125" style="90" customWidth="1"/>
    <col min="13065" max="13065" width="22.08984375" style="90" customWidth="1"/>
    <col min="13066" max="13066" width="9.7265625" style="90" customWidth="1"/>
    <col min="13067" max="13067" width="7.36328125" style="90" customWidth="1"/>
    <col min="13068" max="13068" width="9" style="90"/>
    <col min="13069" max="13069" width="9.26953125" style="90" customWidth="1"/>
    <col min="13070" max="13070" width="3.453125" style="90" customWidth="1"/>
    <col min="13071" max="13072" width="12.6328125" style="90" customWidth="1"/>
    <col min="13073" max="13073" width="9" style="90"/>
    <col min="13074" max="13074" width="7.7265625" style="90" customWidth="1"/>
    <col min="13075" max="13075" width="13.08984375" style="90" customWidth="1"/>
    <col min="13076" max="13076" width="6.08984375" style="90" customWidth="1"/>
    <col min="13077" max="13077" width="9.7265625" style="90" customWidth="1"/>
    <col min="13078" max="13078" width="1.36328125" style="90" customWidth="1"/>
    <col min="13079" max="13318" width="9" style="90"/>
    <col min="13319" max="13319" width="1.36328125" style="90" customWidth="1"/>
    <col min="13320" max="13320" width="3.453125" style="90" customWidth="1"/>
    <col min="13321" max="13321" width="22.08984375" style="90" customWidth="1"/>
    <col min="13322" max="13322" width="9.7265625" style="90" customWidth="1"/>
    <col min="13323" max="13323" width="7.36328125" style="90" customWidth="1"/>
    <col min="13324" max="13324" width="9" style="90"/>
    <col min="13325" max="13325" width="9.26953125" style="90" customWidth="1"/>
    <col min="13326" max="13326" width="3.453125" style="90" customWidth="1"/>
    <col min="13327" max="13328" width="12.6328125" style="90" customWidth="1"/>
    <col min="13329" max="13329" width="9" style="90"/>
    <col min="13330" max="13330" width="7.7265625" style="90" customWidth="1"/>
    <col min="13331" max="13331" width="13.08984375" style="90" customWidth="1"/>
    <col min="13332" max="13332" width="6.08984375" style="90" customWidth="1"/>
    <col min="13333" max="13333" width="9.7265625" style="90" customWidth="1"/>
    <col min="13334" max="13334" width="1.36328125" style="90" customWidth="1"/>
    <col min="13335" max="13574" width="9" style="90"/>
    <col min="13575" max="13575" width="1.36328125" style="90" customWidth="1"/>
    <col min="13576" max="13576" width="3.453125" style="90" customWidth="1"/>
    <col min="13577" max="13577" width="22.08984375" style="90" customWidth="1"/>
    <col min="13578" max="13578" width="9.7265625" style="90" customWidth="1"/>
    <col min="13579" max="13579" width="7.36328125" style="90" customWidth="1"/>
    <col min="13580" max="13580" width="9" style="90"/>
    <col min="13581" max="13581" width="9.26953125" style="90" customWidth="1"/>
    <col min="13582" max="13582" width="3.453125" style="90" customWidth="1"/>
    <col min="13583" max="13584" width="12.6328125" style="90" customWidth="1"/>
    <col min="13585" max="13585" width="9" style="90"/>
    <col min="13586" max="13586" width="7.7265625" style="90" customWidth="1"/>
    <col min="13587" max="13587" width="13.08984375" style="90" customWidth="1"/>
    <col min="13588" max="13588" width="6.08984375" style="90" customWidth="1"/>
    <col min="13589" max="13589" width="9.7265625" style="90" customWidth="1"/>
    <col min="13590" max="13590" width="1.36328125" style="90" customWidth="1"/>
    <col min="13591" max="13830" width="9" style="90"/>
    <col min="13831" max="13831" width="1.36328125" style="90" customWidth="1"/>
    <col min="13832" max="13832" width="3.453125" style="90" customWidth="1"/>
    <col min="13833" max="13833" width="22.08984375" style="90" customWidth="1"/>
    <col min="13834" max="13834" width="9.7265625" style="90" customWidth="1"/>
    <col min="13835" max="13835" width="7.36328125" style="90" customWidth="1"/>
    <col min="13836" max="13836" width="9" style="90"/>
    <col min="13837" max="13837" width="9.26953125" style="90" customWidth="1"/>
    <col min="13838" max="13838" width="3.453125" style="90" customWidth="1"/>
    <col min="13839" max="13840" width="12.6328125" style="90" customWidth="1"/>
    <col min="13841" max="13841" width="9" style="90"/>
    <col min="13842" max="13842" width="7.7265625" style="90" customWidth="1"/>
    <col min="13843" max="13843" width="13.08984375" style="90" customWidth="1"/>
    <col min="13844" max="13844" width="6.08984375" style="90" customWidth="1"/>
    <col min="13845" max="13845" width="9.7265625" style="90" customWidth="1"/>
    <col min="13846" max="13846" width="1.36328125" style="90" customWidth="1"/>
    <col min="13847" max="14086" width="9" style="90"/>
    <col min="14087" max="14087" width="1.36328125" style="90" customWidth="1"/>
    <col min="14088" max="14088" width="3.453125" style="90" customWidth="1"/>
    <col min="14089" max="14089" width="22.08984375" style="90" customWidth="1"/>
    <col min="14090" max="14090" width="9.7265625" style="90" customWidth="1"/>
    <col min="14091" max="14091" width="7.36328125" style="90" customWidth="1"/>
    <col min="14092" max="14092" width="9" style="90"/>
    <col min="14093" max="14093" width="9.26953125" style="90" customWidth="1"/>
    <col min="14094" max="14094" width="3.453125" style="90" customWidth="1"/>
    <col min="14095" max="14096" width="12.6328125" style="90" customWidth="1"/>
    <col min="14097" max="14097" width="9" style="90"/>
    <col min="14098" max="14098" width="7.7265625" style="90" customWidth="1"/>
    <col min="14099" max="14099" width="13.08984375" style="90" customWidth="1"/>
    <col min="14100" max="14100" width="6.08984375" style="90" customWidth="1"/>
    <col min="14101" max="14101" width="9.7265625" style="90" customWidth="1"/>
    <col min="14102" max="14102" width="1.36328125" style="90" customWidth="1"/>
    <col min="14103" max="14342" width="9" style="90"/>
    <col min="14343" max="14343" width="1.36328125" style="90" customWidth="1"/>
    <col min="14344" max="14344" width="3.453125" style="90" customWidth="1"/>
    <col min="14345" max="14345" width="22.08984375" style="90" customWidth="1"/>
    <col min="14346" max="14346" width="9.7265625" style="90" customWidth="1"/>
    <col min="14347" max="14347" width="7.36328125" style="90" customWidth="1"/>
    <col min="14348" max="14348" width="9" style="90"/>
    <col min="14349" max="14349" width="9.26953125" style="90" customWidth="1"/>
    <col min="14350" max="14350" width="3.453125" style="90" customWidth="1"/>
    <col min="14351" max="14352" width="12.6328125" style="90" customWidth="1"/>
    <col min="14353" max="14353" width="9" style="90"/>
    <col min="14354" max="14354" width="7.7265625" style="90" customWidth="1"/>
    <col min="14355" max="14355" width="13.08984375" style="90" customWidth="1"/>
    <col min="14356" max="14356" width="6.08984375" style="90" customWidth="1"/>
    <col min="14357" max="14357" width="9.7265625" style="90" customWidth="1"/>
    <col min="14358" max="14358" width="1.36328125" style="90" customWidth="1"/>
    <col min="14359" max="14598" width="9" style="90"/>
    <col min="14599" max="14599" width="1.36328125" style="90" customWidth="1"/>
    <col min="14600" max="14600" width="3.453125" style="90" customWidth="1"/>
    <col min="14601" max="14601" width="22.08984375" style="90" customWidth="1"/>
    <col min="14602" max="14602" width="9.7265625" style="90" customWidth="1"/>
    <col min="14603" max="14603" width="7.36328125" style="90" customWidth="1"/>
    <col min="14604" max="14604" width="9" style="90"/>
    <col min="14605" max="14605" width="9.26953125" style="90" customWidth="1"/>
    <col min="14606" max="14606" width="3.453125" style="90" customWidth="1"/>
    <col min="14607" max="14608" width="12.6328125" style="90" customWidth="1"/>
    <col min="14609" max="14609" width="9" style="90"/>
    <col min="14610" max="14610" width="7.7265625" style="90" customWidth="1"/>
    <col min="14611" max="14611" width="13.08984375" style="90" customWidth="1"/>
    <col min="14612" max="14612" width="6.08984375" style="90" customWidth="1"/>
    <col min="14613" max="14613" width="9.7265625" style="90" customWidth="1"/>
    <col min="14614" max="14614" width="1.36328125" style="90" customWidth="1"/>
    <col min="14615" max="14854" width="9" style="90"/>
    <col min="14855" max="14855" width="1.36328125" style="90" customWidth="1"/>
    <col min="14856" max="14856" width="3.453125" style="90" customWidth="1"/>
    <col min="14857" max="14857" width="22.08984375" style="90" customWidth="1"/>
    <col min="14858" max="14858" width="9.7265625" style="90" customWidth="1"/>
    <col min="14859" max="14859" width="7.36328125" style="90" customWidth="1"/>
    <col min="14860" max="14860" width="9" style="90"/>
    <col min="14861" max="14861" width="9.26953125" style="90" customWidth="1"/>
    <col min="14862" max="14862" width="3.453125" style="90" customWidth="1"/>
    <col min="14863" max="14864" width="12.6328125" style="90" customWidth="1"/>
    <col min="14865" max="14865" width="9" style="90"/>
    <col min="14866" max="14866" width="7.7265625" style="90" customWidth="1"/>
    <col min="14867" max="14867" width="13.08984375" style="90" customWidth="1"/>
    <col min="14868" max="14868" width="6.08984375" style="90" customWidth="1"/>
    <col min="14869" max="14869" width="9.7265625" style="90" customWidth="1"/>
    <col min="14870" max="14870" width="1.36328125" style="90" customWidth="1"/>
    <col min="14871" max="15110" width="9" style="90"/>
    <col min="15111" max="15111" width="1.36328125" style="90" customWidth="1"/>
    <col min="15112" max="15112" width="3.453125" style="90" customWidth="1"/>
    <col min="15113" max="15113" width="22.08984375" style="90" customWidth="1"/>
    <col min="15114" max="15114" width="9.7265625" style="90" customWidth="1"/>
    <col min="15115" max="15115" width="7.36328125" style="90" customWidth="1"/>
    <col min="15116" max="15116" width="9" style="90"/>
    <col min="15117" max="15117" width="9.26953125" style="90" customWidth="1"/>
    <col min="15118" max="15118" width="3.453125" style="90" customWidth="1"/>
    <col min="15119" max="15120" width="12.6328125" style="90" customWidth="1"/>
    <col min="15121" max="15121" width="9" style="90"/>
    <col min="15122" max="15122" width="7.7265625" style="90" customWidth="1"/>
    <col min="15123" max="15123" width="13.08984375" style="90" customWidth="1"/>
    <col min="15124" max="15124" width="6.08984375" style="90" customWidth="1"/>
    <col min="15125" max="15125" width="9.7265625" style="90" customWidth="1"/>
    <col min="15126" max="15126" width="1.36328125" style="90" customWidth="1"/>
    <col min="15127" max="15366" width="9" style="90"/>
    <col min="15367" max="15367" width="1.36328125" style="90" customWidth="1"/>
    <col min="15368" max="15368" width="3.453125" style="90" customWidth="1"/>
    <col min="15369" max="15369" width="22.08984375" style="90" customWidth="1"/>
    <col min="15370" max="15370" width="9.7265625" style="90" customWidth="1"/>
    <col min="15371" max="15371" width="7.36328125" style="90" customWidth="1"/>
    <col min="15372" max="15372" width="9" style="90"/>
    <col min="15373" max="15373" width="9.26953125" style="90" customWidth="1"/>
    <col min="15374" max="15374" width="3.453125" style="90" customWidth="1"/>
    <col min="15375" max="15376" width="12.6328125" style="90" customWidth="1"/>
    <col min="15377" max="15377" width="9" style="90"/>
    <col min="15378" max="15378" width="7.7265625" style="90" customWidth="1"/>
    <col min="15379" max="15379" width="13.08984375" style="90" customWidth="1"/>
    <col min="15380" max="15380" width="6.08984375" style="90" customWidth="1"/>
    <col min="15381" max="15381" width="9.7265625" style="90" customWidth="1"/>
    <col min="15382" max="15382" width="1.36328125" style="90" customWidth="1"/>
    <col min="15383" max="15622" width="9" style="90"/>
    <col min="15623" max="15623" width="1.36328125" style="90" customWidth="1"/>
    <col min="15624" max="15624" width="3.453125" style="90" customWidth="1"/>
    <col min="15625" max="15625" width="22.08984375" style="90" customWidth="1"/>
    <col min="15626" max="15626" width="9.7265625" style="90" customWidth="1"/>
    <col min="15627" max="15627" width="7.36328125" style="90" customWidth="1"/>
    <col min="15628" max="15628" width="9" style="90"/>
    <col min="15629" max="15629" width="9.26953125" style="90" customWidth="1"/>
    <col min="15630" max="15630" width="3.453125" style="90" customWidth="1"/>
    <col min="15631" max="15632" width="12.6328125" style="90" customWidth="1"/>
    <col min="15633" max="15633" width="9" style="90"/>
    <col min="15634" max="15634" width="7.7265625" style="90" customWidth="1"/>
    <col min="15635" max="15635" width="13.08984375" style="90" customWidth="1"/>
    <col min="15636" max="15636" width="6.08984375" style="90" customWidth="1"/>
    <col min="15637" max="15637" width="9.7265625" style="90" customWidth="1"/>
    <col min="15638" max="15638" width="1.36328125" style="90" customWidth="1"/>
    <col min="15639" max="15878" width="9" style="90"/>
    <col min="15879" max="15879" width="1.36328125" style="90" customWidth="1"/>
    <col min="15880" max="15880" width="3.453125" style="90" customWidth="1"/>
    <col min="15881" max="15881" width="22.08984375" style="90" customWidth="1"/>
    <col min="15882" max="15882" width="9.7265625" style="90" customWidth="1"/>
    <col min="15883" max="15883" width="7.36328125" style="90" customWidth="1"/>
    <col min="15884" max="15884" width="9" style="90"/>
    <col min="15885" max="15885" width="9.26953125" style="90" customWidth="1"/>
    <col min="15886" max="15886" width="3.453125" style="90" customWidth="1"/>
    <col min="15887" max="15888" width="12.6328125" style="90" customWidth="1"/>
    <col min="15889" max="15889" width="9" style="90"/>
    <col min="15890" max="15890" width="7.7265625" style="90" customWidth="1"/>
    <col min="15891" max="15891" width="13.08984375" style="90" customWidth="1"/>
    <col min="15892" max="15892" width="6.08984375" style="90" customWidth="1"/>
    <col min="15893" max="15893" width="9.7265625" style="90" customWidth="1"/>
    <col min="15894" max="15894" width="1.36328125" style="90" customWidth="1"/>
    <col min="15895" max="16134" width="9" style="90"/>
    <col min="16135" max="16135" width="1.36328125" style="90" customWidth="1"/>
    <col min="16136" max="16136" width="3.453125" style="90" customWidth="1"/>
    <col min="16137" max="16137" width="22.08984375" style="90" customWidth="1"/>
    <col min="16138" max="16138" width="9.7265625" style="90" customWidth="1"/>
    <col min="16139" max="16139" width="7.36328125" style="90" customWidth="1"/>
    <col min="16140" max="16140" width="9" style="90"/>
    <col min="16141" max="16141" width="9.26953125" style="90" customWidth="1"/>
    <col min="16142" max="16142" width="3.453125" style="90" customWidth="1"/>
    <col min="16143" max="16144" width="12.6328125" style="90" customWidth="1"/>
    <col min="16145" max="16145" width="9" style="90"/>
    <col min="16146" max="16146" width="7.7265625" style="90" customWidth="1"/>
    <col min="16147" max="16147" width="13.08984375" style="90" customWidth="1"/>
    <col min="16148" max="16148" width="6.08984375" style="90" customWidth="1"/>
    <col min="16149" max="16149" width="9.7265625" style="90" customWidth="1"/>
    <col min="16150" max="16150" width="1.36328125" style="90" customWidth="1"/>
    <col min="16151" max="16384" width="9" style="90"/>
  </cols>
  <sheetData>
    <row r="1" spans="2:22" ht="10" customHeight="1" x14ac:dyDescent="0.2"/>
    <row r="2" spans="2:22" ht="25" customHeight="1" x14ac:dyDescent="0.2">
      <c r="B2" s="1" t="s">
        <v>679</v>
      </c>
      <c r="C2" s="92"/>
      <c r="D2" s="13"/>
      <c r="E2" s="13"/>
      <c r="F2" s="92"/>
      <c r="G2" s="160"/>
      <c r="H2" s="170"/>
      <c r="I2" s="160"/>
      <c r="J2" s="160"/>
      <c r="K2" s="160"/>
      <c r="L2" s="160"/>
      <c r="M2" s="160"/>
      <c r="N2" s="160"/>
      <c r="O2" s="13"/>
    </row>
    <row r="3" spans="2:22" ht="15" customHeight="1" thickBot="1" x14ac:dyDescent="0.25">
      <c r="B3" s="90" t="s">
        <v>234</v>
      </c>
      <c r="I3" s="13" t="s">
        <v>235</v>
      </c>
      <c r="P3" s="90" t="s">
        <v>255</v>
      </c>
    </row>
    <row r="4" spans="2:22" ht="15" customHeight="1" x14ac:dyDescent="0.2">
      <c r="B4" s="322" t="s">
        <v>90</v>
      </c>
      <c r="C4" s="209" t="s">
        <v>193</v>
      </c>
      <c r="D4" s="209" t="s">
        <v>154</v>
      </c>
      <c r="E4" s="209" t="s">
        <v>155</v>
      </c>
      <c r="F4" s="209" t="s">
        <v>24</v>
      </c>
      <c r="G4" s="361" t="s">
        <v>156</v>
      </c>
      <c r="H4" s="210"/>
      <c r="I4" s="1244" t="s">
        <v>90</v>
      </c>
      <c r="J4" s="1242" t="s">
        <v>197</v>
      </c>
      <c r="K4" s="399" t="s">
        <v>727</v>
      </c>
      <c r="L4" s="399" t="s">
        <v>157</v>
      </c>
      <c r="M4" s="1242" t="s">
        <v>24</v>
      </c>
      <c r="N4" s="1239" t="s">
        <v>156</v>
      </c>
      <c r="O4" s="229"/>
      <c r="P4" s="323" t="s">
        <v>200</v>
      </c>
      <c r="Q4" s="324" t="s">
        <v>201</v>
      </c>
      <c r="R4" s="324" t="s">
        <v>202</v>
      </c>
      <c r="S4" s="324" t="s">
        <v>560</v>
      </c>
      <c r="T4" s="1288" t="s">
        <v>204</v>
      </c>
      <c r="U4" s="1161"/>
      <c r="V4" s="642" t="s">
        <v>205</v>
      </c>
    </row>
    <row r="5" spans="2:22" ht="15" customHeight="1" x14ac:dyDescent="0.2">
      <c r="B5" s="1093" t="s">
        <v>189</v>
      </c>
      <c r="C5" s="643" t="str">
        <f>イチジク肥料!A4</f>
        <v>樹皮堆肥</v>
      </c>
      <c r="D5" s="503">
        <f>イチジク肥料!C4/イチジク肥料!J4</f>
        <v>0.35</v>
      </c>
      <c r="E5" s="644" t="s">
        <v>158</v>
      </c>
      <c r="F5" s="643">
        <f>イチジク肥料!K4</f>
        <v>44320</v>
      </c>
      <c r="G5" s="198">
        <f t="shared" ref="G5:G6" si="0">D5*F5</f>
        <v>15511.999999999998</v>
      </c>
      <c r="H5" s="211"/>
      <c r="I5" s="1245"/>
      <c r="J5" s="1243"/>
      <c r="K5" s="400" t="s">
        <v>159</v>
      </c>
      <c r="L5" s="865" t="s">
        <v>312</v>
      </c>
      <c r="M5" s="1243"/>
      <c r="N5" s="1240"/>
      <c r="O5" s="229"/>
      <c r="P5" s="326" t="s">
        <v>561</v>
      </c>
      <c r="Q5" s="645">
        <v>1</v>
      </c>
      <c r="R5" s="646" t="s">
        <v>562</v>
      </c>
      <c r="S5" s="647">
        <v>1200</v>
      </c>
      <c r="T5" s="1285">
        <v>1</v>
      </c>
      <c r="U5" s="1236"/>
      <c r="V5" s="218">
        <f>Q5*S5/T5</f>
        <v>1200</v>
      </c>
    </row>
    <row r="6" spans="2:22" ht="15" customHeight="1" x14ac:dyDescent="0.2">
      <c r="B6" s="1094"/>
      <c r="C6" s="643"/>
      <c r="D6" s="503"/>
      <c r="E6" s="644"/>
      <c r="F6" s="643"/>
      <c r="G6" s="484">
        <f t="shared" si="0"/>
        <v>0</v>
      </c>
      <c r="H6" s="211"/>
      <c r="I6" s="1286" t="s">
        <v>196</v>
      </c>
      <c r="J6" s="643"/>
      <c r="K6" s="648"/>
      <c r="L6" s="648"/>
      <c r="M6" s="648"/>
      <c r="N6" s="432"/>
      <c r="O6" s="229"/>
      <c r="P6" s="326" t="s">
        <v>563</v>
      </c>
      <c r="Q6" s="645">
        <v>13</v>
      </c>
      <c r="R6" s="646" t="s">
        <v>564</v>
      </c>
      <c r="S6" s="647">
        <v>6900</v>
      </c>
      <c r="T6" s="1285">
        <v>5</v>
      </c>
      <c r="U6" s="1236"/>
      <c r="V6" s="218">
        <f t="shared" ref="V6:V7" si="1">Q6*S6/T6</f>
        <v>17940</v>
      </c>
    </row>
    <row r="7" spans="2:22" ht="15" customHeight="1" thickBot="1" x14ac:dyDescent="0.25">
      <c r="B7" s="1254"/>
      <c r="C7" s="200" t="s">
        <v>160</v>
      </c>
      <c r="D7" s="649"/>
      <c r="E7" s="200"/>
      <c r="F7" s="200"/>
      <c r="G7" s="201">
        <f>SUM(G5:G6)</f>
        <v>15511.999999999998</v>
      </c>
      <c r="H7" s="211"/>
      <c r="I7" s="1287"/>
      <c r="J7" s="327" t="s">
        <v>565</v>
      </c>
      <c r="K7" s="214">
        <f>SUM(K6)</f>
        <v>0</v>
      </c>
      <c r="L7" s="214">
        <f>SUM(L6)</f>
        <v>0</v>
      </c>
      <c r="M7" s="214"/>
      <c r="N7" s="404">
        <f>SUM(N6)</f>
        <v>0</v>
      </c>
      <c r="O7" s="229"/>
      <c r="P7" s="326" t="s">
        <v>566</v>
      </c>
      <c r="Q7" s="645">
        <v>44</v>
      </c>
      <c r="R7" s="646" t="s">
        <v>162</v>
      </c>
      <c r="S7" s="647">
        <v>500</v>
      </c>
      <c r="T7" s="1285">
        <v>5</v>
      </c>
      <c r="U7" s="1236"/>
      <c r="V7" s="218">
        <f t="shared" si="1"/>
        <v>4400</v>
      </c>
    </row>
    <row r="8" spans="2:22" ht="15" customHeight="1" thickTop="1" x14ac:dyDescent="0.2">
      <c r="B8" s="1252" t="s">
        <v>187</v>
      </c>
      <c r="C8" s="643" t="s">
        <v>748</v>
      </c>
      <c r="D8" s="503">
        <f>イチジク肥料!C5/イチジク肥料!J5</f>
        <v>3</v>
      </c>
      <c r="E8" s="644" t="s">
        <v>158</v>
      </c>
      <c r="F8" s="643">
        <f>イチジク肥料!K5</f>
        <v>2340</v>
      </c>
      <c r="G8" s="484">
        <f>D8*F8</f>
        <v>7020</v>
      </c>
      <c r="H8" s="211"/>
      <c r="I8" s="1289" t="s">
        <v>548</v>
      </c>
      <c r="J8" s="650" t="s">
        <v>567</v>
      </c>
      <c r="K8" s="651">
        <v>2</v>
      </c>
      <c r="L8" s="651">
        <v>2</v>
      </c>
      <c r="M8" s="652">
        <v>158.4</v>
      </c>
      <c r="N8" s="653">
        <f t="shared" ref="N8:N14" si="2">K8*L8*M8</f>
        <v>633.6</v>
      </c>
      <c r="O8" s="229"/>
      <c r="P8" s="326"/>
      <c r="Q8" s="647"/>
      <c r="R8" s="646"/>
      <c r="S8" s="647"/>
      <c r="T8" s="1285"/>
      <c r="U8" s="1236"/>
      <c r="V8" s="218"/>
    </row>
    <row r="9" spans="2:22" ht="15" customHeight="1" x14ac:dyDescent="0.2">
      <c r="B9" s="1094"/>
      <c r="C9" s="643" t="s">
        <v>750</v>
      </c>
      <c r="D9" s="503">
        <f>イチジク肥料!C6/イチジク肥料!J6</f>
        <v>5</v>
      </c>
      <c r="E9" s="644" t="s">
        <v>158</v>
      </c>
      <c r="F9" s="643">
        <f>イチジク肥料!K6</f>
        <v>860</v>
      </c>
      <c r="G9" s="484">
        <f>D9*F9</f>
        <v>4300</v>
      </c>
      <c r="H9" s="211"/>
      <c r="I9" s="1250"/>
      <c r="J9" s="208" t="s">
        <v>568</v>
      </c>
      <c r="K9" s="654">
        <v>2</v>
      </c>
      <c r="L9" s="654">
        <v>2</v>
      </c>
      <c r="M9" s="654">
        <v>158.4</v>
      </c>
      <c r="N9" s="340">
        <f t="shared" si="2"/>
        <v>633.6</v>
      </c>
      <c r="O9" s="229"/>
      <c r="P9" s="326"/>
      <c r="Q9" s="647"/>
      <c r="R9" s="646"/>
      <c r="S9" s="647"/>
      <c r="T9" s="1285"/>
      <c r="U9" s="1236"/>
      <c r="V9" s="218"/>
    </row>
    <row r="10" spans="2:22" ht="15" customHeight="1" x14ac:dyDescent="0.2">
      <c r="B10" s="1094"/>
      <c r="C10" s="643"/>
      <c r="D10" s="503"/>
      <c r="E10" s="644"/>
      <c r="F10" s="643"/>
      <c r="G10" s="484">
        <f>D10*F10</f>
        <v>0</v>
      </c>
      <c r="H10" s="211"/>
      <c r="I10" s="1250"/>
      <c r="J10" s="208" t="s">
        <v>569</v>
      </c>
      <c r="K10" s="654">
        <v>1.5</v>
      </c>
      <c r="L10" s="654">
        <v>1.5</v>
      </c>
      <c r="M10" s="654">
        <v>158.4</v>
      </c>
      <c r="N10" s="340">
        <f t="shared" si="2"/>
        <v>356.40000000000003</v>
      </c>
      <c r="O10" s="229"/>
      <c r="P10" s="326"/>
      <c r="Q10" s="647"/>
      <c r="R10" s="646"/>
      <c r="S10" s="647"/>
      <c r="T10" s="1285"/>
      <c r="U10" s="1236"/>
      <c r="V10" s="218"/>
    </row>
    <row r="11" spans="2:22" ht="15" customHeight="1" thickBot="1" x14ac:dyDescent="0.25">
      <c r="B11" s="1254"/>
      <c r="C11" s="202" t="s">
        <v>161</v>
      </c>
      <c r="D11" s="655"/>
      <c r="E11" s="203"/>
      <c r="F11" s="203"/>
      <c r="G11" s="204">
        <f>SUM(G8:G10)</f>
        <v>11320</v>
      </c>
      <c r="H11" s="211"/>
      <c r="I11" s="1250"/>
      <c r="J11" s="208" t="s">
        <v>570</v>
      </c>
      <c r="K11" s="654">
        <v>21</v>
      </c>
      <c r="L11" s="654">
        <v>1.5</v>
      </c>
      <c r="M11" s="654">
        <v>158.4</v>
      </c>
      <c r="N11" s="340">
        <f t="shared" si="2"/>
        <v>4989.6000000000004</v>
      </c>
      <c r="O11" s="229"/>
      <c r="P11" s="326"/>
      <c r="Q11" s="647"/>
      <c r="R11" s="646"/>
      <c r="S11" s="647"/>
      <c r="T11" s="1285"/>
      <c r="U11" s="1236"/>
      <c r="V11" s="218"/>
    </row>
    <row r="12" spans="2:22" ht="15" customHeight="1" thickTop="1" x14ac:dyDescent="0.2">
      <c r="B12" s="1252" t="s">
        <v>188</v>
      </c>
      <c r="C12" s="643" t="s">
        <v>751</v>
      </c>
      <c r="D12" s="503">
        <f>イチジク肥料!C7/イチジク肥料!J7</f>
        <v>0.5</v>
      </c>
      <c r="E12" s="644" t="s">
        <v>158</v>
      </c>
      <c r="F12" s="643">
        <f>イチジク肥料!K7</f>
        <v>2670</v>
      </c>
      <c r="G12" s="484">
        <f>D12*F12</f>
        <v>1335</v>
      </c>
      <c r="H12" s="211"/>
      <c r="I12" s="1250"/>
      <c r="J12" s="208" t="s">
        <v>571</v>
      </c>
      <c r="K12" s="654">
        <v>2</v>
      </c>
      <c r="L12" s="654">
        <v>2</v>
      </c>
      <c r="M12" s="654">
        <v>158.4</v>
      </c>
      <c r="N12" s="340">
        <f t="shared" si="2"/>
        <v>633.6</v>
      </c>
      <c r="O12" s="229"/>
      <c r="P12" s="326"/>
      <c r="Q12" s="647"/>
      <c r="R12" s="646"/>
      <c r="S12" s="647"/>
      <c r="T12" s="1285"/>
      <c r="U12" s="1236"/>
      <c r="V12" s="218"/>
    </row>
    <row r="13" spans="2:22" ht="15" customHeight="1" x14ac:dyDescent="0.2">
      <c r="B13" s="1094"/>
      <c r="C13" s="643" t="s">
        <v>750</v>
      </c>
      <c r="D13" s="503">
        <f>イチジク肥料!C8/イチジク肥料!J8</f>
        <v>0.5</v>
      </c>
      <c r="E13" s="644" t="s">
        <v>158</v>
      </c>
      <c r="F13" s="643">
        <f>イチジク肥料!K8</f>
        <v>3020</v>
      </c>
      <c r="G13" s="484">
        <f>D13*F13</f>
        <v>1510</v>
      </c>
      <c r="H13" s="211"/>
      <c r="I13" s="1250"/>
      <c r="J13" s="208" t="s">
        <v>572</v>
      </c>
      <c r="K13" s="654">
        <v>2</v>
      </c>
      <c r="L13" s="654">
        <v>2</v>
      </c>
      <c r="M13" s="654">
        <v>158.4</v>
      </c>
      <c r="N13" s="340">
        <f t="shared" si="2"/>
        <v>633.6</v>
      </c>
      <c r="O13" s="229"/>
      <c r="P13" s="326"/>
      <c r="Q13" s="647"/>
      <c r="R13" s="646"/>
      <c r="S13" s="647"/>
      <c r="T13" s="1285"/>
      <c r="U13" s="1236"/>
      <c r="V13" s="218"/>
    </row>
    <row r="14" spans="2:22" ht="15" customHeight="1" thickBot="1" x14ac:dyDescent="0.25">
      <c r="B14" s="1094"/>
      <c r="C14" s="643" t="s">
        <v>753</v>
      </c>
      <c r="D14" s="503">
        <f>イチジク肥料!C9/イチジク肥料!J9</f>
        <v>0.5</v>
      </c>
      <c r="E14" s="644" t="s">
        <v>158</v>
      </c>
      <c r="F14" s="643">
        <f>イチジク肥料!K9</f>
        <v>3200</v>
      </c>
      <c r="G14" s="484">
        <f>D14*F14</f>
        <v>1600</v>
      </c>
      <c r="H14" s="211"/>
      <c r="I14" s="1250"/>
      <c r="J14" s="208"/>
      <c r="K14" s="654"/>
      <c r="L14" s="654"/>
      <c r="M14" s="654"/>
      <c r="N14" s="340">
        <f t="shared" si="2"/>
        <v>0</v>
      </c>
      <c r="O14" s="229"/>
      <c r="P14" s="656" t="s">
        <v>29</v>
      </c>
      <c r="Q14" s="341"/>
      <c r="R14" s="341"/>
      <c r="S14" s="341"/>
      <c r="T14" s="1241"/>
      <c r="U14" s="1232"/>
      <c r="V14" s="657">
        <f>SUM(V5:V13)</f>
        <v>23540</v>
      </c>
    </row>
    <row r="15" spans="2:22" ht="15" customHeight="1" thickBot="1" x14ac:dyDescent="0.25">
      <c r="B15" s="1094"/>
      <c r="C15" s="643"/>
      <c r="D15" s="503"/>
      <c r="E15" s="643"/>
      <c r="F15" s="643"/>
      <c r="G15" s="484">
        <f t="shared" ref="G15" si="3">D15*F15</f>
        <v>0</v>
      </c>
      <c r="H15" s="211"/>
      <c r="I15" s="1280"/>
      <c r="J15" s="397" t="s">
        <v>573</v>
      </c>
      <c r="K15" s="398">
        <f>SUM(K11:K14)</f>
        <v>25</v>
      </c>
      <c r="L15" s="398">
        <f>SUM(L11:L14)</f>
        <v>5.5</v>
      </c>
      <c r="M15" s="398"/>
      <c r="N15" s="403">
        <f>SUM(N8:N14)</f>
        <v>7880.4000000000015</v>
      </c>
      <c r="O15" s="229"/>
    </row>
    <row r="16" spans="2:22" ht="15" customHeight="1" thickTop="1" thickBot="1" x14ac:dyDescent="0.25">
      <c r="B16" s="1254"/>
      <c r="C16" s="202" t="s">
        <v>161</v>
      </c>
      <c r="D16" s="655"/>
      <c r="E16" s="203"/>
      <c r="F16" s="203"/>
      <c r="G16" s="204">
        <f>SUM(G12:G15)</f>
        <v>4445</v>
      </c>
      <c r="H16" s="211"/>
      <c r="I16" s="1278" t="s">
        <v>198</v>
      </c>
      <c r="J16" s="643" t="s">
        <v>574</v>
      </c>
      <c r="K16" s="648">
        <v>2.5</v>
      </c>
      <c r="L16" s="648">
        <v>1.3</v>
      </c>
      <c r="M16" s="648">
        <v>168.4</v>
      </c>
      <c r="N16" s="432">
        <f>K16*L16*M16</f>
        <v>547.30000000000007</v>
      </c>
      <c r="O16" s="229"/>
      <c r="P16" s="90" t="s">
        <v>256</v>
      </c>
    </row>
    <row r="17" spans="2:22" ht="15" customHeight="1" thickTop="1" x14ac:dyDescent="0.2">
      <c r="B17" s="1252" t="s">
        <v>190</v>
      </c>
      <c r="C17" s="643"/>
      <c r="D17" s="503"/>
      <c r="E17" s="644"/>
      <c r="F17" s="643"/>
      <c r="G17" s="484">
        <f t="shared" ref="G17" si="4">D17*F17</f>
        <v>0</v>
      </c>
      <c r="H17" s="211"/>
      <c r="I17" s="1279"/>
      <c r="J17" s="643"/>
      <c r="K17" s="648"/>
      <c r="L17" s="648"/>
      <c r="M17" s="648"/>
      <c r="N17" s="432">
        <f t="shared" ref="N17:N18" si="5">K17*L17*M17</f>
        <v>0</v>
      </c>
      <c r="O17" s="229"/>
      <c r="P17" s="323" t="s">
        <v>206</v>
      </c>
      <c r="Q17" s="324" t="s">
        <v>201</v>
      </c>
      <c r="R17" s="324" t="s">
        <v>202</v>
      </c>
      <c r="S17" s="324" t="s">
        <v>560</v>
      </c>
      <c r="T17" s="324" t="s">
        <v>204</v>
      </c>
      <c r="U17" s="597" t="s">
        <v>728</v>
      </c>
      <c r="V17" s="642" t="s">
        <v>205</v>
      </c>
    </row>
    <row r="18" spans="2:22" ht="15" customHeight="1" x14ac:dyDescent="0.2">
      <c r="B18" s="1094"/>
      <c r="C18" s="643"/>
      <c r="D18" s="503"/>
      <c r="E18" s="644"/>
      <c r="F18" s="643"/>
      <c r="G18" s="484">
        <f>D18*F18</f>
        <v>0</v>
      </c>
      <c r="H18" s="211"/>
      <c r="I18" s="1279"/>
      <c r="J18" s="643"/>
      <c r="K18" s="648"/>
      <c r="L18" s="648"/>
      <c r="M18" s="648"/>
      <c r="N18" s="432">
        <f t="shared" si="5"/>
        <v>0</v>
      </c>
      <c r="O18" s="229"/>
      <c r="P18" s="326" t="s">
        <v>575</v>
      </c>
      <c r="Q18" s="647">
        <v>12</v>
      </c>
      <c r="R18" s="658" t="s">
        <v>576</v>
      </c>
      <c r="S18" s="659">
        <v>800</v>
      </c>
      <c r="T18" s="659">
        <v>10</v>
      </c>
      <c r="U18" s="660">
        <v>50</v>
      </c>
      <c r="V18" s="218">
        <f>Q18*S18/T18/U18*10</f>
        <v>192</v>
      </c>
    </row>
    <row r="19" spans="2:22" ht="15" customHeight="1" thickBot="1" x14ac:dyDescent="0.25">
      <c r="B19" s="1094"/>
      <c r="C19" s="643"/>
      <c r="D19" s="503"/>
      <c r="E19" s="643"/>
      <c r="F19" s="643"/>
      <c r="G19" s="484">
        <f t="shared" ref="G19" si="6">D19*F19</f>
        <v>0</v>
      </c>
      <c r="H19" s="211"/>
      <c r="I19" s="1280"/>
      <c r="J19" s="327" t="s">
        <v>577</v>
      </c>
      <c r="K19" s="214">
        <f>SUM(K16:K18)</f>
        <v>2.5</v>
      </c>
      <c r="L19" s="215">
        <f>SUM(L16:L18)</f>
        <v>1.3</v>
      </c>
      <c r="M19" s="216"/>
      <c r="N19" s="404">
        <f>SUM(N16:N18)</f>
        <v>547.30000000000007</v>
      </c>
      <c r="O19" s="229"/>
      <c r="P19" s="326" t="s">
        <v>578</v>
      </c>
      <c r="Q19" s="647">
        <v>2</v>
      </c>
      <c r="R19" s="658" t="s">
        <v>576</v>
      </c>
      <c r="S19" s="647">
        <v>9000</v>
      </c>
      <c r="T19" s="647">
        <v>10</v>
      </c>
      <c r="U19" s="359">
        <v>50</v>
      </c>
      <c r="V19" s="218">
        <f t="shared" ref="V19:V32" si="7">Q19*S19/T19/U19*10</f>
        <v>360</v>
      </c>
    </row>
    <row r="20" spans="2:22" ht="15" customHeight="1" thickTop="1" thickBot="1" x14ac:dyDescent="0.25">
      <c r="B20" s="1254"/>
      <c r="C20" s="202" t="s">
        <v>161</v>
      </c>
      <c r="D20" s="655"/>
      <c r="E20" s="203"/>
      <c r="F20" s="203"/>
      <c r="G20" s="204">
        <f>SUM(G17:G19)</f>
        <v>0</v>
      </c>
      <c r="H20" s="211"/>
      <c r="I20" s="1278" t="s">
        <v>199</v>
      </c>
      <c r="J20" s="643"/>
      <c r="K20" s="648"/>
      <c r="L20" s="648"/>
      <c r="M20" s="648"/>
      <c r="N20" s="432"/>
      <c r="O20" s="229"/>
      <c r="P20" s="326" t="s">
        <v>579</v>
      </c>
      <c r="Q20" s="647">
        <v>1</v>
      </c>
      <c r="R20" s="658" t="s">
        <v>104</v>
      </c>
      <c r="S20" s="647">
        <v>30000</v>
      </c>
      <c r="T20" s="647">
        <v>7</v>
      </c>
      <c r="U20" s="359">
        <v>50</v>
      </c>
      <c r="V20" s="218">
        <f t="shared" si="7"/>
        <v>857.14285714285711</v>
      </c>
    </row>
    <row r="21" spans="2:22" ht="15" customHeight="1" thickTop="1" x14ac:dyDescent="0.2">
      <c r="B21" s="1252" t="s">
        <v>191</v>
      </c>
      <c r="C21" s="643"/>
      <c r="D21" s="503"/>
      <c r="E21" s="644"/>
      <c r="F21" s="643"/>
      <c r="G21" s="484">
        <f>D21*F21</f>
        <v>0</v>
      </c>
      <c r="H21" s="211"/>
      <c r="I21" s="1279"/>
      <c r="J21" s="643"/>
      <c r="K21" s="648"/>
      <c r="L21" s="648"/>
      <c r="M21" s="648"/>
      <c r="N21" s="432">
        <f t="shared" ref="N21:N22" si="8">K21*L21*M21</f>
        <v>0</v>
      </c>
      <c r="O21" s="229"/>
      <c r="P21" s="326" t="s">
        <v>580</v>
      </c>
      <c r="Q21" s="647">
        <v>2</v>
      </c>
      <c r="R21" s="658" t="s">
        <v>576</v>
      </c>
      <c r="S21" s="647">
        <v>3000</v>
      </c>
      <c r="T21" s="647">
        <v>3</v>
      </c>
      <c r="U21" s="359">
        <v>50</v>
      </c>
      <c r="V21" s="218">
        <f t="shared" si="7"/>
        <v>400</v>
      </c>
    </row>
    <row r="22" spans="2:22" ht="15" customHeight="1" x14ac:dyDescent="0.2">
      <c r="B22" s="1094"/>
      <c r="C22" s="643"/>
      <c r="D22" s="503"/>
      <c r="E22" s="644"/>
      <c r="F22" s="643"/>
      <c r="G22" s="484">
        <f>D22*F22</f>
        <v>0</v>
      </c>
      <c r="H22" s="211"/>
      <c r="I22" s="1279"/>
      <c r="J22" s="643"/>
      <c r="K22" s="648"/>
      <c r="L22" s="648"/>
      <c r="M22" s="648"/>
      <c r="N22" s="432">
        <f t="shared" si="8"/>
        <v>0</v>
      </c>
      <c r="O22" s="229"/>
      <c r="P22" s="326" t="s">
        <v>581</v>
      </c>
      <c r="Q22" s="647">
        <v>2</v>
      </c>
      <c r="R22" s="658" t="s">
        <v>576</v>
      </c>
      <c r="S22" s="647">
        <v>2000</v>
      </c>
      <c r="T22" s="647">
        <v>3</v>
      </c>
      <c r="U22" s="359">
        <v>50</v>
      </c>
      <c r="V22" s="218">
        <f t="shared" si="7"/>
        <v>266.66666666666663</v>
      </c>
    </row>
    <row r="23" spans="2:22" ht="15" customHeight="1" thickBot="1" x14ac:dyDescent="0.25">
      <c r="B23" s="1094"/>
      <c r="C23" s="643"/>
      <c r="D23" s="503"/>
      <c r="E23" s="644"/>
      <c r="F23" s="643"/>
      <c r="G23" s="484">
        <f>D23*F23</f>
        <v>0</v>
      </c>
      <c r="H23" s="211"/>
      <c r="I23" s="1280"/>
      <c r="J23" s="327" t="s">
        <v>577</v>
      </c>
      <c r="K23" s="214">
        <f>SUM(K20:K22)</f>
        <v>0</v>
      </c>
      <c r="L23" s="215">
        <f>SUM(L20:L22)</f>
        <v>0</v>
      </c>
      <c r="M23" s="216"/>
      <c r="N23" s="404">
        <f>SUM(N20:N22)</f>
        <v>0</v>
      </c>
      <c r="O23" s="229"/>
      <c r="P23" s="326" t="s">
        <v>582</v>
      </c>
      <c r="Q23" s="647">
        <v>2</v>
      </c>
      <c r="R23" s="658" t="s">
        <v>576</v>
      </c>
      <c r="S23" s="647">
        <v>1000</v>
      </c>
      <c r="T23" s="647">
        <v>3</v>
      </c>
      <c r="U23" s="359">
        <v>50</v>
      </c>
      <c r="V23" s="218">
        <f t="shared" si="7"/>
        <v>133.33333333333331</v>
      </c>
    </row>
    <row r="24" spans="2:22" ht="15" customHeight="1" thickTop="1" thickBot="1" x14ac:dyDescent="0.25">
      <c r="B24" s="1253"/>
      <c r="C24" s="205" t="s">
        <v>163</v>
      </c>
      <c r="D24" s="661"/>
      <c r="E24" s="206"/>
      <c r="F24" s="213"/>
      <c r="G24" s="864">
        <f>SUM(G20:G23)</f>
        <v>0</v>
      </c>
      <c r="I24" s="1278" t="s">
        <v>280</v>
      </c>
      <c r="J24" s="643"/>
      <c r="K24" s="648"/>
      <c r="L24" s="648"/>
      <c r="M24" s="648"/>
      <c r="N24" s="432"/>
      <c r="O24" s="229"/>
      <c r="P24" s="326" t="s">
        <v>583</v>
      </c>
      <c r="Q24" s="647">
        <v>5</v>
      </c>
      <c r="R24" s="658" t="s">
        <v>576</v>
      </c>
      <c r="S24" s="647">
        <v>1250</v>
      </c>
      <c r="T24" s="647">
        <v>10</v>
      </c>
      <c r="U24" s="359">
        <v>50</v>
      </c>
      <c r="V24" s="218">
        <f t="shared" si="7"/>
        <v>125</v>
      </c>
    </row>
    <row r="25" spans="2:22" ht="15" customHeight="1" x14ac:dyDescent="0.2">
      <c r="H25" s="212"/>
      <c r="I25" s="1279"/>
      <c r="J25" s="643"/>
      <c r="K25" s="648"/>
      <c r="L25" s="648"/>
      <c r="M25" s="648"/>
      <c r="N25" s="432">
        <f t="shared" ref="N25:N26" si="9">K25*L25*M25</f>
        <v>0</v>
      </c>
      <c r="O25" s="229"/>
      <c r="P25" s="326" t="s">
        <v>584</v>
      </c>
      <c r="Q25" s="647">
        <v>4</v>
      </c>
      <c r="R25" s="658" t="s">
        <v>162</v>
      </c>
      <c r="S25" s="647">
        <v>7200</v>
      </c>
      <c r="T25" s="647">
        <v>10</v>
      </c>
      <c r="U25" s="359">
        <v>50</v>
      </c>
      <c r="V25" s="218">
        <f t="shared" si="7"/>
        <v>576</v>
      </c>
    </row>
    <row r="26" spans="2:22" ht="15" customHeight="1" thickBot="1" x14ac:dyDescent="0.25">
      <c r="B26" s="13" t="s">
        <v>585</v>
      </c>
      <c r="C26" s="13"/>
      <c r="D26" s="92"/>
      <c r="E26" s="13"/>
      <c r="F26" s="92"/>
      <c r="G26" s="96"/>
      <c r="H26" s="210"/>
      <c r="I26" s="1279"/>
      <c r="J26" s="643"/>
      <c r="K26" s="648"/>
      <c r="L26" s="648"/>
      <c r="M26" s="648"/>
      <c r="N26" s="432">
        <f t="shared" si="9"/>
        <v>0</v>
      </c>
      <c r="O26" s="229"/>
      <c r="P26" s="326" t="s">
        <v>586</v>
      </c>
      <c r="Q26" s="647">
        <v>2</v>
      </c>
      <c r="R26" s="646" t="s">
        <v>162</v>
      </c>
      <c r="S26" s="647">
        <v>10000</v>
      </c>
      <c r="T26" s="647">
        <v>10</v>
      </c>
      <c r="U26" s="359">
        <v>50</v>
      </c>
      <c r="V26" s="218">
        <f t="shared" si="7"/>
        <v>400</v>
      </c>
    </row>
    <row r="27" spans="2:22" ht="15" customHeight="1" thickBot="1" x14ac:dyDescent="0.25">
      <c r="B27" s="322" t="s">
        <v>90</v>
      </c>
      <c r="C27" s="209" t="s">
        <v>153</v>
      </c>
      <c r="D27" s="209" t="s">
        <v>154</v>
      </c>
      <c r="E27" s="209" t="s">
        <v>155</v>
      </c>
      <c r="F27" s="209" t="s">
        <v>24</v>
      </c>
      <c r="G27" s="361" t="s">
        <v>156</v>
      </c>
      <c r="H27" s="211"/>
      <c r="I27" s="1280"/>
      <c r="J27" s="327" t="s">
        <v>587</v>
      </c>
      <c r="K27" s="214">
        <f>SUM(K24:K26)</f>
        <v>0</v>
      </c>
      <c r="L27" s="215">
        <f>SUM(L24:L26)</f>
        <v>0</v>
      </c>
      <c r="M27" s="216"/>
      <c r="N27" s="404">
        <f>SUM(N24:N26)</f>
        <v>0</v>
      </c>
      <c r="O27" s="229"/>
      <c r="P27" s="326" t="s">
        <v>588</v>
      </c>
      <c r="Q27" s="647">
        <v>1</v>
      </c>
      <c r="R27" s="646" t="s">
        <v>576</v>
      </c>
      <c r="S27" s="647">
        <v>2500</v>
      </c>
      <c r="T27" s="647">
        <v>10</v>
      </c>
      <c r="U27" s="359">
        <v>50</v>
      </c>
      <c r="V27" s="218">
        <f t="shared" si="7"/>
        <v>50</v>
      </c>
    </row>
    <row r="28" spans="2:22" ht="15" customHeight="1" thickTop="1" x14ac:dyDescent="0.2">
      <c r="B28" s="1093" t="s">
        <v>30</v>
      </c>
      <c r="C28" s="643" t="s">
        <v>747</v>
      </c>
      <c r="D28" s="503">
        <f>イチジク農薬!G3/イチジク農薬!E3</f>
        <v>0.8</v>
      </c>
      <c r="E28" s="644" t="s">
        <v>158</v>
      </c>
      <c r="F28" s="643">
        <f>イチジク農薬!F3</f>
        <v>2600</v>
      </c>
      <c r="G28" s="198">
        <f t="shared" ref="G28:G37" si="10">D28*F28</f>
        <v>2080</v>
      </c>
      <c r="H28" s="211"/>
      <c r="I28" s="1278" t="s">
        <v>195</v>
      </c>
      <c r="J28" s="643"/>
      <c r="K28" s="648"/>
      <c r="L28" s="648"/>
      <c r="M28" s="648"/>
      <c r="N28" s="432"/>
      <c r="O28" s="229"/>
      <c r="P28" s="326" t="s">
        <v>589</v>
      </c>
      <c r="Q28" s="647">
        <v>1</v>
      </c>
      <c r="R28" s="646" t="s">
        <v>576</v>
      </c>
      <c r="S28" s="647">
        <v>3000</v>
      </c>
      <c r="T28" s="647">
        <v>10</v>
      </c>
      <c r="U28" s="359">
        <v>50</v>
      </c>
      <c r="V28" s="218">
        <f t="shared" si="7"/>
        <v>60</v>
      </c>
    </row>
    <row r="29" spans="2:22" ht="15" customHeight="1" x14ac:dyDescent="0.2">
      <c r="B29" s="1094"/>
      <c r="C29" s="643" t="s">
        <v>749</v>
      </c>
      <c r="D29" s="503">
        <f>イチジク農薬!G4/イチジク農薬!E4</f>
        <v>1.2</v>
      </c>
      <c r="E29" s="644" t="s">
        <v>158</v>
      </c>
      <c r="F29" s="643">
        <f>イチジク農薬!F4</f>
        <v>4330</v>
      </c>
      <c r="G29" s="484">
        <f t="shared" si="10"/>
        <v>5196</v>
      </c>
      <c r="H29" s="211"/>
      <c r="I29" s="1279"/>
      <c r="J29" s="643"/>
      <c r="K29" s="648"/>
      <c r="L29" s="648"/>
      <c r="M29" s="648"/>
      <c r="N29" s="432">
        <f t="shared" ref="N29:N30" si="11">K29*L29*M29</f>
        <v>0</v>
      </c>
      <c r="O29" s="91"/>
      <c r="P29" s="662" t="s">
        <v>590</v>
      </c>
      <c r="Q29" s="663">
        <v>1</v>
      </c>
      <c r="R29" s="664" t="s">
        <v>576</v>
      </c>
      <c r="S29" s="663">
        <v>15000</v>
      </c>
      <c r="T29" s="663">
        <v>10</v>
      </c>
      <c r="U29" s="359">
        <v>50</v>
      </c>
      <c r="V29" s="218">
        <f t="shared" si="7"/>
        <v>300</v>
      </c>
    </row>
    <row r="30" spans="2:22" ht="15" customHeight="1" x14ac:dyDescent="0.2">
      <c r="B30" s="1094"/>
      <c r="C30" s="643" t="s">
        <v>752</v>
      </c>
      <c r="D30" s="503">
        <f>イチジク農薬!G5/イチジク農薬!E5</f>
        <v>0.3</v>
      </c>
      <c r="E30" s="644" t="s">
        <v>158</v>
      </c>
      <c r="F30" s="643">
        <f>イチジク農薬!F5</f>
        <v>6780</v>
      </c>
      <c r="G30" s="484">
        <f t="shared" si="10"/>
        <v>2034</v>
      </c>
      <c r="H30" s="211"/>
      <c r="I30" s="1279"/>
      <c r="J30" s="643"/>
      <c r="K30" s="648"/>
      <c r="L30" s="648"/>
      <c r="M30" s="648"/>
      <c r="N30" s="432">
        <f t="shared" si="11"/>
        <v>0</v>
      </c>
      <c r="P30" s="662" t="s">
        <v>591</v>
      </c>
      <c r="Q30" s="663">
        <v>1</v>
      </c>
      <c r="R30" s="664" t="s">
        <v>576</v>
      </c>
      <c r="S30" s="663">
        <v>90000</v>
      </c>
      <c r="T30" s="663">
        <v>10</v>
      </c>
      <c r="U30" s="359">
        <v>50</v>
      </c>
      <c r="V30" s="218">
        <f t="shared" si="7"/>
        <v>1800</v>
      </c>
    </row>
    <row r="31" spans="2:22" ht="15" customHeight="1" thickBot="1" x14ac:dyDescent="0.25">
      <c r="B31" s="1094"/>
      <c r="C31" s="643" t="s">
        <v>755</v>
      </c>
      <c r="D31" s="503">
        <f>イチジク農薬!G6/イチジク農薬!E6</f>
        <v>0.6</v>
      </c>
      <c r="E31" s="644" t="s">
        <v>158</v>
      </c>
      <c r="F31" s="643">
        <f>イチジク農薬!F6</f>
        <v>5210</v>
      </c>
      <c r="G31" s="484">
        <f t="shared" si="10"/>
        <v>3126</v>
      </c>
      <c r="H31" s="211"/>
      <c r="I31" s="1283"/>
      <c r="J31" s="405" t="s">
        <v>573</v>
      </c>
      <c r="K31" s="406">
        <f>SUM(K28:K30)</f>
        <v>0</v>
      </c>
      <c r="L31" s="407">
        <f>SUM(L28:L30)</f>
        <v>0</v>
      </c>
      <c r="M31" s="408"/>
      <c r="N31" s="409">
        <f>SUM(N28:N30)</f>
        <v>0</v>
      </c>
      <c r="P31" s="662" t="s">
        <v>592</v>
      </c>
      <c r="Q31" s="663">
        <v>2</v>
      </c>
      <c r="R31" s="664" t="s">
        <v>104</v>
      </c>
      <c r="S31" s="663">
        <v>106500</v>
      </c>
      <c r="T31" s="663">
        <v>5</v>
      </c>
      <c r="U31" s="665">
        <v>50</v>
      </c>
      <c r="V31" s="218">
        <f t="shared" si="7"/>
        <v>8520</v>
      </c>
    </row>
    <row r="32" spans="2:22" ht="15" customHeight="1" x14ac:dyDescent="0.2">
      <c r="B32" s="1094"/>
      <c r="C32" s="643" t="s">
        <v>757</v>
      </c>
      <c r="D32" s="503">
        <f>イチジク農薬!G7/イチジク農薬!E7</f>
        <v>5</v>
      </c>
      <c r="E32" s="644" t="s">
        <v>158</v>
      </c>
      <c r="F32" s="643">
        <f>イチジク農薬!F7</f>
        <v>3820</v>
      </c>
      <c r="G32" s="484">
        <f t="shared" si="10"/>
        <v>19100</v>
      </c>
      <c r="H32" s="211"/>
      <c r="I32" s="189"/>
      <c r="J32" s="189"/>
      <c r="K32" s="189"/>
      <c r="L32" s="189"/>
      <c r="M32" s="189"/>
      <c r="N32" s="189"/>
      <c r="P32" s="662" t="s">
        <v>593</v>
      </c>
      <c r="Q32" s="663">
        <v>1</v>
      </c>
      <c r="R32" s="664" t="s">
        <v>104</v>
      </c>
      <c r="S32" s="663">
        <v>10000</v>
      </c>
      <c r="T32" s="663">
        <v>5</v>
      </c>
      <c r="U32" s="665">
        <v>50</v>
      </c>
      <c r="V32" s="218">
        <f t="shared" si="7"/>
        <v>400</v>
      </c>
    </row>
    <row r="33" spans="2:22" ht="15" customHeight="1" thickBot="1" x14ac:dyDescent="0.25">
      <c r="B33" s="1094"/>
      <c r="C33" s="643"/>
      <c r="D33" s="503"/>
      <c r="E33" s="644"/>
      <c r="F33" s="643"/>
      <c r="G33" s="484">
        <f t="shared" si="10"/>
        <v>0</v>
      </c>
      <c r="H33" s="211"/>
      <c r="I33" s="179" t="s">
        <v>254</v>
      </c>
      <c r="J33" s="179"/>
      <c r="K33" s="179"/>
      <c r="L33" s="179"/>
      <c r="M33" s="179"/>
      <c r="P33" s="326"/>
      <c r="Q33" s="647"/>
      <c r="R33" s="646"/>
      <c r="S33" s="647"/>
      <c r="T33" s="647"/>
      <c r="U33" s="359"/>
      <c r="V33" s="218"/>
    </row>
    <row r="34" spans="2:22" ht="15" customHeight="1" thickBot="1" x14ac:dyDescent="0.25">
      <c r="B34" s="1094"/>
      <c r="C34" s="643"/>
      <c r="D34" s="503"/>
      <c r="E34" s="644"/>
      <c r="F34" s="643"/>
      <c r="G34" s="484">
        <f t="shared" si="10"/>
        <v>0</v>
      </c>
      <c r="H34" s="211"/>
      <c r="I34" s="303" t="s">
        <v>242</v>
      </c>
      <c r="J34" s="666" t="s">
        <v>5</v>
      </c>
      <c r="K34" s="1281" t="s">
        <v>243</v>
      </c>
      <c r="L34" s="1282"/>
      <c r="M34" s="667" t="s">
        <v>728</v>
      </c>
      <c r="N34" s="668" t="s">
        <v>594</v>
      </c>
      <c r="P34" s="546" t="s">
        <v>247</v>
      </c>
      <c r="Q34" s="341"/>
      <c r="R34" s="341"/>
      <c r="S34" s="341"/>
      <c r="T34" s="341"/>
      <c r="U34" s="222"/>
      <c r="V34" s="657">
        <f>SUM(V18:V33)</f>
        <v>14440.142857142857</v>
      </c>
    </row>
    <row r="35" spans="2:22" ht="15" customHeight="1" x14ac:dyDescent="0.2">
      <c r="B35" s="1094"/>
      <c r="C35" s="643"/>
      <c r="D35" s="503"/>
      <c r="E35" s="644"/>
      <c r="F35" s="643"/>
      <c r="G35" s="484">
        <f t="shared" si="10"/>
        <v>0</v>
      </c>
      <c r="H35" s="211"/>
      <c r="I35" s="1262" t="s">
        <v>2</v>
      </c>
      <c r="J35" s="208" t="s">
        <v>684</v>
      </c>
      <c r="K35" s="1233">
        <v>3024000</v>
      </c>
      <c r="L35" s="1233"/>
      <c r="M35" s="544">
        <v>50</v>
      </c>
      <c r="N35" s="317">
        <f>+K35/M35*10*0.014</f>
        <v>8467.2000000000007</v>
      </c>
    </row>
    <row r="36" spans="2:22" ht="15" customHeight="1" thickBot="1" x14ac:dyDescent="0.25">
      <c r="B36" s="1094"/>
      <c r="C36" s="643"/>
      <c r="D36" s="503"/>
      <c r="E36" s="644"/>
      <c r="F36" s="643"/>
      <c r="G36" s="484">
        <f t="shared" si="10"/>
        <v>0</v>
      </c>
      <c r="H36" s="211"/>
      <c r="I36" s="1290"/>
      <c r="J36" s="208"/>
      <c r="K36" s="1233"/>
      <c r="L36" s="1233"/>
      <c r="M36" s="544"/>
      <c r="N36" s="317"/>
      <c r="P36" s="179" t="s">
        <v>248</v>
      </c>
      <c r="Q36" s="179"/>
      <c r="R36" s="179"/>
      <c r="S36" s="179"/>
      <c r="T36" s="179"/>
    </row>
    <row r="37" spans="2:22" ht="15" customHeight="1" x14ac:dyDescent="0.2">
      <c r="B37" s="1094"/>
      <c r="C37" s="643"/>
      <c r="D37" s="503"/>
      <c r="E37" s="644"/>
      <c r="F37" s="643"/>
      <c r="G37" s="484">
        <f t="shared" si="10"/>
        <v>0</v>
      </c>
      <c r="H37" s="211"/>
      <c r="I37" s="1290"/>
      <c r="J37" s="208"/>
      <c r="K37" s="1233"/>
      <c r="L37" s="1233"/>
      <c r="M37" s="544"/>
      <c r="N37" s="317"/>
      <c r="O37" s="217"/>
      <c r="P37" s="303" t="s">
        <v>241</v>
      </c>
      <c r="Q37" s="1234" t="s">
        <v>249</v>
      </c>
      <c r="R37" s="1234"/>
      <c r="S37" s="545" t="s">
        <v>252</v>
      </c>
      <c r="T37" s="545" t="s">
        <v>251</v>
      </c>
      <c r="U37" s="331" t="s">
        <v>728</v>
      </c>
      <c r="V37" s="332" t="s">
        <v>595</v>
      </c>
    </row>
    <row r="38" spans="2:22" ht="15" customHeight="1" thickBot="1" x14ac:dyDescent="0.25">
      <c r="B38" s="1254"/>
      <c r="C38" s="200" t="s">
        <v>160</v>
      </c>
      <c r="D38" s="649"/>
      <c r="E38" s="200"/>
      <c r="F38" s="200"/>
      <c r="G38" s="201">
        <f>SUM(G28:G37)</f>
        <v>31536</v>
      </c>
      <c r="H38" s="211"/>
      <c r="I38" s="1290"/>
      <c r="J38" s="208"/>
      <c r="K38" s="1233"/>
      <c r="L38" s="1233"/>
      <c r="M38" s="544"/>
      <c r="N38" s="317"/>
      <c r="O38" s="217"/>
      <c r="P38" s="1273" t="s">
        <v>250</v>
      </c>
      <c r="Q38" s="308"/>
      <c r="R38" s="335"/>
      <c r="S38" s="309"/>
      <c r="T38" s="336"/>
      <c r="U38" s="309"/>
      <c r="V38" s="317"/>
    </row>
    <row r="39" spans="2:22" ht="15" customHeight="1" thickTop="1" x14ac:dyDescent="0.2">
      <c r="B39" s="1252" t="s">
        <v>192</v>
      </c>
      <c r="C39" s="643" t="s">
        <v>747</v>
      </c>
      <c r="D39" s="503">
        <f>イチジク農薬!G9/イチジク農薬!E9</f>
        <v>1.6666666666666667</v>
      </c>
      <c r="E39" s="644" t="s">
        <v>158</v>
      </c>
      <c r="F39" s="643">
        <f>イチジク農薬!F9</f>
        <v>2560</v>
      </c>
      <c r="G39" s="484">
        <f>D39*F39</f>
        <v>4266.666666666667</v>
      </c>
      <c r="H39" s="211"/>
      <c r="I39" s="1290"/>
      <c r="J39" s="208"/>
      <c r="K39" s="1233"/>
      <c r="L39" s="1233"/>
      <c r="M39" s="544"/>
      <c r="N39" s="317"/>
      <c r="O39" s="217"/>
      <c r="P39" s="1229"/>
      <c r="Q39" s="308"/>
      <c r="R39" s="335"/>
      <c r="S39" s="309"/>
      <c r="T39" s="336"/>
      <c r="U39" s="309"/>
      <c r="V39" s="317"/>
    </row>
    <row r="40" spans="2:22" ht="15" customHeight="1" x14ac:dyDescent="0.2">
      <c r="B40" s="1094"/>
      <c r="C40" s="643" t="s">
        <v>749</v>
      </c>
      <c r="D40" s="503">
        <f>イチジク農薬!G10/イチジク農薬!E10</f>
        <v>5</v>
      </c>
      <c r="E40" s="644" t="s">
        <v>158</v>
      </c>
      <c r="F40" s="643">
        <f>イチジク農薬!F10</f>
        <v>1000</v>
      </c>
      <c r="G40" s="484">
        <f>D40*F40</f>
        <v>5000</v>
      </c>
      <c r="H40" s="211"/>
      <c r="I40" s="1290"/>
      <c r="J40" s="208"/>
      <c r="K40" s="1233"/>
      <c r="L40" s="1233"/>
      <c r="M40" s="544"/>
      <c r="N40" s="317"/>
      <c r="O40" s="217"/>
      <c r="P40" s="1229"/>
      <c r="Q40" s="308"/>
      <c r="R40" s="335"/>
      <c r="S40" s="309"/>
      <c r="T40" s="336"/>
      <c r="U40" s="309"/>
      <c r="V40" s="317"/>
    </row>
    <row r="41" spans="2:22" ht="15" customHeight="1" x14ac:dyDescent="0.2">
      <c r="B41" s="1094"/>
      <c r="C41" s="643" t="s">
        <v>752</v>
      </c>
      <c r="D41" s="503">
        <f>イチジク農薬!G11/イチジク農薬!E11</f>
        <v>0.6</v>
      </c>
      <c r="E41" s="644" t="s">
        <v>158</v>
      </c>
      <c r="F41" s="643">
        <f>イチジク農薬!F11</f>
        <v>8340</v>
      </c>
      <c r="G41" s="484">
        <f t="shared" ref="G41:G44" si="12">D41*F41</f>
        <v>5004</v>
      </c>
      <c r="H41" s="211"/>
      <c r="I41" s="1290"/>
      <c r="J41" s="208"/>
      <c r="K41" s="1233"/>
      <c r="L41" s="1233"/>
      <c r="M41" s="544"/>
      <c r="N41" s="317"/>
      <c r="O41" s="217"/>
      <c r="P41" s="1229"/>
      <c r="Q41" s="13"/>
      <c r="R41" s="456"/>
      <c r="S41" s="544"/>
      <c r="T41" s="544"/>
      <c r="U41" s="544"/>
      <c r="V41" s="669"/>
    </row>
    <row r="42" spans="2:22" ht="15" customHeight="1" thickBot="1" x14ac:dyDescent="0.25">
      <c r="B42" s="1094"/>
      <c r="C42" s="643" t="s">
        <v>754</v>
      </c>
      <c r="D42" s="503">
        <f>イチジク農薬!G12/イチジク農薬!E12</f>
        <v>0.4</v>
      </c>
      <c r="E42" s="644" t="s">
        <v>158</v>
      </c>
      <c r="F42" s="643">
        <f>イチジク農薬!F12</f>
        <v>7210</v>
      </c>
      <c r="G42" s="484">
        <f t="shared" si="12"/>
        <v>2884</v>
      </c>
      <c r="H42" s="211"/>
      <c r="I42" s="1291"/>
      <c r="J42" s="305" t="s">
        <v>161</v>
      </c>
      <c r="K42" s="1257"/>
      <c r="L42" s="1258"/>
      <c r="M42" s="306"/>
      <c r="N42" s="313">
        <f>SUM(N35:N41)</f>
        <v>8467.2000000000007</v>
      </c>
      <c r="O42" s="217"/>
      <c r="P42" s="1229"/>
      <c r="Q42" s="308"/>
      <c r="R42" s="335"/>
      <c r="S42" s="309"/>
      <c r="T42" s="336"/>
      <c r="U42" s="309"/>
      <c r="V42" s="317"/>
    </row>
    <row r="43" spans="2:22" ht="15" customHeight="1" thickTop="1" x14ac:dyDescent="0.2">
      <c r="B43" s="1094"/>
      <c r="C43" s="643" t="s">
        <v>756</v>
      </c>
      <c r="D43" s="503">
        <f>イチジク農薬!G13/イチジク農薬!E13</f>
        <v>0.3</v>
      </c>
      <c r="E43" s="644" t="s">
        <v>158</v>
      </c>
      <c r="F43" s="643">
        <f>イチジク農薬!F13</f>
        <v>9170</v>
      </c>
      <c r="G43" s="484">
        <f t="shared" si="12"/>
        <v>2751</v>
      </c>
      <c r="H43" s="211"/>
      <c r="I43" s="1260" t="s">
        <v>244</v>
      </c>
      <c r="J43" s="308" t="s">
        <v>257</v>
      </c>
      <c r="K43" s="1233">
        <v>4100</v>
      </c>
      <c r="L43" s="1233"/>
      <c r="M43" s="847">
        <v>3000</v>
      </c>
      <c r="N43" s="334">
        <f>+K43/M43</f>
        <v>1.3666666666666667</v>
      </c>
      <c r="O43" s="217"/>
      <c r="P43" s="1229"/>
      <c r="Q43" s="308"/>
      <c r="R43" s="335"/>
      <c r="S43" s="309"/>
      <c r="T43" s="336"/>
      <c r="U43" s="309"/>
      <c r="V43" s="317"/>
    </row>
    <row r="44" spans="2:22" ht="15" customHeight="1" thickBot="1" x14ac:dyDescent="0.25">
      <c r="B44" s="1094"/>
      <c r="C44" s="643" t="s">
        <v>758</v>
      </c>
      <c r="D44" s="503">
        <f>イチジク農薬!G14/イチジク農薬!E14</f>
        <v>2</v>
      </c>
      <c r="E44" s="644" t="s">
        <v>158</v>
      </c>
      <c r="F44" s="643">
        <f>イチジク農薬!F14</f>
        <v>7500</v>
      </c>
      <c r="G44" s="484">
        <f t="shared" si="12"/>
        <v>15000</v>
      </c>
      <c r="H44" s="211"/>
      <c r="I44" s="1261"/>
      <c r="J44" s="308"/>
      <c r="K44" s="1233"/>
      <c r="L44" s="1233"/>
      <c r="M44" s="544"/>
      <c r="N44" s="317"/>
      <c r="O44" s="217"/>
      <c r="P44" s="1274"/>
      <c r="Q44" s="318" t="s">
        <v>253</v>
      </c>
      <c r="R44" s="319"/>
      <c r="S44" s="319"/>
      <c r="T44" s="319"/>
      <c r="U44" s="319"/>
      <c r="V44" s="320">
        <f>SUM(V38:V43)</f>
        <v>0</v>
      </c>
    </row>
    <row r="45" spans="2:22" ht="15" customHeight="1" thickTop="1" x14ac:dyDescent="0.2">
      <c r="B45" s="1094"/>
      <c r="C45" s="643" t="s">
        <v>759</v>
      </c>
      <c r="D45" s="503"/>
      <c r="E45" s="644" t="s">
        <v>158</v>
      </c>
      <c r="F45" s="643"/>
      <c r="G45" s="484">
        <f>イチジク農薬!I15</f>
        <v>10140</v>
      </c>
      <c r="H45" s="211"/>
      <c r="I45" s="1261"/>
      <c r="J45" s="208"/>
      <c r="K45" s="1233"/>
      <c r="L45" s="1233"/>
      <c r="M45" s="544"/>
      <c r="N45" s="317"/>
      <c r="O45" s="217"/>
      <c r="P45" s="1228" t="s">
        <v>258</v>
      </c>
      <c r="Q45" s="1225" t="s">
        <v>267</v>
      </c>
      <c r="R45" s="339" t="s">
        <v>257</v>
      </c>
      <c r="S45" s="308">
        <v>15600</v>
      </c>
      <c r="T45" s="336"/>
      <c r="U45" s="308">
        <v>3000</v>
      </c>
      <c r="V45" s="317">
        <f>S45/U45</f>
        <v>5.2</v>
      </c>
    </row>
    <row r="46" spans="2:22" ht="15" customHeight="1" thickBot="1" x14ac:dyDescent="0.25">
      <c r="B46" s="1094"/>
      <c r="C46" s="643" t="s">
        <v>760</v>
      </c>
      <c r="D46" s="503"/>
      <c r="E46" s="644" t="s">
        <v>158</v>
      </c>
      <c r="F46" s="643"/>
      <c r="G46" s="484">
        <f>イチジク農薬!I16</f>
        <v>2448</v>
      </c>
      <c r="H46" s="211"/>
      <c r="I46" s="1277"/>
      <c r="J46" s="305" t="s">
        <v>161</v>
      </c>
      <c r="K46" s="1257"/>
      <c r="L46" s="1258"/>
      <c r="M46" s="306"/>
      <c r="N46" s="313">
        <f>SUM(N43:N45)</f>
        <v>1.3666666666666667</v>
      </c>
      <c r="O46" s="217"/>
      <c r="P46" s="1229"/>
      <c r="Q46" s="1226"/>
      <c r="R46" s="339"/>
      <c r="S46" s="308"/>
      <c r="T46" s="336"/>
      <c r="U46" s="308"/>
      <c r="V46" s="317"/>
    </row>
    <row r="47" spans="2:22" ht="15" customHeight="1" thickTop="1" x14ac:dyDescent="0.2">
      <c r="B47" s="1094"/>
      <c r="C47" s="643"/>
      <c r="D47" s="503"/>
      <c r="E47" s="643"/>
      <c r="F47" s="643"/>
      <c r="G47" s="484">
        <f t="shared" ref="G47:G52" si="13">D47*F47</f>
        <v>0</v>
      </c>
      <c r="H47" s="211"/>
      <c r="I47" s="1260" t="s">
        <v>245</v>
      </c>
      <c r="J47" s="307"/>
      <c r="K47" s="1259"/>
      <c r="L47" s="1259"/>
      <c r="M47" s="543"/>
      <c r="N47" s="333"/>
      <c r="O47" s="217"/>
      <c r="P47" s="1229"/>
      <c r="Q47" s="1226"/>
      <c r="R47" s="339"/>
      <c r="S47" s="308"/>
      <c r="T47" s="308"/>
      <c r="U47" s="208"/>
      <c r="V47" s="340"/>
    </row>
    <row r="48" spans="2:22" ht="15" customHeight="1" x14ac:dyDescent="0.2">
      <c r="B48" s="1094"/>
      <c r="C48" s="643"/>
      <c r="D48" s="503"/>
      <c r="E48" s="643"/>
      <c r="F48" s="643"/>
      <c r="G48" s="484">
        <f t="shared" si="13"/>
        <v>0</v>
      </c>
      <c r="H48" s="211"/>
      <c r="I48" s="1261"/>
      <c r="J48" s="308"/>
      <c r="K48" s="1233"/>
      <c r="L48" s="1233"/>
      <c r="M48" s="544"/>
      <c r="N48" s="317"/>
      <c r="O48" s="217"/>
      <c r="P48" s="1229"/>
      <c r="Q48" s="1226"/>
      <c r="R48" s="514"/>
      <c r="S48" s="544"/>
      <c r="T48" s="544"/>
      <c r="U48" s="544"/>
      <c r="V48" s="669"/>
    </row>
    <row r="49" spans="2:22" ht="15" customHeight="1" thickBot="1" x14ac:dyDescent="0.25">
      <c r="B49" s="1254"/>
      <c r="C49" s="202" t="s">
        <v>161</v>
      </c>
      <c r="D49" s="655"/>
      <c r="E49" s="203"/>
      <c r="F49" s="203"/>
      <c r="G49" s="204">
        <f>SUM(G39:G48)</f>
        <v>47493.666666666672</v>
      </c>
      <c r="H49" s="211"/>
      <c r="I49" s="1261"/>
      <c r="J49" s="208"/>
      <c r="K49" s="1233"/>
      <c r="L49" s="1233"/>
      <c r="M49" s="544"/>
      <c r="N49" s="317"/>
      <c r="O49" s="217"/>
      <c r="P49" s="1229"/>
      <c r="Q49" s="1300"/>
      <c r="R49" s="339"/>
      <c r="S49" s="308"/>
      <c r="T49" s="308"/>
      <c r="U49" s="208"/>
      <c r="V49" s="340"/>
    </row>
    <row r="50" spans="2:22" ht="15" customHeight="1" thickTop="1" thickBot="1" x14ac:dyDescent="0.25">
      <c r="B50" s="1252" t="s">
        <v>32</v>
      </c>
      <c r="C50" s="643" t="s">
        <v>748</v>
      </c>
      <c r="D50" s="670">
        <f>イチジク農薬!G18/イチジク農薬!E18</f>
        <v>4.5454545454545456E-2</v>
      </c>
      <c r="E50" s="644" t="s">
        <v>162</v>
      </c>
      <c r="F50" s="643">
        <f>イチジク農薬!F18</f>
        <v>45740</v>
      </c>
      <c r="G50" s="484">
        <f t="shared" si="13"/>
        <v>2079.090909090909</v>
      </c>
      <c r="H50" s="211"/>
      <c r="I50" s="1277"/>
      <c r="J50" s="305" t="s">
        <v>161</v>
      </c>
      <c r="K50" s="1257"/>
      <c r="L50" s="1258"/>
      <c r="M50" s="306"/>
      <c r="N50" s="313">
        <f>SUM(N47:N49)</f>
        <v>0</v>
      </c>
      <c r="O50" s="217"/>
      <c r="P50" s="1229"/>
      <c r="Q50" s="318" t="s">
        <v>253</v>
      </c>
      <c r="R50" s="319"/>
      <c r="S50" s="319"/>
      <c r="T50" s="319"/>
      <c r="U50" s="319"/>
      <c r="V50" s="320">
        <f>SUM(V45:V49)</f>
        <v>5.2</v>
      </c>
    </row>
    <row r="51" spans="2:22" ht="15" customHeight="1" thickTop="1" x14ac:dyDescent="0.2">
      <c r="B51" s="1094"/>
      <c r="C51" s="643"/>
      <c r="D51" s="503"/>
      <c r="E51" s="643"/>
      <c r="F51" s="643"/>
      <c r="G51" s="484">
        <f t="shared" si="13"/>
        <v>0</v>
      </c>
      <c r="H51" s="211"/>
      <c r="I51" s="1260" t="s">
        <v>246</v>
      </c>
      <c r="J51" s="544" t="s">
        <v>257</v>
      </c>
      <c r="K51" s="1269">
        <v>5000</v>
      </c>
      <c r="L51" s="1270"/>
      <c r="M51" s="321">
        <v>3000</v>
      </c>
      <c r="N51" s="334">
        <f>+K51/M51</f>
        <v>1.6666666666666667</v>
      </c>
      <c r="O51" s="217"/>
      <c r="P51" s="1229"/>
      <c r="Q51" s="1225" t="s">
        <v>269</v>
      </c>
      <c r="R51" s="339" t="s">
        <v>257</v>
      </c>
      <c r="S51" s="308">
        <v>25000</v>
      </c>
      <c r="T51" s="336"/>
      <c r="U51" s="308">
        <v>3000</v>
      </c>
      <c r="V51" s="317">
        <f>S51/U51</f>
        <v>8.3333333333333339</v>
      </c>
    </row>
    <row r="52" spans="2:22" ht="15" customHeight="1" x14ac:dyDescent="0.2">
      <c r="B52" s="1094"/>
      <c r="C52" s="643"/>
      <c r="D52" s="503"/>
      <c r="E52" s="643"/>
      <c r="F52" s="643"/>
      <c r="G52" s="484">
        <f t="shared" si="13"/>
        <v>0</v>
      </c>
      <c r="H52" s="211"/>
      <c r="I52" s="1261"/>
      <c r="J52" s="308"/>
      <c r="K52" s="1267"/>
      <c r="L52" s="1268"/>
      <c r="M52" s="321"/>
      <c r="N52" s="317"/>
      <c r="O52" s="217"/>
      <c r="P52" s="1229"/>
      <c r="Q52" s="1226"/>
      <c r="R52" s="339"/>
      <c r="S52" s="308"/>
      <c r="T52" s="336"/>
      <c r="U52" s="308"/>
      <c r="V52" s="317"/>
    </row>
    <row r="53" spans="2:22" ht="13.5" thickBot="1" x14ac:dyDescent="0.25">
      <c r="B53" s="1254"/>
      <c r="C53" s="202" t="s">
        <v>161</v>
      </c>
      <c r="D53" s="655"/>
      <c r="E53" s="203"/>
      <c r="F53" s="203"/>
      <c r="G53" s="204">
        <f>SUM(G50:G52)</f>
        <v>2079.090909090909</v>
      </c>
      <c r="I53" s="1261"/>
      <c r="J53" s="308"/>
      <c r="K53" s="1267"/>
      <c r="L53" s="1268"/>
      <c r="M53" s="321"/>
      <c r="N53" s="317"/>
      <c r="O53" s="217"/>
      <c r="P53" s="1229"/>
      <c r="Q53" s="1226"/>
      <c r="R53" s="339"/>
      <c r="S53" s="308"/>
      <c r="T53" s="308"/>
      <c r="U53" s="208"/>
      <c r="V53" s="340"/>
    </row>
    <row r="54" spans="2:22" ht="13.5" thickTop="1" x14ac:dyDescent="0.2">
      <c r="B54" s="1252" t="s">
        <v>596</v>
      </c>
      <c r="C54" s="643"/>
      <c r="D54" s="503"/>
      <c r="E54" s="644"/>
      <c r="F54" s="643"/>
      <c r="G54" s="484"/>
      <c r="I54" s="1261"/>
      <c r="J54" s="13"/>
      <c r="K54" s="1082"/>
      <c r="L54" s="1083"/>
      <c r="M54" s="544"/>
      <c r="N54" s="317"/>
      <c r="O54" s="217"/>
      <c r="P54" s="1229"/>
      <c r="Q54" s="1226"/>
      <c r="R54" s="456"/>
      <c r="S54" s="544"/>
      <c r="T54" s="544"/>
      <c r="U54" s="544"/>
      <c r="V54" s="669"/>
    </row>
    <row r="55" spans="2:22" x14ac:dyDescent="0.2">
      <c r="B55" s="1094"/>
      <c r="C55" s="643"/>
      <c r="D55" s="503"/>
      <c r="E55" s="644"/>
      <c r="F55" s="643"/>
      <c r="G55" s="484"/>
      <c r="I55" s="1261"/>
      <c r="J55" s="308"/>
      <c r="K55" s="1267"/>
      <c r="L55" s="1268"/>
      <c r="M55" s="321"/>
      <c r="N55" s="548"/>
      <c r="O55" s="217"/>
      <c r="P55" s="1229"/>
      <c r="Q55" s="1300"/>
      <c r="R55" s="339"/>
      <c r="S55" s="308"/>
      <c r="T55" s="308"/>
      <c r="U55" s="208"/>
      <c r="V55" s="340"/>
    </row>
    <row r="56" spans="2:22" x14ac:dyDescent="0.2">
      <c r="B56" s="1094"/>
      <c r="C56" s="643"/>
      <c r="D56" s="503"/>
      <c r="E56" s="644"/>
      <c r="F56" s="643"/>
      <c r="G56" s="484"/>
      <c r="I56" s="1262"/>
      <c r="J56" s="671" t="s">
        <v>161</v>
      </c>
      <c r="K56" s="1292"/>
      <c r="L56" s="1293"/>
      <c r="M56" s="672"/>
      <c r="N56" s="673">
        <f>SUM(N51:N55)</f>
        <v>1.6666666666666667</v>
      </c>
      <c r="O56" s="217"/>
      <c r="P56" s="1230"/>
      <c r="Q56" s="343" t="s">
        <v>253</v>
      </c>
      <c r="R56" s="344"/>
      <c r="S56" s="344"/>
      <c r="T56" s="344"/>
      <c r="U56" s="344"/>
      <c r="V56" s="345">
        <f>SUM(V51:V55)</f>
        <v>8.3333333333333339</v>
      </c>
    </row>
    <row r="57" spans="2:22" ht="13.5" thickBot="1" x14ac:dyDescent="0.25">
      <c r="B57" s="1253"/>
      <c r="C57" s="205" t="s">
        <v>163</v>
      </c>
      <c r="D57" s="661"/>
      <c r="E57" s="206"/>
      <c r="F57" s="206"/>
      <c r="G57" s="207">
        <f>SUM(G54:G56)</f>
        <v>0</v>
      </c>
      <c r="I57" s="1294" t="s">
        <v>247</v>
      </c>
      <c r="J57" s="1295"/>
      <c r="K57" s="1296"/>
      <c r="L57" s="1297"/>
      <c r="M57" s="674"/>
      <c r="N57" s="675">
        <f>SUM(N42,N46,N50,N56)</f>
        <v>8470.2333333333336</v>
      </c>
      <c r="O57" s="217"/>
      <c r="P57" s="1298" t="s">
        <v>247</v>
      </c>
      <c r="Q57" s="1299"/>
      <c r="R57" s="676"/>
      <c r="S57" s="676"/>
      <c r="T57" s="676"/>
      <c r="U57" s="676"/>
      <c r="V57" s="675">
        <f>SUM(V44,V50,V56)</f>
        <v>13.533333333333335</v>
      </c>
    </row>
    <row r="58" spans="2:22" x14ac:dyDescent="0.2">
      <c r="O58" s="217"/>
      <c r="V58" s="90"/>
    </row>
    <row r="59" spans="2:22" x14ac:dyDescent="0.2">
      <c r="I59" s="217"/>
      <c r="J59" s="217"/>
      <c r="K59" s="217"/>
      <c r="L59" s="217"/>
      <c r="M59" s="217"/>
      <c r="N59" s="217"/>
      <c r="O59" s="217"/>
    </row>
    <row r="60" spans="2:22" x14ac:dyDescent="0.2">
      <c r="I60" s="217"/>
      <c r="J60" s="217"/>
      <c r="K60" s="217"/>
      <c r="L60" s="217"/>
      <c r="M60" s="217"/>
      <c r="N60" s="217"/>
      <c r="O60" s="217"/>
    </row>
    <row r="61" spans="2:22" x14ac:dyDescent="0.2">
      <c r="I61" s="217"/>
      <c r="J61" s="217"/>
      <c r="K61" s="217"/>
      <c r="L61" s="217"/>
      <c r="M61" s="217"/>
      <c r="N61" s="217"/>
      <c r="O61" s="217"/>
    </row>
    <row r="62" spans="2:22" x14ac:dyDescent="0.2">
      <c r="I62" s="217"/>
      <c r="J62" s="217"/>
      <c r="K62" s="217"/>
      <c r="L62" s="217"/>
      <c r="M62" s="217"/>
      <c r="N62" s="217"/>
      <c r="O62" s="217"/>
    </row>
    <row r="63" spans="2:22" x14ac:dyDescent="0.2">
      <c r="I63" s="217"/>
      <c r="J63" s="217"/>
      <c r="K63" s="217"/>
      <c r="L63" s="217"/>
      <c r="M63" s="217"/>
      <c r="N63" s="217"/>
      <c r="O63" s="217"/>
    </row>
    <row r="64" spans="2:22" x14ac:dyDescent="0.2">
      <c r="I64" s="217"/>
      <c r="J64" s="217"/>
      <c r="K64" s="217"/>
      <c r="L64" s="217"/>
      <c r="M64" s="217"/>
      <c r="N64" s="217"/>
      <c r="O64" s="217"/>
    </row>
    <row r="65" spans="9:15" x14ac:dyDescent="0.2">
      <c r="I65" s="217"/>
      <c r="J65" s="217"/>
      <c r="K65" s="217"/>
      <c r="L65" s="217"/>
      <c r="M65" s="217"/>
      <c r="N65" s="217"/>
      <c r="O65" s="217"/>
    </row>
    <row r="66" spans="9:15" x14ac:dyDescent="0.2">
      <c r="I66" s="217"/>
      <c r="J66" s="217"/>
      <c r="K66" s="217"/>
      <c r="L66" s="217"/>
      <c r="M66" s="217"/>
      <c r="N66" s="217"/>
      <c r="O66" s="217"/>
    </row>
    <row r="67" spans="9:15" x14ac:dyDescent="0.2">
      <c r="I67" s="217"/>
      <c r="J67" s="217"/>
      <c r="K67" s="217"/>
      <c r="L67" s="217"/>
      <c r="M67" s="217"/>
      <c r="N67" s="217"/>
      <c r="O67" s="217"/>
    </row>
    <row r="68" spans="9:15" x14ac:dyDescent="0.2">
      <c r="I68" s="217"/>
      <c r="J68" s="217"/>
      <c r="K68" s="217"/>
      <c r="L68" s="217"/>
      <c r="M68" s="217"/>
      <c r="N68" s="217"/>
      <c r="O68" s="217"/>
    </row>
    <row r="69" spans="9:15" x14ac:dyDescent="0.2">
      <c r="I69" s="217"/>
      <c r="J69" s="217"/>
      <c r="K69" s="217"/>
      <c r="L69" s="217"/>
      <c r="M69" s="217"/>
      <c r="N69" s="217"/>
      <c r="O69" s="217"/>
    </row>
    <row r="70" spans="9:15" x14ac:dyDescent="0.2">
      <c r="I70" s="217"/>
      <c r="J70" s="217"/>
      <c r="K70" s="217"/>
      <c r="L70" s="217"/>
      <c r="M70" s="217"/>
      <c r="N70" s="217"/>
      <c r="O70" s="217"/>
    </row>
    <row r="71" spans="9:15" x14ac:dyDescent="0.2">
      <c r="I71" s="217"/>
      <c r="J71" s="217"/>
      <c r="K71" s="217"/>
      <c r="L71" s="217"/>
      <c r="M71" s="217"/>
      <c r="N71" s="217"/>
      <c r="O71" s="217"/>
    </row>
    <row r="72" spans="9:15" x14ac:dyDescent="0.2">
      <c r="I72" s="217"/>
      <c r="J72" s="217"/>
      <c r="K72" s="217"/>
      <c r="L72" s="217"/>
      <c r="M72" s="217"/>
      <c r="N72" s="217"/>
      <c r="O72" s="217"/>
    </row>
    <row r="73" spans="9:15" x14ac:dyDescent="0.2">
      <c r="I73" s="217"/>
      <c r="J73" s="217"/>
      <c r="K73" s="217"/>
      <c r="L73" s="217"/>
      <c r="M73" s="217"/>
      <c r="N73" s="217"/>
      <c r="O73" s="217"/>
    </row>
    <row r="74" spans="9:15" x14ac:dyDescent="0.2">
      <c r="I74" s="217"/>
      <c r="J74" s="217"/>
      <c r="K74" s="217"/>
      <c r="L74" s="217"/>
      <c r="M74" s="217"/>
      <c r="N74" s="217"/>
      <c r="O74" s="217"/>
    </row>
    <row r="75" spans="9:15" x14ac:dyDescent="0.2">
      <c r="I75" s="217"/>
      <c r="J75" s="217"/>
      <c r="K75" s="217"/>
      <c r="L75" s="217"/>
      <c r="M75" s="217"/>
      <c r="N75" s="217"/>
      <c r="O75" s="217"/>
    </row>
    <row r="76" spans="9:15" x14ac:dyDescent="0.2">
      <c r="I76" s="217"/>
      <c r="J76" s="217"/>
      <c r="K76" s="217"/>
      <c r="L76" s="217"/>
      <c r="M76" s="217"/>
      <c r="N76" s="217"/>
      <c r="O76" s="217"/>
    </row>
    <row r="77" spans="9:15" x14ac:dyDescent="0.2">
      <c r="I77" s="217"/>
      <c r="J77" s="217"/>
      <c r="K77" s="217"/>
      <c r="L77" s="217"/>
      <c r="M77" s="217"/>
      <c r="N77" s="217"/>
      <c r="O77" s="217"/>
    </row>
    <row r="78" spans="9:15" x14ac:dyDescent="0.2">
      <c r="I78" s="217"/>
      <c r="J78" s="217"/>
      <c r="K78" s="217"/>
      <c r="L78" s="217"/>
      <c r="M78" s="217"/>
      <c r="N78" s="217"/>
      <c r="O78" s="217"/>
    </row>
    <row r="79" spans="9:15" x14ac:dyDescent="0.2">
      <c r="I79" s="217"/>
      <c r="J79" s="217"/>
      <c r="K79" s="217"/>
      <c r="L79" s="217"/>
      <c r="M79" s="217"/>
      <c r="N79" s="217"/>
      <c r="O79" s="217"/>
    </row>
    <row r="80" spans="9:15" x14ac:dyDescent="0.2">
      <c r="I80" s="217"/>
      <c r="J80" s="217"/>
      <c r="K80" s="217"/>
      <c r="L80" s="217"/>
      <c r="M80" s="217"/>
      <c r="N80" s="217"/>
      <c r="O80" s="217"/>
    </row>
    <row r="81" spans="2:15" x14ac:dyDescent="0.2">
      <c r="I81" s="217"/>
      <c r="J81" s="217"/>
      <c r="K81" s="217"/>
      <c r="L81" s="217"/>
      <c r="M81" s="217"/>
      <c r="N81" s="217"/>
      <c r="O81" s="217"/>
    </row>
    <row r="82" spans="2:15" x14ac:dyDescent="0.2">
      <c r="I82" s="217"/>
      <c r="J82" s="217"/>
      <c r="K82" s="217"/>
      <c r="L82" s="217"/>
      <c r="M82" s="217"/>
      <c r="N82" s="217"/>
      <c r="O82" s="217"/>
    </row>
    <row r="83" spans="2:15" x14ac:dyDescent="0.2">
      <c r="B83" s="210"/>
      <c r="C83" s="211"/>
      <c r="D83" s="211"/>
      <c r="E83" s="211"/>
      <c r="F83" s="211"/>
      <c r="I83" s="217"/>
      <c r="J83" s="217"/>
      <c r="K83" s="217"/>
      <c r="L83" s="217"/>
      <c r="M83" s="217"/>
      <c r="N83" s="217"/>
      <c r="O83" s="217"/>
    </row>
    <row r="84" spans="2:15" x14ac:dyDescent="0.2">
      <c r="B84" s="210"/>
      <c r="C84" s="211"/>
      <c r="D84" s="211"/>
      <c r="E84" s="211"/>
      <c r="F84" s="211"/>
      <c r="I84" s="217"/>
      <c r="J84" s="217"/>
      <c r="K84" s="217"/>
      <c r="L84" s="217"/>
      <c r="M84" s="217"/>
      <c r="N84" s="217"/>
      <c r="O84" s="217"/>
    </row>
    <row r="85" spans="2:15" x14ac:dyDescent="0.2">
      <c r="I85" s="217"/>
      <c r="J85" s="217"/>
      <c r="K85" s="217"/>
      <c r="L85" s="217"/>
      <c r="M85" s="217"/>
      <c r="N85" s="217"/>
      <c r="O85" s="217"/>
    </row>
    <row r="86" spans="2:15" x14ac:dyDescent="0.2">
      <c r="I86" s="217"/>
      <c r="J86" s="217"/>
      <c r="K86" s="217"/>
      <c r="L86" s="217"/>
      <c r="M86" s="217"/>
      <c r="N86" s="217"/>
      <c r="O86" s="217"/>
    </row>
    <row r="87" spans="2:15" x14ac:dyDescent="0.2">
      <c r="I87" s="217"/>
      <c r="J87" s="217"/>
      <c r="K87" s="217"/>
      <c r="L87" s="217"/>
      <c r="M87" s="217"/>
      <c r="N87" s="217"/>
      <c r="O87" s="217"/>
    </row>
    <row r="88" spans="2:15" x14ac:dyDescent="0.2">
      <c r="I88" s="217"/>
      <c r="J88" s="217"/>
      <c r="K88" s="217"/>
      <c r="L88" s="217"/>
      <c r="M88" s="217"/>
      <c r="N88" s="217"/>
      <c r="O88" s="217"/>
    </row>
    <row r="89" spans="2:15" x14ac:dyDescent="0.2">
      <c r="I89" s="217"/>
      <c r="J89" s="217"/>
      <c r="K89" s="217"/>
      <c r="L89" s="217"/>
      <c r="M89" s="217"/>
      <c r="N89" s="217"/>
      <c r="O89" s="217"/>
    </row>
    <row r="90" spans="2:15" x14ac:dyDescent="0.2">
      <c r="I90" s="217"/>
      <c r="J90" s="217"/>
      <c r="K90" s="217"/>
      <c r="L90" s="217"/>
      <c r="M90" s="217"/>
      <c r="N90" s="217"/>
      <c r="O90" s="217"/>
    </row>
    <row r="91" spans="2:15" x14ac:dyDescent="0.2">
      <c r="I91" s="217"/>
      <c r="J91" s="217"/>
      <c r="K91" s="217"/>
      <c r="L91" s="217"/>
      <c r="M91" s="217"/>
      <c r="N91" s="217"/>
      <c r="O91" s="217"/>
    </row>
    <row r="92" spans="2:15" x14ac:dyDescent="0.2">
      <c r="I92" s="217"/>
      <c r="J92" s="217"/>
      <c r="K92" s="217"/>
      <c r="L92" s="217"/>
      <c r="M92" s="217"/>
      <c r="N92" s="217"/>
      <c r="O92" s="217"/>
    </row>
    <row r="93" spans="2:15" x14ac:dyDescent="0.2">
      <c r="I93" s="217"/>
      <c r="J93" s="217"/>
      <c r="K93" s="217"/>
      <c r="L93" s="217"/>
      <c r="M93" s="217"/>
      <c r="N93" s="217"/>
      <c r="O93" s="217"/>
    </row>
    <row r="94" spans="2:15" x14ac:dyDescent="0.2">
      <c r="I94" s="217"/>
      <c r="J94" s="217"/>
      <c r="K94" s="217"/>
      <c r="L94" s="217"/>
      <c r="M94" s="217"/>
      <c r="N94" s="217"/>
      <c r="O94" s="217"/>
    </row>
    <row r="95" spans="2:15" x14ac:dyDescent="0.2">
      <c r="I95" s="217"/>
      <c r="J95" s="217"/>
      <c r="K95" s="217"/>
      <c r="L95" s="217"/>
      <c r="M95" s="217"/>
      <c r="N95" s="217"/>
      <c r="O95" s="217"/>
    </row>
    <row r="96" spans="2:15" x14ac:dyDescent="0.2">
      <c r="I96" s="217"/>
      <c r="J96" s="217"/>
      <c r="K96" s="217"/>
      <c r="L96" s="217"/>
      <c r="M96" s="217"/>
      <c r="N96" s="217"/>
      <c r="O96" s="217"/>
    </row>
    <row r="97" spans="9:15" x14ac:dyDescent="0.2">
      <c r="I97" s="217"/>
      <c r="J97" s="217"/>
      <c r="K97" s="217"/>
      <c r="L97" s="217"/>
      <c r="M97" s="217"/>
      <c r="N97" s="217"/>
      <c r="O97" s="217"/>
    </row>
    <row r="98" spans="9:15" x14ac:dyDescent="0.2">
      <c r="I98" s="217"/>
      <c r="J98" s="217"/>
      <c r="K98" s="217"/>
      <c r="L98" s="217"/>
      <c r="M98" s="217"/>
      <c r="N98" s="217"/>
      <c r="O98" s="217"/>
    </row>
    <row r="99" spans="9:15" x14ac:dyDescent="0.2">
      <c r="I99" s="217"/>
      <c r="J99" s="217"/>
      <c r="K99" s="217"/>
      <c r="L99" s="217"/>
      <c r="M99" s="217"/>
      <c r="N99" s="217"/>
      <c r="O99" s="217"/>
    </row>
    <row r="100" spans="9:15" x14ac:dyDescent="0.2">
      <c r="I100" s="217"/>
      <c r="J100" s="217"/>
      <c r="K100" s="217"/>
      <c r="L100" s="217"/>
      <c r="M100" s="217"/>
      <c r="N100" s="217"/>
      <c r="O100" s="217"/>
    </row>
    <row r="101" spans="9:15" x14ac:dyDescent="0.2">
      <c r="I101" s="217"/>
      <c r="J101" s="217"/>
      <c r="K101" s="217"/>
      <c r="L101" s="217"/>
      <c r="M101" s="217"/>
      <c r="N101" s="217"/>
      <c r="O101" s="217"/>
    </row>
    <row r="102" spans="9:15" x14ac:dyDescent="0.2">
      <c r="I102" s="217"/>
      <c r="J102" s="217"/>
      <c r="K102" s="217"/>
      <c r="L102" s="217"/>
      <c r="M102" s="217"/>
      <c r="N102" s="217"/>
      <c r="O102" s="217"/>
    </row>
    <row r="103" spans="9:15" x14ac:dyDescent="0.2">
      <c r="I103" s="217"/>
      <c r="J103" s="217"/>
      <c r="K103" s="217"/>
      <c r="L103" s="217"/>
      <c r="M103" s="217"/>
      <c r="N103" s="217"/>
      <c r="O103" s="217"/>
    </row>
    <row r="104" spans="9:15" x14ac:dyDescent="0.2">
      <c r="I104" s="217"/>
      <c r="J104" s="217"/>
      <c r="K104" s="217"/>
      <c r="L104" s="217"/>
      <c r="M104" s="217"/>
      <c r="N104" s="217"/>
      <c r="O104" s="217"/>
    </row>
    <row r="105" spans="9:15" x14ac:dyDescent="0.2">
      <c r="I105" s="217"/>
      <c r="J105" s="217"/>
      <c r="K105" s="217"/>
      <c r="L105" s="217"/>
      <c r="M105" s="217"/>
      <c r="N105" s="217"/>
      <c r="O105" s="217"/>
    </row>
    <row r="106" spans="9:15" x14ac:dyDescent="0.2">
      <c r="I106" s="217"/>
      <c r="J106" s="217"/>
      <c r="K106" s="217"/>
      <c r="L106" s="217"/>
      <c r="M106" s="217"/>
      <c r="N106" s="217"/>
      <c r="O106" s="217"/>
    </row>
    <row r="107" spans="9:15" x14ac:dyDescent="0.2">
      <c r="I107" s="217"/>
      <c r="J107" s="217"/>
      <c r="K107" s="217"/>
      <c r="L107" s="217"/>
      <c r="M107" s="217"/>
      <c r="N107" s="217"/>
      <c r="O107" s="217"/>
    </row>
    <row r="108" spans="9:15" x14ac:dyDescent="0.2">
      <c r="I108" s="217"/>
      <c r="J108" s="217"/>
      <c r="K108" s="217"/>
      <c r="L108" s="217"/>
      <c r="M108" s="217"/>
      <c r="N108" s="217"/>
      <c r="O108" s="217"/>
    </row>
    <row r="109" spans="9:15" x14ac:dyDescent="0.2">
      <c r="I109" s="217"/>
      <c r="J109" s="217"/>
      <c r="K109" s="217"/>
      <c r="L109" s="217"/>
      <c r="M109" s="217"/>
      <c r="N109" s="217"/>
      <c r="O109" s="217"/>
    </row>
    <row r="110" spans="9:15" x14ac:dyDescent="0.2">
      <c r="I110" s="217"/>
      <c r="J110" s="217"/>
      <c r="K110" s="217"/>
      <c r="L110" s="217"/>
      <c r="M110" s="217"/>
      <c r="N110" s="217"/>
      <c r="O110" s="217"/>
    </row>
    <row r="111" spans="9:15" x14ac:dyDescent="0.2">
      <c r="I111" s="217"/>
      <c r="J111" s="217"/>
      <c r="K111" s="217"/>
      <c r="L111" s="217"/>
      <c r="M111" s="217"/>
      <c r="N111" s="217"/>
      <c r="O111" s="217"/>
    </row>
    <row r="112" spans="9:15" x14ac:dyDescent="0.2">
      <c r="I112" s="217"/>
      <c r="J112" s="217"/>
      <c r="K112" s="217"/>
      <c r="L112" s="217"/>
      <c r="M112" s="217"/>
      <c r="N112" s="217"/>
      <c r="O112" s="217"/>
    </row>
    <row r="113" spans="9:15" x14ac:dyDescent="0.2">
      <c r="I113" s="217"/>
      <c r="J113" s="217"/>
      <c r="K113" s="217"/>
      <c r="L113" s="217"/>
      <c r="M113" s="217"/>
      <c r="N113" s="217"/>
      <c r="O113" s="217"/>
    </row>
    <row r="114" spans="9:15" x14ac:dyDescent="0.2">
      <c r="I114" s="217"/>
      <c r="J114" s="217"/>
      <c r="K114" s="217"/>
      <c r="L114" s="217"/>
      <c r="M114" s="217"/>
      <c r="N114" s="217"/>
      <c r="O114" s="217"/>
    </row>
    <row r="115" spans="9:15" x14ac:dyDescent="0.2">
      <c r="I115" s="217"/>
      <c r="J115" s="217"/>
      <c r="K115" s="217"/>
      <c r="L115" s="217"/>
      <c r="M115" s="217"/>
      <c r="N115" s="217"/>
      <c r="O115" s="217"/>
    </row>
    <row r="116" spans="9:15" x14ac:dyDescent="0.2">
      <c r="I116" s="217"/>
      <c r="J116" s="217"/>
      <c r="K116" s="217"/>
      <c r="L116" s="217"/>
      <c r="M116" s="217"/>
      <c r="N116" s="217"/>
      <c r="O116" s="217"/>
    </row>
    <row r="117" spans="9:15" x14ac:dyDescent="0.2">
      <c r="I117" s="217"/>
      <c r="J117" s="217"/>
      <c r="K117" s="217"/>
      <c r="L117" s="217"/>
      <c r="M117" s="217"/>
      <c r="N117" s="217"/>
      <c r="O117" s="217"/>
    </row>
    <row r="118" spans="9:15" x14ac:dyDescent="0.2">
      <c r="I118" s="217"/>
      <c r="J118" s="217"/>
      <c r="K118" s="217"/>
      <c r="L118" s="217"/>
      <c r="M118" s="217"/>
      <c r="N118" s="217"/>
      <c r="O118" s="217"/>
    </row>
    <row r="119" spans="9:15" x14ac:dyDescent="0.2">
      <c r="I119" s="217"/>
      <c r="J119" s="217"/>
      <c r="K119" s="217"/>
      <c r="L119" s="217"/>
      <c r="M119" s="217"/>
      <c r="N119" s="217"/>
      <c r="O119" s="217"/>
    </row>
    <row r="120" spans="9:15" x14ac:dyDescent="0.2">
      <c r="I120" s="217"/>
      <c r="J120" s="217"/>
      <c r="K120" s="217"/>
      <c r="L120" s="217"/>
      <c r="M120" s="217"/>
      <c r="N120" s="217"/>
      <c r="O120" s="217"/>
    </row>
    <row r="121" spans="9:15" x14ac:dyDescent="0.2">
      <c r="I121" s="217"/>
      <c r="J121" s="217"/>
      <c r="K121" s="217"/>
      <c r="L121" s="217"/>
      <c r="M121" s="217"/>
      <c r="N121" s="217"/>
      <c r="O121" s="217"/>
    </row>
    <row r="122" spans="9:15" x14ac:dyDescent="0.2">
      <c r="I122" s="217"/>
      <c r="J122" s="217"/>
      <c r="K122" s="217"/>
      <c r="L122" s="217"/>
      <c r="M122" s="217"/>
      <c r="N122" s="217"/>
      <c r="O122" s="217"/>
    </row>
    <row r="123" spans="9:15" x14ac:dyDescent="0.2">
      <c r="I123" s="217"/>
      <c r="J123" s="217"/>
      <c r="K123" s="217"/>
      <c r="L123" s="217"/>
      <c r="M123" s="217"/>
      <c r="N123" s="217"/>
      <c r="O123" s="217"/>
    </row>
    <row r="124" spans="9:15" x14ac:dyDescent="0.2">
      <c r="I124" s="217"/>
      <c r="J124" s="217"/>
      <c r="K124" s="217"/>
      <c r="L124" s="217"/>
      <c r="M124" s="217"/>
      <c r="N124" s="217"/>
      <c r="O124" s="217"/>
    </row>
    <row r="125" spans="9:15" x14ac:dyDescent="0.2">
      <c r="I125" s="217"/>
      <c r="J125" s="217"/>
      <c r="K125" s="217"/>
      <c r="L125" s="217"/>
      <c r="M125" s="217"/>
      <c r="N125" s="217"/>
      <c r="O125" s="217"/>
    </row>
    <row r="126" spans="9:15" x14ac:dyDescent="0.2">
      <c r="I126" s="217"/>
      <c r="J126" s="217"/>
      <c r="K126" s="217"/>
      <c r="L126" s="217"/>
      <c r="M126" s="217"/>
      <c r="N126" s="217"/>
      <c r="O126" s="217"/>
    </row>
    <row r="127" spans="9:15" x14ac:dyDescent="0.2">
      <c r="I127" s="217"/>
      <c r="J127" s="217"/>
      <c r="K127" s="217"/>
      <c r="L127" s="217"/>
      <c r="M127" s="217"/>
      <c r="N127" s="217"/>
      <c r="O127" s="217"/>
    </row>
    <row r="128" spans="9:15" x14ac:dyDescent="0.2">
      <c r="I128" s="217"/>
      <c r="J128" s="217"/>
      <c r="K128" s="217"/>
      <c r="L128" s="217"/>
      <c r="M128" s="217"/>
      <c r="N128" s="217"/>
      <c r="O128" s="217"/>
    </row>
    <row r="129" spans="9:15" x14ac:dyDescent="0.2">
      <c r="I129" s="217"/>
      <c r="J129" s="217"/>
      <c r="K129" s="217"/>
      <c r="L129" s="217"/>
      <c r="M129" s="217"/>
      <c r="N129" s="217"/>
      <c r="O129" s="217"/>
    </row>
    <row r="130" spans="9:15" x14ac:dyDescent="0.2">
      <c r="I130" s="217"/>
      <c r="J130" s="217"/>
      <c r="K130" s="217"/>
      <c r="L130" s="217"/>
      <c r="M130" s="217"/>
      <c r="N130" s="217"/>
      <c r="O130" s="217"/>
    </row>
    <row r="131" spans="9:15" x14ac:dyDescent="0.2">
      <c r="I131" s="217"/>
      <c r="J131" s="217"/>
      <c r="K131" s="217"/>
      <c r="L131" s="217"/>
      <c r="M131" s="217"/>
      <c r="N131" s="217"/>
      <c r="O131" s="217"/>
    </row>
    <row r="132" spans="9:15" x14ac:dyDescent="0.2">
      <c r="I132" s="217"/>
      <c r="J132" s="217"/>
      <c r="K132" s="217"/>
      <c r="L132" s="217"/>
      <c r="M132" s="217"/>
      <c r="N132" s="217"/>
      <c r="O132" s="217"/>
    </row>
    <row r="133" spans="9:15" x14ac:dyDescent="0.2">
      <c r="I133" s="217"/>
      <c r="J133" s="217"/>
      <c r="K133" s="217"/>
      <c r="L133" s="217"/>
      <c r="M133" s="217"/>
      <c r="N133" s="217"/>
      <c r="O133" s="217"/>
    </row>
    <row r="134" spans="9:15" x14ac:dyDescent="0.2">
      <c r="I134" s="217"/>
      <c r="J134" s="217"/>
      <c r="K134" s="217"/>
      <c r="L134" s="217"/>
      <c r="M134" s="217"/>
      <c r="N134" s="217"/>
      <c r="O134" s="217"/>
    </row>
    <row r="135" spans="9:15" x14ac:dyDescent="0.2">
      <c r="I135" s="217"/>
      <c r="J135" s="217"/>
      <c r="K135" s="217"/>
      <c r="L135" s="217"/>
      <c r="M135" s="217"/>
      <c r="N135" s="217"/>
      <c r="O135" s="217"/>
    </row>
    <row r="136" spans="9:15" x14ac:dyDescent="0.2">
      <c r="I136" s="217"/>
      <c r="J136" s="217"/>
      <c r="K136" s="217"/>
      <c r="L136" s="217"/>
      <c r="M136" s="217"/>
      <c r="N136" s="217"/>
      <c r="O136" s="217"/>
    </row>
    <row r="137" spans="9:15" x14ac:dyDescent="0.2">
      <c r="I137" s="217"/>
      <c r="J137" s="217"/>
      <c r="K137" s="217"/>
      <c r="L137" s="217"/>
      <c r="M137" s="217"/>
      <c r="N137" s="217"/>
      <c r="O137" s="217"/>
    </row>
    <row r="138" spans="9:15" x14ac:dyDescent="0.2">
      <c r="I138" s="217"/>
      <c r="J138" s="217"/>
      <c r="K138" s="217"/>
      <c r="L138" s="217"/>
      <c r="M138" s="217"/>
      <c r="N138" s="217"/>
      <c r="O138" s="217"/>
    </row>
    <row r="139" spans="9:15" x14ac:dyDescent="0.2">
      <c r="I139" s="217"/>
      <c r="J139" s="217"/>
      <c r="K139" s="217"/>
      <c r="L139" s="217"/>
      <c r="M139" s="217"/>
      <c r="N139" s="217"/>
    </row>
    <row r="140" spans="9:15" x14ac:dyDescent="0.2">
      <c r="I140" s="217"/>
      <c r="J140" s="217"/>
      <c r="K140" s="217"/>
      <c r="L140" s="217"/>
      <c r="M140" s="217"/>
      <c r="N140" s="217"/>
    </row>
    <row r="141" spans="9:15" x14ac:dyDescent="0.2">
      <c r="I141" s="217"/>
      <c r="J141" s="217"/>
      <c r="K141" s="217"/>
      <c r="L141" s="217"/>
      <c r="M141" s="217"/>
      <c r="N141" s="217"/>
    </row>
    <row r="142" spans="9:15" x14ac:dyDescent="0.2">
      <c r="I142" s="217"/>
      <c r="J142" s="217"/>
      <c r="K142" s="217"/>
      <c r="L142" s="217"/>
      <c r="M142" s="217"/>
      <c r="N142" s="217"/>
    </row>
    <row r="143" spans="9:15" x14ac:dyDescent="0.2">
      <c r="I143" s="217"/>
      <c r="J143" s="217"/>
      <c r="K143" s="217"/>
      <c r="L143" s="217"/>
      <c r="M143" s="217"/>
      <c r="N143" s="217"/>
    </row>
    <row r="144" spans="9:15" x14ac:dyDescent="0.2">
      <c r="I144" s="217"/>
      <c r="J144" s="217"/>
      <c r="K144" s="217"/>
      <c r="L144" s="217"/>
      <c r="M144" s="217"/>
      <c r="N144" s="217"/>
    </row>
    <row r="145" spans="9:14" x14ac:dyDescent="0.2">
      <c r="I145" s="217"/>
      <c r="J145" s="217"/>
      <c r="K145" s="217"/>
      <c r="L145" s="217"/>
      <c r="M145" s="217"/>
      <c r="N145" s="217"/>
    </row>
    <row r="146" spans="9:14" x14ac:dyDescent="0.2">
      <c r="I146" s="217"/>
      <c r="J146" s="217"/>
      <c r="K146" s="217"/>
      <c r="L146" s="217"/>
      <c r="M146" s="217"/>
      <c r="N146" s="217"/>
    </row>
    <row r="147" spans="9:14" x14ac:dyDescent="0.2">
      <c r="I147" s="217"/>
      <c r="J147" s="217"/>
      <c r="K147" s="217"/>
      <c r="L147" s="217"/>
      <c r="M147" s="217"/>
      <c r="N147" s="217"/>
    </row>
    <row r="148" spans="9:14" x14ac:dyDescent="0.2">
      <c r="I148" s="217"/>
      <c r="J148" s="217"/>
      <c r="K148" s="217"/>
      <c r="L148" s="217"/>
      <c r="M148" s="217"/>
      <c r="N148" s="217"/>
    </row>
    <row r="149" spans="9:14" x14ac:dyDescent="0.2">
      <c r="I149" s="217"/>
      <c r="J149" s="217"/>
      <c r="K149" s="217"/>
      <c r="L149" s="217"/>
      <c r="M149" s="217"/>
      <c r="N149" s="217"/>
    </row>
    <row r="150" spans="9:14" x14ac:dyDescent="0.2">
      <c r="I150" s="217"/>
      <c r="J150" s="217"/>
      <c r="K150" s="217"/>
      <c r="L150" s="217"/>
      <c r="M150" s="217"/>
      <c r="N150" s="217"/>
    </row>
    <row r="151" spans="9:14" x14ac:dyDescent="0.2">
      <c r="I151" s="217"/>
      <c r="J151" s="217"/>
      <c r="K151" s="217"/>
      <c r="L151" s="217"/>
      <c r="M151" s="217"/>
      <c r="N151" s="217"/>
    </row>
    <row r="152" spans="9:14" x14ac:dyDescent="0.2">
      <c r="I152" s="217"/>
      <c r="J152" s="217"/>
      <c r="K152" s="217"/>
      <c r="L152" s="217"/>
      <c r="M152" s="217"/>
      <c r="N152" s="217"/>
    </row>
    <row r="153" spans="9:14" x14ac:dyDescent="0.2">
      <c r="I153" s="217"/>
      <c r="J153" s="217"/>
      <c r="K153" s="217"/>
      <c r="L153" s="217"/>
      <c r="M153" s="217"/>
      <c r="N153" s="217"/>
    </row>
    <row r="154" spans="9:14" x14ac:dyDescent="0.2">
      <c r="I154" s="217"/>
      <c r="J154" s="217"/>
      <c r="K154" s="217"/>
      <c r="L154" s="217"/>
      <c r="M154" s="217"/>
      <c r="N154" s="217"/>
    </row>
    <row r="155" spans="9:14" x14ac:dyDescent="0.2">
      <c r="J155" s="217"/>
      <c r="K155" s="217"/>
      <c r="L155" s="217"/>
      <c r="M155" s="217"/>
      <c r="N155" s="217"/>
    </row>
    <row r="156" spans="9:14" x14ac:dyDescent="0.2">
      <c r="J156" s="217"/>
      <c r="K156" s="217"/>
      <c r="L156" s="217"/>
      <c r="M156" s="217"/>
      <c r="N156" s="217"/>
    </row>
    <row r="172" spans="15:15" x14ac:dyDescent="0.2">
      <c r="O172" s="217"/>
    </row>
    <row r="173" spans="15:15" x14ac:dyDescent="0.2">
      <c r="O173" s="217"/>
    </row>
    <row r="174" spans="15:15" x14ac:dyDescent="0.2">
      <c r="O174" s="217"/>
    </row>
    <row r="175" spans="15:15" x14ac:dyDescent="0.2">
      <c r="O175" s="217"/>
    </row>
    <row r="176" spans="15:15" x14ac:dyDescent="0.2">
      <c r="O176" s="217"/>
    </row>
    <row r="177" spans="15:15" x14ac:dyDescent="0.2">
      <c r="O177" s="217"/>
    </row>
    <row r="178" spans="15:15" x14ac:dyDescent="0.2">
      <c r="O178" s="217"/>
    </row>
    <row r="179" spans="15:15" x14ac:dyDescent="0.2">
      <c r="O179" s="217"/>
    </row>
    <row r="180" spans="15:15" x14ac:dyDescent="0.2">
      <c r="O180" s="217"/>
    </row>
    <row r="181" spans="15:15" x14ac:dyDescent="0.2">
      <c r="O181" s="217"/>
    </row>
    <row r="182" spans="15:15" x14ac:dyDescent="0.2">
      <c r="O182" s="217"/>
    </row>
    <row r="183" spans="15:15" x14ac:dyDescent="0.2">
      <c r="O183" s="217"/>
    </row>
    <row r="184" spans="15:15" x14ac:dyDescent="0.2">
      <c r="O184" s="217"/>
    </row>
    <row r="185" spans="15:15" x14ac:dyDescent="0.2">
      <c r="O185" s="217"/>
    </row>
    <row r="186" spans="15:15" x14ac:dyDescent="0.2">
      <c r="O186" s="217"/>
    </row>
    <row r="187" spans="15:15" x14ac:dyDescent="0.2">
      <c r="O187" s="217"/>
    </row>
    <row r="188" spans="15:15" x14ac:dyDescent="0.2">
      <c r="O188" s="217"/>
    </row>
    <row r="189" spans="15:15" x14ac:dyDescent="0.2">
      <c r="O189" s="217"/>
    </row>
    <row r="190" spans="15:15" x14ac:dyDescent="0.2">
      <c r="O190" s="217"/>
    </row>
    <row r="191" spans="15:15" x14ac:dyDescent="0.2">
      <c r="O191" s="217"/>
    </row>
  </sheetData>
  <mergeCells count="65"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P45:P56"/>
    <mergeCell ref="Q45:Q49"/>
    <mergeCell ref="K46:L46"/>
    <mergeCell ref="I47:I50"/>
    <mergeCell ref="K47:L47"/>
    <mergeCell ref="K48:L48"/>
    <mergeCell ref="K49:L49"/>
    <mergeCell ref="K56:L56"/>
    <mergeCell ref="K39:L39"/>
    <mergeCell ref="K40:L40"/>
    <mergeCell ref="K41:L41"/>
    <mergeCell ref="K42:L42"/>
    <mergeCell ref="I43:I46"/>
    <mergeCell ref="K43:L43"/>
    <mergeCell ref="K44:L44"/>
    <mergeCell ref="K45:L45"/>
    <mergeCell ref="Q37:R37"/>
    <mergeCell ref="K38:L38"/>
    <mergeCell ref="P38:P44"/>
    <mergeCell ref="I16:I19"/>
    <mergeCell ref="B17:B20"/>
    <mergeCell ref="I20:I23"/>
    <mergeCell ref="B21:B24"/>
    <mergeCell ref="I24:I27"/>
    <mergeCell ref="B28:B38"/>
    <mergeCell ref="I28:I31"/>
    <mergeCell ref="K34:L34"/>
    <mergeCell ref="I35:I42"/>
    <mergeCell ref="K35:L35"/>
    <mergeCell ref="K36:L36"/>
    <mergeCell ref="K37:L37"/>
    <mergeCell ref="B39:B49"/>
    <mergeCell ref="B8:B11"/>
    <mergeCell ref="I8:I15"/>
    <mergeCell ref="T8:U8"/>
    <mergeCell ref="T9:U9"/>
    <mergeCell ref="T10:U10"/>
    <mergeCell ref="T11:U11"/>
    <mergeCell ref="B12:B16"/>
    <mergeCell ref="T12:U12"/>
    <mergeCell ref="T13:U13"/>
    <mergeCell ref="T14:U14"/>
    <mergeCell ref="B5:B7"/>
    <mergeCell ref="T5:U5"/>
    <mergeCell ref="I6:I7"/>
    <mergeCell ref="T6:U6"/>
    <mergeCell ref="T7:U7"/>
    <mergeCell ref="I4:I5"/>
    <mergeCell ref="J4:J5"/>
    <mergeCell ref="M4:M5"/>
    <mergeCell ref="N4:N5"/>
    <mergeCell ref="T4:U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11"/>
  <sheetViews>
    <sheetView workbookViewId="0">
      <selection activeCell="A34" sqref="A34"/>
    </sheetView>
  </sheetViews>
  <sheetFormatPr defaultRowHeight="13" x14ac:dyDescent="0.2"/>
  <cols>
    <col min="1" max="1" width="20.36328125" style="677" customWidth="1"/>
    <col min="2" max="2" width="9" style="677"/>
    <col min="3" max="3" width="9" style="678"/>
    <col min="4" max="257" width="9" style="677"/>
    <col min="258" max="258" width="14.08984375" style="677" customWidth="1"/>
    <col min="259" max="513" width="9" style="677"/>
    <col min="514" max="514" width="14.08984375" style="677" customWidth="1"/>
    <col min="515" max="769" width="9" style="677"/>
    <col min="770" max="770" width="14.08984375" style="677" customWidth="1"/>
    <col min="771" max="1025" width="9" style="677"/>
    <col min="1026" max="1026" width="14.08984375" style="677" customWidth="1"/>
    <col min="1027" max="1281" width="9" style="677"/>
    <col min="1282" max="1282" width="14.08984375" style="677" customWidth="1"/>
    <col min="1283" max="1537" width="9" style="677"/>
    <col min="1538" max="1538" width="14.08984375" style="677" customWidth="1"/>
    <col min="1539" max="1793" width="9" style="677"/>
    <col min="1794" max="1794" width="14.08984375" style="677" customWidth="1"/>
    <col min="1795" max="2049" width="9" style="677"/>
    <col min="2050" max="2050" width="14.08984375" style="677" customWidth="1"/>
    <col min="2051" max="2305" width="9" style="677"/>
    <col min="2306" max="2306" width="14.08984375" style="677" customWidth="1"/>
    <col min="2307" max="2561" width="9" style="677"/>
    <col min="2562" max="2562" width="14.08984375" style="677" customWidth="1"/>
    <col min="2563" max="2817" width="9" style="677"/>
    <col min="2818" max="2818" width="14.08984375" style="677" customWidth="1"/>
    <col min="2819" max="3073" width="9" style="677"/>
    <col min="3074" max="3074" width="14.08984375" style="677" customWidth="1"/>
    <col min="3075" max="3329" width="9" style="677"/>
    <col min="3330" max="3330" width="14.08984375" style="677" customWidth="1"/>
    <col min="3331" max="3585" width="9" style="677"/>
    <col min="3586" max="3586" width="14.08984375" style="677" customWidth="1"/>
    <col min="3587" max="3841" width="9" style="677"/>
    <col min="3842" max="3842" width="14.08984375" style="677" customWidth="1"/>
    <col min="3843" max="4097" width="9" style="677"/>
    <col min="4098" max="4098" width="14.08984375" style="677" customWidth="1"/>
    <col min="4099" max="4353" width="9" style="677"/>
    <col min="4354" max="4354" width="14.08984375" style="677" customWidth="1"/>
    <col min="4355" max="4609" width="9" style="677"/>
    <col min="4610" max="4610" width="14.08984375" style="677" customWidth="1"/>
    <col min="4611" max="4865" width="9" style="677"/>
    <col min="4866" max="4866" width="14.08984375" style="677" customWidth="1"/>
    <col min="4867" max="5121" width="9" style="677"/>
    <col min="5122" max="5122" width="14.08984375" style="677" customWidth="1"/>
    <col min="5123" max="5377" width="9" style="677"/>
    <col min="5378" max="5378" width="14.08984375" style="677" customWidth="1"/>
    <col min="5379" max="5633" width="9" style="677"/>
    <col min="5634" max="5634" width="14.08984375" style="677" customWidth="1"/>
    <col min="5635" max="5889" width="9" style="677"/>
    <col min="5890" max="5890" width="14.08984375" style="677" customWidth="1"/>
    <col min="5891" max="6145" width="9" style="677"/>
    <col min="6146" max="6146" width="14.08984375" style="677" customWidth="1"/>
    <col min="6147" max="6401" width="9" style="677"/>
    <col min="6402" max="6402" width="14.08984375" style="677" customWidth="1"/>
    <col min="6403" max="6657" width="9" style="677"/>
    <col min="6658" max="6658" width="14.08984375" style="677" customWidth="1"/>
    <col min="6659" max="6913" width="9" style="677"/>
    <col min="6914" max="6914" width="14.08984375" style="677" customWidth="1"/>
    <col min="6915" max="7169" width="9" style="677"/>
    <col min="7170" max="7170" width="14.08984375" style="677" customWidth="1"/>
    <col min="7171" max="7425" width="9" style="677"/>
    <col min="7426" max="7426" width="14.08984375" style="677" customWidth="1"/>
    <col min="7427" max="7681" width="9" style="677"/>
    <col min="7682" max="7682" width="14.08984375" style="677" customWidth="1"/>
    <col min="7683" max="7937" width="9" style="677"/>
    <col min="7938" max="7938" width="14.08984375" style="677" customWidth="1"/>
    <col min="7939" max="8193" width="9" style="677"/>
    <col min="8194" max="8194" width="14.08984375" style="677" customWidth="1"/>
    <col min="8195" max="8449" width="9" style="677"/>
    <col min="8450" max="8450" width="14.08984375" style="677" customWidth="1"/>
    <col min="8451" max="8705" width="9" style="677"/>
    <col min="8706" max="8706" width="14.08984375" style="677" customWidth="1"/>
    <col min="8707" max="8961" width="9" style="677"/>
    <col min="8962" max="8962" width="14.08984375" style="677" customWidth="1"/>
    <col min="8963" max="9217" width="9" style="677"/>
    <col min="9218" max="9218" width="14.08984375" style="677" customWidth="1"/>
    <col min="9219" max="9473" width="9" style="677"/>
    <col min="9474" max="9474" width="14.08984375" style="677" customWidth="1"/>
    <col min="9475" max="9729" width="9" style="677"/>
    <col min="9730" max="9730" width="14.08984375" style="677" customWidth="1"/>
    <col min="9731" max="9985" width="9" style="677"/>
    <col min="9986" max="9986" width="14.08984375" style="677" customWidth="1"/>
    <col min="9987" max="10241" width="9" style="677"/>
    <col min="10242" max="10242" width="14.08984375" style="677" customWidth="1"/>
    <col min="10243" max="10497" width="9" style="677"/>
    <col min="10498" max="10498" width="14.08984375" style="677" customWidth="1"/>
    <col min="10499" max="10753" width="9" style="677"/>
    <col min="10754" max="10754" width="14.08984375" style="677" customWidth="1"/>
    <col min="10755" max="11009" width="9" style="677"/>
    <col min="11010" max="11010" width="14.08984375" style="677" customWidth="1"/>
    <col min="11011" max="11265" width="9" style="677"/>
    <col min="11266" max="11266" width="14.08984375" style="677" customWidth="1"/>
    <col min="11267" max="11521" width="9" style="677"/>
    <col min="11522" max="11522" width="14.08984375" style="677" customWidth="1"/>
    <col min="11523" max="11777" width="9" style="677"/>
    <col min="11778" max="11778" width="14.08984375" style="677" customWidth="1"/>
    <col min="11779" max="12033" width="9" style="677"/>
    <col min="12034" max="12034" width="14.08984375" style="677" customWidth="1"/>
    <col min="12035" max="12289" width="9" style="677"/>
    <col min="12290" max="12290" width="14.08984375" style="677" customWidth="1"/>
    <col min="12291" max="12545" width="9" style="677"/>
    <col min="12546" max="12546" width="14.08984375" style="677" customWidth="1"/>
    <col min="12547" max="12801" width="9" style="677"/>
    <col min="12802" max="12802" width="14.08984375" style="677" customWidth="1"/>
    <col min="12803" max="13057" width="9" style="677"/>
    <col min="13058" max="13058" width="14.08984375" style="677" customWidth="1"/>
    <col min="13059" max="13313" width="9" style="677"/>
    <col min="13314" max="13314" width="14.08984375" style="677" customWidth="1"/>
    <col min="13315" max="13569" width="9" style="677"/>
    <col min="13570" max="13570" width="14.08984375" style="677" customWidth="1"/>
    <col min="13571" max="13825" width="9" style="677"/>
    <col min="13826" max="13826" width="14.08984375" style="677" customWidth="1"/>
    <col min="13827" max="14081" width="9" style="677"/>
    <col min="14082" max="14082" width="14.08984375" style="677" customWidth="1"/>
    <col min="14083" max="14337" width="9" style="677"/>
    <col min="14338" max="14338" width="14.08984375" style="677" customWidth="1"/>
    <col min="14339" max="14593" width="9" style="677"/>
    <col min="14594" max="14594" width="14.08984375" style="677" customWidth="1"/>
    <col min="14595" max="14849" width="9" style="677"/>
    <col min="14850" max="14850" width="14.08984375" style="677" customWidth="1"/>
    <col min="14851" max="15105" width="9" style="677"/>
    <col min="15106" max="15106" width="14.08984375" style="677" customWidth="1"/>
    <col min="15107" max="15361" width="9" style="677"/>
    <col min="15362" max="15362" width="14.08984375" style="677" customWidth="1"/>
    <col min="15363" max="15617" width="9" style="677"/>
    <col min="15618" max="15618" width="14.08984375" style="677" customWidth="1"/>
    <col min="15619" max="15873" width="9" style="677"/>
    <col min="15874" max="15874" width="14.08984375" style="677" customWidth="1"/>
    <col min="15875" max="16129" width="9" style="677"/>
    <col min="16130" max="16130" width="14.08984375" style="677" customWidth="1"/>
    <col min="16131" max="16384" width="9" style="677"/>
  </cols>
  <sheetData>
    <row r="1" spans="1:13" ht="13.5" thickBot="1" x14ac:dyDescent="0.25">
      <c r="A1" s="677" t="s">
        <v>597</v>
      </c>
    </row>
    <row r="2" spans="1:13" x14ac:dyDescent="0.2">
      <c r="A2" s="679" t="s">
        <v>598</v>
      </c>
      <c r="B2" s="680" t="s">
        <v>9</v>
      </c>
      <c r="C2" s="681" t="s">
        <v>599</v>
      </c>
      <c r="D2" s="1301" t="s">
        <v>600</v>
      </c>
      <c r="E2" s="1302"/>
      <c r="F2" s="1303"/>
      <c r="G2" s="1301" t="s">
        <v>601</v>
      </c>
      <c r="H2" s="1302"/>
      <c r="I2" s="1304"/>
      <c r="J2" s="682" t="s">
        <v>602</v>
      </c>
      <c r="K2" s="680" t="s">
        <v>603</v>
      </c>
      <c r="L2" s="683" t="s">
        <v>27</v>
      </c>
      <c r="M2" s="684" t="s">
        <v>604</v>
      </c>
    </row>
    <row r="3" spans="1:13" ht="13.5" thickBot="1" x14ac:dyDescent="0.25">
      <c r="A3" s="685"/>
      <c r="B3" s="686"/>
      <c r="C3" s="687"/>
      <c r="D3" s="688" t="s">
        <v>605</v>
      </c>
      <c r="E3" s="686" t="s">
        <v>606</v>
      </c>
      <c r="F3" s="689" t="s">
        <v>607</v>
      </c>
      <c r="G3" s="688" t="s">
        <v>605</v>
      </c>
      <c r="H3" s="686" t="s">
        <v>606</v>
      </c>
      <c r="I3" s="690" t="s">
        <v>607</v>
      </c>
      <c r="J3" s="688"/>
      <c r="K3" s="686"/>
      <c r="L3" s="689"/>
      <c r="M3" s="684"/>
    </row>
    <row r="4" spans="1:13" ht="13.5" thickTop="1" x14ac:dyDescent="0.2">
      <c r="A4" s="691" t="s">
        <v>608</v>
      </c>
      <c r="B4" s="692" t="s">
        <v>609</v>
      </c>
      <c r="C4" s="693">
        <v>700</v>
      </c>
      <c r="D4" s="694"/>
      <c r="E4" s="692"/>
      <c r="F4" s="695"/>
      <c r="G4" s="694"/>
      <c r="H4" s="692"/>
      <c r="I4" s="696"/>
      <c r="J4" s="697">
        <v>2000</v>
      </c>
      <c r="K4" s="698">
        <v>44320</v>
      </c>
      <c r="L4" s="699">
        <f>+K4/J4*C4</f>
        <v>15512</v>
      </c>
      <c r="M4" s="684"/>
    </row>
    <row r="5" spans="1:13" x14ac:dyDescent="0.2">
      <c r="A5" s="700" t="s">
        <v>610</v>
      </c>
      <c r="B5" s="701" t="s">
        <v>609</v>
      </c>
      <c r="C5" s="702">
        <v>60</v>
      </c>
      <c r="D5" s="703">
        <v>9</v>
      </c>
      <c r="E5" s="704">
        <v>7</v>
      </c>
      <c r="F5" s="699">
        <v>7</v>
      </c>
      <c r="G5" s="705">
        <f t="shared" ref="G5:G9" si="0">+C5*D5/100</f>
        <v>5.4</v>
      </c>
      <c r="H5" s="706">
        <f t="shared" ref="H5:H9" si="1">+C5*E5/100</f>
        <v>4.2</v>
      </c>
      <c r="I5" s="707">
        <f t="shared" ref="I5:I9" si="2">+C5*F5/100</f>
        <v>4.2</v>
      </c>
      <c r="J5" s="703">
        <v>20</v>
      </c>
      <c r="K5" s="704">
        <v>2340</v>
      </c>
      <c r="L5" s="699">
        <f>+K5/J5*C5</f>
        <v>7020</v>
      </c>
      <c r="M5" s="684">
        <v>2340</v>
      </c>
    </row>
    <row r="6" spans="1:13" x14ac:dyDescent="0.2">
      <c r="A6" s="708" t="s">
        <v>611</v>
      </c>
      <c r="B6" s="709" t="s">
        <v>609</v>
      </c>
      <c r="C6" s="710">
        <v>100</v>
      </c>
      <c r="D6" s="711">
        <v>0.3</v>
      </c>
      <c r="E6" s="712">
        <v>0.3</v>
      </c>
      <c r="F6" s="713">
        <v>0.2</v>
      </c>
      <c r="G6" s="714">
        <f t="shared" si="0"/>
        <v>0.3</v>
      </c>
      <c r="H6" s="715">
        <f t="shared" si="1"/>
        <v>0.3</v>
      </c>
      <c r="I6" s="716">
        <f t="shared" si="2"/>
        <v>0.2</v>
      </c>
      <c r="J6" s="717">
        <v>20</v>
      </c>
      <c r="K6" s="718">
        <f>ROUNDDOWN(M6*1.1,-1)</f>
        <v>860</v>
      </c>
      <c r="L6" s="719">
        <f t="shared" ref="L6:L9" si="3">+K6/J6*C6</f>
        <v>4300</v>
      </c>
      <c r="M6" s="684">
        <v>787</v>
      </c>
    </row>
    <row r="7" spans="1:13" x14ac:dyDescent="0.2">
      <c r="A7" s="708" t="s">
        <v>612</v>
      </c>
      <c r="B7" s="709" t="s">
        <v>609</v>
      </c>
      <c r="C7" s="710">
        <v>10</v>
      </c>
      <c r="D7" s="717">
        <v>0</v>
      </c>
      <c r="E7" s="718">
        <v>20</v>
      </c>
      <c r="F7" s="719">
        <v>20</v>
      </c>
      <c r="G7" s="714">
        <f t="shared" si="0"/>
        <v>0</v>
      </c>
      <c r="H7" s="715">
        <f t="shared" si="1"/>
        <v>2</v>
      </c>
      <c r="I7" s="716">
        <f t="shared" si="2"/>
        <v>2</v>
      </c>
      <c r="J7" s="717">
        <v>20</v>
      </c>
      <c r="K7" s="718">
        <f>ROUNDDOWN(M7*1.1,-1)</f>
        <v>2670</v>
      </c>
      <c r="L7" s="719">
        <f t="shared" si="3"/>
        <v>1335</v>
      </c>
      <c r="M7" s="684">
        <v>2430</v>
      </c>
    </row>
    <row r="8" spans="1:13" x14ac:dyDescent="0.2">
      <c r="A8" s="720" t="s">
        <v>613</v>
      </c>
      <c r="B8" s="709" t="s">
        <v>609</v>
      </c>
      <c r="C8" s="721">
        <v>10</v>
      </c>
      <c r="D8" s="720">
        <v>0</v>
      </c>
      <c r="E8" s="722">
        <v>0</v>
      </c>
      <c r="F8" s="723">
        <v>50</v>
      </c>
      <c r="G8" s="714">
        <f t="shared" si="0"/>
        <v>0</v>
      </c>
      <c r="H8" s="715"/>
      <c r="I8" s="716">
        <f t="shared" si="2"/>
        <v>5</v>
      </c>
      <c r="J8" s="724">
        <v>20</v>
      </c>
      <c r="K8" s="725">
        <f>ROUNDDOWN(M8*1.1,-1)</f>
        <v>3020</v>
      </c>
      <c r="L8" s="719">
        <f t="shared" si="3"/>
        <v>1510</v>
      </c>
      <c r="M8" s="684">
        <v>2750</v>
      </c>
    </row>
    <row r="9" spans="1:13" ht="13.5" thickBot="1" x14ac:dyDescent="0.25">
      <c r="A9" s="720" t="s">
        <v>614</v>
      </c>
      <c r="B9" s="709" t="s">
        <v>615</v>
      </c>
      <c r="C9" s="726">
        <v>10</v>
      </c>
      <c r="D9" s="720">
        <v>16</v>
      </c>
      <c r="E9" s="722">
        <v>10</v>
      </c>
      <c r="F9" s="723">
        <v>14</v>
      </c>
      <c r="G9" s="714">
        <f t="shared" si="0"/>
        <v>1.6</v>
      </c>
      <c r="H9" s="715">
        <f t="shared" si="1"/>
        <v>1</v>
      </c>
      <c r="I9" s="716">
        <f t="shared" si="2"/>
        <v>1.4</v>
      </c>
      <c r="J9" s="724">
        <v>20</v>
      </c>
      <c r="K9" s="725">
        <f>ROUNDDOWN(M9*1.1,-1)</f>
        <v>3200</v>
      </c>
      <c r="L9" s="719">
        <f t="shared" si="3"/>
        <v>1600</v>
      </c>
      <c r="M9" s="684">
        <v>2916</v>
      </c>
    </row>
    <row r="10" spans="1:13" ht="13.5" thickBot="1" x14ac:dyDescent="0.25">
      <c r="A10" s="727" t="s">
        <v>25</v>
      </c>
      <c r="B10" s="728"/>
      <c r="C10" s="729"/>
      <c r="D10" s="730"/>
      <c r="E10" s="731"/>
      <c r="F10" s="732"/>
      <c r="G10" s="733">
        <f>SUM(G5:G9)</f>
        <v>7.3000000000000007</v>
      </c>
      <c r="H10" s="734">
        <f>SUM(H5:H9)</f>
        <v>7.5</v>
      </c>
      <c r="I10" s="735">
        <f t="shared" ref="I10" si="4">SUM(I5:I9)</f>
        <v>12.8</v>
      </c>
      <c r="J10" s="736"/>
      <c r="K10" s="737"/>
      <c r="L10" s="738">
        <f>SUM(L5:L9)</f>
        <v>15765</v>
      </c>
      <c r="M10" s="739"/>
    </row>
    <row r="11" spans="1:13" x14ac:dyDescent="0.2">
      <c r="A11" s="677" t="s">
        <v>616</v>
      </c>
    </row>
  </sheetData>
  <mergeCells count="2">
    <mergeCell ref="D2:F2"/>
    <mergeCell ref="G2:I2"/>
  </mergeCells>
  <phoneticPr fontId="4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27"/>
  <sheetViews>
    <sheetView workbookViewId="0">
      <selection activeCell="A34" sqref="A34"/>
    </sheetView>
  </sheetViews>
  <sheetFormatPr defaultRowHeight="13" x14ac:dyDescent="0.2"/>
  <cols>
    <col min="1" max="1" width="9" style="677"/>
    <col min="2" max="2" width="24.26953125" style="677" customWidth="1"/>
    <col min="3" max="257" width="9" style="677"/>
    <col min="258" max="258" width="24.26953125" style="677" customWidth="1"/>
    <col min="259" max="513" width="9" style="677"/>
    <col min="514" max="514" width="24.26953125" style="677" customWidth="1"/>
    <col min="515" max="769" width="9" style="677"/>
    <col min="770" max="770" width="24.26953125" style="677" customWidth="1"/>
    <col min="771" max="1025" width="9" style="677"/>
    <col min="1026" max="1026" width="24.26953125" style="677" customWidth="1"/>
    <col min="1027" max="1281" width="9" style="677"/>
    <col min="1282" max="1282" width="24.26953125" style="677" customWidth="1"/>
    <col min="1283" max="1537" width="9" style="677"/>
    <col min="1538" max="1538" width="24.26953125" style="677" customWidth="1"/>
    <col min="1539" max="1793" width="9" style="677"/>
    <col min="1794" max="1794" width="24.26953125" style="677" customWidth="1"/>
    <col min="1795" max="2049" width="9" style="677"/>
    <col min="2050" max="2050" width="24.26953125" style="677" customWidth="1"/>
    <col min="2051" max="2305" width="9" style="677"/>
    <col min="2306" max="2306" width="24.26953125" style="677" customWidth="1"/>
    <col min="2307" max="2561" width="9" style="677"/>
    <col min="2562" max="2562" width="24.26953125" style="677" customWidth="1"/>
    <col min="2563" max="2817" width="9" style="677"/>
    <col min="2818" max="2818" width="24.26953125" style="677" customWidth="1"/>
    <col min="2819" max="3073" width="9" style="677"/>
    <col min="3074" max="3074" width="24.26953125" style="677" customWidth="1"/>
    <col min="3075" max="3329" width="9" style="677"/>
    <col min="3330" max="3330" width="24.26953125" style="677" customWidth="1"/>
    <col min="3331" max="3585" width="9" style="677"/>
    <col min="3586" max="3586" width="24.26953125" style="677" customWidth="1"/>
    <col min="3587" max="3841" width="9" style="677"/>
    <col min="3842" max="3842" width="24.26953125" style="677" customWidth="1"/>
    <col min="3843" max="4097" width="9" style="677"/>
    <col min="4098" max="4098" width="24.26953125" style="677" customWidth="1"/>
    <col min="4099" max="4353" width="9" style="677"/>
    <col min="4354" max="4354" width="24.26953125" style="677" customWidth="1"/>
    <col min="4355" max="4609" width="9" style="677"/>
    <col min="4610" max="4610" width="24.26953125" style="677" customWidth="1"/>
    <col min="4611" max="4865" width="9" style="677"/>
    <col min="4866" max="4866" width="24.26953125" style="677" customWidth="1"/>
    <col min="4867" max="5121" width="9" style="677"/>
    <col min="5122" max="5122" width="24.26953125" style="677" customWidth="1"/>
    <col min="5123" max="5377" width="9" style="677"/>
    <col min="5378" max="5378" width="24.26953125" style="677" customWidth="1"/>
    <col min="5379" max="5633" width="9" style="677"/>
    <col min="5634" max="5634" width="24.26953125" style="677" customWidth="1"/>
    <col min="5635" max="5889" width="9" style="677"/>
    <col min="5890" max="5890" width="24.26953125" style="677" customWidth="1"/>
    <col min="5891" max="6145" width="9" style="677"/>
    <col min="6146" max="6146" width="24.26953125" style="677" customWidth="1"/>
    <col min="6147" max="6401" width="9" style="677"/>
    <col min="6402" max="6402" width="24.26953125" style="677" customWidth="1"/>
    <col min="6403" max="6657" width="9" style="677"/>
    <col min="6658" max="6658" width="24.26953125" style="677" customWidth="1"/>
    <col min="6659" max="6913" width="9" style="677"/>
    <col min="6914" max="6914" width="24.26953125" style="677" customWidth="1"/>
    <col min="6915" max="7169" width="9" style="677"/>
    <col min="7170" max="7170" width="24.26953125" style="677" customWidth="1"/>
    <col min="7171" max="7425" width="9" style="677"/>
    <col min="7426" max="7426" width="24.26953125" style="677" customWidth="1"/>
    <col min="7427" max="7681" width="9" style="677"/>
    <col min="7682" max="7682" width="24.26953125" style="677" customWidth="1"/>
    <col min="7683" max="7937" width="9" style="677"/>
    <col min="7938" max="7938" width="24.26953125" style="677" customWidth="1"/>
    <col min="7939" max="8193" width="9" style="677"/>
    <col min="8194" max="8194" width="24.26953125" style="677" customWidth="1"/>
    <col min="8195" max="8449" width="9" style="677"/>
    <col min="8450" max="8450" width="24.26953125" style="677" customWidth="1"/>
    <col min="8451" max="8705" width="9" style="677"/>
    <col min="8706" max="8706" width="24.26953125" style="677" customWidth="1"/>
    <col min="8707" max="8961" width="9" style="677"/>
    <col min="8962" max="8962" width="24.26953125" style="677" customWidth="1"/>
    <col min="8963" max="9217" width="9" style="677"/>
    <col min="9218" max="9218" width="24.26953125" style="677" customWidth="1"/>
    <col min="9219" max="9473" width="9" style="677"/>
    <col min="9474" max="9474" width="24.26953125" style="677" customWidth="1"/>
    <col min="9475" max="9729" width="9" style="677"/>
    <col min="9730" max="9730" width="24.26953125" style="677" customWidth="1"/>
    <col min="9731" max="9985" width="9" style="677"/>
    <col min="9986" max="9986" width="24.26953125" style="677" customWidth="1"/>
    <col min="9987" max="10241" width="9" style="677"/>
    <col min="10242" max="10242" width="24.26953125" style="677" customWidth="1"/>
    <col min="10243" max="10497" width="9" style="677"/>
    <col min="10498" max="10498" width="24.26953125" style="677" customWidth="1"/>
    <col min="10499" max="10753" width="9" style="677"/>
    <col min="10754" max="10754" width="24.26953125" style="677" customWidth="1"/>
    <col min="10755" max="11009" width="9" style="677"/>
    <col min="11010" max="11010" width="24.26953125" style="677" customWidth="1"/>
    <col min="11011" max="11265" width="9" style="677"/>
    <col min="11266" max="11266" width="24.26953125" style="677" customWidth="1"/>
    <col min="11267" max="11521" width="9" style="677"/>
    <col min="11522" max="11522" width="24.26953125" style="677" customWidth="1"/>
    <col min="11523" max="11777" width="9" style="677"/>
    <col min="11778" max="11778" width="24.26953125" style="677" customWidth="1"/>
    <col min="11779" max="12033" width="9" style="677"/>
    <col min="12034" max="12034" width="24.26953125" style="677" customWidth="1"/>
    <col min="12035" max="12289" width="9" style="677"/>
    <col min="12290" max="12290" width="24.26953125" style="677" customWidth="1"/>
    <col min="12291" max="12545" width="9" style="677"/>
    <col min="12546" max="12546" width="24.26953125" style="677" customWidth="1"/>
    <col min="12547" max="12801" width="9" style="677"/>
    <col min="12802" max="12802" width="24.26953125" style="677" customWidth="1"/>
    <col min="12803" max="13057" width="9" style="677"/>
    <col min="13058" max="13058" width="24.26953125" style="677" customWidth="1"/>
    <col min="13059" max="13313" width="9" style="677"/>
    <col min="13314" max="13314" width="24.26953125" style="677" customWidth="1"/>
    <col min="13315" max="13569" width="9" style="677"/>
    <col min="13570" max="13570" width="24.26953125" style="677" customWidth="1"/>
    <col min="13571" max="13825" width="9" style="677"/>
    <col min="13826" max="13826" width="24.26953125" style="677" customWidth="1"/>
    <col min="13827" max="14081" width="9" style="677"/>
    <col min="14082" max="14082" width="24.26953125" style="677" customWidth="1"/>
    <col min="14083" max="14337" width="9" style="677"/>
    <col min="14338" max="14338" width="24.26953125" style="677" customWidth="1"/>
    <col min="14339" max="14593" width="9" style="677"/>
    <col min="14594" max="14594" width="24.26953125" style="677" customWidth="1"/>
    <col min="14595" max="14849" width="9" style="677"/>
    <col min="14850" max="14850" width="24.26953125" style="677" customWidth="1"/>
    <col min="14851" max="15105" width="9" style="677"/>
    <col min="15106" max="15106" width="24.26953125" style="677" customWidth="1"/>
    <col min="15107" max="15361" width="9" style="677"/>
    <col min="15362" max="15362" width="24.26953125" style="677" customWidth="1"/>
    <col min="15363" max="15617" width="9" style="677"/>
    <col min="15618" max="15618" width="24.26953125" style="677" customWidth="1"/>
    <col min="15619" max="15873" width="9" style="677"/>
    <col min="15874" max="15874" width="24.26953125" style="677" customWidth="1"/>
    <col min="15875" max="16129" width="9" style="677"/>
    <col min="16130" max="16130" width="24.26953125" style="677" customWidth="1"/>
    <col min="16131" max="16384" width="9" style="677"/>
  </cols>
  <sheetData>
    <row r="1" spans="1:13" ht="13.5" thickBot="1" x14ac:dyDescent="0.25">
      <c r="A1" s="677" t="s">
        <v>617</v>
      </c>
    </row>
    <row r="2" spans="1:13" ht="13.5" thickBot="1" x14ac:dyDescent="0.25">
      <c r="A2" s="740"/>
      <c r="B2" s="741" t="s">
        <v>153</v>
      </c>
      <c r="C2" s="742" t="s">
        <v>618</v>
      </c>
      <c r="D2" s="742" t="s">
        <v>619</v>
      </c>
      <c r="E2" s="742" t="s">
        <v>620</v>
      </c>
      <c r="F2" s="743" t="s">
        <v>621</v>
      </c>
      <c r="G2" s="741" t="s">
        <v>154</v>
      </c>
      <c r="H2" s="744" t="s">
        <v>155</v>
      </c>
      <c r="I2" s="745" t="s">
        <v>156</v>
      </c>
    </row>
    <row r="3" spans="1:13" x14ac:dyDescent="0.2">
      <c r="A3" s="746" t="s">
        <v>622</v>
      </c>
      <c r="B3" s="747" t="s">
        <v>623</v>
      </c>
      <c r="C3" s="748">
        <v>1500</v>
      </c>
      <c r="D3" s="748">
        <v>600</v>
      </c>
      <c r="E3" s="748">
        <v>500</v>
      </c>
      <c r="F3" s="749">
        <f>ROUNDDOWN(J3*1.1,-1)</f>
        <v>2600</v>
      </c>
      <c r="G3" s="750">
        <f>+D3/C3*1000</f>
        <v>400</v>
      </c>
      <c r="H3" s="748" t="s">
        <v>624</v>
      </c>
      <c r="I3" s="751">
        <f>+F3/E3*G3</f>
        <v>2080</v>
      </c>
      <c r="J3" s="752">
        <v>2366</v>
      </c>
    </row>
    <row r="4" spans="1:13" x14ac:dyDescent="0.2">
      <c r="A4" s="746" t="s">
        <v>625</v>
      </c>
      <c r="B4" s="747" t="s">
        <v>626</v>
      </c>
      <c r="C4" s="748">
        <v>1000</v>
      </c>
      <c r="D4" s="748">
        <v>600</v>
      </c>
      <c r="E4" s="748">
        <v>500</v>
      </c>
      <c r="F4" s="749">
        <f t="shared" ref="F4:F7" si="0">ROUNDDOWN(J4*1.1,-1)</f>
        <v>4330</v>
      </c>
      <c r="G4" s="750">
        <f t="shared" ref="G4:G7" si="1">+D4/C4*1000</f>
        <v>600</v>
      </c>
      <c r="H4" s="748" t="s">
        <v>624</v>
      </c>
      <c r="I4" s="751">
        <f t="shared" ref="I4:I7" si="2">+F4/E4*G4</f>
        <v>5196</v>
      </c>
      <c r="J4" s="752">
        <v>3940</v>
      </c>
    </row>
    <row r="5" spans="1:13" x14ac:dyDescent="0.2">
      <c r="A5" s="746" t="s">
        <v>627</v>
      </c>
      <c r="B5" s="747" t="s">
        <v>628</v>
      </c>
      <c r="C5" s="748">
        <v>2000</v>
      </c>
      <c r="D5" s="748">
        <v>300</v>
      </c>
      <c r="E5" s="753">
        <v>500</v>
      </c>
      <c r="F5" s="749">
        <f t="shared" si="0"/>
        <v>6780</v>
      </c>
      <c r="G5" s="754">
        <f t="shared" si="1"/>
        <v>150</v>
      </c>
      <c r="H5" s="748" t="s">
        <v>624</v>
      </c>
      <c r="I5" s="751">
        <f t="shared" si="2"/>
        <v>2034</v>
      </c>
      <c r="J5" s="752">
        <v>6167</v>
      </c>
    </row>
    <row r="6" spans="1:13" x14ac:dyDescent="0.2">
      <c r="A6" s="746"/>
      <c r="B6" s="755" t="s">
        <v>629</v>
      </c>
      <c r="C6" s="756">
        <v>2000</v>
      </c>
      <c r="D6" s="756">
        <v>600</v>
      </c>
      <c r="E6" s="756">
        <v>500</v>
      </c>
      <c r="F6" s="757">
        <f t="shared" si="0"/>
        <v>5210</v>
      </c>
      <c r="G6" s="758">
        <f t="shared" si="1"/>
        <v>300</v>
      </c>
      <c r="H6" s="756" t="s">
        <v>624</v>
      </c>
      <c r="I6" s="759">
        <f t="shared" si="2"/>
        <v>3126</v>
      </c>
      <c r="J6" s="752">
        <v>4743</v>
      </c>
      <c r="L6" s="760"/>
      <c r="M6" s="760"/>
    </row>
    <row r="7" spans="1:13" x14ac:dyDescent="0.2">
      <c r="A7" s="746"/>
      <c r="B7" s="761" t="s">
        <v>630</v>
      </c>
      <c r="C7" s="762">
        <v>1</v>
      </c>
      <c r="D7" s="762">
        <v>5</v>
      </c>
      <c r="E7" s="762">
        <v>1000</v>
      </c>
      <c r="F7" s="757">
        <f t="shared" si="0"/>
        <v>3820</v>
      </c>
      <c r="G7" s="758">
        <f t="shared" si="1"/>
        <v>5000</v>
      </c>
      <c r="H7" s="756"/>
      <c r="I7" s="759">
        <f t="shared" si="2"/>
        <v>19100</v>
      </c>
      <c r="J7" s="752">
        <v>3481</v>
      </c>
      <c r="L7" s="760"/>
      <c r="M7" s="760"/>
    </row>
    <row r="8" spans="1:13" ht="13.5" thickBot="1" x14ac:dyDescent="0.25">
      <c r="A8" s="763"/>
      <c r="B8" s="764" t="s">
        <v>573</v>
      </c>
      <c r="C8" s="765"/>
      <c r="D8" s="765"/>
      <c r="E8" s="765"/>
      <c r="F8" s="765"/>
      <c r="G8" s="766"/>
      <c r="H8" s="766"/>
      <c r="I8" s="767">
        <f>SUM(I3:I7)</f>
        <v>31536</v>
      </c>
      <c r="J8" s="752"/>
    </row>
    <row r="9" spans="1:13" ht="13.5" thickTop="1" x14ac:dyDescent="0.2">
      <c r="A9" s="746"/>
      <c r="B9" s="747" t="s">
        <v>631</v>
      </c>
      <c r="C9" s="748">
        <v>10</v>
      </c>
      <c r="D9" s="748">
        <v>300</v>
      </c>
      <c r="E9" s="749">
        <v>18000</v>
      </c>
      <c r="F9" s="749">
        <f>ROUNDDOWN(J9*1.1,-1)</f>
        <v>2560</v>
      </c>
      <c r="G9" s="750">
        <f t="shared" ref="G9:G14" si="3">+D9/C9*1000</f>
        <v>30000</v>
      </c>
      <c r="H9" s="748" t="s">
        <v>624</v>
      </c>
      <c r="I9" s="751">
        <f t="shared" ref="I9:I14" si="4">+F9/E9*G9</f>
        <v>4266.666666666667</v>
      </c>
      <c r="J9" s="752">
        <v>2329</v>
      </c>
    </row>
    <row r="10" spans="1:13" x14ac:dyDescent="0.2">
      <c r="A10" s="746" t="s">
        <v>622</v>
      </c>
      <c r="B10" s="747" t="s">
        <v>632</v>
      </c>
      <c r="C10" s="768">
        <v>1</v>
      </c>
      <c r="D10" s="748">
        <v>5</v>
      </c>
      <c r="E10" s="750">
        <v>1000</v>
      </c>
      <c r="F10" s="750">
        <v>1000</v>
      </c>
      <c r="G10" s="750">
        <f t="shared" si="3"/>
        <v>5000</v>
      </c>
      <c r="H10" s="748" t="s">
        <v>624</v>
      </c>
      <c r="I10" s="751">
        <f t="shared" si="4"/>
        <v>5000</v>
      </c>
      <c r="J10" s="752"/>
    </row>
    <row r="11" spans="1:13" x14ac:dyDescent="0.2">
      <c r="A11" s="746"/>
      <c r="B11" s="643" t="s">
        <v>633</v>
      </c>
      <c r="C11" s="749">
        <v>2000</v>
      </c>
      <c r="D11" s="748">
        <v>600</v>
      </c>
      <c r="E11" s="757">
        <v>500</v>
      </c>
      <c r="F11" s="757">
        <f>ROUNDDOWN(J11*1.1,-1)</f>
        <v>8340</v>
      </c>
      <c r="G11" s="757">
        <f t="shared" si="3"/>
        <v>300</v>
      </c>
      <c r="H11" s="749" t="s">
        <v>624</v>
      </c>
      <c r="I11" s="769">
        <f t="shared" si="4"/>
        <v>5004</v>
      </c>
      <c r="J11" s="752">
        <v>7590</v>
      </c>
    </row>
    <row r="12" spans="1:13" x14ac:dyDescent="0.2">
      <c r="A12" s="746" t="s">
        <v>634</v>
      </c>
      <c r="B12" s="643" t="s">
        <v>635</v>
      </c>
      <c r="C12" s="749">
        <v>1500</v>
      </c>
      <c r="D12" s="748">
        <v>300</v>
      </c>
      <c r="E12" s="749">
        <v>500</v>
      </c>
      <c r="F12" s="749">
        <f t="shared" ref="F12:F14" si="5">ROUNDDOWN(J12*1.1,-1)</f>
        <v>7210</v>
      </c>
      <c r="G12" s="757">
        <f t="shared" si="3"/>
        <v>200</v>
      </c>
      <c r="H12" s="749" t="s">
        <v>624</v>
      </c>
      <c r="I12" s="769">
        <f t="shared" si="4"/>
        <v>2884</v>
      </c>
      <c r="J12" s="752">
        <v>6563</v>
      </c>
    </row>
    <row r="13" spans="1:13" x14ac:dyDescent="0.2">
      <c r="A13" s="746"/>
      <c r="B13" s="643" t="s">
        <v>636</v>
      </c>
      <c r="C13" s="749">
        <v>2000</v>
      </c>
      <c r="D13" s="748">
        <v>300</v>
      </c>
      <c r="E13" s="749">
        <v>500</v>
      </c>
      <c r="F13" s="749">
        <f t="shared" si="5"/>
        <v>9170</v>
      </c>
      <c r="G13" s="757">
        <f t="shared" si="3"/>
        <v>150</v>
      </c>
      <c r="H13" s="749" t="s">
        <v>624</v>
      </c>
      <c r="I13" s="769">
        <f t="shared" si="4"/>
        <v>2751</v>
      </c>
      <c r="J13" s="752">
        <v>8343</v>
      </c>
    </row>
    <row r="14" spans="1:13" x14ac:dyDescent="0.2">
      <c r="A14" s="746"/>
      <c r="B14" s="770" t="s">
        <v>637</v>
      </c>
      <c r="C14" s="771">
        <v>1</v>
      </c>
      <c r="D14" s="772">
        <v>20</v>
      </c>
      <c r="E14" s="771">
        <v>10000</v>
      </c>
      <c r="F14" s="757">
        <f t="shared" si="5"/>
        <v>7500</v>
      </c>
      <c r="G14" s="771">
        <f t="shared" si="3"/>
        <v>20000</v>
      </c>
      <c r="H14" s="771" t="s">
        <v>624</v>
      </c>
      <c r="I14" s="773">
        <f t="shared" si="4"/>
        <v>15000</v>
      </c>
      <c r="J14" s="752">
        <v>6826</v>
      </c>
    </row>
    <row r="15" spans="1:13" x14ac:dyDescent="0.2">
      <c r="A15" s="746"/>
      <c r="B15" s="774" t="s">
        <v>638</v>
      </c>
      <c r="C15" s="775" t="s">
        <v>639</v>
      </c>
      <c r="D15" s="776" t="s">
        <v>639</v>
      </c>
      <c r="E15" s="775" t="s">
        <v>639</v>
      </c>
      <c r="F15" s="775" t="s">
        <v>639</v>
      </c>
      <c r="G15" s="775">
        <v>50</v>
      </c>
      <c r="H15" s="775" t="s">
        <v>162</v>
      </c>
      <c r="I15" s="777">
        <v>10140</v>
      </c>
      <c r="J15" s="752" t="s">
        <v>640</v>
      </c>
    </row>
    <row r="16" spans="1:13" x14ac:dyDescent="0.2">
      <c r="A16" s="746"/>
      <c r="B16" s="774" t="s">
        <v>641</v>
      </c>
      <c r="C16" s="775">
        <v>1000</v>
      </c>
      <c r="D16" s="776">
        <v>600</v>
      </c>
      <c r="E16" s="775"/>
      <c r="F16" s="775"/>
      <c r="G16" s="775"/>
      <c r="H16" s="775"/>
      <c r="I16" s="777">
        <v>2448</v>
      </c>
      <c r="J16" s="752" t="s">
        <v>640</v>
      </c>
    </row>
    <row r="17" spans="1:9" ht="13.5" thickBot="1" x14ac:dyDescent="0.25">
      <c r="A17" s="778"/>
      <c r="B17" s="779" t="s">
        <v>161</v>
      </c>
      <c r="C17" s="780"/>
      <c r="D17" s="780"/>
      <c r="E17" s="780"/>
      <c r="F17" s="780"/>
      <c r="G17" s="781"/>
      <c r="H17" s="781"/>
      <c r="I17" s="782">
        <f>SUM(I9:I16)</f>
        <v>47493.666666666672</v>
      </c>
    </row>
    <row r="18" spans="1:9" ht="13.5" thickTop="1" x14ac:dyDescent="0.2">
      <c r="A18" s="746" t="s">
        <v>642</v>
      </c>
      <c r="B18" s="783" t="s">
        <v>643</v>
      </c>
      <c r="C18" s="750">
        <v>100</v>
      </c>
      <c r="D18" s="750">
        <v>100</v>
      </c>
      <c r="E18" s="750">
        <v>22000</v>
      </c>
      <c r="F18" s="750">
        <v>45740</v>
      </c>
      <c r="G18" s="750">
        <f>+D18/C18*1000</f>
        <v>1000</v>
      </c>
      <c r="H18" s="750" t="s">
        <v>624</v>
      </c>
      <c r="I18" s="784">
        <f>+F18/E18*G18</f>
        <v>2079.090909090909</v>
      </c>
    </row>
    <row r="19" spans="1:9" x14ac:dyDescent="0.2">
      <c r="A19" s="746" t="s">
        <v>644</v>
      </c>
      <c r="B19" s="785"/>
      <c r="C19" s="748"/>
      <c r="D19" s="748"/>
      <c r="E19" s="748"/>
      <c r="F19" s="748"/>
      <c r="G19" s="750"/>
      <c r="H19" s="748"/>
      <c r="I19" s="751"/>
    </row>
    <row r="20" spans="1:9" x14ac:dyDescent="0.2">
      <c r="A20" s="746" t="s">
        <v>645</v>
      </c>
      <c r="B20" s="785"/>
      <c r="C20" s="748"/>
      <c r="D20" s="748"/>
      <c r="E20" s="748"/>
      <c r="F20" s="748"/>
      <c r="G20" s="750"/>
      <c r="H20" s="748"/>
      <c r="I20" s="751"/>
    </row>
    <row r="21" spans="1:9" ht="13.5" thickBot="1" x14ac:dyDescent="0.25">
      <c r="A21" s="778"/>
      <c r="B21" s="779" t="s">
        <v>161</v>
      </c>
      <c r="C21" s="780"/>
      <c r="D21" s="780"/>
      <c r="E21" s="780"/>
      <c r="F21" s="780"/>
      <c r="G21" s="781"/>
      <c r="H21" s="781"/>
      <c r="I21" s="782">
        <f>SUM(I18:I20)</f>
        <v>2079.090909090909</v>
      </c>
    </row>
    <row r="22" spans="1:9" ht="13.5" thickTop="1" x14ac:dyDescent="0.2">
      <c r="A22" s="786" t="s">
        <v>646</v>
      </c>
      <c r="B22" s="785"/>
      <c r="C22" s="748"/>
      <c r="D22" s="748"/>
      <c r="E22" s="748"/>
      <c r="F22" s="748"/>
      <c r="G22" s="748"/>
      <c r="H22" s="748" t="s">
        <v>647</v>
      </c>
      <c r="I22" s="751">
        <f>+F22*G22</f>
        <v>0</v>
      </c>
    </row>
    <row r="23" spans="1:9" x14ac:dyDescent="0.2">
      <c r="A23" s="786" t="s">
        <v>648</v>
      </c>
      <c r="B23" s="785"/>
      <c r="C23" s="748"/>
      <c r="D23" s="748"/>
      <c r="E23" s="748"/>
      <c r="F23" s="748"/>
      <c r="G23" s="748"/>
      <c r="H23" s="748" t="s">
        <v>649</v>
      </c>
      <c r="I23" s="751">
        <f>+F23*G23</f>
        <v>0</v>
      </c>
    </row>
    <row r="24" spans="1:9" x14ac:dyDescent="0.2">
      <c r="A24" s="786" t="s">
        <v>627</v>
      </c>
      <c r="B24" s="785"/>
      <c r="C24" s="748"/>
      <c r="D24" s="748"/>
      <c r="E24" s="748"/>
      <c r="F24" s="748"/>
      <c r="G24" s="748"/>
      <c r="H24" s="748" t="s">
        <v>649</v>
      </c>
      <c r="I24" s="751">
        <f>+F24*G24</f>
        <v>0</v>
      </c>
    </row>
    <row r="25" spans="1:9" ht="13.5" thickBot="1" x14ac:dyDescent="0.25">
      <c r="A25" s="787"/>
      <c r="B25" s="788" t="s">
        <v>650</v>
      </c>
      <c r="C25" s="789"/>
      <c r="D25" s="789"/>
      <c r="E25" s="789"/>
      <c r="F25" s="789"/>
      <c r="G25" s="790"/>
      <c r="H25" s="790"/>
      <c r="I25" s="791">
        <f>SUM(I22:I24)</f>
        <v>0</v>
      </c>
    </row>
    <row r="26" spans="1:9" ht="13.5" thickBot="1" x14ac:dyDescent="0.25">
      <c r="A26" s="1305" t="s">
        <v>25</v>
      </c>
      <c r="B26" s="1306"/>
      <c r="C26" s="792"/>
      <c r="D26" s="792"/>
      <c r="E26" s="792"/>
      <c r="F26" s="792"/>
      <c r="G26" s="793"/>
      <c r="H26" s="793"/>
      <c r="I26" s="794">
        <f>I8+I17+I21</f>
        <v>81108.757575757583</v>
      </c>
    </row>
    <row r="27" spans="1:9" x14ac:dyDescent="0.2">
      <c r="A27" s="212" t="s">
        <v>651</v>
      </c>
    </row>
  </sheetData>
  <mergeCells count="1">
    <mergeCell ref="A26:B26"/>
  </mergeCells>
  <phoneticPr fontId="4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"/>
  <sheetViews>
    <sheetView zoomScale="75" zoomScaleNormal="75" zoomScaleSheetLayoutView="80" workbookViewId="0"/>
  </sheetViews>
  <sheetFormatPr defaultColWidth="9" defaultRowHeight="13" x14ac:dyDescent="0.2"/>
  <cols>
    <col min="1" max="1" width="1.6328125" style="90" customWidth="1"/>
    <col min="2" max="2" width="18" style="90" customWidth="1"/>
    <col min="3" max="15" width="6.08984375" style="90" customWidth="1"/>
    <col min="16" max="16384" width="9" style="90"/>
  </cols>
  <sheetData>
    <row r="1" spans="2:15" ht="10" customHeight="1" x14ac:dyDescent="0.2"/>
    <row r="2" spans="2:15" ht="25" customHeight="1" x14ac:dyDescent="0.2">
      <c r="B2" s="90" t="s">
        <v>761</v>
      </c>
    </row>
    <row r="3" spans="2:15" ht="20.149999999999999" customHeight="1" x14ac:dyDescent="0.2">
      <c r="D3" s="161" t="s">
        <v>271</v>
      </c>
      <c r="E3" s="160" t="s">
        <v>478</v>
      </c>
      <c r="F3" s="160"/>
      <c r="G3" s="161" t="s">
        <v>272</v>
      </c>
      <c r="H3" s="160" t="s">
        <v>480</v>
      </c>
      <c r="I3" s="160"/>
    </row>
    <row r="4" spans="2:15" ht="20.149999999999999" customHeight="1" thickBot="1" x14ac:dyDescent="0.25">
      <c r="B4" s="13" t="s">
        <v>652</v>
      </c>
      <c r="C4" s="13" t="s">
        <v>653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49999999999999" customHeight="1" x14ac:dyDescent="0.2">
      <c r="B5" s="428" t="s">
        <v>288</v>
      </c>
      <c r="C5" s="429">
        <v>1</v>
      </c>
      <c r="D5" s="429">
        <v>2</v>
      </c>
      <c r="E5" s="429">
        <v>3</v>
      </c>
      <c r="F5" s="429">
        <v>4</v>
      </c>
      <c r="G5" s="429">
        <v>5</v>
      </c>
      <c r="H5" s="429">
        <v>6</v>
      </c>
      <c r="I5" s="429">
        <v>7</v>
      </c>
      <c r="J5" s="429">
        <v>8</v>
      </c>
      <c r="K5" s="429">
        <v>9</v>
      </c>
      <c r="L5" s="429">
        <v>10</v>
      </c>
      <c r="M5" s="429">
        <v>11</v>
      </c>
      <c r="N5" s="429">
        <v>12</v>
      </c>
      <c r="O5" s="430" t="s">
        <v>289</v>
      </c>
    </row>
    <row r="6" spans="2:15" ht="20.149999999999999" customHeight="1" x14ac:dyDescent="0.2">
      <c r="B6" s="431" t="s">
        <v>654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433">
        <f>241*3.3</f>
        <v>795.3</v>
      </c>
    </row>
    <row r="7" spans="2:15" ht="20.149999999999999" customHeight="1" x14ac:dyDescent="0.2">
      <c r="B7" s="431" t="s">
        <v>655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433">
        <f>222*3.3</f>
        <v>732.59999999999991</v>
      </c>
    </row>
    <row r="8" spans="2:15" ht="20.149999999999999" customHeight="1" thickBot="1" x14ac:dyDescent="0.25">
      <c r="B8" s="795" t="s">
        <v>656</v>
      </c>
      <c r="C8" s="796"/>
      <c r="D8" s="796"/>
      <c r="E8" s="796"/>
      <c r="F8" s="796"/>
      <c r="G8" s="796"/>
      <c r="H8" s="796"/>
      <c r="I8" s="796"/>
      <c r="J8" s="796"/>
      <c r="K8" s="796"/>
      <c r="L8" s="796"/>
      <c r="M8" s="796"/>
      <c r="N8" s="796"/>
      <c r="O8" s="797">
        <f>249*3.3</f>
        <v>821.69999999999993</v>
      </c>
    </row>
    <row r="9" spans="2:15" ht="20.149999999999999" customHeight="1" thickTop="1" thickBot="1" x14ac:dyDescent="0.25">
      <c r="B9" s="434" t="s">
        <v>290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6">
        <f>AVERAGE(O6:O8)</f>
        <v>783.19999999999993</v>
      </c>
    </row>
    <row r="10" spans="2:15" ht="20.149999999999999" customHeight="1" x14ac:dyDescent="0.2"/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3"/>
  <sheetViews>
    <sheetView zoomScale="75" zoomScaleNormal="75" workbookViewId="0"/>
  </sheetViews>
  <sheetFormatPr defaultColWidth="9" defaultRowHeight="13" x14ac:dyDescent="0.2"/>
  <cols>
    <col min="1" max="1" width="1.6328125" style="10" customWidth="1"/>
    <col min="2" max="2" width="5" style="10" customWidth="1"/>
    <col min="3" max="3" width="22.453125" style="10" bestFit="1" customWidth="1"/>
    <col min="4" max="4" width="30" style="10" bestFit="1" customWidth="1"/>
    <col min="5" max="6" width="6" style="10" bestFit="1" customWidth="1"/>
    <col min="7" max="7" width="17.6328125" style="10" customWidth="1"/>
    <col min="8" max="8" width="10.6328125" style="10" customWidth="1"/>
    <col min="9" max="9" width="17.6328125" style="10" customWidth="1"/>
    <col min="10" max="10" width="10.6328125" style="10" customWidth="1"/>
    <col min="11" max="11" width="15.08984375" style="12" bestFit="1" customWidth="1"/>
    <col min="12" max="12" width="17.6328125" style="10" customWidth="1"/>
    <col min="13" max="13" width="10.6328125" style="10" customWidth="1"/>
    <col min="14" max="14" width="17.6328125" style="10" customWidth="1"/>
    <col min="15" max="15" width="10.6328125" style="10" customWidth="1"/>
    <col min="16" max="16" width="19.7265625" style="10" bestFit="1" customWidth="1"/>
    <col min="17" max="17" width="3.453125" style="10" customWidth="1"/>
    <col min="18" max="18" width="16" style="10" customWidth="1"/>
    <col min="19" max="19" width="13.7265625" style="10" customWidth="1"/>
    <col min="20" max="16384" width="9" style="10"/>
  </cols>
  <sheetData>
    <row r="1" spans="2:26" s="5" customFormat="1" ht="10" customHeight="1" x14ac:dyDescent="0.2">
      <c r="K1" s="6"/>
    </row>
    <row r="2" spans="2:26" s="5" customFormat="1" ht="25" customHeight="1" thickBot="1" x14ac:dyDescent="0.25">
      <c r="B2" s="2" t="s">
        <v>276</v>
      </c>
      <c r="C2" s="7"/>
      <c r="D2" s="7"/>
      <c r="E2" s="8"/>
      <c r="F2" s="1311"/>
      <c r="G2" s="1312"/>
      <c r="H2" s="161" t="s">
        <v>271</v>
      </c>
      <c r="I2" s="3" t="s">
        <v>273</v>
      </c>
      <c r="J2" s="160"/>
      <c r="K2" s="161" t="s">
        <v>272</v>
      </c>
      <c r="L2" s="3" t="s">
        <v>274</v>
      </c>
      <c r="M2" s="9"/>
      <c r="P2" s="14"/>
      <c r="R2" s="851" t="s">
        <v>366</v>
      </c>
      <c r="S2" s="851" t="s">
        <v>357</v>
      </c>
      <c r="T2" s="851"/>
      <c r="U2" s="851"/>
      <c r="V2" s="851"/>
      <c r="W2" s="851"/>
      <c r="X2" s="851"/>
      <c r="Y2" s="851"/>
      <c r="Z2" s="851"/>
    </row>
    <row r="3" spans="2:26" s="5" customFormat="1" x14ac:dyDescent="0.2">
      <c r="B3" s="1313" t="s">
        <v>138</v>
      </c>
      <c r="C3" s="1307" t="s">
        <v>38</v>
      </c>
      <c r="D3" s="1315" t="s">
        <v>137</v>
      </c>
      <c r="E3" s="1317" t="s">
        <v>39</v>
      </c>
      <c r="F3" s="1318"/>
      <c r="G3" s="451" t="s">
        <v>40</v>
      </c>
      <c r="H3" s="19" t="s">
        <v>140</v>
      </c>
      <c r="I3" s="453" t="s">
        <v>139</v>
      </c>
      <c r="J3" s="1307" t="s">
        <v>100</v>
      </c>
      <c r="K3" s="21" t="s">
        <v>101</v>
      </c>
      <c r="L3" s="20" t="s">
        <v>41</v>
      </c>
      <c r="M3" s="19" t="s">
        <v>144</v>
      </c>
      <c r="N3" s="20" t="s">
        <v>42</v>
      </c>
      <c r="O3" s="20" t="s">
        <v>43</v>
      </c>
      <c r="P3" s="377" t="s">
        <v>44</v>
      </c>
      <c r="R3" s="851"/>
      <c r="S3" s="859" t="s">
        <v>358</v>
      </c>
      <c r="T3" s="859" t="s">
        <v>359</v>
      </c>
      <c r="U3" s="859" t="s">
        <v>360</v>
      </c>
      <c r="V3" s="859" t="s">
        <v>361</v>
      </c>
      <c r="W3" s="859" t="s">
        <v>362</v>
      </c>
      <c r="X3" s="859" t="s">
        <v>363</v>
      </c>
      <c r="Y3" s="859" t="s">
        <v>364</v>
      </c>
      <c r="Z3" s="851" t="s">
        <v>365</v>
      </c>
    </row>
    <row r="4" spans="2:26" x14ac:dyDescent="0.2">
      <c r="B4" s="1314"/>
      <c r="C4" s="1308"/>
      <c r="D4" s="1316"/>
      <c r="E4" s="22" t="s">
        <v>102</v>
      </c>
      <c r="F4" s="22" t="s">
        <v>9</v>
      </c>
      <c r="G4" s="452" t="s">
        <v>142</v>
      </c>
      <c r="H4" s="23" t="s">
        <v>141</v>
      </c>
      <c r="I4" s="452" t="s">
        <v>148</v>
      </c>
      <c r="J4" s="1308"/>
      <c r="K4" s="24" t="s">
        <v>143</v>
      </c>
      <c r="L4" s="23" t="s">
        <v>149</v>
      </c>
      <c r="M4" s="23" t="s">
        <v>145</v>
      </c>
      <c r="N4" s="23" t="s">
        <v>150</v>
      </c>
      <c r="O4" s="23" t="s">
        <v>146</v>
      </c>
      <c r="P4" s="378" t="s">
        <v>151</v>
      </c>
      <c r="R4" s="851" t="e">
        <f>SUM(S4:Z4)</f>
        <v>#REF!</v>
      </c>
      <c r="S4" s="851">
        <f>'１　対象経営の概要，２　前提条件'!AB25+'１　対象経営の概要，２　前提条件'!AM25+'１　対象経営の概要，２　前提条件'!AB27</f>
        <v>19.5</v>
      </c>
      <c r="T4" s="851">
        <f>'１　対象経営の概要，２　前提条件'!AB26+'１　対象経営の概要，２　前提条件'!AM26</f>
        <v>10</v>
      </c>
      <c r="U4" s="851">
        <f>'１　対象経営の概要，２　前提条件'!AM27</f>
        <v>0</v>
      </c>
      <c r="V4" s="851" t="e">
        <f>'１　対象経営の概要，２　前提条件'!#REF!+'１　対象経営の概要，２　前提条件'!#REF!</f>
        <v>#REF!</v>
      </c>
      <c r="W4" s="851" t="e">
        <f>'１　対象経営の概要，２　前提条件'!#REF!</f>
        <v>#REF!</v>
      </c>
      <c r="X4" s="851">
        <f>'１　対象経営の概要，２　前提条件'!F17</f>
        <v>0</v>
      </c>
      <c r="Y4" s="851" t="e">
        <f>'１　対象経営の概要，２　前提条件'!#REF!</f>
        <v>#REF!</v>
      </c>
      <c r="Z4" s="851" t="e">
        <f>'１　対象経営の概要，２　前提条件'!#REF!</f>
        <v>#REF!</v>
      </c>
    </row>
    <row r="5" spans="2:26" x14ac:dyDescent="0.2">
      <c r="B5" s="1100" t="s">
        <v>210</v>
      </c>
      <c r="C5" s="362" t="s">
        <v>317</v>
      </c>
      <c r="D5" s="41" t="s">
        <v>105</v>
      </c>
      <c r="E5" s="41">
        <v>100</v>
      </c>
      <c r="F5" s="41" t="s">
        <v>106</v>
      </c>
      <c r="G5" s="521">
        <f>59400*E5</f>
        <v>5940000</v>
      </c>
      <c r="H5" s="42">
        <v>0</v>
      </c>
      <c r="I5" s="41">
        <f>G5*(1-H5)</f>
        <v>5940000</v>
      </c>
      <c r="J5" s="437">
        <f>SUM('１　対象経営の概要，２　前提条件'!$F$13:$F$15)</f>
        <v>29.5</v>
      </c>
      <c r="K5" s="857">
        <f>1/29.5</f>
        <v>3.3898305084745763E-2</v>
      </c>
      <c r="L5" s="11">
        <f>I5*K5</f>
        <v>201355.93220338982</v>
      </c>
      <c r="M5" s="26">
        <v>0</v>
      </c>
      <c r="N5" s="11">
        <f t="shared" ref="N5:N7" si="0">L5*M5/100</f>
        <v>0</v>
      </c>
      <c r="O5" s="11">
        <v>25</v>
      </c>
      <c r="P5" s="379">
        <f>IF(O5="","",(L5-N5)/O5)</f>
        <v>8054.2372881355932</v>
      </c>
    </row>
    <row r="6" spans="2:26" x14ac:dyDescent="0.2">
      <c r="B6" s="1309"/>
      <c r="C6" s="41" t="s">
        <v>316</v>
      </c>
      <c r="D6" s="41" t="s">
        <v>105</v>
      </c>
      <c r="E6" s="521">
        <v>180</v>
      </c>
      <c r="F6" s="41" t="s">
        <v>106</v>
      </c>
      <c r="G6" s="521">
        <f>59400*E6</f>
        <v>10692000</v>
      </c>
      <c r="H6" s="42">
        <v>0</v>
      </c>
      <c r="I6" s="41">
        <f>G6*(1-H6)</f>
        <v>10692000</v>
      </c>
      <c r="J6" s="437">
        <f>SUM('１　対象経営の概要，２　前提条件'!$F$13:$F$15)</f>
        <v>29.5</v>
      </c>
      <c r="K6" s="857">
        <f t="shared" ref="K6:K7" si="1">1/29.5</f>
        <v>3.3898305084745763E-2</v>
      </c>
      <c r="L6" s="11">
        <f t="shared" ref="L6:L7" si="2">I6*K6</f>
        <v>362440.67796610168</v>
      </c>
      <c r="M6" s="26">
        <v>0</v>
      </c>
      <c r="N6" s="11">
        <f t="shared" si="0"/>
        <v>0</v>
      </c>
      <c r="O6" s="11">
        <v>25</v>
      </c>
      <c r="P6" s="379">
        <f t="shared" ref="P6" si="3">IF(O6="","",(L6-N6)/O6)</f>
        <v>14497.627118644066</v>
      </c>
    </row>
    <row r="7" spans="2:26" x14ac:dyDescent="0.2">
      <c r="B7" s="1309"/>
      <c r="C7" s="362" t="s">
        <v>293</v>
      </c>
      <c r="D7" s="41" t="s">
        <v>47</v>
      </c>
      <c r="E7" s="45">
        <v>725</v>
      </c>
      <c r="F7" s="46" t="s">
        <v>106</v>
      </c>
      <c r="G7" s="521">
        <f>2430*E7</f>
        <v>1761750</v>
      </c>
      <c r="H7" s="42">
        <v>0</v>
      </c>
      <c r="I7" s="41">
        <f t="shared" ref="I7" si="4">G7*(1-H7)</f>
        <v>1761750</v>
      </c>
      <c r="J7" s="437">
        <f>SUM('１　対象経営の概要，２　前提条件'!$F$13:$F$15)</f>
        <v>29.5</v>
      </c>
      <c r="K7" s="857">
        <f t="shared" si="1"/>
        <v>3.3898305084745763E-2</v>
      </c>
      <c r="L7" s="11">
        <f t="shared" si="2"/>
        <v>59720.338983050846</v>
      </c>
      <c r="M7" s="26">
        <v>0</v>
      </c>
      <c r="N7" s="11">
        <f t="shared" si="0"/>
        <v>0</v>
      </c>
      <c r="O7" s="11">
        <v>25</v>
      </c>
      <c r="P7" s="379">
        <f t="shared" ref="P7:P8" si="5">IF(O7="","",(L7-N7)/O7)</f>
        <v>2388.8135593220341</v>
      </c>
    </row>
    <row r="8" spans="2:26" x14ac:dyDescent="0.2">
      <c r="B8" s="1309"/>
      <c r="C8" s="41"/>
      <c r="D8" s="41"/>
      <c r="E8" s="45"/>
      <c r="F8" s="46"/>
      <c r="G8" s="521"/>
      <c r="H8" s="42"/>
      <c r="I8" s="41"/>
      <c r="J8" s="41"/>
      <c r="K8" s="857"/>
      <c r="L8" s="11"/>
      <c r="M8" s="26"/>
      <c r="N8" s="11"/>
      <c r="O8" s="11"/>
      <c r="P8" s="379" t="str">
        <f t="shared" si="5"/>
        <v/>
      </c>
    </row>
    <row r="9" spans="2:26" x14ac:dyDescent="0.2">
      <c r="B9" s="1310"/>
      <c r="C9" s="27" t="s">
        <v>45</v>
      </c>
      <c r="D9" s="28"/>
      <c r="E9" s="28"/>
      <c r="F9" s="29"/>
      <c r="G9" s="28">
        <f>SUM(G5:G8)</f>
        <v>18393750</v>
      </c>
      <c r="H9" s="28"/>
      <c r="I9" s="28">
        <f>SUM(I5:I8)</f>
        <v>18393750</v>
      </c>
      <c r="J9" s="28"/>
      <c r="K9" s="30"/>
      <c r="L9" s="28">
        <f>SUM(L5:L8)</f>
        <v>623516.94915254239</v>
      </c>
      <c r="M9" s="28"/>
      <c r="N9" s="28"/>
      <c r="O9" s="28"/>
      <c r="P9" s="380">
        <f>SUM(P5:P8)</f>
        <v>24940.677966101692</v>
      </c>
      <c r="R9" s="858"/>
    </row>
    <row r="10" spans="2:26" x14ac:dyDescent="0.2">
      <c r="B10" s="1100" t="s">
        <v>211</v>
      </c>
      <c r="C10" s="41" t="s">
        <v>54</v>
      </c>
      <c r="D10" s="362" t="s">
        <v>332</v>
      </c>
      <c r="E10" s="41">
        <v>1</v>
      </c>
      <c r="F10" s="41" t="s">
        <v>104</v>
      </c>
      <c r="G10" s="521">
        <f>5302000*1.08</f>
        <v>5726160</v>
      </c>
      <c r="H10" s="42">
        <v>0</v>
      </c>
      <c r="I10" s="489">
        <f>G10*(1-H10)*E10</f>
        <v>5726160</v>
      </c>
      <c r="J10" s="437">
        <f>SUM('１　対象経営の概要，２　前提条件'!$F$13:$F$15)</f>
        <v>29.5</v>
      </c>
      <c r="K10" s="857">
        <f t="shared" ref="K10:K23" si="6">1/29.5</f>
        <v>3.3898305084745763E-2</v>
      </c>
      <c r="L10" s="41">
        <f>I10*K10</f>
        <v>194107.11864406778</v>
      </c>
      <c r="M10" s="38">
        <v>0</v>
      </c>
      <c r="N10" s="11">
        <f>L10*M10</f>
        <v>0</v>
      </c>
      <c r="O10" s="31">
        <v>7</v>
      </c>
      <c r="P10" s="379">
        <f t="shared" ref="P10:P25" si="7">IF(O10="","",(L10-N10)/O10)</f>
        <v>27729.588377723969</v>
      </c>
    </row>
    <row r="11" spans="2:26" x14ac:dyDescent="0.2">
      <c r="B11" s="1309"/>
      <c r="C11" s="362" t="s">
        <v>300</v>
      </c>
      <c r="D11" s="362" t="s">
        <v>333</v>
      </c>
      <c r="E11" s="41">
        <v>1</v>
      </c>
      <c r="F11" s="362" t="s">
        <v>294</v>
      </c>
      <c r="G11" s="521">
        <f>4284000*1.08</f>
        <v>4626720</v>
      </c>
      <c r="H11" s="42">
        <v>0</v>
      </c>
      <c r="I11" s="489">
        <f t="shared" ref="I11:I13" si="8">G11*(1-H11)*E11</f>
        <v>4626720</v>
      </c>
      <c r="J11" s="437">
        <f>SUM('１　対象経営の概要，２　前提条件'!$F$13:$F$15)</f>
        <v>29.5</v>
      </c>
      <c r="K11" s="857">
        <f t="shared" si="6"/>
        <v>3.3898305084745763E-2</v>
      </c>
      <c r="L11" s="41">
        <f t="shared" ref="L11:L24" si="9">I11*K11</f>
        <v>156837.96610169491</v>
      </c>
      <c r="M11" s="38">
        <v>0</v>
      </c>
      <c r="N11" s="11">
        <f t="shared" ref="N11:N24" si="10">L11*M11</f>
        <v>0</v>
      </c>
      <c r="O11" s="31">
        <v>7</v>
      </c>
      <c r="P11" s="379">
        <f t="shared" si="7"/>
        <v>22405.423728813559</v>
      </c>
    </row>
    <row r="12" spans="2:26" x14ac:dyDescent="0.2">
      <c r="B12" s="1309"/>
      <c r="C12" s="41" t="s">
        <v>55</v>
      </c>
      <c r="D12" s="362" t="s">
        <v>296</v>
      </c>
      <c r="E12" s="41">
        <v>1</v>
      </c>
      <c r="F12" s="41" t="s">
        <v>104</v>
      </c>
      <c r="G12" s="521">
        <f>715000*1.08</f>
        <v>772200</v>
      </c>
      <c r="H12" s="42">
        <v>0</v>
      </c>
      <c r="I12" s="489">
        <f t="shared" si="8"/>
        <v>772200</v>
      </c>
      <c r="J12" s="437">
        <f>SUM('１　対象経営の概要，２　前提条件'!$F$13:$F$15)</f>
        <v>29.5</v>
      </c>
      <c r="K12" s="857">
        <f t="shared" si="6"/>
        <v>3.3898305084745763E-2</v>
      </c>
      <c r="L12" s="41">
        <f t="shared" si="9"/>
        <v>26176.271186440677</v>
      </c>
      <c r="M12" s="26">
        <v>0</v>
      </c>
      <c r="N12" s="11">
        <f t="shared" si="10"/>
        <v>0</v>
      </c>
      <c r="O12" s="11">
        <v>7</v>
      </c>
      <c r="P12" s="379">
        <f t="shared" si="7"/>
        <v>3739.4673123486682</v>
      </c>
    </row>
    <row r="13" spans="2:26" x14ac:dyDescent="0.2">
      <c r="B13" s="1309"/>
      <c r="C13" s="394" t="s">
        <v>55</v>
      </c>
      <c r="D13" s="393" t="s">
        <v>297</v>
      </c>
      <c r="E13" s="394">
        <v>1</v>
      </c>
      <c r="F13" s="41" t="s">
        <v>104</v>
      </c>
      <c r="G13" s="521">
        <f>540000*1.08</f>
        <v>583200</v>
      </c>
      <c r="H13" s="42">
        <v>0</v>
      </c>
      <c r="I13" s="489">
        <f t="shared" si="8"/>
        <v>583200</v>
      </c>
      <c r="J13" s="437">
        <f>SUM('１　対象経営の概要，２　前提条件'!$F$13:$F$15)</f>
        <v>29.5</v>
      </c>
      <c r="K13" s="857">
        <f t="shared" si="6"/>
        <v>3.3898305084745763E-2</v>
      </c>
      <c r="L13" s="41">
        <f t="shared" si="9"/>
        <v>19769.491525423728</v>
      </c>
      <c r="M13" s="26">
        <v>0</v>
      </c>
      <c r="N13" s="11">
        <f t="shared" si="10"/>
        <v>0</v>
      </c>
      <c r="O13" s="11">
        <v>7</v>
      </c>
      <c r="P13" s="379">
        <f t="shared" si="7"/>
        <v>2824.2130750605324</v>
      </c>
    </row>
    <row r="14" spans="2:26" x14ac:dyDescent="0.2">
      <c r="B14" s="1309"/>
      <c r="C14" s="459" t="s">
        <v>295</v>
      </c>
      <c r="D14" s="459" t="s">
        <v>415</v>
      </c>
      <c r="E14" s="41">
        <v>1</v>
      </c>
      <c r="F14" s="41" t="s">
        <v>104</v>
      </c>
      <c r="G14" s="521">
        <f>3850000*1.08</f>
        <v>4158000.0000000005</v>
      </c>
      <c r="H14" s="42">
        <v>0</v>
      </c>
      <c r="I14" s="489">
        <f t="shared" ref="I14:I22" si="11">G14*(1-H14)*E14</f>
        <v>4158000.0000000005</v>
      </c>
      <c r="J14" s="437">
        <f>SUM('１　対象経営の概要，２　前提条件'!$F$13:$F$15)</f>
        <v>29.5</v>
      </c>
      <c r="K14" s="857">
        <f t="shared" si="6"/>
        <v>3.3898305084745763E-2</v>
      </c>
      <c r="L14" s="41">
        <f t="shared" ref="L14" si="12">I14*K14</f>
        <v>140949.1525423729</v>
      </c>
      <c r="M14" s="26">
        <v>0</v>
      </c>
      <c r="N14" s="11">
        <f t="shared" ref="N14" si="13">L14*M14</f>
        <v>0</v>
      </c>
      <c r="O14" s="11">
        <v>7</v>
      </c>
      <c r="P14" s="379">
        <f t="shared" ref="P14" si="14">IF(O14="","",(L14-N14)/O14)</f>
        <v>20135.593220338986</v>
      </c>
    </row>
    <row r="15" spans="2:26" x14ac:dyDescent="0.2">
      <c r="B15" s="1309"/>
      <c r="C15" s="521" t="s">
        <v>56</v>
      </c>
      <c r="D15" s="459" t="s">
        <v>459</v>
      </c>
      <c r="E15" s="521">
        <v>1</v>
      </c>
      <c r="F15" s="362" t="s">
        <v>301</v>
      </c>
      <c r="G15" s="521">
        <f>9850000*1.08</f>
        <v>10638000</v>
      </c>
      <c r="H15" s="42">
        <v>0</v>
      </c>
      <c r="I15" s="489">
        <f t="shared" si="11"/>
        <v>10638000</v>
      </c>
      <c r="J15" s="437">
        <f>SUM('１　対象経営の概要，２　前提条件'!$F$13:$F$15)</f>
        <v>29.5</v>
      </c>
      <c r="K15" s="857">
        <f t="shared" si="6"/>
        <v>3.3898305084745763E-2</v>
      </c>
      <c r="L15" s="41">
        <f t="shared" ref="L15:L16" si="15">I15*K15</f>
        <v>360610.16949152545</v>
      </c>
      <c r="M15" s="26">
        <v>0</v>
      </c>
      <c r="N15" s="11">
        <f t="shared" ref="N15:N16" si="16">L15*M15</f>
        <v>0</v>
      </c>
      <c r="O15" s="11">
        <v>7</v>
      </c>
      <c r="P15" s="379">
        <f t="shared" ref="P15:P16" si="17">IF(O15="","",(L15-N15)/O15)</f>
        <v>51515.738498789353</v>
      </c>
    </row>
    <row r="16" spans="2:26" x14ac:dyDescent="0.2">
      <c r="B16" s="1309"/>
      <c r="C16" s="459" t="s">
        <v>302</v>
      </c>
      <c r="D16" s="459" t="s">
        <v>308</v>
      </c>
      <c r="E16" s="521">
        <v>1</v>
      </c>
      <c r="F16" s="362" t="s">
        <v>104</v>
      </c>
      <c r="G16" s="521">
        <f>3500000*1.08</f>
        <v>3780000.0000000005</v>
      </c>
      <c r="H16" s="42">
        <v>0</v>
      </c>
      <c r="I16" s="489">
        <f t="shared" si="11"/>
        <v>3780000.0000000005</v>
      </c>
      <c r="J16" s="437">
        <f>SUM('１　対象経営の概要，２　前提条件'!$F$13:$F$15)</f>
        <v>29.5</v>
      </c>
      <c r="K16" s="857">
        <f t="shared" si="6"/>
        <v>3.3898305084745763E-2</v>
      </c>
      <c r="L16" s="41">
        <f t="shared" si="15"/>
        <v>128135.593220339</v>
      </c>
      <c r="M16" s="26">
        <v>0</v>
      </c>
      <c r="N16" s="11">
        <f t="shared" si="16"/>
        <v>0</v>
      </c>
      <c r="O16" s="11">
        <v>7</v>
      </c>
      <c r="P16" s="379">
        <f t="shared" si="17"/>
        <v>18305.084745762713</v>
      </c>
    </row>
    <row r="17" spans="2:18" x14ac:dyDescent="0.2">
      <c r="B17" s="1309"/>
      <c r="C17" s="522" t="s">
        <v>398</v>
      </c>
      <c r="D17" s="523" t="s">
        <v>399</v>
      </c>
      <c r="E17" s="521">
        <v>1</v>
      </c>
      <c r="F17" s="362" t="s">
        <v>104</v>
      </c>
      <c r="G17" s="521">
        <f>281000*1.08</f>
        <v>303480</v>
      </c>
      <c r="H17" s="42">
        <v>0</v>
      </c>
      <c r="I17" s="489">
        <f t="shared" si="11"/>
        <v>303480</v>
      </c>
      <c r="J17" s="437">
        <f>SUM('１　対象経営の概要，２　前提条件'!$F$13:$F$15)</f>
        <v>29.5</v>
      </c>
      <c r="K17" s="857">
        <f t="shared" si="6"/>
        <v>3.3898305084745763E-2</v>
      </c>
      <c r="L17" s="41">
        <f t="shared" si="9"/>
        <v>10287.457627118643</v>
      </c>
      <c r="M17" s="26">
        <v>0</v>
      </c>
      <c r="N17" s="11">
        <f t="shared" si="10"/>
        <v>0</v>
      </c>
      <c r="O17" s="11">
        <v>7</v>
      </c>
      <c r="P17" s="379">
        <f t="shared" si="7"/>
        <v>1469.6368038740918</v>
      </c>
    </row>
    <row r="18" spans="2:18" x14ac:dyDescent="0.2">
      <c r="B18" s="1309"/>
      <c r="C18" s="459" t="s">
        <v>304</v>
      </c>
      <c r="D18" s="522" t="s">
        <v>402</v>
      </c>
      <c r="E18" s="521">
        <v>1</v>
      </c>
      <c r="F18" s="362" t="s">
        <v>104</v>
      </c>
      <c r="G18" s="521">
        <f>273000*1.08</f>
        <v>294840</v>
      </c>
      <c r="H18" s="42">
        <v>0</v>
      </c>
      <c r="I18" s="489">
        <f t="shared" si="11"/>
        <v>294840</v>
      </c>
      <c r="J18" s="437">
        <f>SUM('１　対象経営の概要，２　前提条件'!$F$13:$F$15)</f>
        <v>29.5</v>
      </c>
      <c r="K18" s="857">
        <f t="shared" si="6"/>
        <v>3.3898305084745763E-2</v>
      </c>
      <c r="L18" s="41">
        <f t="shared" si="9"/>
        <v>9994.5762711864409</v>
      </c>
      <c r="M18" s="26">
        <v>0</v>
      </c>
      <c r="N18" s="11">
        <f t="shared" ref="N18:N19" si="18">L18*M18</f>
        <v>0</v>
      </c>
      <c r="O18" s="11">
        <v>7</v>
      </c>
      <c r="P18" s="379">
        <f t="shared" ref="P18:P19" si="19">IF(O18="","",(L18-N18)/O18)</f>
        <v>1427.7966101694915</v>
      </c>
    </row>
    <row r="19" spans="2:18" x14ac:dyDescent="0.2">
      <c r="B19" s="1309"/>
      <c r="C19" s="459" t="s">
        <v>305</v>
      </c>
      <c r="D19" s="524" t="s">
        <v>404</v>
      </c>
      <c r="E19" s="521">
        <v>1</v>
      </c>
      <c r="F19" s="362" t="s">
        <v>104</v>
      </c>
      <c r="G19" s="521">
        <f>339000*1.08</f>
        <v>366120</v>
      </c>
      <c r="H19" s="42">
        <v>0</v>
      </c>
      <c r="I19" s="489">
        <f t="shared" si="11"/>
        <v>366120</v>
      </c>
      <c r="J19" s="437">
        <f>SUM('１　対象経営の概要，２　前提条件'!$F$13:$F$15)</f>
        <v>29.5</v>
      </c>
      <c r="K19" s="857">
        <f t="shared" si="6"/>
        <v>3.3898305084745763E-2</v>
      </c>
      <c r="L19" s="41">
        <f t="shared" si="9"/>
        <v>12410.847457627118</v>
      </c>
      <c r="M19" s="26">
        <v>0</v>
      </c>
      <c r="N19" s="11">
        <f t="shared" si="18"/>
        <v>0</v>
      </c>
      <c r="O19" s="11">
        <v>7</v>
      </c>
      <c r="P19" s="379">
        <f t="shared" si="19"/>
        <v>1772.9782082324455</v>
      </c>
    </row>
    <row r="20" spans="2:18" x14ac:dyDescent="0.2">
      <c r="B20" s="1309"/>
      <c r="C20" s="459" t="s">
        <v>400</v>
      </c>
      <c r="D20" s="459" t="s">
        <v>401</v>
      </c>
      <c r="E20" s="521">
        <v>2620</v>
      </c>
      <c r="F20" s="362" t="s">
        <v>403</v>
      </c>
      <c r="G20" s="521">
        <f>450*1.08*E20</f>
        <v>1273320.0000000002</v>
      </c>
      <c r="H20" s="42">
        <v>0</v>
      </c>
      <c r="I20" s="489">
        <f>G20*(1-H20)</f>
        <v>1273320.0000000002</v>
      </c>
      <c r="J20" s="437">
        <f>SUM('１　対象経営の概要，２　前提条件'!$F$13:$F$15)</f>
        <v>29.5</v>
      </c>
      <c r="K20" s="857">
        <f t="shared" si="6"/>
        <v>3.3898305084745763E-2</v>
      </c>
      <c r="L20" s="41">
        <f t="shared" si="9"/>
        <v>43163.38983050848</v>
      </c>
      <c r="M20" s="26">
        <v>0</v>
      </c>
      <c r="N20" s="11">
        <f t="shared" si="10"/>
        <v>0</v>
      </c>
      <c r="O20" s="11">
        <v>7</v>
      </c>
      <c r="P20" s="379">
        <f t="shared" si="7"/>
        <v>6166.1985472154975</v>
      </c>
    </row>
    <row r="21" spans="2:18" x14ac:dyDescent="0.2">
      <c r="B21" s="1309"/>
      <c r="C21" s="459" t="s">
        <v>371</v>
      </c>
      <c r="D21" s="459" t="s">
        <v>373</v>
      </c>
      <c r="E21" s="521">
        <v>1</v>
      </c>
      <c r="F21" s="362" t="s">
        <v>104</v>
      </c>
      <c r="G21" s="521">
        <f>13888889*1.08</f>
        <v>15000000.120000001</v>
      </c>
      <c r="H21" s="42">
        <v>0</v>
      </c>
      <c r="I21" s="489">
        <f t="shared" si="11"/>
        <v>15000000.120000001</v>
      </c>
      <c r="J21" s="437">
        <f>SUM('１　対象経営の概要，２　前提条件'!$F$13:$F$15)</f>
        <v>29.5</v>
      </c>
      <c r="K21" s="857">
        <f t="shared" si="6"/>
        <v>3.3898305084745763E-2</v>
      </c>
      <c r="L21" s="41">
        <f t="shared" si="9"/>
        <v>508474.5803389831</v>
      </c>
      <c r="M21" s="26">
        <v>0</v>
      </c>
      <c r="N21" s="11">
        <f t="shared" si="10"/>
        <v>0</v>
      </c>
      <c r="O21" s="11">
        <v>7</v>
      </c>
      <c r="P21" s="379">
        <f t="shared" si="7"/>
        <v>72639.225762711867</v>
      </c>
    </row>
    <row r="22" spans="2:18" x14ac:dyDescent="0.2">
      <c r="B22" s="1309"/>
      <c r="C22" s="459" t="s">
        <v>315</v>
      </c>
      <c r="D22" s="459"/>
      <c r="E22" s="526">
        <v>1</v>
      </c>
      <c r="F22" s="362" t="s">
        <v>104</v>
      </c>
      <c r="G22" s="521">
        <v>500000</v>
      </c>
      <c r="H22" s="42">
        <v>0</v>
      </c>
      <c r="I22" s="489">
        <f t="shared" si="11"/>
        <v>500000</v>
      </c>
      <c r="J22" s="437">
        <f>SUM('１　対象経営の概要，２　前提条件'!$F$13:$F$15)</f>
        <v>29.5</v>
      </c>
      <c r="K22" s="857">
        <f t="shared" si="6"/>
        <v>3.3898305084745763E-2</v>
      </c>
      <c r="L22" s="41">
        <f t="shared" si="9"/>
        <v>16949.152542372882</v>
      </c>
      <c r="M22" s="26">
        <v>0</v>
      </c>
      <c r="N22" s="11">
        <f t="shared" si="10"/>
        <v>0</v>
      </c>
      <c r="O22" s="11">
        <v>7</v>
      </c>
      <c r="P22" s="379">
        <f t="shared" si="7"/>
        <v>2421.3075060532688</v>
      </c>
    </row>
    <row r="23" spans="2:18" x14ac:dyDescent="0.2">
      <c r="B23" s="1309"/>
      <c r="C23" s="459" t="s">
        <v>268</v>
      </c>
      <c r="D23" s="459"/>
      <c r="E23" s="521">
        <v>1</v>
      </c>
      <c r="F23" s="362" t="s">
        <v>104</v>
      </c>
      <c r="G23" s="459">
        <v>1500000</v>
      </c>
      <c r="H23" s="42">
        <v>0</v>
      </c>
      <c r="I23" s="489">
        <f>G23*(1-H23)*E23</f>
        <v>1500000</v>
      </c>
      <c r="J23" s="437">
        <f>SUM('１　対象経営の概要，２　前提条件'!$F$13:$F$15)</f>
        <v>29.5</v>
      </c>
      <c r="K23" s="857">
        <f t="shared" si="6"/>
        <v>3.3898305084745763E-2</v>
      </c>
      <c r="L23" s="41">
        <f t="shared" si="9"/>
        <v>50847.457627118645</v>
      </c>
      <c r="M23" s="26">
        <v>0</v>
      </c>
      <c r="N23" s="11">
        <f t="shared" si="10"/>
        <v>0</v>
      </c>
      <c r="O23" s="11">
        <v>7</v>
      </c>
      <c r="P23" s="379">
        <f t="shared" si="7"/>
        <v>7263.9225181598067</v>
      </c>
    </row>
    <row r="24" spans="2:18" x14ac:dyDescent="0.2">
      <c r="B24" s="1309"/>
      <c r="C24" s="459" t="s">
        <v>257</v>
      </c>
      <c r="D24" s="525"/>
      <c r="E24" s="521">
        <v>1</v>
      </c>
      <c r="F24" s="362" t="s">
        <v>104</v>
      </c>
      <c r="G24" s="521">
        <v>920000</v>
      </c>
      <c r="H24" s="42">
        <v>0</v>
      </c>
      <c r="I24" s="489">
        <f>G24*(1-H24)*E24</f>
        <v>920000</v>
      </c>
      <c r="J24" s="437">
        <f>SUM('１　対象経営の概要，２　前提条件'!$F$13:$F$15)</f>
        <v>29.5</v>
      </c>
      <c r="K24" s="857">
        <f>1/30</f>
        <v>3.3333333333333333E-2</v>
      </c>
      <c r="L24" s="41">
        <f t="shared" si="9"/>
        <v>30666.666666666668</v>
      </c>
      <c r="M24" s="26">
        <v>0</v>
      </c>
      <c r="N24" s="11">
        <f t="shared" si="10"/>
        <v>0</v>
      </c>
      <c r="O24" s="11">
        <v>7</v>
      </c>
      <c r="P24" s="379">
        <f t="shared" si="7"/>
        <v>4380.9523809523807</v>
      </c>
    </row>
    <row r="25" spans="2:18" x14ac:dyDescent="0.2">
      <c r="B25" s="1309"/>
      <c r="C25" s="362"/>
      <c r="D25" s="41"/>
      <c r="E25" s="41"/>
      <c r="F25" s="362"/>
      <c r="G25" s="521"/>
      <c r="H25" s="42"/>
      <c r="I25" s="489"/>
      <c r="J25" s="437"/>
      <c r="K25" s="857"/>
      <c r="L25" s="41"/>
      <c r="M25" s="26"/>
      <c r="N25" s="11"/>
      <c r="O25" s="11"/>
      <c r="P25" s="379" t="str">
        <f t="shared" si="7"/>
        <v/>
      </c>
    </row>
    <row r="26" spans="2:18" x14ac:dyDescent="0.2">
      <c r="B26" s="1310"/>
      <c r="C26" s="47" t="s">
        <v>46</v>
      </c>
      <c r="D26" s="47"/>
      <c r="E26" s="47"/>
      <c r="F26" s="48"/>
      <c r="G26" s="47">
        <f>SUM(G10:G25)</f>
        <v>50442040.120000005</v>
      </c>
      <c r="H26" s="47"/>
      <c r="I26" s="47">
        <f>SUM(I10:I25)</f>
        <v>50442040.120000005</v>
      </c>
      <c r="J26" s="47"/>
      <c r="K26" s="49"/>
      <c r="L26" s="47">
        <f>SUM(L10:L25)</f>
        <v>1709379.8910734467</v>
      </c>
      <c r="M26" s="28"/>
      <c r="N26" s="28"/>
      <c r="O26" s="28"/>
      <c r="P26" s="380">
        <f>SUM(P10:P25)</f>
        <v>244197.12729620666</v>
      </c>
      <c r="R26" s="858"/>
    </row>
    <row r="27" spans="2:18" x14ac:dyDescent="0.2">
      <c r="B27" s="1100" t="s">
        <v>147</v>
      </c>
      <c r="C27" s="41"/>
      <c r="D27" s="41"/>
      <c r="E27" s="41"/>
      <c r="F27" s="44"/>
      <c r="G27" s="41"/>
      <c r="H27" s="50"/>
      <c r="I27" s="41"/>
      <c r="J27" s="44"/>
      <c r="K27" s="43"/>
      <c r="L27" s="41"/>
      <c r="M27" s="39"/>
      <c r="N27" s="11"/>
      <c r="O27" s="11"/>
      <c r="P27" s="379" t="str">
        <f>IF(O27="","",(L27-N27)/O27)</f>
        <v/>
      </c>
    </row>
    <row r="28" spans="2:18" x14ac:dyDescent="0.2">
      <c r="B28" s="1309"/>
      <c r="C28" s="41"/>
      <c r="D28" s="41"/>
      <c r="E28" s="41"/>
      <c r="F28" s="44"/>
      <c r="G28" s="41"/>
      <c r="H28" s="50"/>
      <c r="I28" s="41"/>
      <c r="J28" s="41"/>
      <c r="K28" s="43"/>
      <c r="L28" s="41"/>
      <c r="M28" s="39"/>
      <c r="N28" s="11"/>
      <c r="O28" s="11"/>
      <c r="P28" s="379" t="str">
        <f>IF(O28="","",(L28-N28)/O28)</f>
        <v/>
      </c>
    </row>
    <row r="29" spans="2:18" ht="15" customHeight="1" x14ac:dyDescent="0.2">
      <c r="B29" s="1309"/>
      <c r="C29" s="11"/>
      <c r="D29" s="11"/>
      <c r="E29" s="11"/>
      <c r="F29" s="25"/>
      <c r="G29" s="11"/>
      <c r="H29" s="39"/>
      <c r="I29" s="11"/>
      <c r="J29" s="11"/>
      <c r="K29" s="40"/>
      <c r="L29" s="11"/>
      <c r="M29" s="39"/>
      <c r="N29" s="11"/>
      <c r="O29" s="11"/>
      <c r="P29" s="379" t="str">
        <f>IF(O29="","",(L29-N29)/O29)</f>
        <v/>
      </c>
    </row>
    <row r="30" spans="2:18" x14ac:dyDescent="0.2">
      <c r="B30" s="1309"/>
      <c r="C30" s="11"/>
      <c r="D30" s="11"/>
      <c r="E30" s="11"/>
      <c r="F30" s="25"/>
      <c r="G30" s="11"/>
      <c r="H30" s="39"/>
      <c r="I30" s="11"/>
      <c r="J30" s="11"/>
      <c r="K30" s="40"/>
      <c r="L30" s="11"/>
      <c r="M30" s="39"/>
      <c r="N30" s="11"/>
      <c r="O30" s="11"/>
      <c r="P30" s="379" t="str">
        <f>IF(O30="","",(L30-N30)/O30)</f>
        <v/>
      </c>
    </row>
    <row r="31" spans="2:18" x14ac:dyDescent="0.2">
      <c r="B31" s="1310"/>
      <c r="C31" s="32" t="s">
        <v>46</v>
      </c>
      <c r="D31" s="28"/>
      <c r="E31" s="28"/>
      <c r="F31" s="29"/>
      <c r="G31" s="28">
        <f>SUM(G27:G30)</f>
        <v>0</v>
      </c>
      <c r="H31" s="28"/>
      <c r="I31" s="28">
        <f>SUM(I27:I30)</f>
        <v>0</v>
      </c>
      <c r="J31" s="28"/>
      <c r="K31" s="30"/>
      <c r="L31" s="28">
        <f>SUM(L27:L30)</f>
        <v>0</v>
      </c>
      <c r="M31" s="28"/>
      <c r="N31" s="28"/>
      <c r="O31" s="28"/>
      <c r="P31" s="380">
        <f>SUM(P27:P30)</f>
        <v>0</v>
      </c>
      <c r="R31" s="858"/>
    </row>
    <row r="32" spans="2:18" ht="13.5" thickBot="1" x14ac:dyDescent="0.25">
      <c r="B32" s="33"/>
      <c r="C32" s="34" t="s">
        <v>103</v>
      </c>
      <c r="D32" s="35"/>
      <c r="E32" s="35"/>
      <c r="F32" s="36"/>
      <c r="G32" s="35">
        <f>G9+G26+G31</f>
        <v>68835790.120000005</v>
      </c>
      <c r="H32" s="35"/>
      <c r="I32" s="35">
        <f>I9+I26+I31</f>
        <v>68835790.120000005</v>
      </c>
      <c r="J32" s="35"/>
      <c r="K32" s="37"/>
      <c r="L32" s="35">
        <f>L9+L26+L31</f>
        <v>2332896.840225989</v>
      </c>
      <c r="M32" s="35"/>
      <c r="N32" s="35"/>
      <c r="O32" s="35"/>
      <c r="P32" s="381">
        <f>P9+P26+P31</f>
        <v>269137.80526230833</v>
      </c>
      <c r="R32" s="858"/>
    </row>
    <row r="33" ht="11.25" customHeight="1" x14ac:dyDescent="0.2"/>
  </sheetData>
  <mergeCells count="9">
    <mergeCell ref="J3:J4"/>
    <mergeCell ref="B27:B31"/>
    <mergeCell ref="B10:B26"/>
    <mergeCell ref="B5:B9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8" scale="87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zoomScale="75" zoomScaleNormal="75" zoomScaleSheetLayoutView="80" workbookViewId="0"/>
  </sheetViews>
  <sheetFormatPr defaultColWidth="9" defaultRowHeight="13" x14ac:dyDescent="0.2"/>
  <cols>
    <col min="1" max="1" width="1.6328125" style="5" customWidth="1"/>
    <col min="2" max="2" width="5" style="5" customWidth="1"/>
    <col min="3" max="3" width="22.453125" style="5" bestFit="1" customWidth="1"/>
    <col min="4" max="4" width="30" style="5" bestFit="1" customWidth="1"/>
    <col min="5" max="6" width="6" style="5" bestFit="1" customWidth="1"/>
    <col min="7" max="7" width="17.6328125" style="5" customWidth="1"/>
    <col min="8" max="8" width="10.6328125" style="5" customWidth="1"/>
    <col min="9" max="9" width="17.6328125" style="5" customWidth="1"/>
    <col min="10" max="10" width="10.6328125" style="5" customWidth="1"/>
    <col min="11" max="11" width="15.08984375" style="6" bestFit="1" customWidth="1"/>
    <col min="12" max="12" width="17.6328125" style="5" customWidth="1"/>
    <col min="13" max="13" width="10.6328125" style="5" customWidth="1"/>
    <col min="14" max="14" width="17.6328125" style="5" customWidth="1"/>
    <col min="15" max="15" width="10.6328125" style="5" customWidth="1"/>
    <col min="16" max="16" width="19.7265625" style="5" bestFit="1" customWidth="1"/>
    <col min="17" max="16384" width="9" style="5"/>
  </cols>
  <sheetData>
    <row r="1" spans="2:16" ht="10" customHeight="1" x14ac:dyDescent="0.2"/>
    <row r="2" spans="2:16" ht="25" customHeight="1" thickBot="1" x14ac:dyDescent="0.25">
      <c r="B2" s="2" t="s">
        <v>661</v>
      </c>
      <c r="C2" s="7"/>
      <c r="D2" s="7"/>
      <c r="E2" s="8"/>
      <c r="F2" s="1311"/>
      <c r="G2" s="1312"/>
      <c r="H2" s="161" t="s">
        <v>271</v>
      </c>
      <c r="I2" s="3" t="s">
        <v>479</v>
      </c>
      <c r="J2" s="160"/>
      <c r="K2" s="161" t="s">
        <v>272</v>
      </c>
      <c r="L2" s="3" t="s">
        <v>480</v>
      </c>
      <c r="M2" s="9"/>
      <c r="P2" s="538"/>
    </row>
    <row r="3" spans="2:16" x14ac:dyDescent="0.2">
      <c r="B3" s="1313" t="s">
        <v>90</v>
      </c>
      <c r="C3" s="1307" t="s">
        <v>38</v>
      </c>
      <c r="D3" s="1315" t="s">
        <v>137</v>
      </c>
      <c r="E3" s="1317" t="s">
        <v>39</v>
      </c>
      <c r="F3" s="1318"/>
      <c r="G3" s="539" t="s">
        <v>40</v>
      </c>
      <c r="H3" s="19" t="s">
        <v>140</v>
      </c>
      <c r="I3" s="19" t="s">
        <v>139</v>
      </c>
      <c r="J3" s="1307" t="s">
        <v>100</v>
      </c>
      <c r="K3" s="21" t="s">
        <v>501</v>
      </c>
      <c r="L3" s="539" t="s">
        <v>41</v>
      </c>
      <c r="M3" s="19" t="s">
        <v>144</v>
      </c>
      <c r="N3" s="539" t="s">
        <v>42</v>
      </c>
      <c r="O3" s="539" t="s">
        <v>43</v>
      </c>
      <c r="P3" s="377" t="s">
        <v>44</v>
      </c>
    </row>
    <row r="4" spans="2:16" x14ac:dyDescent="0.2">
      <c r="B4" s="1314"/>
      <c r="C4" s="1319"/>
      <c r="D4" s="1321"/>
      <c r="E4" s="553" t="s">
        <v>102</v>
      </c>
      <c r="F4" s="553" t="s">
        <v>9</v>
      </c>
      <c r="G4" s="554" t="s">
        <v>502</v>
      </c>
      <c r="H4" s="554" t="s">
        <v>503</v>
      </c>
      <c r="I4" s="554" t="s">
        <v>148</v>
      </c>
      <c r="J4" s="1319"/>
      <c r="K4" s="555" t="s">
        <v>504</v>
      </c>
      <c r="L4" s="554" t="s">
        <v>505</v>
      </c>
      <c r="M4" s="554" t="s">
        <v>506</v>
      </c>
      <c r="N4" s="554" t="s">
        <v>150</v>
      </c>
      <c r="O4" s="554" t="s">
        <v>507</v>
      </c>
      <c r="P4" s="556" t="s">
        <v>508</v>
      </c>
    </row>
    <row r="5" spans="2:16" x14ac:dyDescent="0.2">
      <c r="B5" s="1100" t="s">
        <v>208</v>
      </c>
      <c r="C5" s="563" t="s">
        <v>509</v>
      </c>
      <c r="D5" s="563" t="s">
        <v>510</v>
      </c>
      <c r="E5" s="564">
        <v>70</v>
      </c>
      <c r="F5" s="565" t="s">
        <v>511</v>
      </c>
      <c r="G5" s="566">
        <v>3024000</v>
      </c>
      <c r="H5" s="567">
        <v>0</v>
      </c>
      <c r="I5" s="568">
        <f t="shared" ref="I5:I6" si="0">G5*(1-H5)</f>
        <v>3024000</v>
      </c>
      <c r="J5" s="563" t="s">
        <v>512</v>
      </c>
      <c r="K5" s="569">
        <v>0.2</v>
      </c>
      <c r="L5" s="560">
        <f t="shared" ref="L5:L6" si="1">I5*K5</f>
        <v>604800</v>
      </c>
      <c r="M5" s="561">
        <v>0</v>
      </c>
      <c r="N5" s="560">
        <f t="shared" ref="N5:N9" si="2">L5*M5/100</f>
        <v>0</v>
      </c>
      <c r="O5" s="566">
        <v>31</v>
      </c>
      <c r="P5" s="562">
        <f t="shared" ref="P5:P9" si="3">IF(O5="","",(L5-N5)/O5)</f>
        <v>19509.677419354837</v>
      </c>
    </row>
    <row r="6" spans="2:16" x14ac:dyDescent="0.2">
      <c r="B6" s="1309"/>
      <c r="C6" s="570" t="s">
        <v>513</v>
      </c>
      <c r="D6" s="570" t="s">
        <v>514</v>
      </c>
      <c r="E6" s="570">
        <v>100</v>
      </c>
      <c r="F6" s="571" t="s">
        <v>515</v>
      </c>
      <c r="G6" s="572">
        <v>236000</v>
      </c>
      <c r="H6" s="567">
        <v>0</v>
      </c>
      <c r="I6" s="568">
        <f t="shared" si="0"/>
        <v>236000</v>
      </c>
      <c r="J6" s="563" t="s">
        <v>512</v>
      </c>
      <c r="K6" s="569">
        <v>0.2</v>
      </c>
      <c r="L6" s="560">
        <f t="shared" si="1"/>
        <v>47200</v>
      </c>
      <c r="M6" s="561">
        <v>0</v>
      </c>
      <c r="N6" s="560">
        <f t="shared" si="2"/>
        <v>0</v>
      </c>
      <c r="O6" s="570">
        <v>5</v>
      </c>
      <c r="P6" s="562">
        <f t="shared" si="3"/>
        <v>9440</v>
      </c>
    </row>
    <row r="7" spans="2:16" x14ac:dyDescent="0.2">
      <c r="B7" s="1309"/>
      <c r="C7" s="570"/>
      <c r="D7" s="570"/>
      <c r="E7" s="570"/>
      <c r="F7" s="571"/>
      <c r="G7" s="570"/>
      <c r="H7" s="567"/>
      <c r="I7" s="568"/>
      <c r="J7" s="563"/>
      <c r="K7" s="569"/>
      <c r="L7" s="560"/>
      <c r="M7" s="561"/>
      <c r="N7" s="560"/>
      <c r="O7" s="570"/>
      <c r="P7" s="562"/>
    </row>
    <row r="8" spans="2:16" x14ac:dyDescent="0.2">
      <c r="B8" s="1309"/>
      <c r="C8" s="570"/>
      <c r="D8" s="570"/>
      <c r="E8" s="861"/>
      <c r="F8" s="860"/>
      <c r="G8" s="570"/>
      <c r="H8" s="798"/>
      <c r="I8" s="643"/>
      <c r="J8" s="563"/>
      <c r="K8" s="799"/>
      <c r="L8" s="560"/>
      <c r="M8" s="561"/>
      <c r="N8" s="560"/>
      <c r="O8" s="570"/>
      <c r="P8" s="562"/>
    </row>
    <row r="9" spans="2:16" x14ac:dyDescent="0.2">
      <c r="B9" s="1309"/>
      <c r="C9" s="560"/>
      <c r="D9" s="560"/>
      <c r="E9" s="560"/>
      <c r="F9" s="560"/>
      <c r="G9" s="560"/>
      <c r="H9" s="561"/>
      <c r="I9" s="560"/>
      <c r="J9" s="560"/>
      <c r="K9" s="573"/>
      <c r="L9" s="560"/>
      <c r="M9" s="561"/>
      <c r="N9" s="560">
        <f t="shared" si="2"/>
        <v>0</v>
      </c>
      <c r="O9" s="560"/>
      <c r="P9" s="562" t="str">
        <f t="shared" si="3"/>
        <v/>
      </c>
    </row>
    <row r="10" spans="2:16" x14ac:dyDescent="0.2">
      <c r="B10" s="1310"/>
      <c r="C10" s="574" t="s">
        <v>45</v>
      </c>
      <c r="D10" s="575"/>
      <c r="E10" s="575"/>
      <c r="F10" s="576"/>
      <c r="G10" s="575">
        <f>SUM(G5:G9)</f>
        <v>3260000</v>
      </c>
      <c r="H10" s="575"/>
      <c r="I10" s="575">
        <f>SUM(I5:I9)</f>
        <v>3260000</v>
      </c>
      <c r="J10" s="575"/>
      <c r="K10" s="577"/>
      <c r="L10" s="575">
        <f>SUM(L5:L9)</f>
        <v>652000</v>
      </c>
      <c r="M10" s="575"/>
      <c r="N10" s="575"/>
      <c r="O10" s="575"/>
      <c r="P10" s="578">
        <f>SUM(P5:P9)</f>
        <v>28949.677419354837</v>
      </c>
    </row>
    <row r="11" spans="2:16" x14ac:dyDescent="0.2">
      <c r="B11" s="1309"/>
      <c r="C11" s="570" t="s">
        <v>516</v>
      </c>
      <c r="D11" s="570" t="s">
        <v>517</v>
      </c>
      <c r="E11" s="580">
        <v>1</v>
      </c>
      <c r="F11" s="581" t="s">
        <v>104</v>
      </c>
      <c r="G11" s="566">
        <v>248000</v>
      </c>
      <c r="H11" s="558">
        <v>0</v>
      </c>
      <c r="I11" s="557">
        <f>G11*(1-H11)</f>
        <v>248000</v>
      </c>
      <c r="J11" s="563" t="s">
        <v>518</v>
      </c>
      <c r="K11" s="569">
        <v>0.2</v>
      </c>
      <c r="L11" s="557">
        <f t="shared" ref="L11:L12" si="4">I11*K11</f>
        <v>49600</v>
      </c>
      <c r="M11" s="579">
        <v>0</v>
      </c>
      <c r="N11" s="560">
        <f t="shared" ref="N11:N12" si="5">L11*M11</f>
        <v>0</v>
      </c>
      <c r="O11" s="566">
        <v>7</v>
      </c>
      <c r="P11" s="562">
        <f t="shared" ref="P11:P12" si="6">IF(O11="","",(L11-N11)/O11)</f>
        <v>7085.7142857142853</v>
      </c>
    </row>
    <row r="12" spans="2:16" x14ac:dyDescent="0.2">
      <c r="B12" s="1309"/>
      <c r="C12" s="570" t="s">
        <v>519</v>
      </c>
      <c r="D12" s="570" t="s">
        <v>520</v>
      </c>
      <c r="E12" s="580">
        <v>1</v>
      </c>
      <c r="F12" s="581" t="s">
        <v>104</v>
      </c>
      <c r="G12" s="566">
        <v>920000</v>
      </c>
      <c r="H12" s="558"/>
      <c r="I12" s="557">
        <f t="shared" ref="I12:I16" si="7">G12*(1-H12)</f>
        <v>920000</v>
      </c>
      <c r="J12" s="563" t="s">
        <v>688</v>
      </c>
      <c r="K12" s="569">
        <f>10/3000</f>
        <v>3.3333333333333335E-3</v>
      </c>
      <c r="L12" s="557">
        <f t="shared" si="4"/>
        <v>3066.666666666667</v>
      </c>
      <c r="M12" s="579">
        <v>0</v>
      </c>
      <c r="N12" s="560">
        <f t="shared" si="5"/>
        <v>0</v>
      </c>
      <c r="O12" s="566">
        <v>4</v>
      </c>
      <c r="P12" s="562">
        <f t="shared" si="6"/>
        <v>766.66666666666674</v>
      </c>
    </row>
    <row r="13" spans="2:16" x14ac:dyDescent="0.2">
      <c r="B13" s="1309"/>
      <c r="C13" s="570"/>
      <c r="D13" s="570"/>
      <c r="E13" s="582"/>
      <c r="F13" s="581"/>
      <c r="G13" s="570"/>
      <c r="H13" s="558"/>
      <c r="I13" s="557"/>
      <c r="J13" s="563"/>
      <c r="K13" s="569"/>
      <c r="L13" s="557"/>
      <c r="M13" s="561"/>
      <c r="N13" s="560"/>
      <c r="O13" s="570"/>
      <c r="P13" s="562"/>
    </row>
    <row r="14" spans="2:16" x14ac:dyDescent="0.2">
      <c r="B14" s="1309"/>
      <c r="C14" s="557"/>
      <c r="D14" s="583"/>
      <c r="E14" s="557"/>
      <c r="F14" s="557"/>
      <c r="G14" s="557"/>
      <c r="H14" s="558"/>
      <c r="I14" s="557"/>
      <c r="J14" s="583"/>
      <c r="K14" s="559"/>
      <c r="L14" s="557"/>
      <c r="M14" s="561"/>
      <c r="N14" s="560"/>
      <c r="O14" s="560"/>
      <c r="P14" s="562"/>
    </row>
    <row r="15" spans="2:16" x14ac:dyDescent="0.2">
      <c r="B15" s="1310"/>
      <c r="C15" s="584" t="s">
        <v>46</v>
      </c>
      <c r="D15" s="584"/>
      <c r="E15" s="584"/>
      <c r="F15" s="585"/>
      <c r="G15" s="584">
        <f>SUM(G11:G13)</f>
        <v>1168000</v>
      </c>
      <c r="H15" s="584"/>
      <c r="I15" s="584">
        <f>SUM(I11:I13)</f>
        <v>1168000</v>
      </c>
      <c r="J15" s="584"/>
      <c r="K15" s="586"/>
      <c r="L15" s="584">
        <f>SUM(L11:L13)</f>
        <v>52666.666666666664</v>
      </c>
      <c r="M15" s="575"/>
      <c r="N15" s="575"/>
      <c r="O15" s="575"/>
      <c r="P15" s="578">
        <f>SUM(P11:P13)</f>
        <v>7852.3809523809523</v>
      </c>
    </row>
    <row r="16" spans="2:16" x14ac:dyDescent="0.2">
      <c r="B16" s="1100" t="s">
        <v>147</v>
      </c>
      <c r="C16" s="568" t="s">
        <v>478</v>
      </c>
      <c r="D16" s="568" t="s">
        <v>521</v>
      </c>
      <c r="E16" s="568"/>
      <c r="F16" s="568"/>
      <c r="G16" s="568">
        <v>146300</v>
      </c>
      <c r="H16" s="587"/>
      <c r="I16" s="557">
        <f t="shared" si="7"/>
        <v>146300</v>
      </c>
      <c r="J16" s="583" t="s">
        <v>522</v>
      </c>
      <c r="K16" s="559">
        <v>1</v>
      </c>
      <c r="L16" s="557">
        <f>I16*K16</f>
        <v>146300</v>
      </c>
      <c r="M16" s="588">
        <v>0.05</v>
      </c>
      <c r="N16" s="560">
        <f>L16*M16</f>
        <v>7315</v>
      </c>
      <c r="O16" s="560">
        <v>10</v>
      </c>
      <c r="P16" s="562">
        <f>IF(O16="","",(L16-N16)/O16)</f>
        <v>13898.5</v>
      </c>
    </row>
    <row r="17" spans="2:16" x14ac:dyDescent="0.2">
      <c r="B17" s="1309"/>
      <c r="C17" s="557"/>
      <c r="D17" s="557"/>
      <c r="E17" s="557"/>
      <c r="F17" s="583"/>
      <c r="G17" s="557"/>
      <c r="H17" s="587"/>
      <c r="I17" s="557"/>
      <c r="J17" s="557"/>
      <c r="K17" s="559"/>
      <c r="L17" s="557"/>
      <c r="M17" s="588"/>
      <c r="N17" s="560"/>
      <c r="O17" s="560"/>
      <c r="P17" s="562" t="str">
        <f>IF(O17="","",(L17-N17)/O17)</f>
        <v/>
      </c>
    </row>
    <row r="18" spans="2:16" x14ac:dyDescent="0.2">
      <c r="B18" s="1309"/>
      <c r="C18" s="560"/>
      <c r="D18" s="560"/>
      <c r="E18" s="560"/>
      <c r="F18" s="589"/>
      <c r="G18" s="560"/>
      <c r="H18" s="588"/>
      <c r="I18" s="560"/>
      <c r="J18" s="560"/>
      <c r="K18" s="573"/>
      <c r="L18" s="560"/>
      <c r="M18" s="588"/>
      <c r="N18" s="560"/>
      <c r="O18" s="560"/>
      <c r="P18" s="562" t="str">
        <f>IF(O18="","",(L18-N18)/O18)</f>
        <v/>
      </c>
    </row>
    <row r="19" spans="2:16" x14ac:dyDescent="0.2">
      <c r="B19" s="1309"/>
      <c r="C19" s="560"/>
      <c r="D19" s="560"/>
      <c r="E19" s="560"/>
      <c r="F19" s="589"/>
      <c r="G19" s="560"/>
      <c r="H19" s="588"/>
      <c r="I19" s="560"/>
      <c r="J19" s="560"/>
      <c r="K19" s="573"/>
      <c r="L19" s="560"/>
      <c r="M19" s="588"/>
      <c r="N19" s="560"/>
      <c r="O19" s="560"/>
      <c r="P19" s="562" t="str">
        <f>IF(O19="","",(L19-N19)/O19)</f>
        <v/>
      </c>
    </row>
    <row r="20" spans="2:16" x14ac:dyDescent="0.2">
      <c r="B20" s="1310"/>
      <c r="C20" s="590" t="s">
        <v>46</v>
      </c>
      <c r="D20" s="575"/>
      <c r="E20" s="575"/>
      <c r="F20" s="576"/>
      <c r="G20" s="575">
        <f>SUM(G16:G19)</f>
        <v>146300</v>
      </c>
      <c r="H20" s="575"/>
      <c r="I20" s="575">
        <f>SUM(I16:I19)</f>
        <v>146300</v>
      </c>
      <c r="J20" s="575"/>
      <c r="K20" s="577"/>
      <c r="L20" s="575">
        <f>SUM(L16:L19)</f>
        <v>146300</v>
      </c>
      <c r="M20" s="575"/>
      <c r="N20" s="575"/>
      <c r="O20" s="575"/>
      <c r="P20" s="578">
        <f>SUM(P16:P19)</f>
        <v>13898.5</v>
      </c>
    </row>
    <row r="21" spans="2:16" ht="13.5" thickBot="1" x14ac:dyDescent="0.25">
      <c r="B21" s="591"/>
      <c r="C21" s="592" t="s">
        <v>523</v>
      </c>
      <c r="D21" s="593"/>
      <c r="E21" s="593"/>
      <c r="F21" s="594"/>
      <c r="G21" s="593">
        <f>G10+G15+G20</f>
        <v>4574300</v>
      </c>
      <c r="H21" s="593"/>
      <c r="I21" s="593">
        <f>I10+I15+I20</f>
        <v>4574300</v>
      </c>
      <c r="J21" s="593"/>
      <c r="K21" s="595"/>
      <c r="L21" s="593">
        <f>L10+L15+L20</f>
        <v>850966.66666666663</v>
      </c>
      <c r="M21" s="593"/>
      <c r="N21" s="593"/>
      <c r="O21" s="593"/>
      <c r="P21" s="596">
        <f>P10+P15+P20</f>
        <v>50700.558371735788</v>
      </c>
    </row>
    <row r="22" spans="2:16" ht="11.25" customHeight="1" x14ac:dyDescent="0.2"/>
    <row r="23" spans="2:16" ht="18" customHeight="1" x14ac:dyDescent="0.2">
      <c r="C23" s="851" t="s">
        <v>524</v>
      </c>
      <c r="D23" s="851"/>
    </row>
    <row r="24" spans="2:16" ht="18" customHeight="1" x14ac:dyDescent="0.2">
      <c r="C24" s="1320" t="s">
        <v>525</v>
      </c>
      <c r="D24" s="1320"/>
    </row>
    <row r="25" spans="2:16" ht="18" customHeight="1" x14ac:dyDescent="0.2">
      <c r="C25" s="1320"/>
      <c r="D25" s="1320"/>
    </row>
    <row r="26" spans="2:16" ht="18" customHeight="1" x14ac:dyDescent="0.2">
      <c r="C26" s="1320"/>
      <c r="D26" s="1320"/>
    </row>
    <row r="27" spans="2:16" ht="18" customHeight="1" x14ac:dyDescent="0.2">
      <c r="C27" s="1320"/>
      <c r="D27" s="1320"/>
    </row>
    <row r="28" spans="2:16" ht="18" customHeight="1" x14ac:dyDescent="0.2">
      <c r="C28" s="1320"/>
      <c r="D28" s="1320"/>
    </row>
  </sheetData>
  <mergeCells count="10">
    <mergeCell ref="F2:G2"/>
    <mergeCell ref="B3:B4"/>
    <mergeCell ref="C3:C4"/>
    <mergeCell ref="D3:D4"/>
    <mergeCell ref="E3:F3"/>
    <mergeCell ref="J3:J4"/>
    <mergeCell ref="B5:B10"/>
    <mergeCell ref="B11:B15"/>
    <mergeCell ref="B16:B20"/>
    <mergeCell ref="C24:D28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21</vt:i4>
      </vt:variant>
    </vt:vector>
  </HeadingPairs>
  <TitlesOfParts>
    <vt:vector size="45" baseType="lpstr">
      <vt:lpstr>１　対象経営の概要，２　前提条件</vt:lpstr>
      <vt:lpstr>３－１　水稲（早期コシヒカリ）標準技術</vt:lpstr>
      <vt:lpstr>３－２　水稲（恋の予感）標準技術</vt:lpstr>
      <vt:lpstr>３－３　水稲（加工米，恋の予感）標準技術</vt:lpstr>
      <vt:lpstr>３－４　イチジク標準技術</vt:lpstr>
      <vt:lpstr>４　経営収支</vt:lpstr>
      <vt:lpstr>５－１　水稲（早期コシヒカリ）作業時間</vt:lpstr>
      <vt:lpstr>５－２　水稲（恋の予感）作業時間</vt:lpstr>
      <vt:lpstr>５－３　水稲（加工用米，恋の予感）作業時間</vt:lpstr>
      <vt:lpstr>５－4　イチジク作業時間</vt:lpstr>
      <vt:lpstr>６　固定資本装備と減価償却費</vt:lpstr>
      <vt:lpstr>７－１　水稲部門（早期コシヒカリ）収支</vt:lpstr>
      <vt:lpstr>７－２　水稲部門（恋の予感）収支 </vt:lpstr>
      <vt:lpstr>７－３　水稲部門（加工用，恋の予感）収支</vt:lpstr>
      <vt:lpstr>７－4　イチジク部門収支</vt:lpstr>
      <vt:lpstr>８－１　水稲算出基礎（早期コシヒカリ）</vt:lpstr>
      <vt:lpstr>８－２　水稲算出基礎（恋の予感） </vt:lpstr>
      <vt:lpstr>８－３　水稲算出基礎（加工用米，恋の予感）</vt:lpstr>
      <vt:lpstr>８－4　イチジク算出基礎</vt:lpstr>
      <vt:lpstr>イチジク肥料</vt:lpstr>
      <vt:lpstr>イチジク農薬</vt:lpstr>
      <vt:lpstr>９　イチジク単価算出基礎</vt:lpstr>
      <vt:lpstr>（参考）水稲資本装備</vt:lpstr>
      <vt:lpstr>（参考）イチジク資本装備</vt:lpstr>
      <vt:lpstr>'（参考）イチジク資本装備'!Print_Area</vt:lpstr>
      <vt:lpstr>'（参考）水稲資本装備'!Print_Area</vt:lpstr>
      <vt:lpstr>'１　対象経営の概要，２　前提条件'!Print_Area</vt:lpstr>
      <vt:lpstr>'３－１　水稲（早期コシヒカリ）標準技術'!Print_Area</vt:lpstr>
      <vt:lpstr>'３－２　水稲（恋の予感）標準技術'!Print_Area</vt:lpstr>
      <vt:lpstr>'３－３　水稲（加工米，恋の予感）標準技術'!Print_Area</vt:lpstr>
      <vt:lpstr>'４　経営収支'!Print_Area</vt:lpstr>
      <vt:lpstr>'５－１　水稲（早期コシヒカリ）作業時間'!Print_Area</vt:lpstr>
      <vt:lpstr>'５－２　水稲（恋の予感）作業時間'!Print_Area</vt:lpstr>
      <vt:lpstr>'５－３　水稲（加工用米，恋の予感）作業時間'!Print_Area</vt:lpstr>
      <vt:lpstr>'５－4　イチジク作業時間'!Print_Area</vt:lpstr>
      <vt:lpstr>'６　固定資本装備と減価償却費'!Print_Area</vt:lpstr>
      <vt:lpstr>'７－１　水稲部門（早期コシヒカリ）収支'!Print_Area</vt:lpstr>
      <vt:lpstr>'７－２　水稲部門（恋の予感）収支 '!Print_Area</vt:lpstr>
      <vt:lpstr>'７－３　水稲部門（加工用，恋の予感）収支'!Print_Area</vt:lpstr>
      <vt:lpstr>'７－4　イチジク部門収支'!Print_Area</vt:lpstr>
      <vt:lpstr>'８－１　水稲算出基礎（早期コシヒカリ）'!Print_Area</vt:lpstr>
      <vt:lpstr>'８－２　水稲算出基礎（恋の予感） '!Print_Area</vt:lpstr>
      <vt:lpstr>'８－３　水稲算出基礎（加工用米，恋の予感）'!Print_Area</vt:lpstr>
      <vt:lpstr>イチジク農薬!Print_Area</vt:lpstr>
      <vt:lpstr>イチジク肥料!Print_Area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2015-02-18T00:01:20Z</cp:lastPrinted>
  <dcterms:created xsi:type="dcterms:W3CDTF">2005-02-26T02:20:11Z</dcterms:created>
  <dcterms:modified xsi:type="dcterms:W3CDTF">2022-06-30T00:06:36Z</dcterms:modified>
</cp:coreProperties>
</file>