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80農林水産局\060農業技術課\485_R3経営技術グループ\1110経営指標\01水稲（220302時点）\"/>
    </mc:Choice>
  </mc:AlternateContent>
  <bookViews>
    <workbookView xWindow="0" yWindow="0" windowWidth="22605" windowHeight="12105" tabRatio="930"/>
  </bookViews>
  <sheets>
    <sheet name="１　対象経営の概要，２　前提条件" sheetId="19" r:id="rId1"/>
    <sheet name="３－１　水稲（こいもみじ）標準技術" sheetId="24" r:id="rId2"/>
    <sheet name="３－２　水稲（コシヒカリ）標準技術" sheetId="54" r:id="rId3"/>
    <sheet name="３－３　水稲（あきろまん）標準技術" sheetId="55" r:id="rId4"/>
    <sheet name="３－４　標準技術　大豆" sheetId="64" r:id="rId5"/>
    <sheet name="３－５　標準技術　麦" sheetId="65" r:id="rId6"/>
    <sheet name="４　経営収支" sheetId="22" r:id="rId7"/>
    <sheet name="５－１　水稲（こいもみじ）作業時間" sheetId="27" r:id="rId8"/>
    <sheet name="５－２　水稲（コシヒカリ）作業時間" sheetId="28" r:id="rId9"/>
    <sheet name="５－３　水稲（あきろまん）作業時間" sheetId="66" r:id="rId10"/>
    <sheet name="５－４　大豆作業時間" sheetId="44" r:id="rId11"/>
    <sheet name="５－５　麦作業時間" sheetId="29" r:id="rId12"/>
    <sheet name="６　固定資本装備と減価償却費" sheetId="23" r:id="rId13"/>
    <sheet name="６（参考）水稲資本装備" sheetId="30" r:id="rId14"/>
    <sheet name="６（参考）大豆資本装備" sheetId="33" r:id="rId15"/>
    <sheet name="６（参考）麦資本装備" sheetId="34" r:id="rId16"/>
    <sheet name="７－１　水稲部門（こいもみじ）収支" sheetId="35" r:id="rId17"/>
    <sheet name="７－２　水稲部門（コシヒカリ）収支 " sheetId="45" r:id="rId18"/>
    <sheet name="７－３　水稲部門（あきろまん）収支" sheetId="37" r:id="rId19"/>
    <sheet name="７－４　大豆部門収支" sheetId="49" r:id="rId20"/>
    <sheet name="７－５　麦部門収支 " sheetId="48" r:id="rId21"/>
    <sheet name="８－１　水稲算出基礎（こいもみじ）" sheetId="36" r:id="rId22"/>
    <sheet name="８－２　水稲算出基礎（コシヒカリ） " sheetId="59" r:id="rId23"/>
    <sheet name="８－３　水稲算出基礎（あきろまん）" sheetId="60" r:id="rId24"/>
    <sheet name="８－４　大豆算出基礎" sheetId="38" r:id="rId25"/>
    <sheet name="８－５　麦算出基礎" sheetId="40" r:id="rId26"/>
  </sheets>
  <definedNames>
    <definedName name="_1__123Graph_Aｸﾞﾗﾌ_1" localSheetId="22" hidden="1">#REF!</definedName>
    <definedName name="_1__123Graph_Aｸﾞﾗﾌ_1" localSheetId="23" hidden="1">#REF!</definedName>
    <definedName name="_1__123Graph_Aｸﾞﾗﾌ_1" hidden="1">#REF!</definedName>
    <definedName name="_2__123Graph_Bｸﾞﾗﾌ_1" localSheetId="22" hidden="1">#REF!</definedName>
    <definedName name="_2__123Graph_Bｸﾞﾗﾌ_1" localSheetId="23" hidden="1">#REF!</definedName>
    <definedName name="_2__123Graph_Bｸﾞﾗﾌ_1" hidden="1">#REF!</definedName>
    <definedName name="_3__123Graph_Cｸﾞﾗﾌ_1" localSheetId="22" hidden="1">#REF!</definedName>
    <definedName name="_3__123Graph_Cｸﾞﾗﾌ_1" localSheetId="23" hidden="1">#REF!</definedName>
    <definedName name="_3__123Graph_Cｸﾞﾗﾌ_1" hidden="1">#REF!</definedName>
    <definedName name="_4__123Graph_Dｸﾞﾗﾌ_1" localSheetId="22" hidden="1">#REF!</definedName>
    <definedName name="_4__123Graph_Dｸﾞﾗﾌ_1" localSheetId="23" hidden="1">#REF!</definedName>
    <definedName name="_4__123Graph_Dｸﾞﾗﾌ_1" hidden="1">#REF!</definedName>
    <definedName name="_5__123Graph_Eｸﾞﾗﾌ_1" localSheetId="22" hidden="1">#REF!</definedName>
    <definedName name="_5__123Graph_Eｸﾞﾗﾌ_1" localSheetId="23" hidden="1">#REF!</definedName>
    <definedName name="_5__123Graph_Eｸﾞﾗﾌ_1" hidden="1">#REF!</definedName>
    <definedName name="_6__123Graph_Fｸﾞﾗﾌ_1" localSheetId="22" hidden="1">#REF!</definedName>
    <definedName name="_6__123Graph_Fｸﾞﾗﾌ_1" localSheetId="23" hidden="1">#REF!</definedName>
    <definedName name="_6__123Graph_Fｸﾞﾗﾌ_1" hidden="1">#REF!</definedName>
    <definedName name="_a1" localSheetId="2" hidden="1">#REF!</definedName>
    <definedName name="_a1" localSheetId="3" hidden="1">#REF!</definedName>
    <definedName name="_a1" localSheetId="10" hidden="1">#REF!</definedName>
    <definedName name="_a1" localSheetId="17" hidden="1">#REF!</definedName>
    <definedName name="_a1" localSheetId="19" hidden="1">#REF!</definedName>
    <definedName name="_a1" localSheetId="20" hidden="1">#REF!</definedName>
    <definedName name="_a1" localSheetId="22" hidden="1">#REF!</definedName>
    <definedName name="_a1" localSheetId="23" hidden="1">#REF!</definedName>
    <definedName name="_a1" hidden="1">#REF!</definedName>
    <definedName name="_a2" localSheetId="2" hidden="1">#REF!</definedName>
    <definedName name="_a2" localSheetId="3" hidden="1">#REF!</definedName>
    <definedName name="_a2" localSheetId="10" hidden="1">#REF!</definedName>
    <definedName name="_a2" localSheetId="17" hidden="1">#REF!</definedName>
    <definedName name="_a2" localSheetId="19" hidden="1">#REF!</definedName>
    <definedName name="_a2" localSheetId="20" hidden="1">#REF!</definedName>
    <definedName name="_a2" localSheetId="22" hidden="1">#REF!</definedName>
    <definedName name="_a2" localSheetId="23" hidden="1">#REF!</definedName>
    <definedName name="_a2" hidden="1">#REF!</definedName>
    <definedName name="_a3" localSheetId="2" hidden="1">#REF!</definedName>
    <definedName name="_a3" localSheetId="3" hidden="1">#REF!</definedName>
    <definedName name="_a3" localSheetId="10" hidden="1">#REF!</definedName>
    <definedName name="_a3" localSheetId="17" hidden="1">#REF!</definedName>
    <definedName name="_a3" localSheetId="19" hidden="1">#REF!</definedName>
    <definedName name="_a3" localSheetId="20" hidden="1">#REF!</definedName>
    <definedName name="_a3" localSheetId="22" hidden="1">#REF!</definedName>
    <definedName name="_a3" localSheetId="23" hidden="1">#REF!</definedName>
    <definedName name="_a3" hidden="1">#REF!</definedName>
    <definedName name="_a4" localSheetId="2" hidden="1">#REF!</definedName>
    <definedName name="_a4" localSheetId="3" hidden="1">#REF!</definedName>
    <definedName name="_a4" localSheetId="10" hidden="1">#REF!</definedName>
    <definedName name="_a4" localSheetId="17" hidden="1">#REF!</definedName>
    <definedName name="_a4" localSheetId="19" hidden="1">#REF!</definedName>
    <definedName name="_a4" localSheetId="20" hidden="1">#REF!</definedName>
    <definedName name="_a4" localSheetId="22" hidden="1">#REF!</definedName>
    <definedName name="_a4" localSheetId="23" hidden="1">#REF!</definedName>
    <definedName name="_a4" hidden="1">#REF!</definedName>
    <definedName name="_a5" localSheetId="2" hidden="1">#REF!</definedName>
    <definedName name="_a5" localSheetId="3" hidden="1">#REF!</definedName>
    <definedName name="_a5" localSheetId="10" hidden="1">#REF!</definedName>
    <definedName name="_a5" localSheetId="17" hidden="1">#REF!</definedName>
    <definedName name="_a5" localSheetId="19" hidden="1">#REF!</definedName>
    <definedName name="_a5" localSheetId="20" hidden="1">#REF!</definedName>
    <definedName name="_a5" localSheetId="22" hidden="1">#REF!</definedName>
    <definedName name="_a5" localSheetId="23" hidden="1">#REF!</definedName>
    <definedName name="_a5" hidden="1">#REF!</definedName>
    <definedName name="_a6" localSheetId="2" hidden="1">#REF!</definedName>
    <definedName name="_a6" localSheetId="3" hidden="1">#REF!</definedName>
    <definedName name="_a6" localSheetId="10" hidden="1">#REF!</definedName>
    <definedName name="_a6" localSheetId="17" hidden="1">#REF!</definedName>
    <definedName name="_a6" localSheetId="19" hidden="1">#REF!</definedName>
    <definedName name="_a6" localSheetId="20" hidden="1">#REF!</definedName>
    <definedName name="_a6" localSheetId="22" hidden="1">#REF!</definedName>
    <definedName name="_a6" localSheetId="23" hidden="1">#REF!</definedName>
    <definedName name="_a6" hidden="1">#REF!</definedName>
    <definedName name="_a7" localSheetId="2" hidden="1">#REF!</definedName>
    <definedName name="_a7" localSheetId="3" hidden="1">#REF!</definedName>
    <definedName name="_a7" localSheetId="10" hidden="1">#REF!</definedName>
    <definedName name="_a7" localSheetId="17" hidden="1">#REF!</definedName>
    <definedName name="_a7" localSheetId="19" hidden="1">#REF!</definedName>
    <definedName name="_a7" localSheetId="20" hidden="1">#REF!</definedName>
    <definedName name="_a7" localSheetId="22" hidden="1">#REF!</definedName>
    <definedName name="_a7" localSheetId="23" hidden="1">#REF!</definedName>
    <definedName name="_a7" hidden="1">#REF!</definedName>
    <definedName name="aaa" localSheetId="2" hidden="1">#REF!</definedName>
    <definedName name="aaa" localSheetId="3" hidden="1">#REF!</definedName>
    <definedName name="aaa" localSheetId="10" hidden="1">#REF!</definedName>
    <definedName name="aaa" localSheetId="17" hidden="1">#REF!</definedName>
    <definedName name="aaa" localSheetId="19" hidden="1">#REF!</definedName>
    <definedName name="aaa" localSheetId="20" hidden="1">#REF!</definedName>
    <definedName name="aaa" localSheetId="22" hidden="1">#REF!</definedName>
    <definedName name="aaa" localSheetId="23" hidden="1">#REF!</definedName>
    <definedName name="aaa" hidden="1">#REF!</definedName>
    <definedName name="bbb" localSheetId="2" hidden="1">#REF!</definedName>
    <definedName name="bbb" localSheetId="3" hidden="1">#REF!</definedName>
    <definedName name="bbb" localSheetId="10" hidden="1">#REF!</definedName>
    <definedName name="bbb" localSheetId="17" hidden="1">#REF!</definedName>
    <definedName name="bbb" localSheetId="19" hidden="1">#REF!</definedName>
    <definedName name="bbb" localSheetId="20" hidden="1">#REF!</definedName>
    <definedName name="bbb" localSheetId="22" hidden="1">#REF!</definedName>
    <definedName name="bbb" localSheetId="23" hidden="1">#REF!</definedName>
    <definedName name="bbb" hidden="1">#REF!</definedName>
    <definedName name="ccc" localSheetId="2" hidden="1">#REF!</definedName>
    <definedName name="ccc" localSheetId="3" hidden="1">#REF!</definedName>
    <definedName name="ccc" localSheetId="10" hidden="1">#REF!</definedName>
    <definedName name="ccc" localSheetId="17" hidden="1">#REF!</definedName>
    <definedName name="ccc" localSheetId="19" hidden="1">#REF!</definedName>
    <definedName name="ccc" localSheetId="20" hidden="1">#REF!</definedName>
    <definedName name="ccc" localSheetId="22" hidden="1">#REF!</definedName>
    <definedName name="ccc" localSheetId="23" hidden="1">#REF!</definedName>
    <definedName name="ccc" hidden="1">#REF!</definedName>
    <definedName name="ddd" localSheetId="2" hidden="1">#REF!</definedName>
    <definedName name="ddd" localSheetId="3" hidden="1">#REF!</definedName>
    <definedName name="ddd" localSheetId="10" hidden="1">#REF!</definedName>
    <definedName name="ddd" localSheetId="17" hidden="1">#REF!</definedName>
    <definedName name="ddd" localSheetId="19" hidden="1">#REF!</definedName>
    <definedName name="ddd" localSheetId="20" hidden="1">#REF!</definedName>
    <definedName name="ddd" localSheetId="22" hidden="1">#REF!</definedName>
    <definedName name="ddd" localSheetId="23" hidden="1">#REF!</definedName>
    <definedName name="ddd" hidden="1">#REF!</definedName>
    <definedName name="eee" localSheetId="2" hidden="1">#REF!</definedName>
    <definedName name="eee" localSheetId="3" hidden="1">#REF!</definedName>
    <definedName name="eee" localSheetId="10" hidden="1">#REF!</definedName>
    <definedName name="eee" localSheetId="17" hidden="1">#REF!</definedName>
    <definedName name="eee" localSheetId="19" hidden="1">#REF!</definedName>
    <definedName name="eee" localSheetId="20" hidden="1">#REF!</definedName>
    <definedName name="eee" localSheetId="22" hidden="1">#REF!</definedName>
    <definedName name="eee" localSheetId="23" hidden="1">#REF!</definedName>
    <definedName name="eee" hidden="1">#REF!</definedName>
    <definedName name="fff" localSheetId="2" hidden="1">#REF!</definedName>
    <definedName name="fff" localSheetId="3" hidden="1">#REF!</definedName>
    <definedName name="fff" localSheetId="10" hidden="1">#REF!</definedName>
    <definedName name="fff" localSheetId="17" hidden="1">#REF!</definedName>
    <definedName name="fff" localSheetId="19" hidden="1">#REF!</definedName>
    <definedName name="fff" localSheetId="20" hidden="1">#REF!</definedName>
    <definedName name="fff" localSheetId="22" hidden="1">#REF!</definedName>
    <definedName name="fff" localSheetId="23" hidden="1">#REF!</definedName>
    <definedName name="fff" hidden="1">#REF!</definedName>
    <definedName name="ggg" localSheetId="2" hidden="1">#REF!</definedName>
    <definedName name="ggg" localSheetId="3" hidden="1">#REF!</definedName>
    <definedName name="ggg" localSheetId="10" hidden="1">#REF!</definedName>
    <definedName name="ggg" localSheetId="17" hidden="1">#REF!</definedName>
    <definedName name="ggg" localSheetId="19" hidden="1">#REF!</definedName>
    <definedName name="ggg" localSheetId="20" hidden="1">#REF!</definedName>
    <definedName name="ggg" localSheetId="22" hidden="1">#REF!</definedName>
    <definedName name="ggg" localSheetId="23" hidden="1">#REF!</definedName>
    <definedName name="ggg" hidden="1">#REF!</definedName>
    <definedName name="hhh" localSheetId="2" hidden="1">#REF!</definedName>
    <definedName name="hhh" localSheetId="3" hidden="1">#REF!</definedName>
    <definedName name="hhh" localSheetId="10" hidden="1">#REF!</definedName>
    <definedName name="hhh" localSheetId="17" hidden="1">#REF!</definedName>
    <definedName name="hhh" localSheetId="19" hidden="1">#REF!</definedName>
    <definedName name="hhh" localSheetId="20" hidden="1">#REF!</definedName>
    <definedName name="hhh" localSheetId="22" hidden="1">#REF!</definedName>
    <definedName name="hhh" localSheetId="23" hidden="1">#REF!</definedName>
    <definedName name="hhh" hidden="1">#REF!</definedName>
    <definedName name="_xlnm.Print_Area" localSheetId="7">'５－１　水稲（こいもみじ）作業時間'!$A$1:$AM$34</definedName>
    <definedName name="_xlnm.Print_Area" localSheetId="8">'５－２　水稲（コシヒカリ）作業時間'!$A$1:$AM$34</definedName>
    <definedName name="_xlnm.Print_Area" localSheetId="10">'５－４　大豆作業時間'!$A$1:$AM$26</definedName>
    <definedName name="_xlnm.Print_Area" localSheetId="11">'５－５　麦作業時間'!$A$1:$AM$35</definedName>
    <definedName name="_xlnm.Print_Area" localSheetId="12">'６　固定資本装備と減価償却費'!$1:$88</definedName>
    <definedName name="_xlnm.Print_Area" localSheetId="13">'６（参考）水稲資本装備'!$B$2:$P$57</definedName>
    <definedName name="_xlnm.Print_Area" localSheetId="14">'６（参考）大豆資本装備'!$B$2:$P$64</definedName>
    <definedName name="_xlnm.Print_Area" localSheetId="15">'６（参考）麦資本装備'!$B$2:$P$64</definedName>
    <definedName name="_xlnm.Print_Area" localSheetId="16">'７－１　水稲部門（こいもみじ）収支'!$A$1:$S$45</definedName>
    <definedName name="_xlnm.Print_Area" localSheetId="17">'７－２　水稲部門（コシヒカリ）収支 '!$A$1:$S$45</definedName>
    <definedName name="_xlnm.Print_Area" localSheetId="18">'７－３　水稲部門（あきろまん）収支'!$A$1:$S$45</definedName>
    <definedName name="_xlnm.Print_Area" localSheetId="19">'７－４　大豆部門収支'!$A$1:$S$45</definedName>
    <definedName name="_xlnm.Print_Area" localSheetId="20">'７－５　麦部門収支 '!$A$2:$S$47</definedName>
    <definedName name="simizu" localSheetId="2" hidden="1">#REF!</definedName>
    <definedName name="simizu" localSheetId="3" hidden="1">#REF!</definedName>
    <definedName name="simizu" localSheetId="10" hidden="1">#REF!</definedName>
    <definedName name="simizu" localSheetId="17" hidden="1">#REF!</definedName>
    <definedName name="simizu" localSheetId="19" hidden="1">#REF!</definedName>
    <definedName name="simizu" localSheetId="20" hidden="1">#REF!</definedName>
    <definedName name="simizu" localSheetId="22" hidden="1">#REF!</definedName>
    <definedName name="simizu" localSheetId="23" hidden="1">#REF!</definedName>
    <definedName name="simizu" hidden="1">#REF!</definedName>
    <definedName name="新" localSheetId="2" hidden="1">#REF!</definedName>
    <definedName name="新" localSheetId="3" hidden="1">#REF!</definedName>
    <definedName name="新" localSheetId="22" hidden="1">#REF!</definedName>
    <definedName name="新" localSheetId="23" hidden="1">#REF!</definedName>
    <definedName name="新" hidden="1">#REF!</definedName>
  </definedNames>
  <calcPr calcId="152511"/>
</workbook>
</file>

<file path=xl/calcChain.xml><?xml version="1.0" encoding="utf-8"?>
<calcChain xmlns="http://schemas.openxmlformats.org/spreadsheetml/2006/main">
  <c r="P88" i="23" l="1"/>
  <c r="P87" i="23"/>
  <c r="L88" i="23"/>
  <c r="L87" i="23"/>
  <c r="I88" i="23"/>
  <c r="G88" i="23"/>
  <c r="K69" i="23"/>
  <c r="K22" i="23"/>
  <c r="K79" i="23"/>
  <c r="K81" i="23"/>
  <c r="K80" i="23"/>
  <c r="K78" i="23"/>
  <c r="K71" i="23"/>
  <c r="K68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31" i="23"/>
  <c r="K30" i="23"/>
  <c r="K29" i="23"/>
  <c r="K28" i="23"/>
  <c r="K27" i="23"/>
  <c r="K26" i="23"/>
  <c r="K25" i="23"/>
  <c r="K34" i="23"/>
  <c r="K37" i="23"/>
  <c r="K40" i="23"/>
  <c r="K43" i="23"/>
  <c r="K46" i="23"/>
  <c r="K49" i="23"/>
  <c r="K72" i="23"/>
  <c r="K74" i="23"/>
  <c r="K75" i="23"/>
  <c r="K77" i="23"/>
  <c r="K19" i="23"/>
  <c r="K18" i="23"/>
  <c r="K16" i="23"/>
  <c r="K15" i="23"/>
  <c r="K14" i="23"/>
  <c r="K13" i="23" l="1"/>
  <c r="K11" i="23"/>
  <c r="K10" i="23"/>
  <c r="K9" i="23"/>
  <c r="K8" i="23"/>
  <c r="K7" i="23"/>
  <c r="K6" i="23"/>
  <c r="K5" i="23"/>
  <c r="G57" i="38" l="1"/>
  <c r="N54" i="38"/>
  <c r="V52" i="38"/>
  <c r="N52" i="38"/>
  <c r="V51" i="38"/>
  <c r="V56" i="38" s="1"/>
  <c r="N51" i="38"/>
  <c r="G51" i="38"/>
  <c r="G50" i="38"/>
  <c r="G49" i="38"/>
  <c r="N47" i="38"/>
  <c r="N50" i="38" s="1"/>
  <c r="G47" i="38"/>
  <c r="V46" i="38"/>
  <c r="G46" i="38"/>
  <c r="V45" i="38"/>
  <c r="G45" i="38"/>
  <c r="V44" i="38"/>
  <c r="G44" i="38"/>
  <c r="N43" i="38"/>
  <c r="N46" i="38" s="1"/>
  <c r="G43" i="38"/>
  <c r="G42" i="38"/>
  <c r="G41" i="38"/>
  <c r="G40" i="38"/>
  <c r="G39" i="38"/>
  <c r="G37" i="38"/>
  <c r="N36" i="38"/>
  <c r="G36" i="38"/>
  <c r="N35" i="38"/>
  <c r="G35" i="38"/>
  <c r="G34" i="38"/>
  <c r="G33" i="38"/>
  <c r="G32" i="38"/>
  <c r="L31" i="38"/>
  <c r="K31" i="38"/>
  <c r="G31" i="38"/>
  <c r="N30" i="38"/>
  <c r="G30" i="38"/>
  <c r="N29" i="38"/>
  <c r="G29" i="38"/>
  <c r="N28" i="38"/>
  <c r="N31" i="38" s="1"/>
  <c r="G28" i="38"/>
  <c r="L27" i="38"/>
  <c r="K27" i="38"/>
  <c r="N26" i="38"/>
  <c r="N25" i="38"/>
  <c r="V24" i="38"/>
  <c r="V34" i="38" s="1"/>
  <c r="N24" i="38"/>
  <c r="L23" i="38"/>
  <c r="K23" i="38"/>
  <c r="G23" i="38"/>
  <c r="N22" i="38"/>
  <c r="G22" i="38"/>
  <c r="N21" i="38"/>
  <c r="G21" i="38"/>
  <c r="G24" i="38" s="1"/>
  <c r="V20" i="38"/>
  <c r="N20" i="38"/>
  <c r="N23" i="38" s="1"/>
  <c r="L19" i="38"/>
  <c r="K19" i="38"/>
  <c r="G19" i="38"/>
  <c r="N18" i="38"/>
  <c r="G18" i="38"/>
  <c r="N17" i="38"/>
  <c r="G17" i="38"/>
  <c r="N16" i="38"/>
  <c r="N19" i="38" s="1"/>
  <c r="N15" i="38"/>
  <c r="L15" i="38"/>
  <c r="K15" i="38"/>
  <c r="G15" i="38"/>
  <c r="N14" i="38"/>
  <c r="G14" i="38"/>
  <c r="N13" i="38"/>
  <c r="G13" i="38"/>
  <c r="G12" i="38"/>
  <c r="L11" i="38"/>
  <c r="K11" i="38"/>
  <c r="N10" i="38"/>
  <c r="G10" i="38"/>
  <c r="N9" i="38"/>
  <c r="G9" i="38"/>
  <c r="N8" i="38"/>
  <c r="N11" i="38" s="1"/>
  <c r="G8" i="38"/>
  <c r="N7" i="38"/>
  <c r="N6" i="38"/>
  <c r="G6" i="38"/>
  <c r="G5" i="38"/>
  <c r="G7" i="38" s="1"/>
  <c r="G56" i="60"/>
  <c r="F55" i="60"/>
  <c r="G55" i="60" s="1"/>
  <c r="N54" i="60"/>
  <c r="F54" i="60"/>
  <c r="D54" i="60"/>
  <c r="N53" i="60"/>
  <c r="V52" i="60"/>
  <c r="N52" i="60"/>
  <c r="G52" i="60"/>
  <c r="V51" i="60"/>
  <c r="V56" i="60" s="1"/>
  <c r="N51" i="60"/>
  <c r="G51" i="60"/>
  <c r="F50" i="60"/>
  <c r="G50" i="60" s="1"/>
  <c r="G53" i="60" s="1"/>
  <c r="G48" i="60"/>
  <c r="N47" i="60"/>
  <c r="N50" i="60" s="1"/>
  <c r="G47" i="60"/>
  <c r="V46" i="60"/>
  <c r="G46" i="60"/>
  <c r="V45" i="60"/>
  <c r="G45" i="60"/>
  <c r="V44" i="60"/>
  <c r="G44" i="60"/>
  <c r="N43" i="60"/>
  <c r="N46" i="60" s="1"/>
  <c r="G43" i="60"/>
  <c r="G42" i="60"/>
  <c r="G41" i="60"/>
  <c r="F40" i="60"/>
  <c r="G40" i="60" s="1"/>
  <c r="F39" i="60"/>
  <c r="G39" i="60" s="1"/>
  <c r="N38" i="60"/>
  <c r="N37" i="60"/>
  <c r="G37" i="60"/>
  <c r="N36" i="60"/>
  <c r="G36" i="60"/>
  <c r="G35" i="60"/>
  <c r="V34" i="60"/>
  <c r="G34" i="60"/>
  <c r="G33" i="60"/>
  <c r="L32" i="60"/>
  <c r="K32" i="60"/>
  <c r="G32" i="60"/>
  <c r="N31" i="60"/>
  <c r="N30" i="60"/>
  <c r="G30" i="60"/>
  <c r="F30" i="60"/>
  <c r="N29" i="60"/>
  <c r="F29" i="60"/>
  <c r="G29" i="60" s="1"/>
  <c r="L28" i="60"/>
  <c r="K28" i="60"/>
  <c r="G28" i="60"/>
  <c r="F28" i="60"/>
  <c r="N27" i="60"/>
  <c r="N26" i="60"/>
  <c r="V25" i="60"/>
  <c r="N25" i="60"/>
  <c r="N28" i="60" s="1"/>
  <c r="L24" i="60"/>
  <c r="K24" i="60"/>
  <c r="N23" i="60"/>
  <c r="G23" i="60"/>
  <c r="N22" i="60"/>
  <c r="G22" i="60"/>
  <c r="V21" i="60"/>
  <c r="N21" i="60"/>
  <c r="F21" i="60"/>
  <c r="D21" i="60"/>
  <c r="G21" i="60" s="1"/>
  <c r="G24" i="60" s="1"/>
  <c r="L20" i="60"/>
  <c r="K20" i="60"/>
  <c r="N19" i="60"/>
  <c r="G19" i="60"/>
  <c r="N18" i="60"/>
  <c r="G18" i="60"/>
  <c r="N17" i="60"/>
  <c r="G17" i="60"/>
  <c r="L16" i="60"/>
  <c r="K16" i="60"/>
  <c r="N15" i="60"/>
  <c r="G15" i="60"/>
  <c r="N14" i="60"/>
  <c r="G14" i="60"/>
  <c r="N13" i="60"/>
  <c r="G13" i="60"/>
  <c r="L12" i="60"/>
  <c r="K12" i="60"/>
  <c r="F12" i="60"/>
  <c r="G12" i="60" s="1"/>
  <c r="N11" i="60"/>
  <c r="G10" i="60"/>
  <c r="N9" i="60"/>
  <c r="G9" i="60"/>
  <c r="N8" i="60"/>
  <c r="G8" i="60"/>
  <c r="G11" i="60" s="1"/>
  <c r="L7" i="60"/>
  <c r="N7" i="60" s="1"/>
  <c r="N12" i="60" s="1"/>
  <c r="N6" i="60"/>
  <c r="G6" i="60"/>
  <c r="G5" i="60"/>
  <c r="G56" i="59"/>
  <c r="F55" i="59"/>
  <c r="G55" i="59" s="1"/>
  <c r="N54" i="59"/>
  <c r="F54" i="59"/>
  <c r="D54" i="59"/>
  <c r="G54" i="59" s="1"/>
  <c r="N53" i="59"/>
  <c r="V52" i="59"/>
  <c r="N52" i="59"/>
  <c r="G52" i="59"/>
  <c r="V51" i="59"/>
  <c r="V56" i="59" s="1"/>
  <c r="N51" i="59"/>
  <c r="N56" i="59" s="1"/>
  <c r="G51" i="59"/>
  <c r="F50" i="59"/>
  <c r="G50" i="59" s="1"/>
  <c r="G53" i="59" s="1"/>
  <c r="G48" i="59"/>
  <c r="N47" i="59"/>
  <c r="N50" i="59" s="1"/>
  <c r="G47" i="59"/>
  <c r="V46" i="59"/>
  <c r="G46" i="59"/>
  <c r="V45" i="59"/>
  <c r="V44" i="59"/>
  <c r="N43" i="59"/>
  <c r="N46" i="59" s="1"/>
  <c r="G42" i="59"/>
  <c r="G41" i="59"/>
  <c r="F40" i="59"/>
  <c r="G40" i="59" s="1"/>
  <c r="F39" i="59"/>
  <c r="G39" i="59" s="1"/>
  <c r="N38" i="59"/>
  <c r="N37" i="59"/>
  <c r="G37" i="59"/>
  <c r="N36" i="59"/>
  <c r="G36" i="59"/>
  <c r="G35" i="59"/>
  <c r="G34" i="59"/>
  <c r="G33" i="59"/>
  <c r="L32" i="59"/>
  <c r="K32" i="59"/>
  <c r="G32" i="59"/>
  <c r="N31" i="59"/>
  <c r="N30" i="59"/>
  <c r="F30" i="59"/>
  <c r="G30" i="59" s="1"/>
  <c r="N29" i="59"/>
  <c r="F29" i="59"/>
  <c r="G29" i="59" s="1"/>
  <c r="L28" i="59"/>
  <c r="K28" i="59"/>
  <c r="F28" i="59"/>
  <c r="G28" i="59" s="1"/>
  <c r="N27" i="59"/>
  <c r="N26" i="59"/>
  <c r="V25" i="59"/>
  <c r="V34" i="59" s="1"/>
  <c r="N25" i="59"/>
  <c r="L24" i="59"/>
  <c r="K24" i="59"/>
  <c r="N23" i="59"/>
  <c r="G23" i="59"/>
  <c r="N22" i="59"/>
  <c r="G22" i="59"/>
  <c r="V21" i="59"/>
  <c r="N21" i="59"/>
  <c r="F21" i="59"/>
  <c r="D21" i="59"/>
  <c r="G21" i="59" s="1"/>
  <c r="G24" i="59" s="1"/>
  <c r="N20" i="59"/>
  <c r="L20" i="59"/>
  <c r="K20" i="59"/>
  <c r="N19" i="59"/>
  <c r="G19" i="59"/>
  <c r="N18" i="59"/>
  <c r="G18" i="59"/>
  <c r="N17" i="59"/>
  <c r="G17" i="59"/>
  <c r="G20" i="59" s="1"/>
  <c r="L16" i="59"/>
  <c r="K16" i="59"/>
  <c r="N15" i="59"/>
  <c r="G15" i="59"/>
  <c r="N14" i="59"/>
  <c r="G14" i="59"/>
  <c r="N13" i="59"/>
  <c r="N16" i="59" s="1"/>
  <c r="G13" i="59"/>
  <c r="K12" i="59"/>
  <c r="F12" i="59"/>
  <c r="G12" i="59" s="1"/>
  <c r="N11" i="59"/>
  <c r="G10" i="59"/>
  <c r="N9" i="59"/>
  <c r="G9" i="59"/>
  <c r="N8" i="59"/>
  <c r="G8" i="59"/>
  <c r="G11" i="59" s="1"/>
  <c r="L7" i="59"/>
  <c r="N7" i="59" s="1"/>
  <c r="N6" i="59"/>
  <c r="G6" i="59"/>
  <c r="G5" i="59"/>
  <c r="G7" i="59" s="1"/>
  <c r="G56" i="36"/>
  <c r="F55" i="36"/>
  <c r="G55" i="36" s="1"/>
  <c r="N54" i="36"/>
  <c r="F54" i="36"/>
  <c r="D54" i="36"/>
  <c r="N53" i="36"/>
  <c r="V52" i="36"/>
  <c r="N52" i="36"/>
  <c r="G52" i="36"/>
  <c r="V51" i="36"/>
  <c r="V56" i="36" s="1"/>
  <c r="N51" i="36"/>
  <c r="G51" i="36"/>
  <c r="F50" i="36"/>
  <c r="G50" i="36" s="1"/>
  <c r="G48" i="36"/>
  <c r="N47" i="36"/>
  <c r="N50" i="36" s="1"/>
  <c r="G47" i="36"/>
  <c r="V46" i="36"/>
  <c r="G46" i="36"/>
  <c r="V45" i="36"/>
  <c r="V50" i="36" s="1"/>
  <c r="V44" i="36"/>
  <c r="N43" i="36"/>
  <c r="N46" i="36" s="1"/>
  <c r="G42" i="36"/>
  <c r="G41" i="36"/>
  <c r="F40" i="36"/>
  <c r="G40" i="36" s="1"/>
  <c r="F39" i="36"/>
  <c r="G39" i="36" s="1"/>
  <c r="N38" i="36"/>
  <c r="N37" i="36"/>
  <c r="G37" i="36"/>
  <c r="N36" i="36"/>
  <c r="G36" i="36"/>
  <c r="G35" i="36"/>
  <c r="V34" i="36"/>
  <c r="G34" i="36"/>
  <c r="G33" i="36"/>
  <c r="L32" i="36"/>
  <c r="K32" i="36"/>
  <c r="G32" i="36"/>
  <c r="N31" i="36"/>
  <c r="N30" i="36"/>
  <c r="F30" i="36"/>
  <c r="G30" i="36" s="1"/>
  <c r="N29" i="36"/>
  <c r="F29" i="36"/>
  <c r="G29" i="36" s="1"/>
  <c r="L28" i="36"/>
  <c r="K28" i="36"/>
  <c r="F28" i="36"/>
  <c r="G28" i="36" s="1"/>
  <c r="N27" i="36"/>
  <c r="N26" i="36"/>
  <c r="V25" i="36"/>
  <c r="N25" i="36"/>
  <c r="L24" i="36"/>
  <c r="K24" i="36"/>
  <c r="N23" i="36"/>
  <c r="G23" i="36"/>
  <c r="N22" i="36"/>
  <c r="G22" i="36"/>
  <c r="V21" i="36"/>
  <c r="N21" i="36"/>
  <c r="F21" i="36"/>
  <c r="D21" i="36"/>
  <c r="G21" i="36" s="1"/>
  <c r="G24" i="36" s="1"/>
  <c r="L20" i="36"/>
  <c r="K20" i="36"/>
  <c r="N19" i="36"/>
  <c r="G19" i="36"/>
  <c r="N18" i="36"/>
  <c r="G18" i="36"/>
  <c r="N17" i="36"/>
  <c r="N20" i="36" s="1"/>
  <c r="G17" i="36"/>
  <c r="L16" i="36"/>
  <c r="K16" i="36"/>
  <c r="N15" i="36"/>
  <c r="G15" i="36"/>
  <c r="N14" i="36"/>
  <c r="G14" i="36"/>
  <c r="N13" i="36"/>
  <c r="N16" i="36" s="1"/>
  <c r="G13" i="36"/>
  <c r="K12" i="36"/>
  <c r="G12" i="36"/>
  <c r="N11" i="36"/>
  <c r="G10" i="36"/>
  <c r="N9" i="36"/>
  <c r="G9" i="36"/>
  <c r="N8" i="36"/>
  <c r="G8" i="36"/>
  <c r="G11" i="36" s="1"/>
  <c r="L7" i="36"/>
  <c r="L12" i="36" s="1"/>
  <c r="N6" i="36"/>
  <c r="G6" i="36"/>
  <c r="G5" i="36"/>
  <c r="G7" i="36" s="1"/>
  <c r="G38" i="60" l="1"/>
  <c r="G20" i="36"/>
  <c r="N24" i="36"/>
  <c r="N28" i="36"/>
  <c r="G49" i="59"/>
  <c r="V50" i="59"/>
  <c r="V57" i="59" s="1"/>
  <c r="N16" i="60"/>
  <c r="N20" i="60"/>
  <c r="V50" i="60"/>
  <c r="G11" i="38"/>
  <c r="G20" i="38"/>
  <c r="N27" i="38"/>
  <c r="G38" i="38"/>
  <c r="G48" i="38"/>
  <c r="V50" i="38"/>
  <c r="N32" i="36"/>
  <c r="N24" i="59"/>
  <c r="N28" i="59"/>
  <c r="N32" i="59"/>
  <c r="G7" i="60"/>
  <c r="G20" i="60"/>
  <c r="N42" i="60"/>
  <c r="V57" i="36"/>
  <c r="N24" i="60"/>
  <c r="N42" i="38"/>
  <c r="G16" i="59"/>
  <c r="N42" i="59"/>
  <c r="N57" i="59" s="1"/>
  <c r="G16" i="60"/>
  <c r="N32" i="60"/>
  <c r="G16" i="36"/>
  <c r="N42" i="36"/>
  <c r="G53" i="36"/>
  <c r="G54" i="36"/>
  <c r="G57" i="36" s="1"/>
  <c r="N12" i="59"/>
  <c r="G38" i="59"/>
  <c r="G49" i="60"/>
  <c r="G54" i="60"/>
  <c r="G53" i="38"/>
  <c r="G16" i="38"/>
  <c r="V57" i="38"/>
  <c r="N56" i="38"/>
  <c r="N57" i="38" s="1"/>
  <c r="V57" i="60"/>
  <c r="N56" i="60"/>
  <c r="G57" i="60"/>
  <c r="G57" i="59"/>
  <c r="L12" i="59"/>
  <c r="N56" i="36"/>
  <c r="N57" i="36" s="1"/>
  <c r="G38" i="36"/>
  <c r="G49" i="36"/>
  <c r="N7" i="36"/>
  <c r="N12" i="36" s="1"/>
  <c r="N57" i="60" l="1"/>
  <c r="J31" i="33" l="1"/>
  <c r="K31" i="33" s="1"/>
  <c r="K32" i="30"/>
  <c r="K23" i="30"/>
  <c r="K22" i="30"/>
  <c r="K31" i="30"/>
  <c r="K30" i="30"/>
  <c r="K29" i="30"/>
  <c r="K28" i="30"/>
  <c r="K27" i="30"/>
  <c r="K26" i="30"/>
  <c r="K21" i="30"/>
  <c r="K20" i="30"/>
  <c r="K19" i="30"/>
  <c r="K7" i="30"/>
  <c r="V52" i="40" l="1"/>
  <c r="V46" i="40"/>
  <c r="D79" i="23" l="1"/>
  <c r="D76" i="23"/>
  <c r="D73" i="23"/>
  <c r="D70" i="23"/>
  <c r="D67" i="23"/>
  <c r="D61" i="23"/>
  <c r="D55" i="23"/>
  <c r="D49" i="23"/>
  <c r="D46" i="23"/>
  <c r="D43" i="23"/>
  <c r="D37" i="23"/>
  <c r="D34" i="23"/>
  <c r="D31" i="23"/>
  <c r="D28" i="23"/>
  <c r="D25" i="23"/>
  <c r="D22" i="23"/>
  <c r="D19" i="23"/>
  <c r="D16" i="23"/>
  <c r="G79" i="23"/>
  <c r="I79" i="23" s="1"/>
  <c r="G73" i="23"/>
  <c r="I73" i="23" s="1"/>
  <c r="G70" i="23"/>
  <c r="I70" i="23" s="1"/>
  <c r="G64" i="23"/>
  <c r="I64" i="23" s="1"/>
  <c r="G61" i="23"/>
  <c r="I61" i="23" s="1"/>
  <c r="G58" i="23"/>
  <c r="I58" i="23" s="1"/>
  <c r="G40" i="23"/>
  <c r="I40" i="23" s="1"/>
  <c r="C79" i="23"/>
  <c r="C76" i="23"/>
  <c r="C73" i="23"/>
  <c r="C70" i="23"/>
  <c r="C67" i="23"/>
  <c r="C64" i="23"/>
  <c r="I85" i="23"/>
  <c r="L85" i="23" s="1"/>
  <c r="N85" i="23" s="1"/>
  <c r="P85" i="23"/>
  <c r="P86" i="23"/>
  <c r="C61" i="23"/>
  <c r="C58" i="23"/>
  <c r="C55" i="23"/>
  <c r="C52" i="23"/>
  <c r="C49" i="23"/>
  <c r="C46" i="23"/>
  <c r="C43" i="23"/>
  <c r="C40" i="23"/>
  <c r="C37" i="23"/>
  <c r="C34" i="23"/>
  <c r="C31" i="23"/>
  <c r="C28" i="23"/>
  <c r="C25" i="23"/>
  <c r="C22" i="23"/>
  <c r="C19" i="23"/>
  <c r="C16" i="23"/>
  <c r="L60" i="23" l="1"/>
  <c r="L59" i="23"/>
  <c r="L58" i="23"/>
  <c r="L63" i="23"/>
  <c r="P63" i="23" s="1"/>
  <c r="L62" i="23"/>
  <c r="P62" i="23" s="1"/>
  <c r="L61" i="23"/>
  <c r="P61" i="23" s="1"/>
  <c r="L64" i="23"/>
  <c r="P64" i="23" s="1"/>
  <c r="L65" i="23"/>
  <c r="P65" i="23" s="1"/>
  <c r="L66" i="23"/>
  <c r="L72" i="23"/>
  <c r="P72" i="23" s="1"/>
  <c r="L71" i="23"/>
  <c r="L70" i="23"/>
  <c r="L73" i="23"/>
  <c r="L75" i="23"/>
  <c r="P75" i="23" s="1"/>
  <c r="L74" i="23"/>
  <c r="L81" i="23"/>
  <c r="P81" i="23" s="1"/>
  <c r="L80" i="23"/>
  <c r="L79" i="23"/>
  <c r="L40" i="23"/>
  <c r="P40" i="23" s="1"/>
  <c r="L41" i="23"/>
  <c r="L42" i="23"/>
  <c r="L86" i="23"/>
  <c r="N86" i="23" s="1"/>
  <c r="P66" i="23"/>
  <c r="K37" i="30"/>
  <c r="K36" i="30"/>
  <c r="K35" i="30"/>
  <c r="K34" i="30"/>
  <c r="K33" i="30"/>
  <c r="K25" i="30"/>
  <c r="K24" i="30"/>
  <c r="K18" i="30"/>
  <c r="K17" i="30"/>
  <c r="K16" i="30"/>
  <c r="K6" i="30"/>
  <c r="K5" i="30"/>
  <c r="P58" i="23" l="1"/>
  <c r="J38" i="22"/>
  <c r="F40" i="49"/>
  <c r="K6" i="34"/>
  <c r="K5" i="34"/>
  <c r="M54" i="40"/>
  <c r="M53" i="40"/>
  <c r="M52" i="40"/>
  <c r="M51" i="40"/>
  <c r="M47" i="40"/>
  <c r="M43" i="40"/>
  <c r="M36" i="40"/>
  <c r="M35" i="40"/>
  <c r="V51" i="40"/>
  <c r="V56" i="40" s="1"/>
  <c r="V45" i="40"/>
  <c r="V50" i="40" s="1"/>
  <c r="V44" i="40"/>
  <c r="V57" i="40" l="1"/>
  <c r="G56" i="30" l="1"/>
  <c r="P55" i="30"/>
  <c r="I55" i="30"/>
  <c r="L55" i="30" s="1"/>
  <c r="N55" i="30" s="1"/>
  <c r="P54" i="30"/>
  <c r="I54" i="30"/>
  <c r="L54" i="30" s="1"/>
  <c r="N54" i="30" s="1"/>
  <c r="P53" i="30"/>
  <c r="I53" i="30"/>
  <c r="L53" i="30" s="1"/>
  <c r="N53" i="30" s="1"/>
  <c r="P52" i="30"/>
  <c r="I52" i="30"/>
  <c r="I50" i="30"/>
  <c r="L50" i="30" s="1"/>
  <c r="I49" i="30"/>
  <c r="L49" i="30" s="1"/>
  <c r="I47" i="30"/>
  <c r="L47" i="30" s="1"/>
  <c r="N47" i="30" s="1"/>
  <c r="I46" i="30"/>
  <c r="L46" i="30" s="1"/>
  <c r="N46" i="30" s="1"/>
  <c r="I45" i="30"/>
  <c r="L45" i="30" s="1"/>
  <c r="I44" i="30"/>
  <c r="L44" i="30" s="1"/>
  <c r="I43" i="30"/>
  <c r="L43" i="30" s="1"/>
  <c r="N43" i="30" s="1"/>
  <c r="I42" i="30"/>
  <c r="L42" i="30" s="1"/>
  <c r="N42" i="30" s="1"/>
  <c r="I41" i="30"/>
  <c r="L41" i="30" s="1"/>
  <c r="I40" i="30"/>
  <c r="L40" i="30" s="1"/>
  <c r="I39" i="30"/>
  <c r="L39" i="30" s="1"/>
  <c r="N39" i="30" s="1"/>
  <c r="I38" i="30"/>
  <c r="L38" i="30" s="1"/>
  <c r="N38" i="30" s="1"/>
  <c r="I37" i="30"/>
  <c r="L37" i="30" s="1"/>
  <c r="I36" i="30"/>
  <c r="L36" i="30" s="1"/>
  <c r="N36" i="30" s="1"/>
  <c r="I35" i="30"/>
  <c r="L35" i="30" s="1"/>
  <c r="G34" i="30"/>
  <c r="G33" i="30"/>
  <c r="G32" i="30"/>
  <c r="G31" i="30"/>
  <c r="G30" i="30"/>
  <c r="I29" i="30"/>
  <c r="L29" i="30" s="1"/>
  <c r="G28" i="30"/>
  <c r="G27" i="30"/>
  <c r="G26" i="30"/>
  <c r="G25" i="30"/>
  <c r="G28" i="23" s="1"/>
  <c r="I28" i="23" s="1"/>
  <c r="G24" i="30"/>
  <c r="I23" i="30"/>
  <c r="L23" i="30" s="1"/>
  <c r="G22" i="30"/>
  <c r="I21" i="30"/>
  <c r="L21" i="30" s="1"/>
  <c r="N21" i="30" s="1"/>
  <c r="G20" i="30"/>
  <c r="G19" i="30"/>
  <c r="I19" i="30" s="1"/>
  <c r="L19" i="30" s="1"/>
  <c r="G18" i="30"/>
  <c r="G16" i="23" s="1"/>
  <c r="G17" i="30"/>
  <c r="G16" i="30"/>
  <c r="P14" i="30"/>
  <c r="I14" i="30"/>
  <c r="L14" i="30" s="1"/>
  <c r="N14" i="30" s="1"/>
  <c r="P13" i="30"/>
  <c r="I13" i="30"/>
  <c r="L13" i="30" s="1"/>
  <c r="N13" i="30" s="1"/>
  <c r="P12" i="30"/>
  <c r="I12" i="30"/>
  <c r="L12" i="30" s="1"/>
  <c r="N12" i="30" s="1"/>
  <c r="P11" i="30"/>
  <c r="I11" i="30"/>
  <c r="L11" i="30" s="1"/>
  <c r="N11" i="30" s="1"/>
  <c r="P10" i="30"/>
  <c r="I10" i="30"/>
  <c r="L10" i="30" s="1"/>
  <c r="N10" i="30" s="1"/>
  <c r="P9" i="30"/>
  <c r="I9" i="30"/>
  <c r="L9" i="30" s="1"/>
  <c r="N9" i="30" s="1"/>
  <c r="P8" i="30"/>
  <c r="I8" i="30"/>
  <c r="L8" i="30" s="1"/>
  <c r="N8" i="30" s="1"/>
  <c r="G7" i="30"/>
  <c r="I7" i="30" s="1"/>
  <c r="G6" i="30"/>
  <c r="I6" i="30" s="1"/>
  <c r="G5" i="30"/>
  <c r="R4" i="30"/>
  <c r="AP34" i="66"/>
  <c r="AO34" i="66"/>
  <c r="AQ33" i="66"/>
  <c r="AL33" i="66"/>
  <c r="AK33" i="66"/>
  <c r="AJ33" i="66"/>
  <c r="AK34" i="66" s="1"/>
  <c r="AI33" i="66"/>
  <c r="AH33" i="66"/>
  <c r="AG33" i="66"/>
  <c r="AF33" i="66"/>
  <c r="AE33" i="66"/>
  <c r="AD33" i="66"/>
  <c r="AE34" i="66" s="1"/>
  <c r="AC33" i="66"/>
  <c r="AB33" i="66"/>
  <c r="AA33" i="66"/>
  <c r="Z33" i="66"/>
  <c r="Y33" i="66"/>
  <c r="X33" i="66"/>
  <c r="W33" i="66"/>
  <c r="V33" i="66"/>
  <c r="U33" i="66"/>
  <c r="V34" i="66" s="1"/>
  <c r="T33" i="66"/>
  <c r="S33" i="66"/>
  <c r="R33" i="66"/>
  <c r="Q33" i="66"/>
  <c r="P34" i="66" s="1"/>
  <c r="P33" i="66"/>
  <c r="O33" i="66"/>
  <c r="N33" i="66"/>
  <c r="M33" i="66"/>
  <c r="L33" i="66"/>
  <c r="M34" i="66" s="1"/>
  <c r="K33" i="66"/>
  <c r="J33" i="66"/>
  <c r="I33" i="66"/>
  <c r="H33" i="66"/>
  <c r="G33" i="66"/>
  <c r="F33" i="66"/>
  <c r="G34" i="66" s="1"/>
  <c r="E33" i="66"/>
  <c r="D33" i="66"/>
  <c r="C33" i="66"/>
  <c r="AQ32" i="66"/>
  <c r="AM32" i="66"/>
  <c r="AQ31" i="66"/>
  <c r="AM31" i="66"/>
  <c r="AQ30" i="66"/>
  <c r="AM30" i="66"/>
  <c r="AQ29" i="66"/>
  <c r="AM29" i="66"/>
  <c r="AQ28" i="66"/>
  <c r="AM28" i="66"/>
  <c r="AQ27" i="66"/>
  <c r="AM27" i="66"/>
  <c r="AQ26" i="66"/>
  <c r="AM26" i="66"/>
  <c r="AQ25" i="66"/>
  <c r="AM25" i="66"/>
  <c r="AQ24" i="66"/>
  <c r="AM24" i="66"/>
  <c r="AQ23" i="66"/>
  <c r="AM23" i="66"/>
  <c r="AQ22" i="66"/>
  <c r="AM22" i="66"/>
  <c r="AQ21" i="66"/>
  <c r="AM21" i="66"/>
  <c r="AQ20" i="66"/>
  <c r="AM20" i="66"/>
  <c r="AM19" i="66"/>
  <c r="AM18" i="66"/>
  <c r="AM17" i="66"/>
  <c r="AM16" i="66"/>
  <c r="AM15" i="66"/>
  <c r="AM14" i="66"/>
  <c r="AM13" i="66"/>
  <c r="AM12" i="66"/>
  <c r="AM11" i="66"/>
  <c r="AM10" i="66"/>
  <c r="AM9" i="66"/>
  <c r="AM8" i="66"/>
  <c r="AP34" i="28"/>
  <c r="AO34" i="28"/>
  <c r="AQ33" i="28"/>
  <c r="AL33" i="28"/>
  <c r="AK33" i="28"/>
  <c r="AJ33" i="28"/>
  <c r="AK34" i="28" s="1"/>
  <c r="AI33" i="28"/>
  <c r="AH33" i="28"/>
  <c r="AG33" i="28"/>
  <c r="AH34" i="28" s="1"/>
  <c r="AF33" i="28"/>
  <c r="AE33" i="28"/>
  <c r="AD33" i="28"/>
  <c r="AC33" i="28"/>
  <c r="AB33" i="28"/>
  <c r="AB34" i="28" s="1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M34" i="28" s="1"/>
  <c r="K33" i="28"/>
  <c r="J33" i="28"/>
  <c r="I33" i="28"/>
  <c r="J34" i="28" s="1"/>
  <c r="H33" i="28"/>
  <c r="G33" i="28"/>
  <c r="F33" i="28"/>
  <c r="E33" i="28"/>
  <c r="D33" i="28"/>
  <c r="D34" i="28" s="1"/>
  <c r="C33" i="28"/>
  <c r="AQ32" i="28"/>
  <c r="AM32" i="28"/>
  <c r="AQ31" i="28"/>
  <c r="AM31" i="28"/>
  <c r="AQ30" i="28"/>
  <c r="AM30" i="28"/>
  <c r="AQ29" i="28"/>
  <c r="AM29" i="28"/>
  <c r="AQ28" i="28"/>
  <c r="AM28" i="28"/>
  <c r="AQ27" i="28"/>
  <c r="AM27" i="28"/>
  <c r="AQ26" i="28"/>
  <c r="AM26" i="28"/>
  <c r="AQ25" i="28"/>
  <c r="AM25" i="28"/>
  <c r="AQ24" i="28"/>
  <c r="AM24" i="28"/>
  <c r="AQ23" i="28"/>
  <c r="AM23" i="28"/>
  <c r="AQ22" i="28"/>
  <c r="AM22" i="28"/>
  <c r="AQ21" i="28"/>
  <c r="AM21" i="28"/>
  <c r="AQ20" i="28"/>
  <c r="AM20" i="28"/>
  <c r="AM19" i="28"/>
  <c r="AM18" i="28"/>
  <c r="AM17" i="28"/>
  <c r="AM16" i="28"/>
  <c r="AM15" i="28"/>
  <c r="AM14" i="28"/>
  <c r="AM13" i="28"/>
  <c r="AM12" i="28"/>
  <c r="AM11" i="28"/>
  <c r="AM10" i="28"/>
  <c r="AM9" i="28"/>
  <c r="AM8" i="28"/>
  <c r="AP34" i="27"/>
  <c r="AO34" i="27"/>
  <c r="AQ33" i="27"/>
  <c r="AL33" i="27"/>
  <c r="AK33" i="27"/>
  <c r="AJ33" i="27"/>
  <c r="AI33" i="27"/>
  <c r="AH33" i="27"/>
  <c r="AG33" i="27"/>
  <c r="AF33" i="27"/>
  <c r="AE33" i="27"/>
  <c r="AD33" i="27"/>
  <c r="AE34" i="27" s="1"/>
  <c r="AC33" i="27"/>
  <c r="AB33" i="27"/>
  <c r="AA33" i="27"/>
  <c r="Z33" i="27"/>
  <c r="Y33" i="27"/>
  <c r="X33" i="27"/>
  <c r="Y34" i="27" s="1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G34" i="27" s="1"/>
  <c r="E33" i="27"/>
  <c r="D33" i="27"/>
  <c r="C33" i="27"/>
  <c r="AQ32" i="27"/>
  <c r="AM32" i="27"/>
  <c r="AQ31" i="27"/>
  <c r="AM31" i="27"/>
  <c r="AQ30" i="27"/>
  <c r="AM30" i="27"/>
  <c r="AQ29" i="27"/>
  <c r="AM29" i="27"/>
  <c r="AQ28" i="27"/>
  <c r="AM28" i="27"/>
  <c r="AQ27" i="27"/>
  <c r="AM27" i="27"/>
  <c r="AQ26" i="27"/>
  <c r="AM26" i="27"/>
  <c r="AQ25" i="27"/>
  <c r="AM25" i="27"/>
  <c r="AQ24" i="27"/>
  <c r="AM24" i="27"/>
  <c r="AQ23" i="27"/>
  <c r="AM23" i="27"/>
  <c r="AQ22" i="27"/>
  <c r="AM22" i="27"/>
  <c r="AQ21" i="27"/>
  <c r="AM21" i="27"/>
  <c r="AQ20" i="27"/>
  <c r="AM20" i="27"/>
  <c r="AM19" i="27"/>
  <c r="AM18" i="27"/>
  <c r="AM17" i="27"/>
  <c r="AM16" i="27"/>
  <c r="AM15" i="27"/>
  <c r="AM14" i="27"/>
  <c r="AM13" i="27"/>
  <c r="AM12" i="27"/>
  <c r="AM11" i="27"/>
  <c r="AM10" i="27"/>
  <c r="AM9" i="27"/>
  <c r="AM8" i="27"/>
  <c r="L30" i="23" l="1"/>
  <c r="L29" i="23"/>
  <c r="L28" i="23"/>
  <c r="P34" i="27"/>
  <c r="V34" i="27"/>
  <c r="S34" i="28"/>
  <c r="AM34" i="66"/>
  <c r="D34" i="66"/>
  <c r="AB34" i="66"/>
  <c r="I24" i="30"/>
  <c r="L24" i="30" s="1"/>
  <c r="N24" i="30" s="1"/>
  <c r="G25" i="23"/>
  <c r="I25" i="23" s="1"/>
  <c r="I30" i="30"/>
  <c r="L30" i="30" s="1"/>
  <c r="G43" i="23"/>
  <c r="I43" i="23" s="1"/>
  <c r="AM33" i="28"/>
  <c r="P28" i="23"/>
  <c r="I31" i="30"/>
  <c r="L31" i="30" s="1"/>
  <c r="G46" i="23"/>
  <c r="I46" i="23" s="1"/>
  <c r="AQ34" i="28"/>
  <c r="I18" i="30"/>
  <c r="L18" i="30" s="1"/>
  <c r="N18" i="30" s="1"/>
  <c r="I25" i="30"/>
  <c r="L25" i="30" s="1"/>
  <c r="N25" i="30" s="1"/>
  <c r="I32" i="30"/>
  <c r="L32" i="30" s="1"/>
  <c r="G49" i="23"/>
  <c r="I49" i="23" s="1"/>
  <c r="S34" i="27"/>
  <c r="AM34" i="28"/>
  <c r="V34" i="28"/>
  <c r="Y34" i="66"/>
  <c r="I26" i="30"/>
  <c r="L26" i="30" s="1"/>
  <c r="G31" i="23"/>
  <c r="I31" i="23" s="1"/>
  <c r="I33" i="30"/>
  <c r="L33" i="30" s="1"/>
  <c r="N33" i="30" s="1"/>
  <c r="G52" i="23"/>
  <c r="I52" i="23" s="1"/>
  <c r="I16" i="30"/>
  <c r="G13" i="23"/>
  <c r="AM33" i="27"/>
  <c r="J34" i="27"/>
  <c r="AB34" i="27"/>
  <c r="AH34" i="27"/>
  <c r="G34" i="28"/>
  <c r="AE34" i="28"/>
  <c r="J34" i="66"/>
  <c r="AH34" i="66"/>
  <c r="I20" i="30"/>
  <c r="L20" i="30" s="1"/>
  <c r="N20" i="30" s="1"/>
  <c r="G19" i="23"/>
  <c r="I19" i="23" s="1"/>
  <c r="I27" i="30"/>
  <c r="L27" i="30" s="1"/>
  <c r="G34" i="23"/>
  <c r="I34" i="23" s="1"/>
  <c r="I34" i="30"/>
  <c r="L34" i="30" s="1"/>
  <c r="G55" i="23"/>
  <c r="I55" i="23" s="1"/>
  <c r="M34" i="27"/>
  <c r="AK34" i="27"/>
  <c r="AQ34" i="66"/>
  <c r="S34" i="66"/>
  <c r="AQ34" i="27"/>
  <c r="AM34" i="27"/>
  <c r="P34" i="28"/>
  <c r="Y34" i="28"/>
  <c r="AM33" i="66"/>
  <c r="I22" i="30"/>
  <c r="L22" i="30" s="1"/>
  <c r="G22" i="23"/>
  <c r="I22" i="23" s="1"/>
  <c r="I28" i="30"/>
  <c r="L28" i="30" s="1"/>
  <c r="N28" i="30" s="1"/>
  <c r="G37" i="23"/>
  <c r="I37" i="23" s="1"/>
  <c r="N19" i="30"/>
  <c r="P19" i="30" s="1"/>
  <c r="P46" i="30"/>
  <c r="N34" i="30"/>
  <c r="P34" i="30" s="1"/>
  <c r="L7" i="30"/>
  <c r="N7" i="30" s="1"/>
  <c r="N32" i="30"/>
  <c r="P32" i="30" s="1"/>
  <c r="P36" i="30"/>
  <c r="P38" i="30"/>
  <c r="I56" i="30"/>
  <c r="L6" i="30"/>
  <c r="N6" i="30" s="1"/>
  <c r="P6" i="30" s="1"/>
  <c r="P42" i="30"/>
  <c r="P56" i="30"/>
  <c r="P21" i="30"/>
  <c r="P18" i="30"/>
  <c r="N26" i="30"/>
  <c r="P26" i="30" s="1"/>
  <c r="N50" i="30"/>
  <c r="P50" i="30" s="1"/>
  <c r="L16" i="30"/>
  <c r="N27" i="30"/>
  <c r="P27" i="30" s="1"/>
  <c r="N29" i="30"/>
  <c r="P29" i="30" s="1"/>
  <c r="N30" i="30"/>
  <c r="P30" i="30" s="1"/>
  <c r="P33" i="30"/>
  <c r="N35" i="30"/>
  <c r="P35" i="30" s="1"/>
  <c r="N37" i="30"/>
  <c r="P37" i="30" s="1"/>
  <c r="N41" i="30"/>
  <c r="P41" i="30" s="1"/>
  <c r="P43" i="30"/>
  <c r="N49" i="30"/>
  <c r="P49" i="30" s="1"/>
  <c r="P24" i="30"/>
  <c r="P25" i="30"/>
  <c r="N31" i="30"/>
  <c r="P31" i="30" s="1"/>
  <c r="P39" i="30"/>
  <c r="N44" i="30"/>
  <c r="P44" i="30" s="1"/>
  <c r="P28" i="30"/>
  <c r="N40" i="30"/>
  <c r="P40" i="30" s="1"/>
  <c r="G15" i="30"/>
  <c r="I5" i="30"/>
  <c r="I17" i="30"/>
  <c r="L17" i="30" s="1"/>
  <c r="G51" i="30"/>
  <c r="N23" i="30"/>
  <c r="P23" i="30" s="1"/>
  <c r="N45" i="30"/>
  <c r="P45" i="30" s="1"/>
  <c r="P47" i="30"/>
  <c r="L52" i="30"/>
  <c r="D34" i="27"/>
  <c r="L54" i="23" l="1"/>
  <c r="P54" i="23" s="1"/>
  <c r="L53" i="23"/>
  <c r="L52" i="23"/>
  <c r="P52" i="23" s="1"/>
  <c r="L51" i="23"/>
  <c r="L50" i="23"/>
  <c r="L49" i="23"/>
  <c r="P49" i="23" s="1"/>
  <c r="L45" i="23"/>
  <c r="L44" i="23"/>
  <c r="L43" i="23"/>
  <c r="P43" i="23" s="1"/>
  <c r="L32" i="23"/>
  <c r="L31" i="23"/>
  <c r="L33" i="23"/>
  <c r="L27" i="23"/>
  <c r="P27" i="23" s="1"/>
  <c r="L25" i="23"/>
  <c r="P25" i="23" s="1"/>
  <c r="L26" i="23"/>
  <c r="P26" i="23" s="1"/>
  <c r="L56" i="23"/>
  <c r="L55" i="23"/>
  <c r="P55" i="23" s="1"/>
  <c r="L57" i="23"/>
  <c r="L39" i="23"/>
  <c r="L38" i="23"/>
  <c r="L37" i="23"/>
  <c r="L21" i="23"/>
  <c r="L20" i="23"/>
  <c r="L19" i="23"/>
  <c r="P19" i="23" s="1"/>
  <c r="L36" i="23"/>
  <c r="L35" i="23"/>
  <c r="L34" i="23"/>
  <c r="P34" i="23" s="1"/>
  <c r="L24" i="23"/>
  <c r="P24" i="23" s="1"/>
  <c r="L23" i="23"/>
  <c r="L22" i="23"/>
  <c r="P22" i="23" s="1"/>
  <c r="L48" i="23"/>
  <c r="L47" i="23"/>
  <c r="L46" i="23"/>
  <c r="P46" i="23" s="1"/>
  <c r="P53" i="23"/>
  <c r="P51" i="23"/>
  <c r="P20" i="30"/>
  <c r="P31" i="23"/>
  <c r="P37" i="23"/>
  <c r="P7" i="30"/>
  <c r="I15" i="30"/>
  <c r="L5" i="30"/>
  <c r="G57" i="30"/>
  <c r="N17" i="30"/>
  <c r="P17" i="30" s="1"/>
  <c r="I51" i="30"/>
  <c r="L56" i="30"/>
  <c r="N52" i="30"/>
  <c r="N22" i="30"/>
  <c r="P22" i="30" s="1"/>
  <c r="L51" i="30"/>
  <c r="N16" i="30"/>
  <c r="P16" i="30" s="1"/>
  <c r="P51" i="30" l="1"/>
  <c r="L15" i="30"/>
  <c r="L57" i="30" s="1"/>
  <c r="N5" i="30"/>
  <c r="P5" i="30" s="1"/>
  <c r="P15" i="30" s="1"/>
  <c r="I57" i="30"/>
  <c r="P57" i="30" l="1"/>
  <c r="F24" i="48" l="1"/>
  <c r="F26" i="48"/>
  <c r="F25" i="48"/>
  <c r="K17" i="34"/>
  <c r="K18" i="34"/>
  <c r="K19" i="34"/>
  <c r="K20" i="34"/>
  <c r="K24" i="34"/>
  <c r="K25" i="34"/>
  <c r="K26" i="34"/>
  <c r="K27" i="34"/>
  <c r="K29" i="34"/>
  <c r="K31" i="34"/>
  <c r="K16" i="34"/>
  <c r="G5" i="34"/>
  <c r="F24" i="49" l="1"/>
  <c r="F23" i="49"/>
  <c r="F22" i="49"/>
  <c r="F19" i="37"/>
  <c r="P13" i="48" l="1"/>
  <c r="F29" i="48" l="1"/>
  <c r="F31" i="48"/>
  <c r="F42" i="48"/>
  <c r="G56" i="40"/>
  <c r="G55" i="40"/>
  <c r="N54" i="40"/>
  <c r="G54" i="40"/>
  <c r="G57" i="40" s="1"/>
  <c r="N53" i="40"/>
  <c r="N52" i="40"/>
  <c r="G52" i="40"/>
  <c r="N51" i="40"/>
  <c r="G51" i="40"/>
  <c r="G50" i="40"/>
  <c r="G53" i="40" s="1"/>
  <c r="G48" i="40"/>
  <c r="N47" i="40"/>
  <c r="N50" i="40" s="1"/>
  <c r="G47" i="40"/>
  <c r="G46" i="40"/>
  <c r="G45" i="40"/>
  <c r="G44" i="40"/>
  <c r="N43" i="40"/>
  <c r="N46" i="40" s="1"/>
  <c r="G43" i="40"/>
  <c r="G42" i="40"/>
  <c r="G41" i="40"/>
  <c r="G40" i="40"/>
  <c r="G39" i="40"/>
  <c r="G37" i="40"/>
  <c r="N36" i="40"/>
  <c r="G36" i="40"/>
  <c r="N35" i="40"/>
  <c r="G35" i="40"/>
  <c r="G34" i="40"/>
  <c r="G33" i="40"/>
  <c r="G32" i="40"/>
  <c r="L31" i="40"/>
  <c r="K31" i="40"/>
  <c r="G31" i="40"/>
  <c r="N30" i="40"/>
  <c r="G30" i="40"/>
  <c r="N29" i="40"/>
  <c r="G29" i="40"/>
  <c r="N28" i="40"/>
  <c r="G28" i="40"/>
  <c r="L27" i="40"/>
  <c r="K27" i="40"/>
  <c r="N26" i="40"/>
  <c r="N25" i="40"/>
  <c r="V24" i="40"/>
  <c r="V34" i="40" s="1"/>
  <c r="N24" i="40"/>
  <c r="L23" i="40"/>
  <c r="K23" i="40"/>
  <c r="G23" i="40"/>
  <c r="N22" i="40"/>
  <c r="G22" i="40"/>
  <c r="N21" i="40"/>
  <c r="G21" i="40"/>
  <c r="V20" i="40"/>
  <c r="N20" i="40"/>
  <c r="L19" i="40"/>
  <c r="K19" i="40"/>
  <c r="G19" i="40"/>
  <c r="N18" i="40"/>
  <c r="G18" i="40"/>
  <c r="N17" i="40"/>
  <c r="G17" i="40"/>
  <c r="G20" i="40" s="1"/>
  <c r="N16" i="40"/>
  <c r="L15" i="40"/>
  <c r="K15" i="40"/>
  <c r="G15" i="40"/>
  <c r="N14" i="40"/>
  <c r="G14" i="40"/>
  <c r="N13" i="40"/>
  <c r="G13" i="40"/>
  <c r="G12" i="40"/>
  <c r="L11" i="40"/>
  <c r="K11" i="40"/>
  <c r="N10" i="40"/>
  <c r="G10" i="40"/>
  <c r="N9" i="40"/>
  <c r="G9" i="40"/>
  <c r="N8" i="40"/>
  <c r="G8" i="40"/>
  <c r="N7" i="40"/>
  <c r="N6" i="40"/>
  <c r="G6" i="40"/>
  <c r="G5" i="40"/>
  <c r="N15" i="40" l="1"/>
  <c r="G16" i="40"/>
  <c r="N19" i="40"/>
  <c r="N23" i="40"/>
  <c r="N31" i="40"/>
  <c r="G49" i="40"/>
  <c r="G7" i="40"/>
  <c r="N11" i="40"/>
  <c r="G24" i="40"/>
  <c r="N27" i="40"/>
  <c r="F37" i="48"/>
  <c r="P21" i="49"/>
  <c r="G38" i="40"/>
  <c r="G11" i="40"/>
  <c r="N42" i="40"/>
  <c r="N56" i="40"/>
  <c r="J17" i="33"/>
  <c r="K17" i="33" s="1"/>
  <c r="J18" i="33"/>
  <c r="K18" i="33" s="1"/>
  <c r="J19" i="33"/>
  <c r="K19" i="33" s="1"/>
  <c r="J20" i="33"/>
  <c r="K20" i="33" s="1"/>
  <c r="J21" i="33"/>
  <c r="K21" i="33" s="1"/>
  <c r="J22" i="33"/>
  <c r="K22" i="33" s="1"/>
  <c r="J23" i="33"/>
  <c r="K23" i="33" s="1"/>
  <c r="J24" i="33"/>
  <c r="K24" i="33" s="1"/>
  <c r="J25" i="33"/>
  <c r="K25" i="33" s="1"/>
  <c r="J26" i="33"/>
  <c r="K26" i="33" s="1"/>
  <c r="J27" i="33"/>
  <c r="K27" i="33" s="1"/>
  <c r="J28" i="33"/>
  <c r="K28" i="33" s="1"/>
  <c r="J29" i="33"/>
  <c r="K29" i="33" s="1"/>
  <c r="J30" i="33"/>
  <c r="K30" i="33" s="1"/>
  <c r="J16" i="33"/>
  <c r="K16" i="33" s="1"/>
  <c r="J6" i="33"/>
  <c r="K6" i="33" s="1"/>
  <c r="J5" i="33"/>
  <c r="K5" i="33" s="1"/>
  <c r="J17" i="34"/>
  <c r="J18" i="34"/>
  <c r="J19" i="34"/>
  <c r="J20" i="34"/>
  <c r="J21" i="34"/>
  <c r="K21" i="34" s="1"/>
  <c r="J22" i="34"/>
  <c r="K22" i="34" s="1"/>
  <c r="J23" i="34"/>
  <c r="K23" i="34" s="1"/>
  <c r="J24" i="34"/>
  <c r="J25" i="34"/>
  <c r="J26" i="34"/>
  <c r="J27" i="34"/>
  <c r="J28" i="34"/>
  <c r="K28" i="34" s="1"/>
  <c r="J29" i="34"/>
  <c r="J30" i="34"/>
  <c r="K30" i="34" s="1"/>
  <c r="J31" i="34"/>
  <c r="J32" i="34"/>
  <c r="K32" i="34" s="1"/>
  <c r="J6" i="34"/>
  <c r="J5" i="34"/>
  <c r="J16" i="34"/>
  <c r="F35" i="49" l="1"/>
  <c r="N57" i="40"/>
  <c r="AT35" i="29" l="1"/>
  <c r="AQ35" i="29"/>
  <c r="F22" i="48" s="1"/>
  <c r="AP35" i="29"/>
  <c r="F21" i="48" s="1"/>
  <c r="AR34" i="29"/>
  <c r="AL34" i="29"/>
  <c r="AK34" i="29"/>
  <c r="AJ34" i="29"/>
  <c r="AK35" i="29" s="1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Y35" i="29" s="1"/>
  <c r="W34" i="29"/>
  <c r="V34" i="29"/>
  <c r="U34" i="29"/>
  <c r="T34" i="29"/>
  <c r="S34" i="29"/>
  <c r="R34" i="29"/>
  <c r="Q34" i="29"/>
  <c r="P34" i="29"/>
  <c r="O34" i="29"/>
  <c r="N34" i="29"/>
  <c r="M34" i="29"/>
  <c r="L34" i="29"/>
  <c r="M35" i="29" s="1"/>
  <c r="K34" i="29"/>
  <c r="J34" i="29"/>
  <c r="I34" i="29"/>
  <c r="H34" i="29"/>
  <c r="G34" i="29"/>
  <c r="F34" i="29"/>
  <c r="E34" i="29"/>
  <c r="D34" i="29"/>
  <c r="C34" i="29"/>
  <c r="AR33" i="29"/>
  <c r="AM33" i="29"/>
  <c r="AR32" i="29"/>
  <c r="AM32" i="29"/>
  <c r="AR31" i="29"/>
  <c r="AM31" i="29"/>
  <c r="AR30" i="29"/>
  <c r="AM30" i="29"/>
  <c r="AR29" i="29"/>
  <c r="AM29" i="29"/>
  <c r="AR28" i="29"/>
  <c r="AM28" i="29"/>
  <c r="AR27" i="29"/>
  <c r="AM27" i="29"/>
  <c r="AR26" i="29"/>
  <c r="AM26" i="29"/>
  <c r="AR25" i="29"/>
  <c r="AM25" i="29"/>
  <c r="AR24" i="29"/>
  <c r="AM24" i="29"/>
  <c r="AR23" i="29"/>
  <c r="AM23" i="29"/>
  <c r="AR22" i="29"/>
  <c r="AM22" i="29"/>
  <c r="AR21" i="29"/>
  <c r="AM21" i="29"/>
  <c r="AR20" i="29"/>
  <c r="AM20" i="29"/>
  <c r="AR19" i="29"/>
  <c r="AM19" i="29"/>
  <c r="AR18" i="29"/>
  <c r="AM18" i="29"/>
  <c r="AR17" i="29"/>
  <c r="AM17" i="29"/>
  <c r="AR16" i="29"/>
  <c r="AM16" i="29"/>
  <c r="AR15" i="29"/>
  <c r="AM15" i="29"/>
  <c r="AR14" i="29"/>
  <c r="AM14" i="29"/>
  <c r="AR13" i="29"/>
  <c r="AM13" i="29"/>
  <c r="AR12" i="29"/>
  <c r="AM12" i="29"/>
  <c r="AR11" i="29"/>
  <c r="AM11" i="29"/>
  <c r="AR10" i="29"/>
  <c r="AM10" i="29"/>
  <c r="AR9" i="29"/>
  <c r="AM9" i="29"/>
  <c r="AT26" i="44"/>
  <c r="AQ26" i="44"/>
  <c r="F20" i="49" s="1"/>
  <c r="AP26" i="44"/>
  <c r="F19" i="49" s="1"/>
  <c r="AR25" i="44"/>
  <c r="AL25" i="44"/>
  <c r="AK25" i="44"/>
  <c r="AJ25" i="44"/>
  <c r="AI25" i="44"/>
  <c r="AH25" i="44"/>
  <c r="AG25" i="44"/>
  <c r="AH26" i="44" s="1"/>
  <c r="AF25" i="44"/>
  <c r="AE25" i="44"/>
  <c r="AD25" i="44"/>
  <c r="AE26" i="44" s="1"/>
  <c r="AC25" i="44"/>
  <c r="AB25" i="44"/>
  <c r="AB26" i="44" s="1"/>
  <c r="AA25" i="44"/>
  <c r="Z25" i="44"/>
  <c r="Y25" i="44"/>
  <c r="X25" i="44"/>
  <c r="W25" i="44"/>
  <c r="V25" i="44"/>
  <c r="U25" i="44"/>
  <c r="T25" i="44"/>
  <c r="S25" i="44"/>
  <c r="R25" i="44"/>
  <c r="S26" i="44" s="1"/>
  <c r="Q25" i="44"/>
  <c r="P25" i="44"/>
  <c r="P26" i="44" s="1"/>
  <c r="O25" i="44"/>
  <c r="N25" i="44"/>
  <c r="M25" i="44"/>
  <c r="L25" i="44"/>
  <c r="K25" i="44"/>
  <c r="J25" i="44"/>
  <c r="I25" i="44"/>
  <c r="J26" i="44" s="1"/>
  <c r="H25" i="44"/>
  <c r="G25" i="44"/>
  <c r="F25" i="44"/>
  <c r="G26" i="44" s="1"/>
  <c r="E25" i="44"/>
  <c r="D25" i="44"/>
  <c r="D26" i="44" s="1"/>
  <c r="C25" i="44"/>
  <c r="AR24" i="44"/>
  <c r="AM24" i="44"/>
  <c r="AR23" i="44"/>
  <c r="AM23" i="44"/>
  <c r="AR22" i="44"/>
  <c r="AM22" i="44"/>
  <c r="AR21" i="44"/>
  <c r="AM21" i="44"/>
  <c r="AR20" i="44"/>
  <c r="AM20" i="44"/>
  <c r="AR19" i="44"/>
  <c r="AM19" i="44"/>
  <c r="AR18" i="44"/>
  <c r="AM18" i="44"/>
  <c r="AR17" i="44"/>
  <c r="AM17" i="44"/>
  <c r="AR16" i="44"/>
  <c r="AM16" i="44"/>
  <c r="AR15" i="44"/>
  <c r="AM15" i="44"/>
  <c r="AR14" i="44"/>
  <c r="AM14" i="44"/>
  <c r="AR13" i="44"/>
  <c r="AM13" i="44"/>
  <c r="AR12" i="44"/>
  <c r="AM12" i="44"/>
  <c r="AR11" i="44"/>
  <c r="AM11" i="44"/>
  <c r="AR10" i="44"/>
  <c r="AM10" i="44"/>
  <c r="AR9" i="44"/>
  <c r="AM9" i="44"/>
  <c r="AR8" i="44"/>
  <c r="AM8" i="44"/>
  <c r="AM26" i="44" s="1"/>
  <c r="Y26" i="44" l="1"/>
  <c r="F21" i="49"/>
  <c r="P35" i="29"/>
  <c r="AM25" i="44"/>
  <c r="M26" i="44"/>
  <c r="AK26" i="44"/>
  <c r="AR35" i="29"/>
  <c r="AR26" i="44"/>
  <c r="V26" i="44"/>
  <c r="D35" i="29"/>
  <c r="AB35" i="29"/>
  <c r="F23" i="48"/>
  <c r="AM35" i="29"/>
  <c r="G35" i="29"/>
  <c r="J35" i="29"/>
  <c r="S35" i="29"/>
  <c r="V35" i="29"/>
  <c r="AE35" i="29"/>
  <c r="AH35" i="29"/>
  <c r="AM34" i="29"/>
  <c r="I35" i="34"/>
  <c r="G28" i="33"/>
  <c r="G76" i="23" s="1"/>
  <c r="I76" i="23" s="1"/>
  <c r="G28" i="34"/>
  <c r="G32" i="34"/>
  <c r="G31" i="34"/>
  <c r="G20" i="34"/>
  <c r="L78" i="23" l="1"/>
  <c r="P78" i="23" s="1"/>
  <c r="L77" i="23"/>
  <c r="L76" i="23"/>
  <c r="G25" i="34"/>
  <c r="G25" i="33"/>
  <c r="I31" i="34"/>
  <c r="G27" i="34" l="1"/>
  <c r="G24" i="34"/>
  <c r="G21" i="34"/>
  <c r="G17" i="34"/>
  <c r="G16" i="34"/>
  <c r="G27" i="33"/>
  <c r="I27" i="33" s="1"/>
  <c r="G24" i="33"/>
  <c r="G21" i="33"/>
  <c r="G67" i="23" s="1"/>
  <c r="G20" i="33"/>
  <c r="G17" i="33"/>
  <c r="G16" i="33"/>
  <c r="I67" i="23" l="1"/>
  <c r="G87" i="23"/>
  <c r="G58" i="34"/>
  <c r="N7" i="48"/>
  <c r="L68" i="23" l="1"/>
  <c r="L69" i="23"/>
  <c r="L67" i="23"/>
  <c r="P68" i="23" l="1"/>
  <c r="F13" i="19"/>
  <c r="F14" i="19"/>
  <c r="H4" i="22" s="1"/>
  <c r="F15" i="19"/>
  <c r="I4" i="22" s="1"/>
  <c r="G4" i="22" l="1"/>
  <c r="N7" i="19"/>
  <c r="P36" i="37"/>
  <c r="P35" i="37"/>
  <c r="P34" i="37"/>
  <c r="P33" i="37"/>
  <c r="P30" i="37"/>
  <c r="P27" i="37"/>
  <c r="P26" i="37"/>
  <c r="P25" i="37"/>
  <c r="P24" i="37"/>
  <c r="P21" i="37"/>
  <c r="P20" i="37"/>
  <c r="P19" i="37"/>
  <c r="P18" i="37"/>
  <c r="P17" i="37"/>
  <c r="N5" i="37"/>
  <c r="F20" i="37"/>
  <c r="I21" i="22"/>
  <c r="F17" i="37"/>
  <c r="I19" i="22" s="1"/>
  <c r="F11" i="37"/>
  <c r="I13" i="22" s="1"/>
  <c r="P36" i="45"/>
  <c r="P35" i="45"/>
  <c r="P34" i="45"/>
  <c r="P33" i="45"/>
  <c r="P31" i="45"/>
  <c r="P30" i="45"/>
  <c r="P32" i="45" s="1"/>
  <c r="P27" i="45"/>
  <c r="P26" i="45"/>
  <c r="P25" i="45"/>
  <c r="P24" i="45"/>
  <c r="P21" i="45"/>
  <c r="P20" i="45"/>
  <c r="P19" i="45"/>
  <c r="P18" i="45"/>
  <c r="P17" i="45"/>
  <c r="N5" i="45"/>
  <c r="F20" i="45"/>
  <c r="H22" i="22" s="1"/>
  <c r="F19" i="45"/>
  <c r="H21" i="22" s="1"/>
  <c r="F17" i="45"/>
  <c r="H19" i="22" s="1"/>
  <c r="F11" i="45"/>
  <c r="H13" i="22" s="1"/>
  <c r="P36" i="35"/>
  <c r="P35" i="35"/>
  <c r="P34" i="35"/>
  <c r="P33" i="35"/>
  <c r="P31" i="35"/>
  <c r="P30" i="35"/>
  <c r="P27" i="35"/>
  <c r="P26" i="35"/>
  <c r="P25" i="35"/>
  <c r="P24" i="35"/>
  <c r="P21" i="35"/>
  <c r="P20" i="35"/>
  <c r="P19" i="35"/>
  <c r="P18" i="35"/>
  <c r="P17" i="35"/>
  <c r="N5" i="35"/>
  <c r="F20" i="35"/>
  <c r="G22" i="22" s="1"/>
  <c r="F19" i="35"/>
  <c r="F17" i="35"/>
  <c r="G19" i="22" s="1"/>
  <c r="F11" i="35"/>
  <c r="G13" i="22" s="1"/>
  <c r="I48" i="22"/>
  <c r="I47" i="22"/>
  <c r="I46" i="22"/>
  <c r="I45" i="22"/>
  <c r="H48" i="22"/>
  <c r="H47" i="22"/>
  <c r="H46" i="22"/>
  <c r="H45" i="22"/>
  <c r="G48" i="22"/>
  <c r="G47" i="22"/>
  <c r="G46" i="22"/>
  <c r="G45" i="22"/>
  <c r="I41" i="22"/>
  <c r="I39" i="22"/>
  <c r="I31" i="22"/>
  <c r="H41" i="22"/>
  <c r="H39" i="22"/>
  <c r="H31" i="22"/>
  <c r="G41" i="22"/>
  <c r="G39" i="22"/>
  <c r="G31" i="22"/>
  <c r="I20" i="22"/>
  <c r="I14" i="22"/>
  <c r="I6" i="22"/>
  <c r="H20" i="22"/>
  <c r="H14" i="22"/>
  <c r="H6" i="22"/>
  <c r="G20" i="22"/>
  <c r="G14" i="22"/>
  <c r="G6" i="22"/>
  <c r="J4" i="22"/>
  <c r="F10" i="37"/>
  <c r="I12" i="22" s="1"/>
  <c r="F10" i="45"/>
  <c r="H12" i="22" s="1"/>
  <c r="F10" i="35"/>
  <c r="G12" i="22" s="1"/>
  <c r="F40" i="37"/>
  <c r="F45" i="37" s="1"/>
  <c r="F24" i="37"/>
  <c r="I26" i="22" s="1"/>
  <c r="F23" i="37"/>
  <c r="I25" i="22" s="1"/>
  <c r="F22" i="37"/>
  <c r="I24" i="22" s="1"/>
  <c r="P14" i="37"/>
  <c r="P13" i="37"/>
  <c r="P15" i="37" s="1"/>
  <c r="F6" i="37" s="1"/>
  <c r="I8" i="22" s="1"/>
  <c r="P11" i="37"/>
  <c r="N11" i="37"/>
  <c r="N10" i="37"/>
  <c r="R9" i="37"/>
  <c r="N9" i="37"/>
  <c r="R8" i="37"/>
  <c r="N8" i="37"/>
  <c r="R7" i="37"/>
  <c r="N7" i="37"/>
  <c r="R6" i="37"/>
  <c r="N6" i="37"/>
  <c r="R5" i="37"/>
  <c r="F40" i="45"/>
  <c r="F45" i="45" s="1"/>
  <c r="F24" i="45"/>
  <c r="H26" i="22" s="1"/>
  <c r="F23" i="45"/>
  <c r="H25" i="22" s="1"/>
  <c r="F22" i="45"/>
  <c r="H24" i="22" s="1"/>
  <c r="P14" i="45"/>
  <c r="P13" i="45"/>
  <c r="P11" i="45"/>
  <c r="F27" i="45" s="1"/>
  <c r="H30" i="22" s="1"/>
  <c r="N11" i="45"/>
  <c r="N10" i="45"/>
  <c r="R9" i="45"/>
  <c r="N9" i="45"/>
  <c r="R8" i="45"/>
  <c r="N8" i="45"/>
  <c r="R7" i="45"/>
  <c r="N7" i="45"/>
  <c r="R6" i="45"/>
  <c r="N6" i="45"/>
  <c r="R5" i="45"/>
  <c r="F40" i="35"/>
  <c r="G44" i="22" s="1"/>
  <c r="F24" i="35"/>
  <c r="G26" i="22" s="1"/>
  <c r="F23" i="35"/>
  <c r="G25" i="22" s="1"/>
  <c r="F22" i="35"/>
  <c r="G24" i="22" s="1"/>
  <c r="P14" i="35"/>
  <c r="P13" i="35"/>
  <c r="F6" i="35" s="1"/>
  <c r="G8" i="22" s="1"/>
  <c r="P11" i="35"/>
  <c r="F29" i="35" s="1"/>
  <c r="G32" i="22" s="1"/>
  <c r="N11" i="35"/>
  <c r="N10" i="35"/>
  <c r="R9" i="35"/>
  <c r="N9" i="35"/>
  <c r="R8" i="35"/>
  <c r="N8" i="35"/>
  <c r="R7" i="35"/>
  <c r="N7" i="35"/>
  <c r="R6" i="35"/>
  <c r="N6" i="35"/>
  <c r="R5" i="35"/>
  <c r="J6" i="22" l="1"/>
  <c r="J39" i="22"/>
  <c r="J47" i="22"/>
  <c r="J46" i="22"/>
  <c r="J14" i="22"/>
  <c r="J20" i="22"/>
  <c r="J45" i="22"/>
  <c r="J31" i="22"/>
  <c r="J44" i="22"/>
  <c r="J41" i="22"/>
  <c r="J48" i="22"/>
  <c r="J25" i="22"/>
  <c r="J24" i="22"/>
  <c r="J26" i="22"/>
  <c r="J21" i="22"/>
  <c r="J22" i="22"/>
  <c r="J23" i="22"/>
  <c r="J31" i="30"/>
  <c r="J23" i="30"/>
  <c r="J7" i="30"/>
  <c r="J21" i="30"/>
  <c r="J27" i="30"/>
  <c r="J25" i="30"/>
  <c r="J32" i="30"/>
  <c r="J30" i="30"/>
  <c r="J22" i="30"/>
  <c r="J6" i="30"/>
  <c r="J24" i="30"/>
  <c r="J37" i="30"/>
  <c r="J29" i="30"/>
  <c r="J5" i="30"/>
  <c r="J35" i="30"/>
  <c r="J26" i="30"/>
  <c r="J17" i="30"/>
  <c r="J16" i="30"/>
  <c r="J36" i="30"/>
  <c r="J28" i="30"/>
  <c r="J20" i="30"/>
  <c r="J19" i="30"/>
  <c r="J18" i="30"/>
  <c r="J34" i="30"/>
  <c r="J33" i="30"/>
  <c r="F29" i="45"/>
  <c r="H32" i="22" s="1"/>
  <c r="F29" i="37"/>
  <c r="I32" i="22" s="1"/>
  <c r="F27" i="37"/>
  <c r="I30" i="22" s="1"/>
  <c r="R11" i="37"/>
  <c r="F4" i="37" s="1"/>
  <c r="R11" i="45"/>
  <c r="Q11" i="45" s="1"/>
  <c r="P15" i="45"/>
  <c r="F6" i="45" s="1"/>
  <c r="H8" i="22" s="1"/>
  <c r="R11" i="35"/>
  <c r="I44" i="22"/>
  <c r="H44" i="22"/>
  <c r="H49" i="22" s="1"/>
  <c r="F45" i="35"/>
  <c r="F35" i="37"/>
  <c r="I38" i="22" s="1"/>
  <c r="I22" i="22"/>
  <c r="F21" i="37"/>
  <c r="I23" i="22" s="1"/>
  <c r="P31" i="37"/>
  <c r="P32" i="37" s="1"/>
  <c r="P37" i="37" s="1"/>
  <c r="F9" i="37" s="1"/>
  <c r="I11" i="22" s="1"/>
  <c r="G49" i="22"/>
  <c r="P28" i="37"/>
  <c r="F8" i="37" s="1"/>
  <c r="I10" i="22" s="1"/>
  <c r="P22" i="37"/>
  <c r="F7" i="37" s="1"/>
  <c r="I9" i="22" s="1"/>
  <c r="P37" i="45"/>
  <c r="F9" i="45" s="1"/>
  <c r="H11" i="22" s="1"/>
  <c r="P28" i="45"/>
  <c r="F8" i="45" s="1"/>
  <c r="H10" i="22" s="1"/>
  <c r="P22" i="45"/>
  <c r="F7" i="45" s="1"/>
  <c r="H9" i="22" s="1"/>
  <c r="F21" i="45"/>
  <c r="H23" i="22" s="1"/>
  <c r="P28" i="35"/>
  <c r="F8" i="35" s="1"/>
  <c r="G10" i="22" s="1"/>
  <c r="P22" i="35"/>
  <c r="F7" i="35" s="1"/>
  <c r="G9" i="22" s="1"/>
  <c r="F21" i="35"/>
  <c r="G23" i="22" s="1"/>
  <c r="G21" i="22"/>
  <c r="I49" i="22"/>
  <c r="F35" i="45"/>
  <c r="H38" i="22" s="1"/>
  <c r="Q11" i="35"/>
  <c r="F4" i="35"/>
  <c r="F27" i="35"/>
  <c r="G30" i="22" s="1"/>
  <c r="P32" i="35"/>
  <c r="P37" i="35" s="1"/>
  <c r="F9" i="35" s="1"/>
  <c r="G11" i="22" s="1"/>
  <c r="P15" i="35"/>
  <c r="Q11" i="37" l="1"/>
  <c r="F4" i="45"/>
  <c r="H5" i="22" s="1"/>
  <c r="H7" i="22" s="1"/>
  <c r="G5" i="22"/>
  <c r="G7" i="22" s="1"/>
  <c r="I5" i="22"/>
  <c r="I7" i="22" s="1"/>
  <c r="F35" i="35"/>
  <c r="G38" i="22" s="1"/>
  <c r="F37" i="35"/>
  <c r="G40" i="22" s="1"/>
  <c r="F37" i="37"/>
  <c r="F37" i="45"/>
  <c r="I40" i="22" l="1"/>
  <c r="I42" i="22" s="1"/>
  <c r="F39" i="37"/>
  <c r="H40" i="22"/>
  <c r="H42" i="22" s="1"/>
  <c r="F39" i="45"/>
  <c r="F39" i="35"/>
  <c r="G42" i="22"/>
  <c r="G6" i="34" l="1"/>
  <c r="I6" i="34" s="1"/>
  <c r="I5" i="34"/>
  <c r="G6" i="33"/>
  <c r="I6" i="33" s="1"/>
  <c r="L6" i="33" s="1"/>
  <c r="G5" i="33"/>
  <c r="I5" i="33" s="1"/>
  <c r="L5" i="33" s="1"/>
  <c r="L6" i="34" l="1"/>
  <c r="N6" i="34" s="1"/>
  <c r="P6" i="34" s="1"/>
  <c r="L5" i="34"/>
  <c r="N5" i="34" s="1"/>
  <c r="P5" i="34" s="1"/>
  <c r="N5" i="33"/>
  <c r="P5" i="33" s="1"/>
  <c r="K4" i="22"/>
  <c r="K41" i="22" l="1"/>
  <c r="K20" i="22"/>
  <c r="K39" i="22"/>
  <c r="K48" i="22"/>
  <c r="K46" i="22"/>
  <c r="K14" i="22"/>
  <c r="K31" i="22"/>
  <c r="K47" i="22"/>
  <c r="K25" i="22"/>
  <c r="K32" i="22"/>
  <c r="K45" i="22"/>
  <c r="K24" i="22"/>
  <c r="K30" i="22"/>
  <c r="K26" i="22"/>
  <c r="K44" i="22"/>
  <c r="K6" i="22"/>
  <c r="K38" i="22"/>
  <c r="F38" i="22" s="1"/>
  <c r="K22" i="22"/>
  <c r="K21" i="22"/>
  <c r="K23" i="22"/>
  <c r="N6" i="33"/>
  <c r="P6" i="33" s="1"/>
  <c r="J49" i="22" l="1"/>
  <c r="F39" i="22"/>
  <c r="D13" i="23"/>
  <c r="C13" i="23"/>
  <c r="G11" i="23"/>
  <c r="G8" i="23"/>
  <c r="G5" i="23"/>
  <c r="E11" i="23"/>
  <c r="E8" i="23"/>
  <c r="E5" i="23"/>
  <c r="D11" i="23"/>
  <c r="D8" i="23"/>
  <c r="D5" i="23"/>
  <c r="C11" i="23"/>
  <c r="C8" i="23"/>
  <c r="C5" i="23"/>
  <c r="F6" i="22" l="1"/>
  <c r="F45" i="49"/>
  <c r="P14" i="49"/>
  <c r="P13" i="49"/>
  <c r="F6" i="49" s="1"/>
  <c r="J8" i="22" s="1"/>
  <c r="P11" i="49"/>
  <c r="N11" i="49"/>
  <c r="N10" i="49"/>
  <c r="R9" i="49"/>
  <c r="N9" i="49"/>
  <c r="R8" i="49"/>
  <c r="N8" i="49"/>
  <c r="R7" i="49"/>
  <c r="N7" i="49"/>
  <c r="R6" i="49"/>
  <c r="N6" i="49"/>
  <c r="R5" i="49"/>
  <c r="N5" i="49"/>
  <c r="F47" i="48"/>
  <c r="P38" i="48"/>
  <c r="P37" i="48"/>
  <c r="P36" i="48"/>
  <c r="P35" i="48"/>
  <c r="P33" i="48"/>
  <c r="P32" i="48"/>
  <c r="P16" i="48"/>
  <c r="P15" i="48"/>
  <c r="N13" i="48"/>
  <c r="N12" i="48"/>
  <c r="R11" i="48"/>
  <c r="N11" i="48"/>
  <c r="R10" i="48"/>
  <c r="N10" i="48"/>
  <c r="R9" i="48"/>
  <c r="N9" i="48"/>
  <c r="R8" i="48"/>
  <c r="N8" i="48"/>
  <c r="F8" i="48"/>
  <c r="K8" i="22" s="1"/>
  <c r="R7" i="48"/>
  <c r="P15" i="49" l="1"/>
  <c r="F29" i="49"/>
  <c r="J32" i="22" s="1"/>
  <c r="F27" i="49"/>
  <c r="J30" i="22" s="1"/>
  <c r="R13" i="48"/>
  <c r="R11" i="49"/>
  <c r="Q11" i="49" s="1"/>
  <c r="P17" i="48"/>
  <c r="P34" i="48"/>
  <c r="P39" i="48" s="1"/>
  <c r="F11" i="48" s="1"/>
  <c r="K11" i="22" s="1"/>
  <c r="F4" i="49" l="1"/>
  <c r="J5" i="22" s="1"/>
  <c r="F6" i="48"/>
  <c r="K5" i="22" s="1"/>
  <c r="K7" i="22" s="1"/>
  <c r="Q13" i="48"/>
  <c r="J7" i="22"/>
  <c r="F5" i="22"/>
  <c r="F7" i="22" s="1"/>
  <c r="P35" i="49" l="1"/>
  <c r="G63" i="34"/>
  <c r="P62" i="34"/>
  <c r="I62" i="34"/>
  <c r="L62" i="34" s="1"/>
  <c r="N62" i="34" s="1"/>
  <c r="P61" i="34"/>
  <c r="I61" i="34"/>
  <c r="L61" i="34" s="1"/>
  <c r="N61" i="34" s="1"/>
  <c r="P60" i="34"/>
  <c r="I60" i="34"/>
  <c r="L60" i="34" s="1"/>
  <c r="N60" i="34" s="1"/>
  <c r="I57" i="34"/>
  <c r="I56" i="34"/>
  <c r="L56" i="34" s="1"/>
  <c r="N56" i="34" s="1"/>
  <c r="I55" i="34"/>
  <c r="L55" i="34" s="1"/>
  <c r="I54" i="34"/>
  <c r="L54" i="34" s="1"/>
  <c r="N54" i="34" s="1"/>
  <c r="I53" i="34"/>
  <c r="L53" i="34" s="1"/>
  <c r="N53" i="34" s="1"/>
  <c r="I52" i="34"/>
  <c r="L52" i="34" s="1"/>
  <c r="N52" i="34" s="1"/>
  <c r="I51" i="34"/>
  <c r="L51" i="34" s="1"/>
  <c r="N51" i="34" s="1"/>
  <c r="I50" i="34"/>
  <c r="L50" i="34" s="1"/>
  <c r="N50" i="34" s="1"/>
  <c r="I49" i="34"/>
  <c r="L49" i="34" s="1"/>
  <c r="N49" i="34" s="1"/>
  <c r="I48" i="34"/>
  <c r="L48" i="34" s="1"/>
  <c r="N48" i="34" s="1"/>
  <c r="I47" i="34"/>
  <c r="L47" i="34" s="1"/>
  <c r="N47" i="34" s="1"/>
  <c r="I46" i="34"/>
  <c r="L46" i="34" s="1"/>
  <c r="N46" i="34" s="1"/>
  <c r="I45" i="34"/>
  <c r="L45" i="34" s="1"/>
  <c r="N45" i="34" s="1"/>
  <c r="I44" i="34"/>
  <c r="L44" i="34" s="1"/>
  <c r="N44" i="34" s="1"/>
  <c r="I43" i="34"/>
  <c r="L43" i="34" s="1"/>
  <c r="N43" i="34" s="1"/>
  <c r="I42" i="34"/>
  <c r="L42" i="34" s="1"/>
  <c r="N42" i="34" s="1"/>
  <c r="I41" i="34"/>
  <c r="L41" i="34" s="1"/>
  <c r="I40" i="34"/>
  <c r="L40" i="34" s="1"/>
  <c r="P39" i="34"/>
  <c r="I39" i="34"/>
  <c r="L39" i="34" s="1"/>
  <c r="N39" i="34" s="1"/>
  <c r="P38" i="34"/>
  <c r="I38" i="34"/>
  <c r="L38" i="34" s="1"/>
  <c r="N38" i="34" s="1"/>
  <c r="I37" i="34"/>
  <c r="L37" i="34" s="1"/>
  <c r="N37" i="34" s="1"/>
  <c r="P36" i="34"/>
  <c r="I36" i="34"/>
  <c r="L36" i="34" s="1"/>
  <c r="N36" i="34" s="1"/>
  <c r="P35" i="34"/>
  <c r="L35" i="34"/>
  <c r="N35" i="34" s="1"/>
  <c r="P34" i="34"/>
  <c r="I34" i="34"/>
  <c r="L34" i="34" s="1"/>
  <c r="N34" i="34" s="1"/>
  <c r="P33" i="34"/>
  <c r="I33" i="34"/>
  <c r="L33" i="34" s="1"/>
  <c r="N33" i="34" s="1"/>
  <c r="I32" i="34"/>
  <c r="L32" i="34" s="1"/>
  <c r="N32" i="34" s="1"/>
  <c r="L31" i="34"/>
  <c r="N31" i="34" s="1"/>
  <c r="I30" i="34"/>
  <c r="L30" i="34" s="1"/>
  <c r="N30" i="34" s="1"/>
  <c r="I29" i="34"/>
  <c r="L29" i="34" s="1"/>
  <c r="N29" i="34" s="1"/>
  <c r="I28" i="34"/>
  <c r="L28" i="34" s="1"/>
  <c r="N28" i="34" s="1"/>
  <c r="I27" i="34"/>
  <c r="L27" i="34" s="1"/>
  <c r="I26" i="34"/>
  <c r="L26" i="34" s="1"/>
  <c r="I25" i="34"/>
  <c r="L25" i="34" s="1"/>
  <c r="I24" i="34"/>
  <c r="L24" i="34" s="1"/>
  <c r="N24" i="34" s="1"/>
  <c r="I23" i="34"/>
  <c r="L23" i="34" s="1"/>
  <c r="N23" i="34" s="1"/>
  <c r="I22" i="34"/>
  <c r="L22" i="34" s="1"/>
  <c r="N22" i="34" s="1"/>
  <c r="I21" i="34"/>
  <c r="L21" i="34" s="1"/>
  <c r="N21" i="34" s="1"/>
  <c r="I20" i="34"/>
  <c r="L20" i="34" s="1"/>
  <c r="I19" i="34"/>
  <c r="L19" i="34" s="1"/>
  <c r="N19" i="34" s="1"/>
  <c r="I18" i="34"/>
  <c r="L18" i="34" s="1"/>
  <c r="N18" i="34" s="1"/>
  <c r="I17" i="34"/>
  <c r="L17" i="34" s="1"/>
  <c r="I16" i="34"/>
  <c r="G15" i="34"/>
  <c r="P14" i="34"/>
  <c r="I14" i="34"/>
  <c r="L14" i="34" s="1"/>
  <c r="N14" i="34" s="1"/>
  <c r="P13" i="34"/>
  <c r="I13" i="34"/>
  <c r="L13" i="34" s="1"/>
  <c r="N13" i="34" s="1"/>
  <c r="I12" i="34"/>
  <c r="L12" i="34" s="1"/>
  <c r="N12" i="34" s="1"/>
  <c r="P11" i="34"/>
  <c r="I11" i="34"/>
  <c r="L11" i="34" s="1"/>
  <c r="N11" i="34" s="1"/>
  <c r="P10" i="34"/>
  <c r="I10" i="34"/>
  <c r="L10" i="34" s="1"/>
  <c r="N10" i="34" s="1"/>
  <c r="I9" i="34"/>
  <c r="L9" i="34" s="1"/>
  <c r="N9" i="34" s="1"/>
  <c r="P8" i="34"/>
  <c r="I8" i="34"/>
  <c r="L8" i="34" s="1"/>
  <c r="N8" i="34" s="1"/>
  <c r="I7" i="34"/>
  <c r="I15" i="34" s="1"/>
  <c r="G63" i="33"/>
  <c r="P62" i="33"/>
  <c r="I62" i="33"/>
  <c r="L62" i="33" s="1"/>
  <c r="N62" i="33" s="1"/>
  <c r="P61" i="33"/>
  <c r="I61" i="33"/>
  <c r="L61" i="33" s="1"/>
  <c r="N61" i="33" s="1"/>
  <c r="P60" i="33"/>
  <c r="I60" i="33"/>
  <c r="L60" i="33" s="1"/>
  <c r="N60" i="33" s="1"/>
  <c r="I59" i="33"/>
  <c r="G58" i="33"/>
  <c r="I57" i="33"/>
  <c r="L57" i="33" s="1"/>
  <c r="I56" i="33"/>
  <c r="L56" i="33" s="1"/>
  <c r="N56" i="33" s="1"/>
  <c r="I55" i="33"/>
  <c r="L55" i="33" s="1"/>
  <c r="N55" i="33" s="1"/>
  <c r="I54" i="33"/>
  <c r="L54" i="33" s="1"/>
  <c r="N54" i="33" s="1"/>
  <c r="I53" i="33"/>
  <c r="L53" i="33" s="1"/>
  <c r="N53" i="33" s="1"/>
  <c r="I52" i="33"/>
  <c r="L52" i="33" s="1"/>
  <c r="N52" i="33" s="1"/>
  <c r="I51" i="33"/>
  <c r="L51" i="33" s="1"/>
  <c r="N51" i="33" s="1"/>
  <c r="I50" i="33"/>
  <c r="L50" i="33" s="1"/>
  <c r="N50" i="33" s="1"/>
  <c r="I49" i="33"/>
  <c r="L49" i="33" s="1"/>
  <c r="N49" i="33" s="1"/>
  <c r="I48" i="33"/>
  <c r="L48" i="33" s="1"/>
  <c r="N48" i="33" s="1"/>
  <c r="I47" i="33"/>
  <c r="L47" i="33" s="1"/>
  <c r="N47" i="33" s="1"/>
  <c r="I46" i="33"/>
  <c r="L46" i="33" s="1"/>
  <c r="N46" i="33" s="1"/>
  <c r="I45" i="33"/>
  <c r="L45" i="33" s="1"/>
  <c r="N45" i="33" s="1"/>
  <c r="I44" i="33"/>
  <c r="L44" i="33" s="1"/>
  <c r="N44" i="33" s="1"/>
  <c r="I43" i="33"/>
  <c r="L43" i="33" s="1"/>
  <c r="N43" i="33" s="1"/>
  <c r="I42" i="33"/>
  <c r="L42" i="33" s="1"/>
  <c r="N42" i="33" s="1"/>
  <c r="I41" i="33"/>
  <c r="L41" i="33" s="1"/>
  <c r="I40" i="33"/>
  <c r="I39" i="33"/>
  <c r="L39" i="33" s="1"/>
  <c r="N39" i="33" s="1"/>
  <c r="I38" i="33"/>
  <c r="L38" i="33" s="1"/>
  <c r="N38" i="33" s="1"/>
  <c r="I37" i="33"/>
  <c r="L37" i="33" s="1"/>
  <c r="N37" i="33" s="1"/>
  <c r="P36" i="33"/>
  <c r="I36" i="33"/>
  <c r="L36" i="33" s="1"/>
  <c r="N36" i="33" s="1"/>
  <c r="P35" i="33"/>
  <c r="I35" i="33"/>
  <c r="L35" i="33" s="1"/>
  <c r="N35" i="33" s="1"/>
  <c r="P34" i="33"/>
  <c r="I34" i="33"/>
  <c r="L34" i="33" s="1"/>
  <c r="N34" i="33" s="1"/>
  <c r="P33" i="33"/>
  <c r="I33" i="33"/>
  <c r="L33" i="33" s="1"/>
  <c r="N33" i="33" s="1"/>
  <c r="P32" i="33"/>
  <c r="I32" i="33"/>
  <c r="L32" i="33" s="1"/>
  <c r="N32" i="33" s="1"/>
  <c r="I30" i="33"/>
  <c r="L30" i="33" s="1"/>
  <c r="N30" i="33" s="1"/>
  <c r="P29" i="33"/>
  <c r="I29" i="33"/>
  <c r="L29" i="33" s="1"/>
  <c r="N29" i="33" s="1"/>
  <c r="I28" i="33"/>
  <c r="L28" i="33" s="1"/>
  <c r="N28" i="33" s="1"/>
  <c r="L27" i="33"/>
  <c r="I26" i="33"/>
  <c r="L26" i="33" s="1"/>
  <c r="I25" i="33"/>
  <c r="L25" i="33" s="1"/>
  <c r="P24" i="33"/>
  <c r="I24" i="33"/>
  <c r="L24" i="33" s="1"/>
  <c r="N24" i="33" s="1"/>
  <c r="I23" i="33"/>
  <c r="L23" i="33" s="1"/>
  <c r="N23" i="33" s="1"/>
  <c r="P23" i="33" s="1"/>
  <c r="I22" i="33"/>
  <c r="L22" i="33" s="1"/>
  <c r="N22" i="33" s="1"/>
  <c r="I21" i="33"/>
  <c r="L21" i="33" s="1"/>
  <c r="N21" i="33" s="1"/>
  <c r="I20" i="33"/>
  <c r="L20" i="33" s="1"/>
  <c r="I19" i="33"/>
  <c r="L19" i="33" s="1"/>
  <c r="N19" i="33" s="1"/>
  <c r="I18" i="33"/>
  <c r="L18" i="33" s="1"/>
  <c r="N18" i="33" s="1"/>
  <c r="I17" i="33"/>
  <c r="I16" i="33"/>
  <c r="G15" i="33"/>
  <c r="P14" i="33"/>
  <c r="I14" i="33"/>
  <c r="L14" i="33" s="1"/>
  <c r="N14" i="33" s="1"/>
  <c r="P13" i="33"/>
  <c r="I13" i="33"/>
  <c r="L13" i="33" s="1"/>
  <c r="N13" i="33" s="1"/>
  <c r="I12" i="33"/>
  <c r="L12" i="33" s="1"/>
  <c r="N12" i="33" s="1"/>
  <c r="P11" i="33"/>
  <c r="I11" i="33"/>
  <c r="L11" i="33" s="1"/>
  <c r="N11" i="33" s="1"/>
  <c r="P10" i="33"/>
  <c r="I10" i="33"/>
  <c r="L10" i="33" s="1"/>
  <c r="N10" i="33" s="1"/>
  <c r="I9" i="33"/>
  <c r="L9" i="33" s="1"/>
  <c r="P8" i="33"/>
  <c r="I8" i="33"/>
  <c r="L8" i="33" s="1"/>
  <c r="G12" i="23"/>
  <c r="I16" i="23"/>
  <c r="I13" i="23"/>
  <c r="I11" i="23"/>
  <c r="L11" i="23" s="1"/>
  <c r="I8" i="23"/>
  <c r="I5" i="23"/>
  <c r="L16" i="23" l="1"/>
  <c r="L18" i="23"/>
  <c r="L17" i="23"/>
  <c r="L10" i="23"/>
  <c r="L92" i="23" s="1"/>
  <c r="F15" i="48" s="1"/>
  <c r="L8" i="23"/>
  <c r="L9" i="23"/>
  <c r="L15" i="23"/>
  <c r="L14" i="23"/>
  <c r="L13" i="23"/>
  <c r="L7" i="23"/>
  <c r="L6" i="23"/>
  <c r="L5" i="23"/>
  <c r="P19" i="33"/>
  <c r="P22" i="34"/>
  <c r="N8" i="33"/>
  <c r="L15" i="33"/>
  <c r="P18" i="34"/>
  <c r="P23" i="34"/>
  <c r="P29" i="34"/>
  <c r="P19" i="34"/>
  <c r="P24" i="34"/>
  <c r="P31" i="34"/>
  <c r="P18" i="33"/>
  <c r="P17" i="23"/>
  <c r="P32" i="34"/>
  <c r="P30" i="34"/>
  <c r="P28" i="34"/>
  <c r="P28" i="33"/>
  <c r="P22" i="33"/>
  <c r="P30" i="33"/>
  <c r="I87" i="23"/>
  <c r="P10" i="23"/>
  <c r="P26" i="49"/>
  <c r="I12" i="23"/>
  <c r="P20" i="48"/>
  <c r="P21" i="48"/>
  <c r="P19" i="48"/>
  <c r="F12" i="48"/>
  <c r="K12" i="22" s="1"/>
  <c r="P26" i="48"/>
  <c r="P27" i="48"/>
  <c r="P29" i="48"/>
  <c r="P22" i="48"/>
  <c r="F13" i="48"/>
  <c r="K13" i="22" s="1"/>
  <c r="P31" i="49"/>
  <c r="P19" i="49"/>
  <c r="P17" i="49"/>
  <c r="P33" i="49"/>
  <c r="P34" i="49"/>
  <c r="P36" i="49"/>
  <c r="F10" i="49"/>
  <c r="J12" i="22" s="1"/>
  <c r="P18" i="49"/>
  <c r="I63" i="33"/>
  <c r="G64" i="33"/>
  <c r="L57" i="34"/>
  <c r="N57" i="34" s="1"/>
  <c r="P24" i="49"/>
  <c r="P25" i="49"/>
  <c r="L40" i="33"/>
  <c r="N40" i="33" s="1"/>
  <c r="L17" i="33"/>
  <c r="N17" i="33" s="1"/>
  <c r="P17" i="33" s="1"/>
  <c r="I63" i="34"/>
  <c r="P30" i="49"/>
  <c r="P20" i="49"/>
  <c r="F11" i="49"/>
  <c r="J13" i="22" s="1"/>
  <c r="P27" i="49"/>
  <c r="N55" i="34"/>
  <c r="N20" i="34"/>
  <c r="P20" i="34" s="1"/>
  <c r="N27" i="34"/>
  <c r="P27" i="34" s="1"/>
  <c r="I58" i="34"/>
  <c r="G64" i="34"/>
  <c r="P9" i="34"/>
  <c r="N27" i="33"/>
  <c r="P27" i="33" s="1"/>
  <c r="N20" i="33"/>
  <c r="P20" i="33" s="1"/>
  <c r="I58" i="33"/>
  <c r="N9" i="33"/>
  <c r="P9" i="33" s="1"/>
  <c r="P15" i="33" s="1"/>
  <c r="I15" i="33"/>
  <c r="N41" i="34"/>
  <c r="N40" i="34"/>
  <c r="P40" i="34" s="1"/>
  <c r="N25" i="34"/>
  <c r="P25" i="34" s="1"/>
  <c r="N17" i="34"/>
  <c r="P17" i="34" s="1"/>
  <c r="N26" i="34"/>
  <c r="P26" i="34" s="1"/>
  <c r="L7" i="34"/>
  <c r="L15" i="34" s="1"/>
  <c r="P12" i="34"/>
  <c r="P21" i="34"/>
  <c r="P37" i="34"/>
  <c r="L16" i="34"/>
  <c r="N26" i="33"/>
  <c r="P26" i="33" s="1"/>
  <c r="N41" i="33"/>
  <c r="N25" i="33"/>
  <c r="P25" i="33" s="1"/>
  <c r="N57" i="33"/>
  <c r="P57" i="33" s="1"/>
  <c r="P12" i="33"/>
  <c r="P21" i="33"/>
  <c r="L59" i="33"/>
  <c r="L16" i="33"/>
  <c r="L94" i="23" l="1"/>
  <c r="F13" i="45" s="1"/>
  <c r="H15" i="22" s="1"/>
  <c r="L91" i="23"/>
  <c r="F14" i="49" s="1"/>
  <c r="L93" i="23"/>
  <c r="F16" i="48" s="1"/>
  <c r="K15" i="22"/>
  <c r="N6" i="23"/>
  <c r="P6" i="23" s="1"/>
  <c r="L90" i="23"/>
  <c r="F13" i="49" s="1"/>
  <c r="J15" i="22" s="1"/>
  <c r="P18" i="23"/>
  <c r="P14" i="23"/>
  <c r="P9" i="23"/>
  <c r="P16" i="23"/>
  <c r="P15" i="23"/>
  <c r="P32" i="49"/>
  <c r="P37" i="49" s="1"/>
  <c r="F9" i="49" s="1"/>
  <c r="J11" i="22" s="1"/>
  <c r="P22" i="49"/>
  <c r="F7" i="49" s="1"/>
  <c r="J9" i="22" s="1"/>
  <c r="P23" i="48"/>
  <c r="P24" i="48" s="1"/>
  <c r="F9" i="48" s="1"/>
  <c r="K9" i="22" s="1"/>
  <c r="P28" i="49"/>
  <c r="F8" i="49" s="1"/>
  <c r="J10" i="22" s="1"/>
  <c r="P28" i="48"/>
  <c r="P30" i="48" s="1"/>
  <c r="F10" i="48" s="1"/>
  <c r="K10" i="22" s="1"/>
  <c r="F37" i="49"/>
  <c r="J40" i="22" s="1"/>
  <c r="I64" i="34"/>
  <c r="I64" i="33"/>
  <c r="N7" i="34"/>
  <c r="P7" i="34" s="1"/>
  <c r="P15" i="34" s="1"/>
  <c r="L63" i="34"/>
  <c r="P63" i="34"/>
  <c r="L58" i="34"/>
  <c r="N16" i="34"/>
  <c r="P16" i="34" s="1"/>
  <c r="P58" i="34" s="1"/>
  <c r="L58" i="33"/>
  <c r="N16" i="33"/>
  <c r="P16" i="33" s="1"/>
  <c r="P58" i="33" s="1"/>
  <c r="L63" i="33"/>
  <c r="N59" i="33"/>
  <c r="P59" i="33" s="1"/>
  <c r="P63" i="33" s="1"/>
  <c r="F17" i="49" s="1"/>
  <c r="J19" i="22" s="1"/>
  <c r="P13" i="23"/>
  <c r="N5" i="23"/>
  <c r="P5" i="23" s="1"/>
  <c r="N11" i="23"/>
  <c r="P11" i="23" s="1"/>
  <c r="N8" i="23"/>
  <c r="P8" i="23" s="1"/>
  <c r="N7" i="23"/>
  <c r="P7" i="23" s="1"/>
  <c r="L12" i="23"/>
  <c r="L95" i="23" l="1"/>
  <c r="F14" i="35" s="1"/>
  <c r="G16" i="22" s="1"/>
  <c r="F13" i="37"/>
  <c r="I15" i="22" s="1"/>
  <c r="F13" i="35"/>
  <c r="G15" i="22" s="1"/>
  <c r="P94" i="23"/>
  <c r="P93" i="23"/>
  <c r="F18" i="48" s="1"/>
  <c r="K18" i="22" s="1"/>
  <c r="P90" i="23"/>
  <c r="F15" i="49" s="1"/>
  <c r="J17" i="22" s="1"/>
  <c r="P91" i="23"/>
  <c r="P92" i="23"/>
  <c r="F17" i="48" s="1"/>
  <c r="K17" i="22" s="1"/>
  <c r="J16" i="22"/>
  <c r="L64" i="34"/>
  <c r="K16" i="22"/>
  <c r="F19" i="48"/>
  <c r="K19" i="22" s="1"/>
  <c r="F39" i="48"/>
  <c r="K40" i="22" s="1"/>
  <c r="J42" i="22"/>
  <c r="P64" i="34"/>
  <c r="L64" i="33"/>
  <c r="P64" i="33"/>
  <c r="P95" i="23" l="1"/>
  <c r="F16" i="45" s="1"/>
  <c r="F16" i="49"/>
  <c r="J18" i="22" s="1"/>
  <c r="F15" i="35"/>
  <c r="G17" i="22" s="1"/>
  <c r="F15" i="37"/>
  <c r="I17" i="22" s="1"/>
  <c r="F15" i="45"/>
  <c r="H17" i="22" s="1"/>
  <c r="F14" i="37"/>
  <c r="I16" i="22" s="1"/>
  <c r="F14" i="45"/>
  <c r="H16" i="22" s="1"/>
  <c r="F16" i="35"/>
  <c r="F27" i="48"/>
  <c r="K27" i="22" s="1"/>
  <c r="F8" i="22"/>
  <c r="F40" i="22"/>
  <c r="F41" i="48"/>
  <c r="F39" i="49"/>
  <c r="P12" i="23"/>
  <c r="F16" i="37" l="1"/>
  <c r="F25" i="49"/>
  <c r="J27" i="22" s="1"/>
  <c r="J28" i="22" s="1"/>
  <c r="J29" i="22" s="1"/>
  <c r="J43" i="22" s="1"/>
  <c r="J50" i="22" s="1"/>
  <c r="I18" i="22"/>
  <c r="F25" i="37"/>
  <c r="I27" i="22" s="1"/>
  <c r="H18" i="22"/>
  <c r="F25" i="45"/>
  <c r="H27" i="22" s="1"/>
  <c r="G18" i="22"/>
  <c r="F25" i="35"/>
  <c r="G27" i="22" s="1"/>
  <c r="F9" i="22"/>
  <c r="F28" i="48"/>
  <c r="F26" i="49"/>
  <c r="H28" i="22" l="1"/>
  <c r="H29" i="22" s="1"/>
  <c r="H43" i="22" s="1"/>
  <c r="H50" i="22" s="1"/>
  <c r="F26" i="35"/>
  <c r="F26" i="37"/>
  <c r="G28" i="22"/>
  <c r="G29" i="22" s="1"/>
  <c r="G43" i="22" s="1"/>
  <c r="G50" i="22" s="1"/>
  <c r="F26" i="45"/>
  <c r="I28" i="22"/>
  <c r="I29" i="22" s="1"/>
  <c r="I43" i="22" s="1"/>
  <c r="I50" i="22" s="1"/>
  <c r="F10" i="22"/>
  <c r="F11" i="22" l="1"/>
  <c r="F12" i="22" l="1"/>
  <c r="F13" i="22" l="1"/>
  <c r="F14" i="22" l="1"/>
  <c r="F15" i="22" l="1"/>
  <c r="F16" i="22" l="1"/>
  <c r="F17" i="22" l="1"/>
  <c r="F18" i="22" l="1"/>
  <c r="F19" i="22" l="1"/>
  <c r="F20" i="22" l="1"/>
  <c r="F21" i="22" l="1"/>
  <c r="F22" i="22" l="1"/>
  <c r="F23" i="22" l="1"/>
  <c r="F24" i="22" l="1"/>
  <c r="F25" i="22" l="1"/>
  <c r="F26" i="22" l="1"/>
  <c r="F27" i="22" l="1"/>
  <c r="F28" i="22" s="1"/>
  <c r="F29" i="22" s="1"/>
  <c r="K28" i="22"/>
  <c r="K29" i="22" s="1"/>
  <c r="F30" i="22" l="1"/>
  <c r="F31" i="22" l="1"/>
  <c r="F32" i="22" l="1"/>
  <c r="K42" i="22"/>
  <c r="F42" i="22" l="1"/>
  <c r="K43" i="22"/>
  <c r="F43" i="22" l="1"/>
  <c r="F44" i="22" l="1"/>
  <c r="F45" i="22" l="1"/>
  <c r="F46" i="22" l="1"/>
  <c r="F47" i="22" l="1"/>
  <c r="F48" i="22" l="1"/>
  <c r="K49" i="22"/>
  <c r="F49" i="22" l="1"/>
  <c r="K50" i="22"/>
  <c r="F50" i="22" s="1"/>
</calcChain>
</file>

<file path=xl/sharedStrings.xml><?xml version="1.0" encoding="utf-8"?>
<sst xmlns="http://schemas.openxmlformats.org/spreadsheetml/2006/main" count="2600" uniqueCount="718">
  <si>
    <t>交際費等 雑費</t>
    <rPh sb="0" eb="3">
      <t>コウサイヒ</t>
    </rPh>
    <rPh sb="3" eb="4">
      <t>トウ</t>
    </rPh>
    <rPh sb="5" eb="7">
      <t>ザッピ</t>
    </rPh>
    <phoneticPr fontId="4"/>
  </si>
  <si>
    <t>雑損失</t>
    <rPh sb="0" eb="2">
      <t>ザッソン</t>
    </rPh>
    <rPh sb="2" eb="3">
      <t>シツ</t>
    </rPh>
    <phoneticPr fontId="4"/>
  </si>
  <si>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</si>
  <si>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</si>
  <si>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</si>
  <si>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</si>
  <si>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</si>
  <si>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</si>
  <si>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</si>
  <si>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</si>
  <si>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</si>
  <si>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</si>
  <si>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</si>
  <si>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</si>
  <si>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</si>
  <si>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</si>
  <si>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</si>
  <si>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</si>
  <si>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</si>
  <si>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</si>
  <si>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</si>
  <si>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</si>
  <si>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</si>
  <si>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</si>
  <si>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</si>
  <si>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</si>
  <si>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</si>
  <si>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</si>
  <si>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</si>
  <si>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</si>
  <si>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</si>
  <si>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</si>
  <si>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</si>
  <si>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燃料費の</t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</si>
  <si>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</si>
  <si>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</si>
  <si>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</si>
  <si>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</si>
  <si>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</si>
  <si>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</si>
  <si>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</si>
  <si>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</si>
  <si>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</si>
  <si>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</si>
  <si>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</si>
  <si>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</si>
  <si>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</si>
  <si>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</si>
  <si>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  <phoneticPr fontId="4"/>
  </si>
  <si>
    <t>軽油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</si>
  <si>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</si>
  <si>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</si>
  <si>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</si>
  <si>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</si>
  <si>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トラクター</t>
  </si>
  <si>
    <t>ドライブハロー</t>
  </si>
  <si>
    <t>コンバイン</t>
  </si>
  <si>
    <t>品種</t>
    <rPh sb="0" eb="2">
      <t>ヒンシュ</t>
    </rPh>
    <phoneticPr fontId="4"/>
  </si>
  <si>
    <t>台</t>
  </si>
  <si>
    <t>水稲</t>
    <rPh sb="0" eb="2">
      <t>スイトウ</t>
    </rPh>
    <phoneticPr fontId="4"/>
  </si>
  <si>
    <t>播種機</t>
    <rPh sb="0" eb="2">
      <t>ハシュ</t>
    </rPh>
    <rPh sb="2" eb="3">
      <t>キ</t>
    </rPh>
    <phoneticPr fontId="3"/>
  </si>
  <si>
    <t>m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</si>
  <si>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</si>
  <si>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</si>
  <si>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</si>
  <si>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</si>
  <si>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</si>
  <si>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</si>
  <si>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</si>
  <si>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管理
委託料</t>
    <rPh sb="0" eb="2">
      <t>カンリ</t>
    </rPh>
    <rPh sb="3" eb="6">
      <t>イタクリョウ</t>
    </rPh>
    <phoneticPr fontId="4"/>
  </si>
  <si>
    <t>水管理</t>
    <rPh sb="0" eb="1">
      <t>ミズ</t>
    </rPh>
    <rPh sb="1" eb="3">
      <t>カンリ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</si>
  <si>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</si>
  <si>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</si>
  <si>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役員報酬</t>
    <rPh sb="0" eb="2">
      <t>ヤクイン</t>
    </rPh>
    <rPh sb="2" eb="4">
      <t>ホウシュウ</t>
    </rPh>
    <phoneticPr fontId="4"/>
  </si>
  <si>
    <t>会議費・旅費・研修費</t>
    <rPh sb="0" eb="3">
      <t>カイギヒ</t>
    </rPh>
    <rPh sb="4" eb="6">
      <t>リョヒ</t>
    </rPh>
    <rPh sb="7" eb="10">
      <t>ケンシュウヒ</t>
    </rPh>
    <phoneticPr fontId="4"/>
  </si>
  <si>
    <t>租税公課</t>
    <rPh sb="0" eb="2">
      <t>ソゼイ</t>
    </rPh>
    <rPh sb="2" eb="4">
      <t>コウカ</t>
    </rPh>
    <phoneticPr fontId="4"/>
  </si>
  <si>
    <t>雑収入</t>
    <rPh sb="0" eb="3">
      <t>ザッシュウニュウ</t>
    </rPh>
    <phoneticPr fontId="4"/>
  </si>
  <si>
    <t>営業外
収益</t>
    <rPh sb="0" eb="3">
      <t>エイギョウガイ</t>
    </rPh>
    <rPh sb="4" eb="6">
      <t>シュウエキ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</si>
  <si>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</si>
  <si>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</si>
  <si>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</si>
  <si>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区分</t>
    <rPh sb="0" eb="2">
      <t>クブン</t>
    </rPh>
    <phoneticPr fontId="4"/>
  </si>
  <si>
    <t>営業損益</t>
    <rPh sb="0" eb="2">
      <t>エイギョウ</t>
    </rPh>
    <rPh sb="2" eb="4">
      <t>ソンエキ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</si>
  <si>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</si>
  <si>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</si>
  <si>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</si>
  <si>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畦畔管理</t>
    <rPh sb="0" eb="1">
      <t>ケイ</t>
    </rPh>
    <rPh sb="1" eb="2">
      <t>ハン</t>
    </rPh>
    <rPh sb="2" eb="4">
      <t>カンリ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</si>
  <si>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</si>
  <si>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</si>
  <si>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営業外損益</t>
    <rPh sb="0" eb="3">
      <t>エイギョウガイ</t>
    </rPh>
    <rPh sb="3" eb="5">
      <t>ソンエキ</t>
    </rPh>
    <phoneticPr fontId="4"/>
  </si>
  <si>
    <t>営業外損益　計</t>
    <rPh sb="0" eb="3">
      <t>エイギョウガイ</t>
    </rPh>
    <rPh sb="3" eb="5">
      <t>ソンエキ</t>
    </rPh>
    <rPh sb="6" eb="7">
      <t>ケイ</t>
    </rPh>
    <phoneticPr fontId="4"/>
  </si>
  <si>
    <t>負担根拠</t>
    <rPh sb="0" eb="2">
      <t>フタン</t>
    </rPh>
    <rPh sb="2" eb="4">
      <t>コンキョ</t>
    </rPh>
    <phoneticPr fontId="4"/>
  </si>
  <si>
    <t>本作目
負担割合</t>
    <phoneticPr fontId="4"/>
  </si>
  <si>
    <t>（数値）</t>
    <rPh sb="1" eb="3">
      <t>スウチ</t>
    </rPh>
    <phoneticPr fontId="4"/>
  </si>
  <si>
    <t>　　合　　計</t>
    <phoneticPr fontId="4"/>
  </si>
  <si>
    <t>台</t>
    <rPh sb="0" eb="1">
      <t>ダイ</t>
    </rPh>
    <phoneticPr fontId="4"/>
  </si>
  <si>
    <t>台</t>
    <rPh sb="0" eb="1">
      <t>ダイ</t>
    </rPh>
    <phoneticPr fontId="3"/>
  </si>
  <si>
    <t>鉄骨　スレート</t>
    <rPh sb="0" eb="2">
      <t>テッコツ</t>
    </rPh>
    <phoneticPr fontId="4"/>
  </si>
  <si>
    <t>㎡</t>
    <phoneticPr fontId="4"/>
  </si>
  <si>
    <t>高圧洗車機</t>
    <rPh sb="0" eb="2">
      <t>コウアツ</t>
    </rPh>
    <rPh sb="2" eb="4">
      <t>センシャ</t>
    </rPh>
    <rPh sb="4" eb="5">
      <t>キ</t>
    </rPh>
    <phoneticPr fontId="4"/>
  </si>
  <si>
    <t>４　経営収支</t>
    <rPh sb="2" eb="4">
      <t>ケイエイ</t>
    </rPh>
    <rPh sb="4" eb="6">
      <t>シュウシ</t>
    </rPh>
    <phoneticPr fontId="4"/>
  </si>
  <si>
    <t>７－１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</si>
  <si>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３－１　標準技術（水稲）</t>
    <rPh sb="4" eb="6">
      <t>ヒョウジュン</t>
    </rPh>
    <rPh sb="6" eb="8">
      <t>ギジュツ</t>
    </rPh>
    <rPh sb="9" eb="11">
      <t>スイトウ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</si>
  <si>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</si>
  <si>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</si>
  <si>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</si>
  <si>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</si>
  <si>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</si>
  <si>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</si>
  <si>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</si>
  <si>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</si>
  <si>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オペレーター賃金</t>
    <rPh sb="6" eb="8">
      <t>チンギン</t>
    </rPh>
    <phoneticPr fontId="4"/>
  </si>
  <si>
    <t>補助労務賃金</t>
    <rPh sb="0" eb="2">
      <t>ホジョ</t>
    </rPh>
    <rPh sb="2" eb="4">
      <t>ロウム</t>
    </rPh>
    <rPh sb="4" eb="6">
      <t>チンギン</t>
    </rPh>
    <phoneticPr fontId="4"/>
  </si>
  <si>
    <t>法定福利費　等</t>
  </si>
  <si>
    <t>法定福利費　等</t>
    <phoneticPr fontId="4"/>
  </si>
  <si>
    <t>給料手当</t>
    <rPh sb="0" eb="2">
      <t>キュウリョウ</t>
    </rPh>
    <rPh sb="2" eb="4">
      <t>テアテ</t>
    </rPh>
    <phoneticPr fontId="4"/>
  </si>
  <si>
    <t>価格補てん金</t>
    <rPh sb="0" eb="2">
      <t>カカク</t>
    </rPh>
    <rPh sb="2" eb="3">
      <t>ホ</t>
    </rPh>
    <rPh sb="5" eb="6">
      <t>キン</t>
    </rPh>
    <phoneticPr fontId="4"/>
  </si>
  <si>
    <t>助成金・補助金・交付金</t>
    <rPh sb="0" eb="3">
      <t>ジョセイキン</t>
    </rPh>
    <rPh sb="4" eb="7">
      <t>ホジョキン</t>
    </rPh>
    <rPh sb="8" eb="11">
      <t>コウフキン</t>
    </rPh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</si>
  <si>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</si>
  <si>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５－１　作業別・旬別作業時間（水稲，1ha当たり）</t>
    <rPh sb="15" eb="17">
      <t>スイトウ</t>
    </rPh>
    <phoneticPr fontId="4"/>
  </si>
  <si>
    <t>a</t>
    <phoneticPr fontId="4"/>
  </si>
  <si>
    <t>形式・構造　等</t>
    <rPh sb="6" eb="7">
      <t>ナド</t>
    </rPh>
    <phoneticPr fontId="4"/>
  </si>
  <si>
    <t>区分</t>
    <rPh sb="0" eb="2">
      <t>クブン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</si>
  <si>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</si>
  <si>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</si>
  <si>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②（％）</t>
    <phoneticPr fontId="4"/>
  </si>
  <si>
    <t>①（円）</t>
    <phoneticPr fontId="4"/>
  </si>
  <si>
    <t>④ （％）</t>
    <phoneticPr fontId="4"/>
  </si>
  <si>
    <t>残存割合</t>
    <rPh sb="0" eb="2">
      <t>ザンゾン</t>
    </rPh>
    <rPh sb="2" eb="4">
      <t>ワリアイ</t>
    </rPh>
    <phoneticPr fontId="4"/>
  </si>
  <si>
    <t>⑥（％）</t>
    <phoneticPr fontId="4"/>
  </si>
  <si>
    <t>⑧（年）</t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</si>
  <si>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</si>
  <si>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</si>
  <si>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⑤=③×④（円/ha）</t>
    <phoneticPr fontId="4"/>
  </si>
  <si>
    <t>⑦＝⑤×⑥（円/ha）</t>
    <rPh sb="6" eb="7">
      <t>エン</t>
    </rPh>
    <phoneticPr fontId="4"/>
  </si>
  <si>
    <t>⑨＝（⑤－⑦）÷⑧（円/ha）</t>
    <phoneticPr fontId="4"/>
  </si>
  <si>
    <t>展着剤・調整剤　等</t>
    <rPh sb="0" eb="3">
      <t>テンチャクザイ</t>
    </rPh>
    <rPh sb="4" eb="7">
      <t>チョウセイザイ</t>
    </rPh>
    <rPh sb="8" eb="9">
      <t>ナド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</si>
  <si>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</si>
  <si>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</si>
  <si>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</si>
  <si>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</si>
  <si>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</si>
  <si>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袋・本</t>
  </si>
  <si>
    <t>利用時間</t>
  </si>
  <si>
    <t>　小　計</t>
  </si>
  <si>
    <t>小　計</t>
  </si>
  <si>
    <t>本</t>
    <rPh sb="0" eb="1">
      <t>ホン</t>
    </rPh>
    <phoneticPr fontId="4"/>
  </si>
  <si>
    <t>小計</t>
  </si>
  <si>
    <t>本作目
負担割合</t>
    <phoneticPr fontId="4"/>
  </si>
  <si>
    <t>①（円）</t>
    <phoneticPr fontId="4"/>
  </si>
  <si>
    <t>②（％）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</si>
  <si>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</si>
  <si>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</si>
  <si>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</si>
  <si>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</si>
  <si>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㎡</t>
    <phoneticPr fontId="4"/>
  </si>
  <si>
    <t>　　合　　計</t>
    <phoneticPr fontId="4"/>
  </si>
  <si>
    <t>（kg）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</si>
  <si>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</si>
  <si>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</si>
  <si>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</si>
  <si>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</si>
  <si>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</si>
  <si>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</si>
  <si>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</si>
  <si>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</si>
  <si>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</si>
  <si>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</si>
  <si>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</si>
  <si>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</si>
  <si>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</si>
  <si>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</si>
  <si>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</si>
  <si>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</si>
  <si>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</si>
  <si>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</si>
  <si>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</si>
  <si>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</si>
  <si>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</si>
  <si>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</si>
  <si>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</si>
  <si>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</si>
  <si>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負担面積（ha）</t>
    <rPh sb="0" eb="2">
      <t>フタン</t>
    </rPh>
    <rPh sb="2" eb="4">
      <t>メンセキ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</si>
  <si>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</si>
  <si>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</si>
  <si>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</si>
  <si>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</si>
  <si>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右表（粗収益の算出基礎）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9" eb="11">
      <t>キソ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</si>
  <si>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</si>
  <si>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</si>
  <si>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</si>
  <si>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</si>
  <si>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</si>
  <si>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売上総利益　③=①-②</t>
    <rPh sb="0" eb="2">
      <t>ウリアゲ</t>
    </rPh>
    <rPh sb="2" eb="5">
      <t>ソウリエキ</t>
    </rPh>
    <phoneticPr fontId="4"/>
  </si>
  <si>
    <t>販売費・一般管理費　計　④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</si>
  <si>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</t>
    <rPh sb="0" eb="2">
      <t>ウリアゲ</t>
    </rPh>
    <rPh sb="2" eb="4">
      <t>ゲンカ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</si>
  <si>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</si>
  <si>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営業利益　⑤=③-④　</t>
    <rPh sb="0" eb="2">
      <t>エイギョウ</t>
    </rPh>
    <rPh sb="2" eb="4">
      <t>リエキ</t>
    </rPh>
    <phoneticPr fontId="4"/>
  </si>
  <si>
    <t>営業外収益　⑥</t>
    <rPh sb="0" eb="3">
      <t>エイギョウガイ</t>
    </rPh>
    <rPh sb="3" eb="5">
      <t>シュウエキ</t>
    </rPh>
    <phoneticPr fontId="4"/>
  </si>
  <si>
    <t>営業外損益　計　⑧=⑥-⑦</t>
    <rPh sb="0" eb="3">
      <t>エイギョウガイ</t>
    </rPh>
    <rPh sb="3" eb="5">
      <t>ソンエキ</t>
    </rPh>
    <rPh sb="6" eb="7">
      <t>ケイ</t>
    </rPh>
    <phoneticPr fontId="4"/>
  </si>
  <si>
    <t>経常利益　⑨=⑤+⑧</t>
    <rPh sb="0" eb="2">
      <t>ケイジョウ</t>
    </rPh>
    <rPh sb="2" eb="4">
      <t>リエキ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</si>
  <si>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</si>
  <si>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</si>
  <si>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</si>
  <si>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営業外
費用</t>
    <phoneticPr fontId="4"/>
  </si>
  <si>
    <t>営業外</t>
    <rPh sb="0" eb="3">
      <t>エイギョウガイ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</si>
  <si>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</si>
  <si>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</si>
  <si>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</si>
  <si>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</si>
  <si>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</si>
  <si>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●作業</t>
    <rPh sb="1" eb="3">
      <t>サギョウ</t>
    </rPh>
    <phoneticPr fontId="4"/>
  </si>
  <si>
    <t>売上原価の</t>
    <rPh sb="0" eb="2">
      <t>ウリアゲ</t>
    </rPh>
    <rPh sb="2" eb="4">
      <t>ゲンカ</t>
    </rPh>
    <phoneticPr fontId="4"/>
  </si>
  <si>
    <t>水稲共済</t>
    <rPh sb="0" eb="2">
      <t>スイトウ</t>
    </rPh>
    <rPh sb="2" eb="4">
      <t>キョウサイ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</si>
  <si>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</si>
  <si>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</si>
  <si>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</si>
  <si>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</si>
  <si>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</si>
  <si>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</si>
  <si>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</si>
  <si>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</si>
  <si>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</si>
  <si>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</si>
  <si>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</si>
  <si>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</si>
  <si>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</si>
  <si>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</si>
  <si>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</si>
  <si>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</si>
  <si>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</si>
  <si>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</si>
  <si>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普通トラック</t>
    <phoneticPr fontId="4"/>
  </si>
  <si>
    <t>自賠責保険</t>
    <rPh sb="0" eb="3">
      <t>ジバイセキ</t>
    </rPh>
    <rPh sb="3" eb="5">
      <t>ホケン</t>
    </rPh>
    <phoneticPr fontId="4"/>
  </si>
  <si>
    <t>普通トラック</t>
    <rPh sb="0" eb="2">
      <t>フツウ</t>
    </rPh>
    <phoneticPr fontId="4"/>
  </si>
  <si>
    <t>任意保険</t>
    <rPh sb="0" eb="2">
      <t>ニンイ</t>
    </rPh>
    <rPh sb="2" eb="4">
      <t>ホケン</t>
    </rPh>
    <phoneticPr fontId="4"/>
  </si>
  <si>
    <t>毎年更新</t>
    <rPh sb="0" eb="2">
      <t>マイトシ</t>
    </rPh>
    <rPh sb="2" eb="4">
      <t>コウシン</t>
    </rPh>
    <phoneticPr fontId="4"/>
  </si>
  <si>
    <t>作目：</t>
  </si>
  <si>
    <t>作型：</t>
  </si>
  <si>
    <t>普通</t>
    <rPh sb="0" eb="2">
      <t>フツウ</t>
    </rPh>
    <phoneticPr fontId="4"/>
  </si>
  <si>
    <t>簡易被覆</t>
    <rPh sb="0" eb="2">
      <t>カンイ</t>
    </rPh>
    <rPh sb="2" eb="4">
      <t>ヒフク</t>
    </rPh>
    <phoneticPr fontId="4"/>
  </si>
  <si>
    <t>６　固定資本装備と減価償却費（1ha当たり・1年当たり）</t>
    <rPh sb="18" eb="19">
      <t>ア</t>
    </rPh>
    <rPh sb="23" eb="24">
      <t>ネン</t>
    </rPh>
    <rPh sb="24" eb="25">
      <t>ア</t>
    </rPh>
    <phoneticPr fontId="4"/>
  </si>
  <si>
    <t>（参考）　固定資本装備と減価償却費（水稲，1ha当たり・1年当たり）</t>
    <rPh sb="1" eb="3">
      <t>サンコウ</t>
    </rPh>
    <rPh sb="18" eb="20">
      <t>スイトウ</t>
    </rPh>
    <rPh sb="24" eb="25">
      <t>ア</t>
    </rPh>
    <rPh sb="29" eb="30">
      <t>ネン</t>
    </rPh>
    <rPh sb="30" eb="31">
      <t>ア</t>
    </rPh>
    <phoneticPr fontId="4"/>
  </si>
  <si>
    <t>数量</t>
    <phoneticPr fontId="4"/>
  </si>
  <si>
    <t>販売量</t>
    <phoneticPr fontId="4"/>
  </si>
  <si>
    <t>月</t>
    <rPh sb="0" eb="1">
      <t>ツキ</t>
    </rPh>
    <phoneticPr fontId="4"/>
  </si>
  <si>
    <t>重油</t>
    <rPh sb="0" eb="2">
      <t>ジュウユ</t>
    </rPh>
    <phoneticPr fontId="4"/>
  </si>
  <si>
    <t>労務費Ⅰ</t>
    <rPh sb="0" eb="3">
      <t>ロウムヒ</t>
    </rPh>
    <phoneticPr fontId="4"/>
  </si>
  <si>
    <t>労務費Ⅱ</t>
    <rPh sb="0" eb="3">
      <t>ロウムヒ</t>
    </rPh>
    <phoneticPr fontId="4"/>
  </si>
  <si>
    <t>営業外費用Ⅰ</t>
    <rPh sb="0" eb="3">
      <t>エイギョウガイ</t>
    </rPh>
    <rPh sb="3" eb="5">
      <t>ヒヨウ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</si>
  <si>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</si>
  <si>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</si>
  <si>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合　　　　計</t>
    <rPh sb="0" eb="1">
      <t>ア</t>
    </rPh>
    <rPh sb="5" eb="6">
      <t>ケイ</t>
    </rPh>
    <phoneticPr fontId="4"/>
  </si>
  <si>
    <t>育苗ハウス</t>
    <rPh sb="0" eb="2">
      <t>イクビョウ</t>
    </rPh>
    <phoneticPr fontId="4"/>
  </si>
  <si>
    <t>乗用田植機</t>
    <rPh sb="0" eb="2">
      <t>ジョウヨウ</t>
    </rPh>
    <rPh sb="2" eb="4">
      <t>タウエ</t>
    </rPh>
    <rPh sb="4" eb="5">
      <t>キ</t>
    </rPh>
    <phoneticPr fontId="4"/>
  </si>
  <si>
    <t>6条側条施肥機付き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</si>
  <si>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乗用管理機</t>
    <rPh sb="0" eb="2">
      <t>ジョウヨウ</t>
    </rPh>
    <rPh sb="2" eb="4">
      <t>カンリ</t>
    </rPh>
    <rPh sb="4" eb="5">
      <t>キ</t>
    </rPh>
    <phoneticPr fontId="4"/>
  </si>
  <si>
    <t>㎏</t>
    <phoneticPr fontId="4"/>
  </si>
  <si>
    <t>催芽機</t>
    <rPh sb="0" eb="1">
      <t>サイ</t>
    </rPh>
    <rPh sb="1" eb="2">
      <t>ガ</t>
    </rPh>
    <rPh sb="2" eb="3">
      <t>キ</t>
    </rPh>
    <phoneticPr fontId="4"/>
  </si>
  <si>
    <t>播種覆土一連機械</t>
    <rPh sb="0" eb="2">
      <t>ハシュ</t>
    </rPh>
    <rPh sb="2" eb="4">
      <t>フクド</t>
    </rPh>
    <rPh sb="4" eb="6">
      <t>イチレン</t>
    </rPh>
    <rPh sb="6" eb="8">
      <t>キカイ</t>
    </rPh>
    <phoneticPr fontId="4"/>
  </si>
  <si>
    <t>育苗器</t>
    <rPh sb="0" eb="2">
      <t>イクビョウ</t>
    </rPh>
    <rPh sb="2" eb="3">
      <t>キ</t>
    </rPh>
    <phoneticPr fontId="4"/>
  </si>
  <si>
    <t>育苗箱洗浄機</t>
    <rPh sb="0" eb="2">
      <t>イクビョウ</t>
    </rPh>
    <rPh sb="2" eb="3">
      <t>バコ</t>
    </rPh>
    <rPh sb="3" eb="5">
      <t>センジョウ</t>
    </rPh>
    <rPh sb="5" eb="6">
      <t>キ</t>
    </rPh>
    <phoneticPr fontId="4"/>
  </si>
  <si>
    <t>代かき</t>
    <rPh sb="0" eb="1">
      <t>シロ</t>
    </rPh>
    <phoneticPr fontId="4"/>
  </si>
  <si>
    <t>散布巾10ｍ</t>
    <rPh sb="0" eb="2">
      <t>サンプ</t>
    </rPh>
    <rPh sb="2" eb="3">
      <t>ハバ</t>
    </rPh>
    <phoneticPr fontId="4"/>
  </si>
  <si>
    <t>ｍｌ</t>
    <phoneticPr fontId="4"/>
  </si>
  <si>
    <t>㎏</t>
  </si>
  <si>
    <t>耕起作業（トラクター）</t>
    <rPh sb="0" eb="2">
      <t>コウキ</t>
    </rPh>
    <rPh sb="2" eb="4">
      <t>サギョウ</t>
    </rPh>
    <phoneticPr fontId="4"/>
  </si>
  <si>
    <t>代かき作業（トラクター）</t>
    <rPh sb="0" eb="1">
      <t>シロ</t>
    </rPh>
    <rPh sb="3" eb="5">
      <t>サギョウ</t>
    </rPh>
    <phoneticPr fontId="4"/>
  </si>
  <si>
    <t>田植作業（田植機）</t>
    <rPh sb="0" eb="2">
      <t>タウエ</t>
    </rPh>
    <rPh sb="2" eb="4">
      <t>サギョウ</t>
    </rPh>
    <rPh sb="5" eb="7">
      <t>タウ</t>
    </rPh>
    <rPh sb="7" eb="8">
      <t>キ</t>
    </rPh>
    <phoneticPr fontId="4"/>
  </si>
  <si>
    <t>ℓ・kw／時</t>
    <rPh sb="5" eb="6">
      <t>ジ</t>
    </rPh>
    <phoneticPr fontId="4"/>
  </si>
  <si>
    <t>収穫作業（コンバイン）</t>
    <rPh sb="0" eb="2">
      <t>シュウカク</t>
    </rPh>
    <rPh sb="2" eb="4">
      <t>サギョウ</t>
    </rPh>
    <phoneticPr fontId="4"/>
  </si>
  <si>
    <t>乾燥作業（乾燥機）</t>
    <rPh sb="0" eb="2">
      <t>カンソウ</t>
    </rPh>
    <rPh sb="2" eb="4">
      <t>サギョウ</t>
    </rPh>
    <rPh sb="5" eb="8">
      <t>カンソウキ</t>
    </rPh>
    <phoneticPr fontId="4"/>
  </si>
  <si>
    <t>防除作業（管理ビーグル）</t>
    <rPh sb="0" eb="2">
      <t>ボウジョ</t>
    </rPh>
    <rPh sb="2" eb="4">
      <t>サギョウ</t>
    </rPh>
    <rPh sb="5" eb="7">
      <t>カンリ</t>
    </rPh>
    <phoneticPr fontId="4"/>
  </si>
  <si>
    <t>調製作業（籾摺機）</t>
    <rPh sb="0" eb="2">
      <t>チョウセイ</t>
    </rPh>
    <rPh sb="2" eb="4">
      <t>サギョウ</t>
    </rPh>
    <rPh sb="5" eb="6">
      <t>モミ</t>
    </rPh>
    <rPh sb="6" eb="7">
      <t>スリ</t>
    </rPh>
    <rPh sb="7" eb="8">
      <t>キ</t>
    </rPh>
    <phoneticPr fontId="4"/>
  </si>
  <si>
    <t>育苗作業（育苗関連機器）</t>
    <rPh sb="0" eb="2">
      <t>イクビョウ</t>
    </rPh>
    <rPh sb="2" eb="4">
      <t>サギョウ</t>
    </rPh>
    <rPh sb="5" eb="7">
      <t>イクビョウ</t>
    </rPh>
    <rPh sb="7" eb="9">
      <t>カンレン</t>
    </rPh>
    <rPh sb="9" eb="11">
      <t>キキ</t>
    </rPh>
    <phoneticPr fontId="4"/>
  </si>
  <si>
    <t>改良資材散布（トラクター，ｺﾝﾎﾟｷｬｽﾀｰ）</t>
    <rPh sb="0" eb="2">
      <t>カイリョウ</t>
    </rPh>
    <rPh sb="2" eb="4">
      <t>シザイ</t>
    </rPh>
    <rPh sb="4" eb="6">
      <t>サンプ</t>
    </rPh>
    <phoneticPr fontId="4"/>
  </si>
  <si>
    <t>ｍｌ</t>
  </si>
  <si>
    <t>ﾌｫｰｸﾘﾌﾄ</t>
  </si>
  <si>
    <t>ﾏﾆｭｱｽﾌﾟﾚｯﾀﾞ</t>
  </si>
  <si>
    <t>乾燥調製施設</t>
  </si>
  <si>
    <t>農機具庫</t>
    <rPh sb="3" eb="4">
      <t>コ</t>
    </rPh>
    <phoneticPr fontId="4"/>
  </si>
  <si>
    <t>種子予措</t>
    <rPh sb="0" eb="2">
      <t>シュシ</t>
    </rPh>
    <rPh sb="2" eb="3">
      <t>ヨ</t>
    </rPh>
    <rPh sb="3" eb="4">
      <t>ソ</t>
    </rPh>
    <phoneticPr fontId="4"/>
  </si>
  <si>
    <t>育苗管理</t>
    <rPh sb="0" eb="2">
      <t>イクビョウ</t>
    </rPh>
    <rPh sb="2" eb="4">
      <t>カンリ</t>
    </rPh>
    <phoneticPr fontId="4"/>
  </si>
  <si>
    <t>耕起</t>
    <rPh sb="0" eb="2">
      <t>コウキ</t>
    </rPh>
    <phoneticPr fontId="4"/>
  </si>
  <si>
    <t>田植</t>
    <rPh sb="0" eb="2">
      <t>タウエ</t>
    </rPh>
    <phoneticPr fontId="4"/>
  </si>
  <si>
    <t>除草</t>
    <rPh sb="0" eb="2">
      <t>ジョソウ</t>
    </rPh>
    <phoneticPr fontId="4"/>
  </si>
  <si>
    <t>追肥</t>
    <rPh sb="0" eb="2">
      <t>ツイヒ</t>
    </rPh>
    <phoneticPr fontId="4"/>
  </si>
  <si>
    <t>防除</t>
    <rPh sb="0" eb="2">
      <t>ボウジョ</t>
    </rPh>
    <phoneticPr fontId="4"/>
  </si>
  <si>
    <t>刈取，脱穀</t>
    <rPh sb="0" eb="2">
      <t>カリト</t>
    </rPh>
    <rPh sb="3" eb="5">
      <t>ダッコク</t>
    </rPh>
    <phoneticPr fontId="4"/>
  </si>
  <si>
    <t>乾燥調製出荷</t>
    <rPh sb="0" eb="2">
      <t>カンソウ</t>
    </rPh>
    <rPh sb="2" eb="4">
      <t>チョウセイ</t>
    </rPh>
    <rPh sb="4" eb="6">
      <t>シュッカ</t>
    </rPh>
    <phoneticPr fontId="4"/>
  </si>
  <si>
    <t>堆肥，改良資材散布</t>
    <rPh sb="0" eb="2">
      <t>タイヒ</t>
    </rPh>
    <rPh sb="3" eb="5">
      <t>カイリョウ</t>
    </rPh>
    <rPh sb="5" eb="7">
      <t>シザイ</t>
    </rPh>
    <rPh sb="7" eb="9">
      <t>サンプ</t>
    </rPh>
    <phoneticPr fontId="4"/>
  </si>
  <si>
    <t>収穫</t>
    <rPh sb="0" eb="2">
      <t>シュウカク</t>
    </rPh>
    <phoneticPr fontId="4"/>
  </si>
  <si>
    <t>１種類</t>
  </si>
  <si>
    <t>混合剤</t>
    <rPh sb="0" eb="3">
      <t>コンゴウザイ</t>
    </rPh>
    <phoneticPr fontId="4"/>
  </si>
  <si>
    <t>殺虫剤</t>
    <rPh sb="0" eb="3">
      <t>サッチュウザイ</t>
    </rPh>
    <phoneticPr fontId="4"/>
  </si>
  <si>
    <t>6作業</t>
    <rPh sb="1" eb="3">
      <t>サギョウ</t>
    </rPh>
    <phoneticPr fontId="4"/>
  </si>
  <si>
    <t>1作業</t>
    <rPh sb="1" eb="3">
      <t>サギョウ</t>
    </rPh>
    <phoneticPr fontId="4"/>
  </si>
  <si>
    <t>3作業</t>
    <rPh sb="1" eb="3">
      <t>サギョウ</t>
    </rPh>
    <phoneticPr fontId="4"/>
  </si>
  <si>
    <t>ha</t>
  </si>
  <si>
    <t>円/10a</t>
    <rPh sb="0" eb="1">
      <t>エン</t>
    </rPh>
    <phoneticPr fontId="4"/>
  </si>
  <si>
    <t>補助</t>
    <rPh sb="0" eb="2">
      <t>ホジョ</t>
    </rPh>
    <phoneticPr fontId="4"/>
  </si>
  <si>
    <t>食用米（普通コシヒカリ）</t>
    <rPh sb="0" eb="2">
      <t>ショクヨウ</t>
    </rPh>
    <rPh sb="2" eb="3">
      <t>マイ</t>
    </rPh>
    <rPh sb="4" eb="6">
      <t>フツウ</t>
    </rPh>
    <phoneticPr fontId="3"/>
  </si>
  <si>
    <t>食用米（あきろまん）</t>
    <rPh sb="0" eb="2">
      <t>ショクヨウ</t>
    </rPh>
    <rPh sb="2" eb="3">
      <t>マイ</t>
    </rPh>
    <phoneticPr fontId="3"/>
  </si>
  <si>
    <t>米袋</t>
    <rPh sb="0" eb="1">
      <t>コメ</t>
    </rPh>
    <rPh sb="1" eb="2">
      <t>フクロ</t>
    </rPh>
    <phoneticPr fontId="4"/>
  </si>
  <si>
    <t>検査手数料</t>
    <rPh sb="0" eb="2">
      <t>ケンサ</t>
    </rPh>
    <rPh sb="2" eb="5">
      <t>テスウリョウ</t>
    </rPh>
    <phoneticPr fontId="4"/>
  </si>
  <si>
    <t>部門面積</t>
    <rPh sb="0" eb="2">
      <t>ブモン</t>
    </rPh>
    <rPh sb="2" eb="4">
      <t>メンセキ</t>
    </rPh>
    <phoneticPr fontId="4"/>
  </si>
  <si>
    <t>倒伏しやすい品種</t>
    <rPh sb="0" eb="2">
      <t>トウフク</t>
    </rPh>
    <rPh sb="6" eb="8">
      <t>ヒンシュ</t>
    </rPh>
    <phoneticPr fontId="4"/>
  </si>
  <si>
    <t>倒伏しにくい品種</t>
    <rPh sb="0" eb="2">
      <t>トウフク</t>
    </rPh>
    <rPh sb="6" eb="8">
      <t>ヒンシュ</t>
    </rPh>
    <phoneticPr fontId="4"/>
  </si>
  <si>
    <t>加工多収</t>
    <rPh sb="0" eb="2">
      <t>カコウ</t>
    </rPh>
    <rPh sb="2" eb="4">
      <t>タシュウ</t>
    </rPh>
    <phoneticPr fontId="4"/>
  </si>
  <si>
    <t>米粉飼料</t>
    <rPh sb="0" eb="1">
      <t>コメ</t>
    </rPh>
    <rPh sb="1" eb="2">
      <t>コ</t>
    </rPh>
    <rPh sb="2" eb="4">
      <t>シリョウ</t>
    </rPh>
    <phoneticPr fontId="4"/>
  </si>
  <si>
    <t>大豆</t>
    <rPh sb="0" eb="2">
      <t>ダイズ</t>
    </rPh>
    <phoneticPr fontId="4"/>
  </si>
  <si>
    <t>麦</t>
    <rPh sb="0" eb="1">
      <t>ムギ</t>
    </rPh>
    <phoneticPr fontId="4"/>
  </si>
  <si>
    <t>１ha当り償却額</t>
    <rPh sb="3" eb="4">
      <t>アタ</t>
    </rPh>
    <rPh sb="5" eb="8">
      <t>ショウキャクガク</t>
    </rPh>
    <phoneticPr fontId="4"/>
  </si>
  <si>
    <t>恋の予感</t>
    <rPh sb="0" eb="1">
      <t>コイ</t>
    </rPh>
    <rPh sb="2" eb="4">
      <t>ヨカン</t>
    </rPh>
    <phoneticPr fontId="4"/>
  </si>
  <si>
    <t>乾燥調製一式</t>
    <rPh sb="0" eb="2">
      <t>カンソウ</t>
    </rPh>
    <rPh sb="2" eb="4">
      <t>チョウセイ</t>
    </rPh>
    <rPh sb="4" eb="6">
      <t>イッシキ</t>
    </rPh>
    <phoneticPr fontId="4"/>
  </si>
  <si>
    <t>温湯消毒器</t>
    <rPh sb="0" eb="1">
      <t>オン</t>
    </rPh>
    <rPh sb="1" eb="2">
      <t>トウ</t>
    </rPh>
    <rPh sb="2" eb="4">
      <t>ショウドク</t>
    </rPh>
    <rPh sb="4" eb="5">
      <t>キ</t>
    </rPh>
    <phoneticPr fontId="4"/>
  </si>
  <si>
    <t>一式</t>
    <rPh sb="0" eb="2">
      <t>イッシキ</t>
    </rPh>
    <phoneticPr fontId="4"/>
  </si>
  <si>
    <t>4条刈</t>
    <rPh sb="1" eb="2">
      <t>ジョウ</t>
    </rPh>
    <rPh sb="2" eb="3">
      <t>ガ</t>
    </rPh>
    <phoneticPr fontId="4"/>
  </si>
  <si>
    <t>３－２　標準技術（大豆：狭畦栽培）</t>
    <rPh sb="4" eb="6">
      <t>ヒョウジュン</t>
    </rPh>
    <rPh sb="6" eb="8">
      <t>ギジュツ</t>
    </rPh>
    <rPh sb="9" eb="11">
      <t>ダイズ</t>
    </rPh>
    <rPh sb="12" eb="13">
      <t>セマ</t>
    </rPh>
    <rPh sb="13" eb="14">
      <t>ウネ</t>
    </rPh>
    <rPh sb="14" eb="16">
      <t>サイバイ</t>
    </rPh>
    <phoneticPr fontId="4"/>
  </si>
  <si>
    <t>普通（中部）</t>
    <rPh sb="0" eb="2">
      <t>フツウ</t>
    </rPh>
    <rPh sb="3" eb="5">
      <t>チュウブ</t>
    </rPh>
    <phoneticPr fontId="4"/>
  </si>
  <si>
    <t>堆肥、石灰散布</t>
    <rPh sb="0" eb="2">
      <t>タイヒ</t>
    </rPh>
    <rPh sb="3" eb="5">
      <t>セッカイ</t>
    </rPh>
    <rPh sb="5" eb="7">
      <t>サンプ</t>
    </rPh>
    <phoneticPr fontId="4"/>
  </si>
  <si>
    <t>耕起・整地、施肥</t>
    <rPh sb="0" eb="2">
      <t>コウキ</t>
    </rPh>
    <rPh sb="3" eb="5">
      <t>セイチ</t>
    </rPh>
    <rPh sb="6" eb="8">
      <t>セヒ</t>
    </rPh>
    <phoneticPr fontId="4"/>
  </si>
  <si>
    <t>種子準備、は種</t>
    <rPh sb="0" eb="2">
      <t>シュシ</t>
    </rPh>
    <rPh sb="2" eb="4">
      <t>ジュンビ</t>
    </rPh>
    <rPh sb="6" eb="7">
      <t>シュ</t>
    </rPh>
    <phoneticPr fontId="4"/>
  </si>
  <si>
    <t>除草剤散布</t>
    <rPh sb="0" eb="3">
      <t>ジョソウザイ</t>
    </rPh>
    <rPh sb="3" eb="5">
      <t>サンプ</t>
    </rPh>
    <phoneticPr fontId="4"/>
  </si>
  <si>
    <t>病害虫防除</t>
    <rPh sb="0" eb="3">
      <t>ビョウガイチュウ</t>
    </rPh>
    <rPh sb="3" eb="5">
      <t>ボウジョ</t>
    </rPh>
    <phoneticPr fontId="4"/>
  </si>
  <si>
    <t>収穫・調製</t>
    <rPh sb="0" eb="2">
      <t>シュウカク</t>
    </rPh>
    <rPh sb="3" eb="5">
      <t>チョウセイ</t>
    </rPh>
    <phoneticPr fontId="4"/>
  </si>
  <si>
    <t>堆肥散布、土壌酸度の矯正</t>
    <rPh sb="5" eb="7">
      <t>ドジョウ</t>
    </rPh>
    <rPh sb="7" eb="9">
      <t>サンド</t>
    </rPh>
    <rPh sb="10" eb="12">
      <t>キョウセイ</t>
    </rPh>
    <phoneticPr fontId="4"/>
  </si>
  <si>
    <t>土塊の細粒化と排水溝（額縁明きょ）の設置
全面施肥</t>
    <rPh sb="0" eb="2">
      <t>ドカイ</t>
    </rPh>
    <rPh sb="3" eb="5">
      <t>サイリュウ</t>
    </rPh>
    <rPh sb="5" eb="6">
      <t>カ</t>
    </rPh>
    <rPh sb="7" eb="9">
      <t>ハイスイ</t>
    </rPh>
    <rPh sb="9" eb="10">
      <t>ミゾ</t>
    </rPh>
    <rPh sb="11" eb="13">
      <t>ガクブチ</t>
    </rPh>
    <rPh sb="13" eb="14">
      <t>ア</t>
    </rPh>
    <rPh sb="18" eb="20">
      <t>セッチ</t>
    </rPh>
    <rPh sb="21" eb="23">
      <t>ゼンメン</t>
    </rPh>
    <rPh sb="23" eb="25">
      <t>セヒ</t>
    </rPh>
    <phoneticPr fontId="4"/>
  </si>
  <si>
    <t>種子消毒
適期は種（除草剤散布機付）</t>
    <rPh sb="0" eb="2">
      <t>シュシ</t>
    </rPh>
    <rPh sb="2" eb="4">
      <t>ショウドク</t>
    </rPh>
    <rPh sb="5" eb="7">
      <t>テッキ</t>
    </rPh>
    <rPh sb="8" eb="9">
      <t>シュ</t>
    </rPh>
    <phoneticPr fontId="4"/>
  </si>
  <si>
    <t>雑草が多い場合は、大豆生育期に除草剤を散布する。</t>
    <rPh sb="9" eb="11">
      <t>ダイズ</t>
    </rPh>
    <phoneticPr fontId="4"/>
  </si>
  <si>
    <t>紫斑病
カメムシ類
ハスモンヨトウ
アブラムシ類
等病害虫防除</t>
    <rPh sb="0" eb="2">
      <t>シハン</t>
    </rPh>
    <rPh sb="2" eb="3">
      <t>ビョウ</t>
    </rPh>
    <rPh sb="8" eb="9">
      <t>ルイ</t>
    </rPh>
    <rPh sb="23" eb="24">
      <t>ルイ</t>
    </rPh>
    <phoneticPr fontId="4"/>
  </si>
  <si>
    <t>コンバインによる収穫
乾燥調製</t>
    <rPh sb="11" eb="13">
      <t>カンソウ</t>
    </rPh>
    <rPh sb="13" eb="15">
      <t>チョウセイ</t>
    </rPh>
    <phoneticPr fontId="4"/>
  </si>
  <si>
    <t>トラクター
溝切機
ブロードキャスター</t>
    <rPh sb="6" eb="7">
      <t>ミゾ</t>
    </rPh>
    <rPh sb="7" eb="8">
      <t>キリ</t>
    </rPh>
    <rPh sb="8" eb="9">
      <t>キ</t>
    </rPh>
    <phoneticPr fontId="4"/>
  </si>
  <si>
    <t>トラクター
は種機（除草剤散布機付）</t>
    <rPh sb="7" eb="8">
      <t>シュ</t>
    </rPh>
    <rPh sb="8" eb="9">
      <t>キ</t>
    </rPh>
    <rPh sb="10" eb="13">
      <t>ジョソウザイ</t>
    </rPh>
    <rPh sb="13" eb="15">
      <t>サンプ</t>
    </rPh>
    <rPh sb="15" eb="16">
      <t>キ</t>
    </rPh>
    <rPh sb="16" eb="17">
      <t>ツキ</t>
    </rPh>
    <phoneticPr fontId="4"/>
  </si>
  <si>
    <t>土づくり、土壌酸度の矯正</t>
    <rPh sb="0" eb="1">
      <t>ツチ</t>
    </rPh>
    <rPh sb="5" eb="7">
      <t>ドジョウ</t>
    </rPh>
    <phoneticPr fontId="4"/>
  </si>
  <si>
    <t>適期防除</t>
    <rPh sb="0" eb="2">
      <t>テッキ</t>
    </rPh>
    <rPh sb="2" eb="4">
      <t>ボウジョ</t>
    </rPh>
    <phoneticPr fontId="4"/>
  </si>
  <si>
    <t>大麦</t>
    <rPh sb="0" eb="2">
      <t>オオムギ</t>
    </rPh>
    <phoneticPr fontId="4"/>
  </si>
  <si>
    <t>種子消毒
適期は種（除草剤散布機付、サイドリッジャー付）</t>
    <rPh sb="0" eb="2">
      <t>シュシ</t>
    </rPh>
    <rPh sb="2" eb="4">
      <t>ショウドク</t>
    </rPh>
    <rPh sb="26" eb="27">
      <t>ツキ</t>
    </rPh>
    <phoneticPr fontId="4"/>
  </si>
  <si>
    <t>赤かび病
アブラムシ類
等病害虫防除</t>
    <rPh sb="0" eb="1">
      <t>アカ</t>
    </rPh>
    <rPh sb="3" eb="4">
      <t>ビョウ</t>
    </rPh>
    <rPh sb="10" eb="11">
      <t>ルイ</t>
    </rPh>
    <phoneticPr fontId="4"/>
  </si>
  <si>
    <t>トラクター
は種機（除草剤散布機付、サイドリッジャー付）</t>
    <rPh sb="7" eb="8">
      <t>シュ</t>
    </rPh>
    <rPh sb="8" eb="9">
      <t>キ</t>
    </rPh>
    <rPh sb="10" eb="13">
      <t>ジョソウザイ</t>
    </rPh>
    <rPh sb="13" eb="15">
      <t>サンプ</t>
    </rPh>
    <rPh sb="15" eb="16">
      <t>キ</t>
    </rPh>
    <rPh sb="16" eb="17">
      <t>ツキ</t>
    </rPh>
    <phoneticPr fontId="4"/>
  </si>
  <si>
    <t>　 作　　　型</t>
  </si>
  <si>
    <t>○</t>
  </si>
  <si>
    <t>栽培上の留意点</t>
  </si>
  <si>
    <t>○不耕起(浅耕)密植栽培</t>
    <rPh sb="1" eb="2">
      <t>フ</t>
    </rPh>
    <rPh sb="2" eb="4">
      <t>コウキ</t>
    </rPh>
    <rPh sb="5" eb="6">
      <t>アサ</t>
    </rPh>
    <rPh sb="6" eb="7">
      <t>コウキ</t>
    </rPh>
    <rPh sb="8" eb="9">
      <t>ミツ</t>
    </rPh>
    <rPh sb="9" eb="10">
      <t>ショク</t>
    </rPh>
    <rPh sb="10" eb="12">
      <t>サイバイ</t>
    </rPh>
    <phoneticPr fontId="3"/>
  </si>
  <si>
    <t>○乾燥調整は，農協委託とする。</t>
    <rPh sb="7" eb="9">
      <t>ノウキョウ</t>
    </rPh>
    <rPh sb="9" eb="11">
      <t>イタク</t>
    </rPh>
    <phoneticPr fontId="3"/>
  </si>
  <si>
    <t>○防除は，乗用管理機による液剤体系とする。</t>
    <rPh sb="5" eb="7">
      <t>ジョウヨウ</t>
    </rPh>
    <rPh sb="7" eb="9">
      <t>カンリ</t>
    </rPh>
    <phoneticPr fontId="4"/>
  </si>
  <si>
    <t>　排水対策</t>
  </si>
  <si>
    <t>○防除は，乗用管理機による液剤体系とする。</t>
  </si>
  <si>
    <t>８－２　経費の算出基礎（大豆，1ha当たり）</t>
    <rPh sb="4" eb="6">
      <t>ケイヒ</t>
    </rPh>
    <rPh sb="7" eb="9">
      <t>サンシュツ</t>
    </rPh>
    <rPh sb="9" eb="11">
      <t>キソ</t>
    </rPh>
    <rPh sb="12" eb="14">
      <t>ダイズ</t>
    </rPh>
    <rPh sb="18" eb="19">
      <t>ア</t>
    </rPh>
    <phoneticPr fontId="4"/>
  </si>
  <si>
    <t>５－３　作業別・旬別作業時間（大豆，1ha当たり）</t>
    <rPh sb="15" eb="17">
      <t>ダイズ</t>
    </rPh>
    <phoneticPr fontId="4"/>
  </si>
  <si>
    <t>５－３　作業別・旬別作業時間（大麦，1ha当たり）</t>
    <rPh sb="15" eb="17">
      <t>オオムギ</t>
    </rPh>
    <phoneticPr fontId="4"/>
  </si>
  <si>
    <t>秋まき</t>
    <rPh sb="0" eb="1">
      <t>アキ</t>
    </rPh>
    <phoneticPr fontId="4"/>
  </si>
  <si>
    <t>集落法人</t>
    <rPh sb="0" eb="2">
      <t>シュウラク</t>
    </rPh>
    <rPh sb="2" eb="4">
      <t>ホウジン</t>
    </rPh>
    <phoneticPr fontId="3"/>
  </si>
  <si>
    <t>中部</t>
    <rPh sb="0" eb="1">
      <t>チュウブ</t>
    </rPh>
    <phoneticPr fontId="3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</si>
  <si>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</si>
  <si>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</si>
  <si>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</si>
  <si>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</si>
  <si>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作     　目</t>
    <phoneticPr fontId="3"/>
  </si>
  <si>
    <t>面　積</t>
    <phoneticPr fontId="3"/>
  </si>
  <si>
    <t>水稲(こいもみじ）</t>
    <phoneticPr fontId="4"/>
  </si>
  <si>
    <t>☓</t>
  </si>
  <si>
    <t>ほ場整備完了水田，平均30a規模</t>
    <rPh sb="1" eb="2">
      <t>ジョウ</t>
    </rPh>
    <rPh sb="2" eb="4">
      <t>セイビ</t>
    </rPh>
    <rPh sb="4" eb="6">
      <t>カンリョウ</t>
    </rPh>
    <rPh sb="6" eb="8">
      <t>スイデン</t>
    </rPh>
    <rPh sb="9" eb="11">
      <t>ヘイキン</t>
    </rPh>
    <rPh sb="14" eb="16">
      <t>キボ</t>
    </rPh>
    <phoneticPr fontId="3"/>
  </si>
  <si>
    <t>食用米（こいもみじ）</t>
    <rPh sb="0" eb="2">
      <t>ショクヨウ</t>
    </rPh>
    <rPh sb="2" eb="3">
      <t>マイ</t>
    </rPh>
    <phoneticPr fontId="3"/>
  </si>
  <si>
    <t>組織経営体構成員</t>
    <rPh sb="0" eb="2">
      <t>ソシキ</t>
    </rPh>
    <rPh sb="2" eb="5">
      <t>ケイエイタイ</t>
    </rPh>
    <rPh sb="5" eb="8">
      <t>コウセイイン</t>
    </rPh>
    <phoneticPr fontId="3"/>
  </si>
  <si>
    <t>大型機械化体系
畦畔管理作業，水管理作業は，他へ委託する</t>
    <rPh sb="0" eb="2">
      <t>オオガタ</t>
    </rPh>
    <rPh sb="2" eb="5">
      <t>キカイカ</t>
    </rPh>
    <rPh sb="5" eb="7">
      <t>タイケイ</t>
    </rPh>
    <rPh sb="8" eb="10">
      <t>ケイハン</t>
    </rPh>
    <rPh sb="10" eb="12">
      <t>カンリ</t>
    </rPh>
    <rPh sb="12" eb="14">
      <t>サギョウ</t>
    </rPh>
    <rPh sb="15" eb="16">
      <t>ミズ</t>
    </rPh>
    <rPh sb="16" eb="18">
      <t>カンリ</t>
    </rPh>
    <rPh sb="18" eb="20">
      <t>サギョウ</t>
    </rPh>
    <rPh sb="22" eb="23">
      <t>タ</t>
    </rPh>
    <rPh sb="24" eb="26">
      <t>イタク</t>
    </rPh>
    <phoneticPr fontId="3"/>
  </si>
  <si>
    <t>系統利用（一部構成員へ販売）</t>
    <rPh sb="0" eb="2">
      <t>ケイトウ</t>
    </rPh>
    <rPh sb="2" eb="4">
      <t>リヨウ</t>
    </rPh>
    <rPh sb="5" eb="7">
      <t>イチブ</t>
    </rPh>
    <rPh sb="7" eb="10">
      <t>コウセイイン</t>
    </rPh>
    <rPh sb="11" eb="13">
      <t>ハンバイ</t>
    </rPh>
    <phoneticPr fontId="3"/>
  </si>
  <si>
    <t>対象</t>
    <phoneticPr fontId="4"/>
  </si>
  <si>
    <t>１　対象経営の概要</t>
    <phoneticPr fontId="3"/>
  </si>
  <si>
    <t>保有労働力</t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</si>
  <si>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</si>
  <si>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</si>
  <si>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</si>
  <si>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</si>
  <si>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</si>
  <si>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</si>
  <si>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田</t>
    <phoneticPr fontId="4"/>
  </si>
  <si>
    <t>30ha（借地30ha）</t>
    <phoneticPr fontId="4"/>
  </si>
  <si>
    <t>○</t>
    <phoneticPr fontId="3"/>
  </si>
  <si>
    <t>☓</t>
    <phoneticPr fontId="3"/>
  </si>
  <si>
    <t>□</t>
    <phoneticPr fontId="3"/>
  </si>
  <si>
    <t>水稲(コシヒカリ）</t>
    <phoneticPr fontId="4"/>
  </si>
  <si>
    <t>水稲(あきろまん）</t>
    <phoneticPr fontId="3"/>
  </si>
  <si>
    <t>凡例</t>
    <phoneticPr fontId="4"/>
  </si>
  <si>
    <t>収穫 ：</t>
    <phoneticPr fontId="4"/>
  </si>
  <si>
    <t>２　前提条件</t>
    <phoneticPr fontId="4"/>
  </si>
  <si>
    <t>ha</t>
    <phoneticPr fontId="3"/>
  </si>
  <si>
    <t>大豆</t>
    <rPh sb="0" eb="2">
      <t>ダイズ</t>
    </rPh>
    <phoneticPr fontId="3"/>
  </si>
  <si>
    <t>大麦</t>
    <rPh sb="0" eb="2">
      <t>オオムギ</t>
    </rPh>
    <phoneticPr fontId="3"/>
  </si>
  <si>
    <t>大豆</t>
    <rPh sb="0" eb="2">
      <t>ダイズ</t>
    </rPh>
    <phoneticPr fontId="4"/>
  </si>
  <si>
    <t>大麦</t>
    <rPh sb="0" eb="2">
      <t>オオムギ</t>
    </rPh>
    <phoneticPr fontId="4"/>
  </si>
  <si>
    <t>水稲（こいもみじ）</t>
    <rPh sb="0" eb="2">
      <t>スイトウ</t>
    </rPh>
    <phoneticPr fontId="4"/>
  </si>
  <si>
    <t>水稲（コシヒカリ）</t>
    <rPh sb="0" eb="2">
      <t>スイトウ</t>
    </rPh>
    <phoneticPr fontId="4"/>
  </si>
  <si>
    <t>水稲（あきろまん）</t>
    <rPh sb="0" eb="2">
      <t>スイトウ</t>
    </rPh>
    <phoneticPr fontId="4"/>
  </si>
  <si>
    <t>普通　　（中部）</t>
    <rPh sb="0" eb="2">
      <t>フツウ</t>
    </rPh>
    <rPh sb="5" eb="6">
      <t>ナカ</t>
    </rPh>
    <phoneticPr fontId="4"/>
  </si>
  <si>
    <t>育苗</t>
    <rPh sb="0" eb="2">
      <t>イクビョウ</t>
    </rPh>
    <phoneticPr fontId="4"/>
  </si>
  <si>
    <t>本田準備</t>
    <rPh sb="0" eb="2">
      <t>ホンデン</t>
    </rPh>
    <rPh sb="2" eb="4">
      <t>ジュンビ</t>
    </rPh>
    <phoneticPr fontId="4"/>
  </si>
  <si>
    <t>（除草）</t>
    <rPh sb="1" eb="3">
      <t>ジョソウ</t>
    </rPh>
    <phoneticPr fontId="4"/>
  </si>
  <si>
    <t>土づくり</t>
    <rPh sb="0" eb="1">
      <t>ツチ</t>
    </rPh>
    <phoneticPr fontId="4"/>
  </si>
  <si>
    <t>その他</t>
    <rPh sb="2" eb="3">
      <t>タ</t>
    </rPh>
    <phoneticPr fontId="1"/>
  </si>
  <si>
    <t>塩水選-種子消毒-浸種-催芽（鳩胸）
土入れ（床土）-は種-床土の消毒-覆土-育苗器で加温
出芽-緑化-硬化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シンシュ</t>
    </rPh>
    <rPh sb="12" eb="13">
      <t>サイ</t>
    </rPh>
    <rPh sb="13" eb="14">
      <t>メ</t>
    </rPh>
    <rPh sb="15" eb="17">
      <t>ハトムネ</t>
    </rPh>
    <rPh sb="19" eb="20">
      <t>ツチ</t>
    </rPh>
    <rPh sb="20" eb="21">
      <t>イ</t>
    </rPh>
    <rPh sb="23" eb="24">
      <t>トコ</t>
    </rPh>
    <rPh sb="24" eb="25">
      <t>ツチ</t>
    </rPh>
    <rPh sb="28" eb="29">
      <t>シュ</t>
    </rPh>
    <rPh sb="30" eb="31">
      <t>トコ</t>
    </rPh>
    <rPh sb="31" eb="32">
      <t>ツチ</t>
    </rPh>
    <rPh sb="33" eb="35">
      <t>ショウドク</t>
    </rPh>
    <rPh sb="36" eb="38">
      <t>フクド</t>
    </rPh>
    <rPh sb="39" eb="41">
      <t>イクビョウ</t>
    </rPh>
    <rPh sb="41" eb="42">
      <t>キ</t>
    </rPh>
    <rPh sb="43" eb="45">
      <t>カオン</t>
    </rPh>
    <rPh sb="46" eb="48">
      <t>シュツガ</t>
    </rPh>
    <rPh sb="49" eb="51">
      <t>リョッカ</t>
    </rPh>
    <rPh sb="52" eb="54">
      <t>コウカ</t>
    </rPh>
    <phoneticPr fontId="4"/>
  </si>
  <si>
    <t>活着するまで深水管理
初期生育期から最高分げつ期まで間断かんがい
無効分げつ期頃中干し
幼穂形成期以降間断かんがい
出穂後２５日から３０日頃落水</t>
    <rPh sb="0" eb="1">
      <t>カツ</t>
    </rPh>
    <rPh sb="1" eb="2">
      <t>チャク</t>
    </rPh>
    <rPh sb="6" eb="7">
      <t>フカ</t>
    </rPh>
    <rPh sb="7" eb="8">
      <t>ミズ</t>
    </rPh>
    <rPh sb="8" eb="10">
      <t>カンリ</t>
    </rPh>
    <rPh sb="11" eb="13">
      <t>ショキ</t>
    </rPh>
    <rPh sb="13" eb="15">
      <t>セイイク</t>
    </rPh>
    <rPh sb="15" eb="16">
      <t>キ</t>
    </rPh>
    <rPh sb="18" eb="20">
      <t>サイコウ</t>
    </rPh>
    <rPh sb="20" eb="21">
      <t>ブン</t>
    </rPh>
    <rPh sb="23" eb="24">
      <t>キ</t>
    </rPh>
    <rPh sb="26" eb="28">
      <t>カンダン</t>
    </rPh>
    <rPh sb="33" eb="35">
      <t>ムコウ</t>
    </rPh>
    <rPh sb="35" eb="36">
      <t>ブン</t>
    </rPh>
    <rPh sb="38" eb="39">
      <t>キ</t>
    </rPh>
    <rPh sb="39" eb="40">
      <t>コロ</t>
    </rPh>
    <rPh sb="40" eb="41">
      <t>ナカ</t>
    </rPh>
    <rPh sb="41" eb="42">
      <t>ホ</t>
    </rPh>
    <rPh sb="44" eb="45">
      <t>ヨウ</t>
    </rPh>
    <rPh sb="45" eb="46">
      <t>ホ</t>
    </rPh>
    <rPh sb="46" eb="49">
      <t>ケイセイキ</t>
    </rPh>
    <rPh sb="49" eb="51">
      <t>イコウ</t>
    </rPh>
    <rPh sb="51" eb="53">
      <t>カンダン</t>
    </rPh>
    <rPh sb="58" eb="59">
      <t>デ</t>
    </rPh>
    <rPh sb="59" eb="60">
      <t>ホ</t>
    </rPh>
    <rPh sb="60" eb="61">
      <t>ゴ</t>
    </rPh>
    <rPh sb="63" eb="64">
      <t>ヒ</t>
    </rPh>
    <rPh sb="68" eb="69">
      <t>ヒ</t>
    </rPh>
    <rPh sb="69" eb="70">
      <t>コロ</t>
    </rPh>
    <rPh sb="70" eb="72">
      <t>ラクスイ</t>
    </rPh>
    <phoneticPr fontId="4"/>
  </si>
  <si>
    <t>いもち病
紋枯病
セジロウンカ
トビイロウンカ
カメムシ類
等病害虫防除</t>
    <rPh sb="3" eb="4">
      <t>ビョウ</t>
    </rPh>
    <rPh sb="5" eb="6">
      <t>モン</t>
    </rPh>
    <rPh sb="6" eb="7">
      <t>ガ</t>
    </rPh>
    <rPh sb="7" eb="8">
      <t>ビョウ</t>
    </rPh>
    <rPh sb="28" eb="29">
      <t>ルイ</t>
    </rPh>
    <phoneticPr fontId="4"/>
  </si>
  <si>
    <t>コンバインによる収穫
乾燥機による生籾乾燥
籾摺り、石抜き、色彩選別機による調製</t>
    <rPh sb="8" eb="10">
      <t>シュウカク</t>
    </rPh>
    <rPh sb="11" eb="14">
      <t>カンソウキ</t>
    </rPh>
    <rPh sb="17" eb="18">
      <t>ナマ</t>
    </rPh>
    <rPh sb="18" eb="19">
      <t>モミ</t>
    </rPh>
    <rPh sb="19" eb="21">
      <t>カンソウ</t>
    </rPh>
    <rPh sb="22" eb="24">
      <t>モミス</t>
    </rPh>
    <rPh sb="26" eb="27">
      <t>イシ</t>
    </rPh>
    <rPh sb="27" eb="28">
      <t>ヌ</t>
    </rPh>
    <rPh sb="30" eb="32">
      <t>シキサイ</t>
    </rPh>
    <rPh sb="32" eb="34">
      <t>センベツ</t>
    </rPh>
    <rPh sb="34" eb="35">
      <t>キ</t>
    </rPh>
    <rPh sb="38" eb="40">
      <t>チョウセイ</t>
    </rPh>
    <phoneticPr fontId="4"/>
  </si>
  <si>
    <t>2月～5月</t>
    <rPh sb="1" eb="2">
      <t>ガツ</t>
    </rPh>
    <rPh sb="4" eb="5">
      <t>ガツ</t>
    </rPh>
    <phoneticPr fontId="1"/>
  </si>
  <si>
    <t>全期間</t>
    <rPh sb="0" eb="3">
      <t>ゼンキカン</t>
    </rPh>
    <phoneticPr fontId="1"/>
  </si>
  <si>
    <t>11月～12月</t>
    <rPh sb="2" eb="3">
      <t>ガツ</t>
    </rPh>
    <rPh sb="6" eb="7">
      <t>ガツ</t>
    </rPh>
    <phoneticPr fontId="1"/>
  </si>
  <si>
    <t>田植機（肥料、育苗箱施用剤、除草剤散布機付）</t>
    <rPh sb="7" eb="9">
      <t>イクビョウ</t>
    </rPh>
    <phoneticPr fontId="4"/>
  </si>
  <si>
    <t>コンバイン
乾燥機
籾摺り
石抜き
色彩選別機</t>
    <rPh sb="6" eb="9">
      <t>カンソウキ</t>
    </rPh>
    <phoneticPr fontId="4"/>
  </si>
  <si>
    <t>機械時間（1ha当たり）</t>
    <rPh sb="0" eb="2">
      <t>キカイ</t>
    </rPh>
    <rPh sb="2" eb="4">
      <t>ジカン</t>
    </rPh>
    <phoneticPr fontId="4"/>
  </si>
  <si>
    <t>人力時間（1ha当たり）</t>
    <rPh sb="0" eb="2">
      <t>ジンリキ</t>
    </rPh>
    <rPh sb="2" eb="4">
      <t>ジカン</t>
    </rPh>
    <phoneticPr fontId="4"/>
  </si>
  <si>
    <t>使用資材
（１ha当たり）</t>
    <rPh sb="0" eb="2">
      <t>シヨウ</t>
    </rPh>
    <rPh sb="2" eb="4">
      <t>シザイ</t>
    </rPh>
    <rPh sb="9" eb="10">
      <t>ア</t>
    </rPh>
    <phoneticPr fontId="4"/>
  </si>
  <si>
    <t>種籾　　　35ｋｇ
種子消毒剤
土壌消毒剤
育苗培土</t>
    <rPh sb="0" eb="1">
      <t>タネ</t>
    </rPh>
    <rPh sb="1" eb="2">
      <t>モミ</t>
    </rPh>
    <rPh sb="10" eb="12">
      <t>シュシ</t>
    </rPh>
    <rPh sb="12" eb="14">
      <t>ショウドク</t>
    </rPh>
    <rPh sb="14" eb="15">
      <t>ザイ</t>
    </rPh>
    <rPh sb="16" eb="18">
      <t>ドジョウ</t>
    </rPh>
    <rPh sb="18" eb="20">
      <t>ショウドク</t>
    </rPh>
    <rPh sb="20" eb="21">
      <t>ザイ</t>
    </rPh>
    <phoneticPr fontId="4"/>
  </si>
  <si>
    <t>土づくり肥料</t>
    <rPh sb="0" eb="1">
      <t>ツチ</t>
    </rPh>
    <rPh sb="4" eb="6">
      <t>ヒリョウ</t>
    </rPh>
    <phoneticPr fontId="4"/>
  </si>
  <si>
    <t>・肥料
　基肥一発型緩効性肥料　350kg～550kg
・箱施用剤
・除草剤</t>
    <rPh sb="1" eb="3">
      <t>ヒリョウ</t>
    </rPh>
    <rPh sb="5" eb="7">
      <t>モトゴエ</t>
    </rPh>
    <rPh sb="7" eb="9">
      <t>イッパツ</t>
    </rPh>
    <rPh sb="9" eb="10">
      <t>カタ</t>
    </rPh>
    <rPh sb="10" eb="13">
      <t>カンコウセイ</t>
    </rPh>
    <rPh sb="13" eb="15">
      <t>ヒリョウ</t>
    </rPh>
    <rPh sb="29" eb="30">
      <t>ハコ</t>
    </rPh>
    <rPh sb="30" eb="32">
      <t>セヨウ</t>
    </rPh>
    <rPh sb="32" eb="33">
      <t>ザイ</t>
    </rPh>
    <rPh sb="35" eb="38">
      <t>ジョソウザイ</t>
    </rPh>
    <phoneticPr fontId="4"/>
  </si>
  <si>
    <t>殺虫剤，殺菌剤
　または殺虫殺菌剤（混合剤）</t>
    <rPh sb="0" eb="2">
      <t>サッチュウ</t>
    </rPh>
    <rPh sb="2" eb="3">
      <t>ザイ</t>
    </rPh>
    <rPh sb="4" eb="7">
      <t>サッキンザイ</t>
    </rPh>
    <rPh sb="12" eb="14">
      <t>サッチュウ</t>
    </rPh>
    <rPh sb="14" eb="16">
      <t>サッキン</t>
    </rPh>
    <rPh sb="16" eb="17">
      <t>ザイ</t>
    </rPh>
    <rPh sb="18" eb="21">
      <t>コンゴウザイ</t>
    </rPh>
    <phoneticPr fontId="4"/>
  </si>
  <si>
    <t>水稲　：　コシヒカリ</t>
    <rPh sb="0" eb="2">
      <t>スイトウ</t>
    </rPh>
    <phoneticPr fontId="4"/>
  </si>
  <si>
    <t>4月上旬～5月上旬</t>
    <rPh sb="1" eb="2">
      <t>ガツ</t>
    </rPh>
    <rPh sb="2" eb="3">
      <t>ウエ</t>
    </rPh>
    <rPh sb="6" eb="7">
      <t>ガツ</t>
    </rPh>
    <rPh sb="7" eb="8">
      <t>ウエ</t>
    </rPh>
    <phoneticPr fontId="1"/>
  </si>
  <si>
    <t>5月上旬～5月中旬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</si>
  <si>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7月中旬～8月上旬</t>
    <rPh sb="1" eb="2">
      <t>ガツ</t>
    </rPh>
    <rPh sb="2" eb="4">
      <t>チュウジュン</t>
    </rPh>
    <rPh sb="6" eb="7">
      <t>ガツ</t>
    </rPh>
    <rPh sb="7" eb="8">
      <t>ジョウ</t>
    </rPh>
    <rPh sb="8" eb="9">
      <t>ジュン</t>
    </rPh>
    <phoneticPr fontId="1"/>
  </si>
  <si>
    <t>9月上旬～9月中旬</t>
    <rPh sb="1" eb="2">
      <t>ガツ</t>
    </rPh>
    <rPh sb="2" eb="4">
      <t>ジョウジュン</t>
    </rPh>
    <rPh sb="6" eb="7">
      <t>ガツ</t>
    </rPh>
    <rPh sb="7" eb="9">
      <t>チュウジュン</t>
    </rPh>
    <phoneticPr fontId="1"/>
  </si>
  <si>
    <t>トラクター</t>
    <phoneticPr fontId="4"/>
  </si>
  <si>
    <t>水稲　：　あきろまん</t>
    <rPh sb="0" eb="2">
      <t>スイトウ</t>
    </rPh>
    <phoneticPr fontId="4"/>
  </si>
  <si>
    <t>4月中旬～5月中旬</t>
    <rPh sb="1" eb="2">
      <t>ガツ</t>
    </rPh>
    <rPh sb="2" eb="3">
      <t>チュウ</t>
    </rPh>
    <rPh sb="6" eb="7">
      <t>ガツ</t>
    </rPh>
    <rPh sb="7" eb="8">
      <t>チュウ</t>
    </rPh>
    <phoneticPr fontId="1"/>
  </si>
  <si>
    <t>5月中旬</t>
    <rPh sb="1" eb="2">
      <t>ガツ</t>
    </rPh>
    <rPh sb="2" eb="4">
      <t>チュウジュン</t>
    </rPh>
    <phoneticPr fontId="1"/>
  </si>
  <si>
    <t>7月中旬～8月中旬</t>
    <rPh sb="1" eb="2">
      <t>ガツ</t>
    </rPh>
    <rPh sb="2" eb="4">
      <t>チュウジュン</t>
    </rPh>
    <rPh sb="6" eb="7">
      <t>ガツ</t>
    </rPh>
    <rPh sb="7" eb="8">
      <t>チュウ</t>
    </rPh>
    <rPh sb="8" eb="9">
      <t>ジュン</t>
    </rPh>
    <phoneticPr fontId="1"/>
  </si>
  <si>
    <t>9月下旬～10月上旬</t>
    <rPh sb="1" eb="2">
      <t>ガツ</t>
    </rPh>
    <rPh sb="2" eb="4">
      <t>ゲジュン</t>
    </rPh>
    <rPh sb="7" eb="8">
      <t>ガツ</t>
    </rPh>
    <rPh sb="8" eb="10">
      <t>ジョウジュン</t>
    </rPh>
    <phoneticPr fontId="1"/>
  </si>
  <si>
    <t>8条側条施肥機付き</t>
    <rPh sb="1" eb="2">
      <t>ジョウ</t>
    </rPh>
    <rPh sb="2" eb="3">
      <t>ソク</t>
    </rPh>
    <rPh sb="3" eb="4">
      <t>ジョウ</t>
    </rPh>
    <rPh sb="4" eb="6">
      <t>セヒ</t>
    </rPh>
    <rPh sb="6" eb="7">
      <t>キ</t>
    </rPh>
    <rPh sb="7" eb="8">
      <t>ツ</t>
    </rPh>
    <phoneticPr fontId="4"/>
  </si>
  <si>
    <t>5条刈</t>
    <rPh sb="1" eb="2">
      <t>ジョウ</t>
    </rPh>
    <rPh sb="2" eb="3">
      <t>ガ</t>
    </rPh>
    <phoneticPr fontId="4"/>
  </si>
  <si>
    <t>200ｋｇ/回</t>
    <rPh sb="6" eb="7">
      <t>カイ</t>
    </rPh>
    <phoneticPr fontId="4"/>
  </si>
  <si>
    <t>（260箱/時間）</t>
    <rPh sb="4" eb="5">
      <t>ハコ</t>
    </rPh>
    <rPh sb="6" eb="8">
      <t>ジカン</t>
    </rPh>
    <phoneticPr fontId="4"/>
  </si>
  <si>
    <t>16ｋｇ用</t>
    <rPh sb="4" eb="5">
      <t>ヨウ</t>
    </rPh>
    <phoneticPr fontId="4"/>
  </si>
  <si>
    <t>育苗箱</t>
    <rPh sb="0" eb="2">
      <t>イクビョウ</t>
    </rPh>
    <rPh sb="2" eb="3">
      <t>バコ</t>
    </rPh>
    <phoneticPr fontId="4"/>
  </si>
  <si>
    <t>450円/箱</t>
    <rPh sb="3" eb="4">
      <t>エン</t>
    </rPh>
    <rPh sb="5" eb="6">
      <t>ハコ</t>
    </rPh>
    <phoneticPr fontId="4"/>
  </si>
  <si>
    <t>箱</t>
    <rPh sb="0" eb="1">
      <t>ハコ</t>
    </rPh>
    <phoneticPr fontId="4"/>
  </si>
  <si>
    <t>2トン牽引式</t>
    <rPh sb="3" eb="5">
      <t>ケンイン</t>
    </rPh>
    <rPh sb="5" eb="6">
      <t>シキ</t>
    </rPh>
    <phoneticPr fontId="3"/>
  </si>
  <si>
    <t>粗　　　収　　　益　　　の　　　算　　　出</t>
    <phoneticPr fontId="4"/>
  </si>
  <si>
    <t>販売量</t>
    <phoneticPr fontId="4"/>
  </si>
  <si>
    <t>販売量</t>
    <phoneticPr fontId="4"/>
  </si>
  <si>
    <t>こいもみじ</t>
    <phoneticPr fontId="4"/>
  </si>
  <si>
    <t>数量</t>
    <phoneticPr fontId="4"/>
  </si>
  <si>
    <t>こいもみじ</t>
    <phoneticPr fontId="4"/>
  </si>
  <si>
    <t>（kg）</t>
    <phoneticPr fontId="4"/>
  </si>
  <si>
    <t>（イ）肥料名</t>
    <phoneticPr fontId="4"/>
  </si>
  <si>
    <t>１種類</t>
    <phoneticPr fontId="4"/>
  </si>
  <si>
    <t>オペ労賃</t>
    <phoneticPr fontId="6"/>
  </si>
  <si>
    <t>補助労務賃金</t>
    <phoneticPr fontId="6"/>
  </si>
  <si>
    <t>（ウ）農薬名</t>
    <phoneticPr fontId="4"/>
  </si>
  <si>
    <t>3種類</t>
    <phoneticPr fontId="4"/>
  </si>
  <si>
    <t>2種類</t>
    <phoneticPr fontId="4"/>
  </si>
  <si>
    <t>売上原価　計</t>
    <phoneticPr fontId="4"/>
  </si>
  <si>
    <t>（エ）燃料名</t>
    <phoneticPr fontId="4"/>
  </si>
  <si>
    <t>軽油</t>
    <phoneticPr fontId="4"/>
  </si>
  <si>
    <t>ガソリン</t>
    <phoneticPr fontId="4"/>
  </si>
  <si>
    <t>法定福利費　等</t>
    <phoneticPr fontId="4"/>
  </si>
  <si>
    <t>潤滑油</t>
    <phoneticPr fontId="4"/>
  </si>
  <si>
    <t>燃料費の</t>
    <phoneticPr fontId="4"/>
  </si>
  <si>
    <t>混合</t>
    <phoneticPr fontId="4"/>
  </si>
  <si>
    <t>灯油</t>
    <phoneticPr fontId="4"/>
  </si>
  <si>
    <t>電気</t>
    <phoneticPr fontId="4"/>
  </si>
  <si>
    <t>営業外
費用</t>
    <phoneticPr fontId="4"/>
  </si>
  <si>
    <t>７－２　経営収支（水稲部門，1ha当たり）</t>
    <rPh sb="9" eb="11">
      <t>スイトウ</t>
    </rPh>
    <rPh sb="11" eb="13">
      <t>ブモン</t>
    </rPh>
    <rPh sb="17" eb="18">
      <t>ア</t>
    </rPh>
    <phoneticPr fontId="4"/>
  </si>
  <si>
    <t>コシヒカリ</t>
    <phoneticPr fontId="4"/>
  </si>
  <si>
    <t>コシヒカリ</t>
    <phoneticPr fontId="4"/>
  </si>
  <si>
    <t>７－３　経営収支（水稲（あきろまん）部門，1ha当たり）</t>
    <rPh sb="9" eb="11">
      <t>スイトウ</t>
    </rPh>
    <rPh sb="18" eb="20">
      <t>ブモン</t>
    </rPh>
    <rPh sb="24" eb="25">
      <t>ア</t>
    </rPh>
    <phoneticPr fontId="4"/>
  </si>
  <si>
    <t>粗　　　収　　　益　　　の　　　算　　　出</t>
    <phoneticPr fontId="4"/>
  </si>
  <si>
    <t>販売量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</si>
  <si>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</si>
  <si>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８－１　経費の算出基礎（水稲（こいもみじ），1ha当たり）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4"/>
  </si>
  <si>
    <t>単価</t>
    <phoneticPr fontId="4"/>
  </si>
  <si>
    <t>シート他</t>
    <rPh sb="3" eb="4">
      <t>ホカ</t>
    </rPh>
    <phoneticPr fontId="4"/>
  </si>
  <si>
    <t>改良資材散布（トラクター，ブロードｷｬｽﾀｰ）</t>
    <rPh sb="0" eb="2">
      <t>カイリョウ</t>
    </rPh>
    <rPh sb="2" eb="4">
      <t>シザイ</t>
    </rPh>
    <rPh sb="4" eb="6">
      <t>サンプ</t>
    </rPh>
    <phoneticPr fontId="4"/>
  </si>
  <si>
    <t>小　計</t>
    <phoneticPr fontId="4"/>
  </si>
  <si>
    <t>鎌他</t>
    <rPh sb="0" eb="1">
      <t>カマ</t>
    </rPh>
    <rPh sb="1" eb="2">
      <t>ホカ</t>
    </rPh>
    <phoneticPr fontId="4"/>
  </si>
  <si>
    <t>金額</t>
    <phoneticPr fontId="4"/>
  </si>
  <si>
    <t>８－２　経費の算出基礎（水稲（コシヒカリ，1ha当たり）</t>
    <rPh sb="4" eb="6">
      <t>ケイヒ</t>
    </rPh>
    <rPh sb="7" eb="9">
      <t>サンシュツ</t>
    </rPh>
    <rPh sb="9" eb="11">
      <t>キソ</t>
    </rPh>
    <rPh sb="12" eb="14">
      <t>スイトウ</t>
    </rPh>
    <rPh sb="24" eb="25">
      <t>ア</t>
    </rPh>
    <phoneticPr fontId="4"/>
  </si>
  <si>
    <t>８－３　経費の算出基礎（水稲（あきろまん），1ha当たり）</t>
    <rPh sb="4" eb="6">
      <t>ケイヒ</t>
    </rPh>
    <rPh sb="7" eb="9">
      <t>サンシュツ</t>
    </rPh>
    <rPh sb="9" eb="11">
      <t>キソ</t>
    </rPh>
    <rPh sb="12" eb="14">
      <t>スイトウ</t>
    </rPh>
    <rPh sb="25" eb="26">
      <t>ア</t>
    </rPh>
    <phoneticPr fontId="4"/>
  </si>
  <si>
    <t>営業外費用　⑦</t>
    <phoneticPr fontId="4"/>
  </si>
  <si>
    <r>
      <t>1</t>
    </r>
    <r>
      <rPr>
        <sz val="11"/>
        <rFont val="ＭＳ Ｐゴシック"/>
        <family val="3"/>
        <charset val="128"/>
      </rPr>
      <t>0月</t>
    </r>
    <rPh sb="2" eb="3">
      <t>ガツ</t>
    </rPh>
    <phoneticPr fontId="4"/>
  </si>
  <si>
    <t>10月下旬～11月上旬</t>
    <rPh sb="2" eb="3">
      <t>ガツ</t>
    </rPh>
    <rPh sb="3" eb="5">
      <t>ゲジュン</t>
    </rPh>
    <rPh sb="9" eb="11">
      <t>ジョウジュン</t>
    </rPh>
    <phoneticPr fontId="4"/>
  </si>
  <si>
    <t>５月</t>
    <rPh sb="1" eb="2">
      <t>ガツ</t>
    </rPh>
    <phoneticPr fontId="4"/>
  </si>
  <si>
    <t>６月上旬</t>
    <rPh sb="1" eb="2">
      <t>ガツ</t>
    </rPh>
    <rPh sb="2" eb="4">
      <t>ジョウジュン</t>
    </rPh>
    <phoneticPr fontId="4"/>
  </si>
  <si>
    <t>苦土石灰</t>
    <rPh sb="0" eb="4">
      <t>クドセッカイ</t>
    </rPh>
    <phoneticPr fontId="4"/>
  </si>
  <si>
    <t>（参考）　固定資本装備と減価償却費（大豆，1ha当たり・1年当たり）</t>
    <rPh sb="1" eb="3">
      <t>サンコウ</t>
    </rPh>
    <rPh sb="18" eb="20">
      <t>ダイズ</t>
    </rPh>
    <rPh sb="24" eb="25">
      <t>ア</t>
    </rPh>
    <rPh sb="29" eb="30">
      <t>ネン</t>
    </rPh>
    <rPh sb="30" eb="31">
      <t>ア</t>
    </rPh>
    <phoneticPr fontId="4"/>
  </si>
  <si>
    <t>（参考）　固定資本装備と減価償却費（大麦，1ha当たり・1年当たり）</t>
    <rPh sb="1" eb="3">
      <t>サンコウ</t>
    </rPh>
    <rPh sb="18" eb="20">
      <t>オオムギ</t>
    </rPh>
    <rPh sb="24" eb="25">
      <t>ア</t>
    </rPh>
    <rPh sb="29" eb="30">
      <t>ネン</t>
    </rPh>
    <rPh sb="30" eb="31">
      <t>ア</t>
    </rPh>
    <phoneticPr fontId="4"/>
  </si>
  <si>
    <t>ブロードキャスター</t>
  </si>
  <si>
    <t>400リットル</t>
  </si>
  <si>
    <t>フォークリフト</t>
  </si>
  <si>
    <t>高圧洗車機</t>
  </si>
  <si>
    <t>溝切機</t>
    <rPh sb="0" eb="1">
      <t>ミゾ</t>
    </rPh>
    <rPh sb="1" eb="2">
      <t>キリ</t>
    </rPh>
    <rPh sb="2" eb="3">
      <t>キ</t>
    </rPh>
    <phoneticPr fontId="3"/>
  </si>
  <si>
    <t>オーガ式</t>
    <rPh sb="3" eb="4">
      <t>シキ</t>
    </rPh>
    <phoneticPr fontId="3"/>
  </si>
  <si>
    <t>サブソイラー</t>
    <phoneticPr fontId="3"/>
  </si>
  <si>
    <t>振動式</t>
    <rPh sb="0" eb="2">
      <t>シンドウ</t>
    </rPh>
    <rPh sb="2" eb="3">
      <t>シキ</t>
    </rPh>
    <phoneticPr fontId="3"/>
  </si>
  <si>
    <t>乗用管理機</t>
    <rPh sb="0" eb="2">
      <t>ジョウヨウ</t>
    </rPh>
    <rPh sb="2" eb="4">
      <t>カンリ</t>
    </rPh>
    <rPh sb="4" eb="5">
      <t>キ</t>
    </rPh>
    <phoneticPr fontId="3"/>
  </si>
  <si>
    <t>2ｔユニック</t>
    <phoneticPr fontId="4"/>
  </si>
  <si>
    <t>グレンコンテナ</t>
    <phoneticPr fontId="4"/>
  </si>
  <si>
    <t>1トン</t>
    <phoneticPr fontId="4"/>
  </si>
  <si>
    <t>サブソイラー</t>
    <phoneticPr fontId="3"/>
  </si>
  <si>
    <t>2ｔユニック</t>
    <phoneticPr fontId="4"/>
  </si>
  <si>
    <t>グレンコンテナ</t>
    <phoneticPr fontId="4"/>
  </si>
  <si>
    <t>1トン</t>
    <phoneticPr fontId="4"/>
  </si>
  <si>
    <t>乾燥機</t>
    <rPh sb="0" eb="3">
      <t>カンソウキ</t>
    </rPh>
    <phoneticPr fontId="4"/>
  </si>
  <si>
    <t>荷受ホッパー</t>
    <rPh sb="0" eb="2">
      <t>ニウケ</t>
    </rPh>
    <phoneticPr fontId="4"/>
  </si>
  <si>
    <t>30石</t>
    <phoneticPr fontId="4"/>
  </si>
  <si>
    <t>搬送量12ｔ/時</t>
    <rPh sb="0" eb="2">
      <t>ハンソウ</t>
    </rPh>
    <rPh sb="2" eb="3">
      <t>リョウ</t>
    </rPh>
    <rPh sb="7" eb="8">
      <t>ジカン</t>
    </rPh>
    <phoneticPr fontId="4"/>
  </si>
  <si>
    <t>大麦種子</t>
    <rPh sb="0" eb="2">
      <t>オオムギ</t>
    </rPh>
    <rPh sb="2" eb="4">
      <t>シュシ</t>
    </rPh>
    <phoneticPr fontId="4"/>
  </si>
  <si>
    <t>大豆種子</t>
    <rPh sb="0" eb="2">
      <t>ダイズ</t>
    </rPh>
    <rPh sb="2" eb="4">
      <t>シュシ</t>
    </rPh>
    <phoneticPr fontId="4"/>
  </si>
  <si>
    <t>２年更新</t>
    <rPh sb="1" eb="2">
      <t>ネン</t>
    </rPh>
    <rPh sb="2" eb="4">
      <t>コウシン</t>
    </rPh>
    <phoneticPr fontId="4"/>
  </si>
  <si>
    <t>稲麦大豆の2年3作体系とする。
麦跡の大豆及び大豆跡の基肥窒素は施用しない。</t>
    <rPh sb="0" eb="1">
      <t>イネ</t>
    </rPh>
    <rPh sb="1" eb="2">
      <t>ムギ</t>
    </rPh>
    <rPh sb="2" eb="4">
      <t>ダイズ</t>
    </rPh>
    <rPh sb="6" eb="7">
      <t>ネン</t>
    </rPh>
    <rPh sb="8" eb="9">
      <t>サク</t>
    </rPh>
    <rPh sb="9" eb="11">
      <t>タイケイ</t>
    </rPh>
    <rPh sb="16" eb="17">
      <t>ムギ</t>
    </rPh>
    <rPh sb="17" eb="18">
      <t>アト</t>
    </rPh>
    <rPh sb="19" eb="21">
      <t>ダイズ</t>
    </rPh>
    <rPh sb="21" eb="22">
      <t>オヨ</t>
    </rPh>
    <rPh sb="23" eb="25">
      <t>ダイズ</t>
    </rPh>
    <rPh sb="25" eb="26">
      <t>アト</t>
    </rPh>
    <rPh sb="27" eb="28">
      <t>モト</t>
    </rPh>
    <rPh sb="28" eb="29">
      <t>コエ</t>
    </rPh>
    <rPh sb="29" eb="31">
      <t>チッソ</t>
    </rPh>
    <rPh sb="32" eb="34">
      <t>セヨウ</t>
    </rPh>
    <phoneticPr fontId="4"/>
  </si>
  <si>
    <t>大豆(サチユタカ)</t>
    <rPh sb="0" eb="2">
      <t>ダイズ</t>
    </rPh>
    <phoneticPr fontId="3"/>
  </si>
  <si>
    <t>大麦（さやかぜ）</t>
    <rPh sb="0" eb="2">
      <t>オオムギ</t>
    </rPh>
    <phoneticPr fontId="3"/>
  </si>
  <si>
    <t>６月中旬</t>
    <rPh sb="1" eb="2">
      <t>ガツ</t>
    </rPh>
    <rPh sb="2" eb="4">
      <t>チュウジュン</t>
    </rPh>
    <phoneticPr fontId="4"/>
  </si>
  <si>
    <t>７月</t>
    <rPh sb="1" eb="2">
      <t>ガツ</t>
    </rPh>
    <phoneticPr fontId="4"/>
  </si>
  <si>
    <t>８月中旬，９月上旬</t>
    <rPh sb="1" eb="2">
      <t>ガツ</t>
    </rPh>
    <rPh sb="2" eb="4">
      <t>チュウジュン</t>
    </rPh>
    <rPh sb="6" eb="7">
      <t>ガツ</t>
    </rPh>
    <rPh sb="7" eb="9">
      <t>ジョウジュン</t>
    </rPh>
    <phoneticPr fontId="4"/>
  </si>
  <si>
    <t>11月下旬</t>
    <rPh sb="2" eb="3">
      <t>ガツ</t>
    </rPh>
    <rPh sb="3" eb="5">
      <t>ゲジュン</t>
    </rPh>
    <phoneticPr fontId="4"/>
  </si>
  <si>
    <t>牛糞たい肥
苦土石灰</t>
    <rPh sb="0" eb="2">
      <t>ギュウフン</t>
    </rPh>
    <rPh sb="4" eb="5">
      <t>ヒ</t>
    </rPh>
    <rPh sb="6" eb="10">
      <t>クドセッカイ</t>
    </rPh>
    <phoneticPr fontId="4"/>
  </si>
  <si>
    <t>牛糞たい肥1ｔ
苦土石灰100㎏</t>
    <rPh sb="0" eb="2">
      <t>ギュウフン</t>
    </rPh>
    <rPh sb="4" eb="5">
      <t>ヒ</t>
    </rPh>
    <rPh sb="8" eb="12">
      <t>クドセッカイ</t>
    </rPh>
    <phoneticPr fontId="4"/>
  </si>
  <si>
    <t>肥料20㎏</t>
    <rPh sb="0" eb="2">
      <t>ヒリョウ</t>
    </rPh>
    <phoneticPr fontId="4"/>
  </si>
  <si>
    <t>前年秋，播種一ヵ月前まで５月下旬</t>
    <rPh sb="0" eb="2">
      <t>ゼンネン</t>
    </rPh>
    <rPh sb="2" eb="3">
      <t>アキ</t>
    </rPh>
    <rPh sb="4" eb="6">
      <t>ハシュ</t>
    </rPh>
    <rPh sb="6" eb="9">
      <t>イッカゲツ</t>
    </rPh>
    <rPh sb="9" eb="10">
      <t>マエ</t>
    </rPh>
    <rPh sb="13" eb="14">
      <t>ガツ</t>
    </rPh>
    <rPh sb="14" eb="16">
      <t>ゲジュン</t>
    </rPh>
    <phoneticPr fontId="4"/>
  </si>
  <si>
    <t>種子7㎏</t>
    <rPh sb="0" eb="2">
      <t>シュシ</t>
    </rPh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</si>
  <si>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</si>
  <si>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46psキャビン付</t>
    </r>
    <r>
      <rPr>
        <sz val="11"/>
        <rFont val="ＭＳ Ｐゴシック"/>
        <family val="3"/>
        <charset val="128"/>
      </rPr>
      <t>(ロータリー)</t>
    </r>
    <phoneticPr fontId="4"/>
  </si>
  <si>
    <t>32ps（ロータリー）</t>
    <phoneticPr fontId="4"/>
  </si>
  <si>
    <t>大豆対応汎用型コンバイン</t>
    <rPh sb="0" eb="2">
      <t>ダイズ</t>
    </rPh>
    <rPh sb="2" eb="4">
      <t>タイオウ</t>
    </rPh>
    <rPh sb="4" eb="6">
      <t>ハンヨウ</t>
    </rPh>
    <rPh sb="6" eb="7">
      <t>カタ</t>
    </rPh>
    <phoneticPr fontId="4"/>
  </si>
  <si>
    <t>43ｐｓ</t>
    <phoneticPr fontId="4"/>
  </si>
  <si>
    <t>施肥/農薬散布付（牽引６条タイプ（リンクベルト））</t>
    <rPh sb="0" eb="2">
      <t>セヒ</t>
    </rPh>
    <rPh sb="3" eb="5">
      <t>ノウヤク</t>
    </rPh>
    <rPh sb="5" eb="7">
      <t>サンプ</t>
    </rPh>
    <rPh sb="7" eb="8">
      <t>ツキ</t>
    </rPh>
    <phoneticPr fontId="3"/>
  </si>
  <si>
    <r>
      <t>500リットル　　</t>
    </r>
    <r>
      <rPr>
        <sz val="11"/>
        <rFont val="ＭＳ Ｐゴシック"/>
        <family val="3"/>
        <charset val="128"/>
      </rPr>
      <t>10ｍ</t>
    </r>
    <phoneticPr fontId="3"/>
  </si>
  <si>
    <t>茎葉処理除草剤</t>
    <rPh sb="0" eb="2">
      <t>ケイヨウ</t>
    </rPh>
    <rPh sb="2" eb="4">
      <t>ショリ</t>
    </rPh>
    <rPh sb="4" eb="7">
      <t>ジョソウザイ</t>
    </rPh>
    <phoneticPr fontId="4"/>
  </si>
  <si>
    <t>種子6.5㎏
種子消毒剤
土壌処理除草剤</t>
    <rPh sb="0" eb="2">
      <t>シュシ</t>
    </rPh>
    <rPh sb="7" eb="9">
      <t>シュシ</t>
    </rPh>
    <rPh sb="9" eb="11">
      <t>ショウドク</t>
    </rPh>
    <rPh sb="11" eb="12">
      <t>ザイ</t>
    </rPh>
    <rPh sb="13" eb="15">
      <t>ドジョウ</t>
    </rPh>
    <rPh sb="15" eb="17">
      <t>ショリ</t>
    </rPh>
    <rPh sb="17" eb="20">
      <t>ジョソウザイ</t>
    </rPh>
    <phoneticPr fontId="4"/>
  </si>
  <si>
    <t>コンバイン</t>
    <phoneticPr fontId="4"/>
  </si>
  <si>
    <t>コンバインによる収穫
乾燥機による生籾乾燥</t>
    <phoneticPr fontId="4"/>
  </si>
  <si>
    <r>
      <t>1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月</t>
    </r>
    <phoneticPr fontId="4"/>
  </si>
  <si>
    <t>12月～３月</t>
    <rPh sb="2" eb="3">
      <t>ガツ</t>
    </rPh>
    <rPh sb="5" eb="6">
      <t>ガツ</t>
    </rPh>
    <phoneticPr fontId="4"/>
  </si>
  <si>
    <t>1月下旬</t>
    <rPh sb="1" eb="2">
      <t>ガツ</t>
    </rPh>
    <rPh sb="2" eb="4">
      <t>ゲジュン</t>
    </rPh>
    <phoneticPr fontId="4"/>
  </si>
  <si>
    <t>コンバイン
乾燥機</t>
    <phoneticPr fontId="4"/>
  </si>
  <si>
    <t>化成肥料　57㎏</t>
    <rPh sb="0" eb="2">
      <t>カセイ</t>
    </rPh>
    <rPh sb="2" eb="4">
      <t>ヒリョウ</t>
    </rPh>
    <phoneticPr fontId="4"/>
  </si>
  <si>
    <t>化成肥料　15㎏
もしくは
尿素　　10Kg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カセイ</t>
    </rPh>
    <rPh sb="2" eb="4">
      <t>ヒリョウ</t>
    </rPh>
    <rPh sb="14" eb="16">
      <t>ニョウソ</t>
    </rPh>
    <phoneticPr fontId="4"/>
  </si>
  <si>
    <t>殺虫剤，殺菌剤</t>
    <rPh sb="0" eb="2">
      <t>サッチュウ</t>
    </rPh>
    <rPh sb="2" eb="3">
      <t>ザイ</t>
    </rPh>
    <rPh sb="4" eb="7">
      <t>サッキンザイ</t>
    </rPh>
    <phoneticPr fontId="4"/>
  </si>
  <si>
    <t>適期刈取
適正な乾燥調製</t>
    <phoneticPr fontId="4"/>
  </si>
  <si>
    <t>作　業　別</t>
    <phoneticPr fontId="4"/>
  </si>
  <si>
    <t>オペ</t>
    <phoneticPr fontId="4"/>
  </si>
  <si>
    <t>　堆肥，石灰散布</t>
    <rPh sb="1" eb="3">
      <t>タイヒ</t>
    </rPh>
    <rPh sb="4" eb="6">
      <t>セッカイ</t>
    </rPh>
    <phoneticPr fontId="4"/>
  </si>
  <si>
    <t>　耕起・整地，施肥</t>
    <rPh sb="7" eb="9">
      <t>セヒ</t>
    </rPh>
    <phoneticPr fontId="4"/>
  </si>
  <si>
    <t>　種子準備，は種</t>
    <rPh sb="1" eb="3">
      <t>シュシ</t>
    </rPh>
    <rPh sb="3" eb="5">
      <t>ジュンビ</t>
    </rPh>
    <rPh sb="7" eb="8">
      <t>タネ</t>
    </rPh>
    <phoneticPr fontId="4"/>
  </si>
  <si>
    <t>　除草剤散布</t>
    <rPh sb="1" eb="3">
      <t>ジョソウ</t>
    </rPh>
    <rPh sb="3" eb="4">
      <t>ザイ</t>
    </rPh>
    <rPh sb="4" eb="6">
      <t>サンプ</t>
    </rPh>
    <phoneticPr fontId="4"/>
  </si>
  <si>
    <t>　病害虫防除</t>
    <rPh sb="1" eb="4">
      <t>ビョウガイチュウ</t>
    </rPh>
    <rPh sb="4" eb="6">
      <t>ボウジョ</t>
    </rPh>
    <phoneticPr fontId="4"/>
  </si>
  <si>
    <t>　収穫・調整</t>
    <rPh sb="1" eb="3">
      <t>シュウカク</t>
    </rPh>
    <rPh sb="4" eb="6">
      <t>チョウセイ</t>
    </rPh>
    <phoneticPr fontId="4"/>
  </si>
  <si>
    <t>　その他</t>
    <rPh sb="3" eb="4">
      <t>タ</t>
    </rPh>
    <phoneticPr fontId="4"/>
  </si>
  <si>
    <t>旬　別　計</t>
    <phoneticPr fontId="4"/>
  </si>
  <si>
    <t>月　  　計</t>
    <phoneticPr fontId="4"/>
  </si>
  <si>
    <t>作　業　別</t>
    <phoneticPr fontId="4"/>
  </si>
  <si>
    <t>オペ</t>
    <phoneticPr fontId="4"/>
  </si>
  <si>
    <t>　追肥</t>
    <rPh sb="1" eb="3">
      <t>ツイヒ</t>
    </rPh>
    <phoneticPr fontId="4"/>
  </si>
  <si>
    <t>旬　別　計</t>
    <phoneticPr fontId="4"/>
  </si>
  <si>
    <t>月　  　計</t>
    <phoneticPr fontId="4"/>
  </si>
  <si>
    <t>○</t>
    <phoneticPr fontId="3"/>
  </si>
  <si>
    <t>○：播種　△：仮植　×：定植　□：出穂，開花</t>
    <rPh sb="17" eb="19">
      <t>シュッスイ</t>
    </rPh>
    <rPh sb="20" eb="22">
      <t>カイカ</t>
    </rPh>
    <phoneticPr fontId="4"/>
  </si>
  <si>
    <t>□</t>
    <phoneticPr fontId="3"/>
  </si>
  <si>
    <t>８－３　経費の算出基礎（大麦，1ha当たり）</t>
    <rPh sb="4" eb="6">
      <t>ケイヒ</t>
    </rPh>
    <rPh sb="7" eb="9">
      <t>サンシュツ</t>
    </rPh>
    <rPh sb="9" eb="11">
      <t>キソ</t>
    </rPh>
    <rPh sb="12" eb="14">
      <t>オオムギ</t>
    </rPh>
    <rPh sb="18" eb="19">
      <t>ア</t>
    </rPh>
    <phoneticPr fontId="4"/>
  </si>
  <si>
    <t>播種作業（トラクター）</t>
    <rPh sb="0" eb="2">
      <t>ハシュ</t>
    </rPh>
    <rPh sb="2" eb="4">
      <t>サギョウ</t>
    </rPh>
    <phoneticPr fontId="4"/>
  </si>
  <si>
    <t>防除・追肥作業（管理機）</t>
    <rPh sb="0" eb="2">
      <t>ボウジョ</t>
    </rPh>
    <rPh sb="3" eb="5">
      <t>ツイヒ</t>
    </rPh>
    <rPh sb="5" eb="7">
      <t>サギョウ</t>
    </rPh>
    <rPh sb="8" eb="10">
      <t>カンリ</t>
    </rPh>
    <rPh sb="10" eb="11">
      <t>キ</t>
    </rPh>
    <phoneticPr fontId="4"/>
  </si>
  <si>
    <t>1ha機械</t>
    <phoneticPr fontId="4"/>
  </si>
  <si>
    <t>単価</t>
    <phoneticPr fontId="4"/>
  </si>
  <si>
    <t>㎡</t>
    <phoneticPr fontId="4"/>
  </si>
  <si>
    <t>小　計</t>
    <phoneticPr fontId="4"/>
  </si>
  <si>
    <t>ガソリン</t>
    <phoneticPr fontId="4"/>
  </si>
  <si>
    <t>本</t>
    <phoneticPr fontId="4"/>
  </si>
  <si>
    <t>（２）農薬費</t>
    <phoneticPr fontId="4"/>
  </si>
  <si>
    <t>金額</t>
    <phoneticPr fontId="4"/>
  </si>
  <si>
    <t>普通トラック</t>
    <phoneticPr fontId="4"/>
  </si>
  <si>
    <t>1種類</t>
    <phoneticPr fontId="4"/>
  </si>
  <si>
    <t>2種類</t>
    <phoneticPr fontId="4"/>
  </si>
  <si>
    <t>4種類</t>
    <phoneticPr fontId="4"/>
  </si>
  <si>
    <t>ミネラルＧ</t>
    <phoneticPr fontId="4"/>
  </si>
  <si>
    <t>袋代</t>
    <rPh sb="0" eb="1">
      <t>フクロ</t>
    </rPh>
    <rPh sb="1" eb="2">
      <t>ダイ</t>
    </rPh>
    <phoneticPr fontId="4"/>
  </si>
  <si>
    <t>水稲(こいもみじ）</t>
  </si>
  <si>
    <t>水稲(コシヒカリ）</t>
  </si>
  <si>
    <t>水稲(あきろまん）</t>
  </si>
  <si>
    <t>７－３　経営収支（大豆部門，1ha当たり）</t>
    <rPh sb="9" eb="11">
      <t>ダイズ</t>
    </rPh>
    <rPh sb="11" eb="13">
      <t>ブモン</t>
    </rPh>
    <rPh sb="17" eb="18">
      <t>ア</t>
    </rPh>
    <phoneticPr fontId="4"/>
  </si>
  <si>
    <t>７－３　経営収支（大麦部門，1ha当たり）</t>
    <rPh sb="9" eb="11">
      <t>オオムギ</t>
    </rPh>
    <rPh sb="11" eb="13">
      <t>ブモン</t>
    </rPh>
    <rPh sb="17" eb="18">
      <t>ア</t>
    </rPh>
    <phoneticPr fontId="4"/>
  </si>
  <si>
    <t>トラクター</t>
    <phoneticPr fontId="4"/>
  </si>
  <si>
    <t>作　業　別</t>
    <phoneticPr fontId="4"/>
  </si>
  <si>
    <t>オペ</t>
    <phoneticPr fontId="4"/>
  </si>
  <si>
    <t>作　　　型</t>
    <phoneticPr fontId="4"/>
  </si>
  <si>
    <t>旬　別　計</t>
    <phoneticPr fontId="4"/>
  </si>
  <si>
    <t>月　  　計</t>
    <phoneticPr fontId="4"/>
  </si>
  <si>
    <t>作　業　別</t>
    <phoneticPr fontId="4"/>
  </si>
  <si>
    <t>オペ</t>
    <phoneticPr fontId="4"/>
  </si>
  <si>
    <t>作　　　型</t>
    <phoneticPr fontId="4"/>
  </si>
  <si>
    <t>旬　別　計</t>
    <phoneticPr fontId="4"/>
  </si>
  <si>
    <t>月　  　計</t>
    <phoneticPr fontId="4"/>
  </si>
  <si>
    <t>本作目
負担割合</t>
    <phoneticPr fontId="4"/>
  </si>
  <si>
    <t>ＷＣＳ</t>
    <phoneticPr fontId="4"/>
  </si>
  <si>
    <t>○○</t>
    <phoneticPr fontId="4"/>
  </si>
  <si>
    <t>①（円）</t>
    <phoneticPr fontId="4"/>
  </si>
  <si>
    <t>②（％）</t>
    <phoneticPr fontId="4"/>
  </si>
  <si>
    <t>④ （％）</t>
    <phoneticPr fontId="4"/>
  </si>
  <si>
    <t>⑤=③×④（円/ha）</t>
    <phoneticPr fontId="4"/>
  </si>
  <si>
    <t>⑥（％）</t>
    <phoneticPr fontId="4"/>
  </si>
  <si>
    <t>⑧（年）</t>
    <phoneticPr fontId="4"/>
  </si>
  <si>
    <t>⑨＝（⑤－⑦）÷⑧（円/ha）</t>
    <phoneticPr fontId="4"/>
  </si>
  <si>
    <t>㎡</t>
    <phoneticPr fontId="4"/>
  </si>
  <si>
    <t>㎡</t>
    <phoneticPr fontId="4"/>
  </si>
  <si>
    <t>㎡</t>
    <phoneticPr fontId="4"/>
  </si>
  <si>
    <t>46psキャビン付（ﾛｰﾀﾘｰ）</t>
    <phoneticPr fontId="4"/>
  </si>
  <si>
    <t>トラクター</t>
    <phoneticPr fontId="4"/>
  </si>
  <si>
    <t>32ｐｓ（ﾛｰﾀﾘｰ）</t>
    <phoneticPr fontId="4"/>
  </si>
  <si>
    <r>
      <t>2.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m幅</t>
    </r>
    <phoneticPr fontId="4"/>
  </si>
  <si>
    <r>
      <t>2.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m幅</t>
    </r>
    <phoneticPr fontId="4"/>
  </si>
  <si>
    <t>ブロードキャスター</t>
    <phoneticPr fontId="4"/>
  </si>
  <si>
    <t>400リットル</t>
    <phoneticPr fontId="4"/>
  </si>
  <si>
    <t>750箱／回，フォークリフト</t>
    <phoneticPr fontId="4"/>
  </si>
  <si>
    <t>2ｔﾄﾗｯｸ</t>
    <phoneticPr fontId="4"/>
  </si>
  <si>
    <t>　　合　　計</t>
    <phoneticPr fontId="4"/>
  </si>
  <si>
    <t>大豆・大麦</t>
    <rPh sb="0" eb="2">
      <t>ダイズ</t>
    </rPh>
    <rPh sb="3" eb="5">
      <t>オオムギ</t>
    </rPh>
    <phoneticPr fontId="3"/>
  </si>
  <si>
    <t>水稲20ha+大豆10ha+大麦10ha</t>
    <rPh sb="7" eb="9">
      <t>ダイズ</t>
    </rPh>
    <rPh sb="14" eb="16">
      <t>オオムギ</t>
    </rPh>
    <phoneticPr fontId="3"/>
  </si>
  <si>
    <t>2年3作</t>
    <rPh sb="1" eb="2">
      <t>ネン</t>
    </rPh>
    <rPh sb="3" eb="4">
      <t>サク</t>
    </rPh>
    <phoneticPr fontId="3"/>
  </si>
  <si>
    <t>大豆共済</t>
    <rPh sb="0" eb="2">
      <t>ダイズ</t>
    </rPh>
    <rPh sb="2" eb="4">
      <t>キョウサイ</t>
    </rPh>
    <phoneticPr fontId="4"/>
  </si>
  <si>
    <t>大麦共済</t>
    <rPh sb="0" eb="2">
      <t>オオムギ</t>
    </rPh>
    <rPh sb="2" eb="4">
      <t>キョウサイ</t>
    </rPh>
    <phoneticPr fontId="4"/>
  </si>
  <si>
    <t>直接支払交付金(+担い手加算)35000+6000円/10ａ，ゲタ対策+5490円/50㎏</t>
    <rPh sb="0" eb="2">
      <t>チョクセツ</t>
    </rPh>
    <rPh sb="2" eb="4">
      <t>シハライ</t>
    </rPh>
    <rPh sb="4" eb="7">
      <t>コウフキン</t>
    </rPh>
    <rPh sb="9" eb="10">
      <t>ニナ</t>
    </rPh>
    <rPh sb="11" eb="12">
      <t>テ</t>
    </rPh>
    <rPh sb="12" eb="14">
      <t>カサン</t>
    </rPh>
    <rPh sb="25" eb="26">
      <t>エン</t>
    </rPh>
    <rPh sb="33" eb="35">
      <t>タイサク</t>
    </rPh>
    <rPh sb="40" eb="41">
      <t>エン</t>
    </rPh>
    <phoneticPr fontId="4"/>
  </si>
  <si>
    <t>直接支払交付金(+担い手加算)35000+6000円/10ａ，ゲタ対策11660円/60㎏</t>
    <rPh sb="0" eb="2">
      <t>チョクセツ</t>
    </rPh>
    <rPh sb="2" eb="4">
      <t>シハライ</t>
    </rPh>
    <rPh sb="4" eb="7">
      <t>コウフキン</t>
    </rPh>
    <rPh sb="9" eb="10">
      <t>ニナ</t>
    </rPh>
    <rPh sb="11" eb="12">
      <t>テ</t>
    </rPh>
    <rPh sb="12" eb="14">
      <t>カサン</t>
    </rPh>
    <rPh sb="25" eb="26">
      <t>エン</t>
    </rPh>
    <rPh sb="33" eb="35">
      <t>タイサク</t>
    </rPh>
    <rPh sb="40" eb="41">
      <t>エン</t>
    </rPh>
    <phoneticPr fontId="4"/>
  </si>
  <si>
    <t>収穫</t>
    <rPh sb="0" eb="2">
      <t>シュウカク</t>
    </rPh>
    <phoneticPr fontId="4"/>
  </si>
  <si>
    <t>ﾏﾆｭｱｽﾌﾟﾚｯﾀﾞ
ブロードキャスター</t>
    <phoneticPr fontId="4"/>
  </si>
  <si>
    <t>トラクター
ブロードキャスター</t>
    <phoneticPr fontId="4"/>
  </si>
  <si>
    <t>土壌酸度の矯正</t>
    <rPh sb="0" eb="2">
      <t>ドジョウ</t>
    </rPh>
    <rPh sb="2" eb="4">
      <t>サンド</t>
    </rPh>
    <rPh sb="5" eb="7">
      <t>キョウセイ</t>
    </rPh>
    <phoneticPr fontId="4"/>
  </si>
  <si>
    <t>石灰散布</t>
    <rPh sb="0" eb="2">
      <t>セッカイ</t>
    </rPh>
    <rPh sb="2" eb="4">
      <t>サンプ</t>
    </rPh>
    <phoneticPr fontId="4"/>
  </si>
  <si>
    <t>ブロードキャスター</t>
    <phoneticPr fontId="4"/>
  </si>
  <si>
    <t>農機具庫</t>
  </si>
  <si>
    <t>育苗ハウス</t>
  </si>
  <si>
    <t>耕起
入水後代かきを2回</t>
    <rPh sb="0" eb="2">
      <t>コウキ</t>
    </rPh>
    <rPh sb="3" eb="5">
      <t>ニュウスイ</t>
    </rPh>
    <rPh sb="5" eb="6">
      <t>ゴ</t>
    </rPh>
    <rPh sb="6" eb="7">
      <t>シロ</t>
    </rPh>
    <rPh sb="11" eb="12">
      <t>カイ</t>
    </rPh>
    <phoneticPr fontId="4"/>
  </si>
  <si>
    <t>田植機（肥料、箱施用剤、除草剤散布機付）で移植</t>
    <rPh sb="0" eb="2">
      <t>タウエ</t>
    </rPh>
    <rPh sb="2" eb="3">
      <t>キ</t>
    </rPh>
    <rPh sb="4" eb="6">
      <t>ヒリョウ</t>
    </rPh>
    <rPh sb="7" eb="8">
      <t>ハコ</t>
    </rPh>
    <rPh sb="8" eb="10">
      <t>セヨウ</t>
    </rPh>
    <rPh sb="10" eb="11">
      <t>ザイ</t>
    </rPh>
    <rPh sb="12" eb="14">
      <t>ジョソウ</t>
    </rPh>
    <rPh sb="14" eb="15">
      <t>ザイ</t>
    </rPh>
    <rPh sb="15" eb="17">
      <t>サンプ</t>
    </rPh>
    <rPh sb="17" eb="18">
      <t>キ</t>
    </rPh>
    <rPh sb="18" eb="19">
      <t>ツキ</t>
    </rPh>
    <rPh sb="21" eb="23">
      <t>イショク</t>
    </rPh>
    <phoneticPr fontId="4"/>
  </si>
  <si>
    <t>雑草が多い場合は、水稲生育期に除草剤を散布</t>
    <rPh sb="0" eb="2">
      <t>ザッソウ</t>
    </rPh>
    <rPh sb="3" eb="4">
      <t>オオ</t>
    </rPh>
    <rPh sb="5" eb="7">
      <t>バアイ</t>
    </rPh>
    <rPh sb="9" eb="11">
      <t>スイトウ</t>
    </rPh>
    <rPh sb="11" eb="13">
      <t>セイイク</t>
    </rPh>
    <rPh sb="13" eb="14">
      <t>キ</t>
    </rPh>
    <rPh sb="15" eb="18">
      <t>ジョソウザイ</t>
    </rPh>
    <rPh sb="19" eb="21">
      <t>サンプ</t>
    </rPh>
    <phoneticPr fontId="4"/>
  </si>
  <si>
    <t>土づくり肥料を散布して耕起</t>
    <rPh sb="0" eb="1">
      <t>ツチ</t>
    </rPh>
    <rPh sb="1" eb="2">
      <t>コウド</t>
    </rPh>
    <rPh sb="4" eb="6">
      <t>ヒリョウ</t>
    </rPh>
    <rPh sb="7" eb="9">
      <t>サンプ</t>
    </rPh>
    <rPh sb="11" eb="13">
      <t>コウキ</t>
    </rPh>
    <phoneticPr fontId="4"/>
  </si>
  <si>
    <t>肥料
　基肥一発型緩効性肥料　350kg～550kg
箱施用剤
除草剤</t>
    <rPh sb="0" eb="2">
      <t>ヒリョウ</t>
    </rPh>
    <rPh sb="4" eb="6">
      <t>モトゴエ</t>
    </rPh>
    <rPh sb="6" eb="8">
      <t>イッパツ</t>
    </rPh>
    <rPh sb="8" eb="9">
      <t>カタ</t>
    </rPh>
    <rPh sb="9" eb="12">
      <t>カンコウセイ</t>
    </rPh>
    <rPh sb="12" eb="14">
      <t>ヒリョウ</t>
    </rPh>
    <rPh sb="27" eb="28">
      <t>ハコ</t>
    </rPh>
    <rPh sb="28" eb="30">
      <t>セヨウ</t>
    </rPh>
    <rPh sb="30" eb="31">
      <t>ザイ</t>
    </rPh>
    <rPh sb="32" eb="35">
      <t>ジョソウザイ</t>
    </rPh>
    <phoneticPr fontId="4"/>
  </si>
  <si>
    <t>塩水選、種子消毒の実施
適正な温度管理
は種量の適正化</t>
    <rPh sb="0" eb="1">
      <t>シオ</t>
    </rPh>
    <rPh sb="1" eb="2">
      <t>ミズ</t>
    </rPh>
    <rPh sb="2" eb="3">
      <t>セン</t>
    </rPh>
    <rPh sb="4" eb="6">
      <t>シュシ</t>
    </rPh>
    <rPh sb="6" eb="8">
      <t>ショウドク</t>
    </rPh>
    <rPh sb="9" eb="11">
      <t>ジッシ</t>
    </rPh>
    <rPh sb="12" eb="14">
      <t>テキセイ</t>
    </rPh>
    <rPh sb="15" eb="17">
      <t>オンド</t>
    </rPh>
    <rPh sb="17" eb="19">
      <t>カンリ</t>
    </rPh>
    <rPh sb="21" eb="22">
      <t>シュ</t>
    </rPh>
    <rPh sb="22" eb="23">
      <t>リョウ</t>
    </rPh>
    <rPh sb="24" eb="26">
      <t>テキセイ</t>
    </rPh>
    <rPh sb="26" eb="27">
      <t>カ</t>
    </rPh>
    <phoneticPr fontId="4"/>
  </si>
  <si>
    <t>田面の均平化</t>
    <rPh sb="0" eb="1">
      <t>タ</t>
    </rPh>
    <rPh sb="1" eb="2">
      <t>メン</t>
    </rPh>
    <rPh sb="3" eb="4">
      <t>ヒトシ</t>
    </rPh>
    <rPh sb="4" eb="5">
      <t>ヘイ</t>
    </rPh>
    <rPh sb="5" eb="6">
      <t>カ</t>
    </rPh>
    <phoneticPr fontId="4"/>
  </si>
  <si>
    <t>適期田植
適正な栽植密度</t>
    <rPh sb="0" eb="2">
      <t>テッキ</t>
    </rPh>
    <rPh sb="2" eb="4">
      <t>タウ</t>
    </rPh>
    <rPh sb="5" eb="7">
      <t>テキセイ</t>
    </rPh>
    <rPh sb="8" eb="10">
      <t>サイショク</t>
    </rPh>
    <rPh sb="10" eb="12">
      <t>ミツド</t>
    </rPh>
    <phoneticPr fontId="4"/>
  </si>
  <si>
    <t>適正な水管理
使用薬量を均一に散布</t>
    <rPh sb="0" eb="2">
      <t>テキセイ</t>
    </rPh>
    <rPh sb="3" eb="4">
      <t>ミズ</t>
    </rPh>
    <rPh sb="4" eb="6">
      <t>カンリ</t>
    </rPh>
    <rPh sb="7" eb="9">
      <t>シヨウ</t>
    </rPh>
    <rPh sb="9" eb="10">
      <t>ヤク</t>
    </rPh>
    <rPh sb="10" eb="11">
      <t>リョウ</t>
    </rPh>
    <rPh sb="12" eb="14">
      <t>キンイツ</t>
    </rPh>
    <rPh sb="15" eb="17">
      <t>サンプ</t>
    </rPh>
    <phoneticPr fontId="4"/>
  </si>
  <si>
    <t>間断かんがい
中干しの実施
適期落水の実施</t>
    <rPh sb="0" eb="2">
      <t>カンダン</t>
    </rPh>
    <rPh sb="7" eb="8">
      <t>ナカ</t>
    </rPh>
    <rPh sb="8" eb="9">
      <t>ホ</t>
    </rPh>
    <rPh sb="11" eb="13">
      <t>ジッシ</t>
    </rPh>
    <rPh sb="14" eb="16">
      <t>テッキ</t>
    </rPh>
    <rPh sb="16" eb="18">
      <t>ラクスイ</t>
    </rPh>
    <rPh sb="19" eb="21">
      <t>ジッシ</t>
    </rPh>
    <phoneticPr fontId="4"/>
  </si>
  <si>
    <t>適期刈取
適正な乾燥調製</t>
    <rPh sb="0" eb="2">
      <t>テッキ</t>
    </rPh>
    <rPh sb="2" eb="4">
      <t>カリト</t>
    </rPh>
    <rPh sb="5" eb="7">
      <t>テキセイ</t>
    </rPh>
    <rPh sb="8" eb="10">
      <t>カンソウ</t>
    </rPh>
    <rPh sb="10" eb="12">
      <t>チョウセイ</t>
    </rPh>
    <phoneticPr fontId="4"/>
  </si>
  <si>
    <t>稲わらの早期鋤き込み
土づくりの実施</t>
    <rPh sb="0" eb="1">
      <t>イネ</t>
    </rPh>
    <rPh sb="4" eb="6">
      <t>ソウキ</t>
    </rPh>
    <rPh sb="6" eb="7">
      <t>ス</t>
    </rPh>
    <rPh sb="8" eb="9">
      <t>コ</t>
    </rPh>
    <rPh sb="11" eb="12">
      <t>ツチ</t>
    </rPh>
    <rPh sb="16" eb="18">
      <t>ジッシ</t>
    </rPh>
    <phoneticPr fontId="4"/>
  </si>
  <si>
    <t>発芽から生育初期に湿害を受けると、その後の生育や収量に悪影響となるので、排水対策を徹底</t>
    <rPh sb="0" eb="2">
      <t>ハツガ</t>
    </rPh>
    <rPh sb="4" eb="6">
      <t>セイイク</t>
    </rPh>
    <rPh sb="6" eb="8">
      <t>ショキ</t>
    </rPh>
    <rPh sb="9" eb="10">
      <t>シツ</t>
    </rPh>
    <rPh sb="10" eb="11">
      <t>ガイ</t>
    </rPh>
    <rPh sb="12" eb="13">
      <t>ウ</t>
    </rPh>
    <rPh sb="19" eb="20">
      <t>ゴ</t>
    </rPh>
    <rPh sb="21" eb="23">
      <t>セイイク</t>
    </rPh>
    <rPh sb="24" eb="26">
      <t>シュウリョウ</t>
    </rPh>
    <rPh sb="27" eb="28">
      <t>アク</t>
    </rPh>
    <rPh sb="28" eb="30">
      <t>エイキョウ</t>
    </rPh>
    <rPh sb="36" eb="38">
      <t>ハイスイ</t>
    </rPh>
    <rPh sb="38" eb="40">
      <t>タイサク</t>
    </rPh>
    <rPh sb="41" eb="43">
      <t>テッテイ</t>
    </rPh>
    <phoneticPr fontId="4"/>
  </si>
  <si>
    <t>種子水分が１３％以下の場合、は種直後に降雨に合うと湿害を助長するので、は種時に水分含量を１５％となるよう種子水分を調整後は種
は種時期によって、は種量を増減</t>
    <rPh sb="0" eb="2">
      <t>シュシ</t>
    </rPh>
    <rPh sb="2" eb="4">
      <t>スイブン</t>
    </rPh>
    <rPh sb="8" eb="10">
      <t>イカ</t>
    </rPh>
    <rPh sb="11" eb="13">
      <t>バアイ</t>
    </rPh>
    <rPh sb="15" eb="16">
      <t>シュ</t>
    </rPh>
    <rPh sb="16" eb="18">
      <t>チョクゴ</t>
    </rPh>
    <rPh sb="19" eb="21">
      <t>コウウ</t>
    </rPh>
    <rPh sb="22" eb="23">
      <t>ア</t>
    </rPh>
    <rPh sb="25" eb="26">
      <t>シツ</t>
    </rPh>
    <rPh sb="26" eb="27">
      <t>ガイ</t>
    </rPh>
    <rPh sb="28" eb="30">
      <t>ジョチョウ</t>
    </rPh>
    <rPh sb="36" eb="37">
      <t>シュ</t>
    </rPh>
    <rPh sb="37" eb="38">
      <t>ジ</t>
    </rPh>
    <rPh sb="39" eb="41">
      <t>スイブン</t>
    </rPh>
    <rPh sb="41" eb="43">
      <t>ガンリョウ</t>
    </rPh>
    <rPh sb="52" eb="54">
      <t>シュシ</t>
    </rPh>
    <rPh sb="54" eb="56">
      <t>スイブン</t>
    </rPh>
    <rPh sb="57" eb="59">
      <t>チョウセイ</t>
    </rPh>
    <rPh sb="59" eb="60">
      <t>ゴ</t>
    </rPh>
    <rPh sb="61" eb="62">
      <t>シュ</t>
    </rPh>
    <rPh sb="64" eb="65">
      <t>シュ</t>
    </rPh>
    <rPh sb="65" eb="67">
      <t>ジキ</t>
    </rPh>
    <rPh sb="73" eb="74">
      <t>シュ</t>
    </rPh>
    <rPh sb="74" eb="75">
      <t>リョウ</t>
    </rPh>
    <rPh sb="76" eb="78">
      <t>ゾウゲン</t>
    </rPh>
    <phoneticPr fontId="4"/>
  </si>
  <si>
    <t>使用薬量を均一に散布</t>
  </si>
  <si>
    <t>汚損粒発生防止のため適期刈取の実施
適正な乾燥調製</t>
    <rPh sb="0" eb="2">
      <t>オソン</t>
    </rPh>
    <rPh sb="2" eb="3">
      <t>リュウ</t>
    </rPh>
    <rPh sb="3" eb="5">
      <t>ハッセイ</t>
    </rPh>
    <rPh sb="5" eb="7">
      <t>ボウシ</t>
    </rPh>
    <rPh sb="10" eb="12">
      <t>テッキ</t>
    </rPh>
    <rPh sb="12" eb="14">
      <t>カリト</t>
    </rPh>
    <rPh sb="15" eb="17">
      <t>ジッシ</t>
    </rPh>
    <rPh sb="18" eb="20">
      <t>テキセイ</t>
    </rPh>
    <rPh sb="21" eb="23">
      <t>カンソウ</t>
    </rPh>
    <rPh sb="23" eb="25">
      <t>チョウセイ</t>
    </rPh>
    <phoneticPr fontId="4"/>
  </si>
  <si>
    <t>雑草が多い場合は、大麦生育期に除草剤を散布</t>
    <rPh sb="9" eb="11">
      <t>オオムギ</t>
    </rPh>
    <rPh sb="11" eb="14">
      <t>セイイクキ</t>
    </rPh>
    <phoneticPr fontId="4"/>
  </si>
  <si>
    <t>中間追肥の適期施用</t>
    <rPh sb="0" eb="2">
      <t>チュウカン</t>
    </rPh>
    <rPh sb="2" eb="4">
      <t>ツイヒ</t>
    </rPh>
    <rPh sb="5" eb="7">
      <t>テッキ</t>
    </rPh>
    <rPh sb="7" eb="9">
      <t>セヨウ</t>
    </rPh>
    <phoneticPr fontId="4"/>
  </si>
  <si>
    <t>麦は、生育期間全般に渡って湿害を受けるので排水対策を徹底</t>
    <rPh sb="0" eb="1">
      <t>ムギ</t>
    </rPh>
    <rPh sb="3" eb="5">
      <t>セイイク</t>
    </rPh>
    <rPh sb="5" eb="7">
      <t>キカン</t>
    </rPh>
    <rPh sb="7" eb="9">
      <t>ゼンパン</t>
    </rPh>
    <rPh sb="10" eb="11">
      <t>ワタ</t>
    </rPh>
    <rPh sb="13" eb="14">
      <t>シツ</t>
    </rPh>
    <rPh sb="14" eb="15">
      <t>ガイ</t>
    </rPh>
    <rPh sb="16" eb="17">
      <t>ウ</t>
    </rPh>
    <rPh sb="21" eb="23">
      <t>ハイスイ</t>
    </rPh>
    <rPh sb="23" eb="25">
      <t>タイサク</t>
    </rPh>
    <rPh sb="26" eb="28">
      <t>テッテイ</t>
    </rPh>
    <phoneticPr fontId="4"/>
  </si>
  <si>
    <t>適期は種の実施
は種時期とは種量を増減を調整</t>
    <rPh sb="0" eb="2">
      <t>テッキ</t>
    </rPh>
    <rPh sb="3" eb="4">
      <t>シュ</t>
    </rPh>
    <rPh sb="5" eb="7">
      <t>ジッシ</t>
    </rPh>
    <rPh sb="17" eb="19">
      <t>ゾウゲン</t>
    </rPh>
    <rPh sb="20" eb="22">
      <t>チョウセイ</t>
    </rPh>
    <phoneticPr fontId="4"/>
  </si>
  <si>
    <t>使用薬量を均一に散布</t>
    <phoneticPr fontId="4"/>
  </si>
  <si>
    <t>生育状況と天候により加減</t>
    <rPh sb="0" eb="2">
      <t>セイイク</t>
    </rPh>
    <rPh sb="2" eb="4">
      <t>ジョウキョウ</t>
    </rPh>
    <rPh sb="5" eb="7">
      <t>テンコウ</t>
    </rPh>
    <rPh sb="10" eb="12">
      <t>カゲン</t>
    </rPh>
    <phoneticPr fontId="4"/>
  </si>
  <si>
    <t>３－２　標準技術（大豆）は58Ｐを参照</t>
    <rPh sb="4" eb="6">
      <t>ヒョウジュン</t>
    </rPh>
    <rPh sb="6" eb="8">
      <t>ギジュツ</t>
    </rPh>
    <rPh sb="9" eb="11">
      <t>ダイズ</t>
    </rPh>
    <rPh sb="17" eb="19">
      <t>サンショウ</t>
    </rPh>
    <phoneticPr fontId="4"/>
  </si>
  <si>
    <t>３－１　標準技術（水稲）は36，37，38Ｐを参照</t>
    <rPh sb="4" eb="6">
      <t>ヒョウジュン</t>
    </rPh>
    <rPh sb="6" eb="8">
      <t>ギジュツ</t>
    </rPh>
    <rPh sb="9" eb="11">
      <t>スイトウ</t>
    </rPh>
    <rPh sb="23" eb="25">
      <t>サンショウ</t>
    </rPh>
    <phoneticPr fontId="4"/>
  </si>
  <si>
    <t>５－１　作業別・旬別作業時間（水稲，1ha当たり）は41Ｐを参照</t>
    <rPh sb="15" eb="17">
      <t>スイトウ</t>
    </rPh>
    <rPh sb="30" eb="32">
      <t>サンショウ</t>
    </rPh>
    <phoneticPr fontId="4"/>
  </si>
  <si>
    <t>７－２　経営収支（大豆部門，1ha当たり）は62Ｐを参照</t>
    <rPh sb="9" eb="11">
      <t>ダイズ</t>
    </rPh>
    <rPh sb="11" eb="13">
      <t>ブモン</t>
    </rPh>
    <rPh sb="17" eb="18">
      <t>ア</t>
    </rPh>
    <rPh sb="26" eb="28">
      <t>サンショウ</t>
    </rPh>
    <phoneticPr fontId="4"/>
  </si>
  <si>
    <t>７－１　経営収支（水稲部門，1ha当たり）は44，45，46Ｐを参照</t>
    <rPh sb="9" eb="11">
      <t>スイトウ</t>
    </rPh>
    <rPh sb="11" eb="13">
      <t>ブモン</t>
    </rPh>
    <rPh sb="17" eb="18">
      <t>ア</t>
    </rPh>
    <rPh sb="32" eb="34">
      <t>サンショウ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</si>
  <si>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</si>
  <si>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</si>
  <si>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</si>
  <si>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５－２　作業別・旬別作業時間（大豆，１ha当たり）は60Ｐを参照</t>
    <rPh sb="15" eb="17">
      <t>ダイズ</t>
    </rPh>
    <rPh sb="30" eb="32">
      <t>サンショウ</t>
    </rPh>
    <phoneticPr fontId="4"/>
  </si>
  <si>
    <t>水稲：稚苗疎植移植体系
大豆：狭畦栽培
大麦：サイドリッジャーを使用したうね立て同時播種</t>
    <rPh sb="0" eb="2">
      <t>スイトウ</t>
    </rPh>
    <rPh sb="3" eb="5">
      <t>チビョウ</t>
    </rPh>
    <rPh sb="5" eb="6">
      <t>ソ</t>
    </rPh>
    <rPh sb="6" eb="7">
      <t>ショク</t>
    </rPh>
    <rPh sb="7" eb="9">
      <t>イショク</t>
    </rPh>
    <rPh sb="9" eb="11">
      <t>タイケイ</t>
    </rPh>
    <rPh sb="12" eb="14">
      <t>ダイズ</t>
    </rPh>
    <rPh sb="15" eb="16">
      <t>セマ</t>
    </rPh>
    <rPh sb="16" eb="17">
      <t>ウネ</t>
    </rPh>
    <rPh sb="17" eb="19">
      <t>サイバイ</t>
    </rPh>
    <rPh sb="20" eb="22">
      <t>オオムギ</t>
    </rPh>
    <rPh sb="32" eb="34">
      <t>シヨウ</t>
    </rPh>
    <rPh sb="38" eb="39">
      <t>タ</t>
    </rPh>
    <rPh sb="40" eb="42">
      <t>ドウジ</t>
    </rPh>
    <rPh sb="42" eb="44">
      <t>ハシュ</t>
    </rPh>
    <phoneticPr fontId="3"/>
  </si>
  <si>
    <t>３－３　標準技術（大麦）</t>
    <rPh sb="4" eb="6">
      <t>ヒョウジュン</t>
    </rPh>
    <rPh sb="6" eb="8">
      <t>ギジュツ</t>
    </rPh>
    <rPh sb="9" eb="11">
      <t>オオムギ</t>
    </rPh>
    <phoneticPr fontId="4"/>
  </si>
  <si>
    <t>建物</t>
    <rPh sb="0" eb="2">
      <t>タテモノ</t>
    </rPh>
    <phoneticPr fontId="4"/>
  </si>
  <si>
    <t>機械</t>
    <rPh sb="0" eb="2">
      <t>キカイ</t>
    </rPh>
    <phoneticPr fontId="4"/>
  </si>
  <si>
    <t>麦</t>
    <rPh sb="0" eb="1">
      <t>ムギ</t>
    </rPh>
    <phoneticPr fontId="4"/>
  </si>
  <si>
    <t>右表（ア）</t>
    <phoneticPr fontId="4"/>
  </si>
  <si>
    <t>右表（イ）　</t>
    <phoneticPr fontId="4"/>
  </si>
  <si>
    <t>右表（ウ）　</t>
    <phoneticPr fontId="4"/>
  </si>
  <si>
    <t>右表（エ）　</t>
    <phoneticPr fontId="4"/>
  </si>
  <si>
    <t>負担価格の</t>
    <phoneticPr fontId="4"/>
  </si>
  <si>
    <t>オペ労賃</t>
    <phoneticPr fontId="6"/>
  </si>
  <si>
    <t>補助労務賃金</t>
    <phoneticPr fontId="6"/>
  </si>
  <si>
    <t>水田利用の直接支払交付金</t>
    <rPh sb="0" eb="2">
      <t>スイデン</t>
    </rPh>
    <rPh sb="2" eb="4">
      <t>リヨウ</t>
    </rPh>
    <rPh sb="5" eb="7">
      <t>チョクセツ</t>
    </rPh>
    <rPh sb="7" eb="9">
      <t>シハライ</t>
    </rPh>
    <rPh sb="9" eb="12">
      <t>コウフキン</t>
    </rPh>
    <phoneticPr fontId="4"/>
  </si>
  <si>
    <t>右表（イ）　</t>
    <phoneticPr fontId="4"/>
  </si>
  <si>
    <t>補助労務賃金</t>
    <phoneticPr fontId="6"/>
  </si>
  <si>
    <t>右表（イ）</t>
    <phoneticPr fontId="4"/>
  </si>
  <si>
    <t>1ha機械</t>
    <phoneticPr fontId="4"/>
  </si>
  <si>
    <t>単価</t>
    <phoneticPr fontId="4"/>
  </si>
  <si>
    <t>㎡</t>
    <phoneticPr fontId="4"/>
  </si>
  <si>
    <t>3年間</t>
    <rPh sb="1" eb="3">
      <t>ネンカン</t>
    </rPh>
    <phoneticPr fontId="4"/>
  </si>
  <si>
    <t>フレコン</t>
    <phoneticPr fontId="4"/>
  </si>
  <si>
    <t>緩効性肥料</t>
    <rPh sb="0" eb="3">
      <t>カンコウセイ</t>
    </rPh>
    <rPh sb="3" eb="5">
      <t>ヒリョウ</t>
    </rPh>
    <phoneticPr fontId="4"/>
  </si>
  <si>
    <t>㎏</t>
    <phoneticPr fontId="4"/>
  </si>
  <si>
    <t>小　計</t>
    <phoneticPr fontId="4"/>
  </si>
  <si>
    <t>ガソリン</t>
    <phoneticPr fontId="4"/>
  </si>
  <si>
    <t>小　計</t>
    <phoneticPr fontId="4"/>
  </si>
  <si>
    <t>育苗培土</t>
    <rPh sb="0" eb="2">
      <t>イクビョウ</t>
    </rPh>
    <rPh sb="2" eb="3">
      <t>バイ</t>
    </rPh>
    <rPh sb="3" eb="4">
      <t>ド</t>
    </rPh>
    <phoneticPr fontId="4"/>
  </si>
  <si>
    <t>㎏</t>
    <phoneticPr fontId="4"/>
  </si>
  <si>
    <t>小　計</t>
    <phoneticPr fontId="4"/>
  </si>
  <si>
    <t>本</t>
    <phoneticPr fontId="4"/>
  </si>
  <si>
    <t>（２）農薬費</t>
    <phoneticPr fontId="4"/>
  </si>
  <si>
    <t>種子消毒剤（殺菌剤）</t>
    <rPh sb="0" eb="2">
      <t>シュシ</t>
    </rPh>
    <rPh sb="2" eb="4">
      <t>ショウドク</t>
    </rPh>
    <rPh sb="4" eb="5">
      <t>ザイ</t>
    </rPh>
    <rPh sb="6" eb="9">
      <t>サッキンザイ</t>
    </rPh>
    <phoneticPr fontId="4"/>
  </si>
  <si>
    <t>ｍｌ</t>
    <phoneticPr fontId="4"/>
  </si>
  <si>
    <t>小　計</t>
    <phoneticPr fontId="4"/>
  </si>
  <si>
    <t>育苗用殺菌剤</t>
    <rPh sb="0" eb="2">
      <t>イクビョウ</t>
    </rPh>
    <rPh sb="2" eb="3">
      <t>ヨウ</t>
    </rPh>
    <rPh sb="3" eb="6">
      <t>サッキンザイ</t>
    </rPh>
    <phoneticPr fontId="4"/>
  </si>
  <si>
    <t>ｍｌ</t>
    <phoneticPr fontId="4"/>
  </si>
  <si>
    <t>種子消毒剤（殺虫剤）</t>
    <rPh sb="0" eb="2">
      <t>シュシ</t>
    </rPh>
    <rPh sb="2" eb="4">
      <t>ショウドク</t>
    </rPh>
    <rPh sb="4" eb="5">
      <t>ザイ</t>
    </rPh>
    <rPh sb="6" eb="9">
      <t>サッチュウザイ</t>
    </rPh>
    <phoneticPr fontId="4"/>
  </si>
  <si>
    <t>初中期一発剤</t>
    <rPh sb="0" eb="1">
      <t>ショ</t>
    </rPh>
    <rPh sb="1" eb="3">
      <t>チュウキ</t>
    </rPh>
    <rPh sb="3" eb="5">
      <t>イッパツ</t>
    </rPh>
    <rPh sb="5" eb="6">
      <t>ザイ</t>
    </rPh>
    <phoneticPr fontId="4"/>
  </si>
  <si>
    <t>箱施用剤</t>
    <rPh sb="0" eb="1">
      <t>ハコ</t>
    </rPh>
    <rPh sb="1" eb="3">
      <t>セヨウ</t>
    </rPh>
    <rPh sb="3" eb="4">
      <t>ザイ</t>
    </rPh>
    <phoneticPr fontId="4"/>
  </si>
  <si>
    <t>殺虫殺菌剤</t>
    <rPh sb="0" eb="2">
      <t>サッチュウ</t>
    </rPh>
    <rPh sb="2" eb="5">
      <t>サッキンザイ</t>
    </rPh>
    <phoneticPr fontId="4"/>
  </si>
  <si>
    <t>1ha機械</t>
    <phoneticPr fontId="4"/>
  </si>
  <si>
    <t>フレコン</t>
    <phoneticPr fontId="4"/>
  </si>
  <si>
    <t>㎏</t>
    <phoneticPr fontId="4"/>
  </si>
  <si>
    <t>小　計</t>
    <phoneticPr fontId="4"/>
  </si>
  <si>
    <t>ガソリン</t>
    <phoneticPr fontId="4"/>
  </si>
  <si>
    <t>単価</t>
    <phoneticPr fontId="4"/>
  </si>
  <si>
    <t>本</t>
    <phoneticPr fontId="4"/>
  </si>
  <si>
    <t>（２）農薬費</t>
    <phoneticPr fontId="4"/>
  </si>
  <si>
    <t>ｍｌ</t>
    <phoneticPr fontId="4"/>
  </si>
  <si>
    <t>小　計</t>
    <phoneticPr fontId="4"/>
  </si>
  <si>
    <t>金額</t>
    <phoneticPr fontId="4"/>
  </si>
  <si>
    <t>金額</t>
    <phoneticPr fontId="4"/>
  </si>
  <si>
    <t>普通トラック</t>
    <phoneticPr fontId="4"/>
  </si>
  <si>
    <t>普通トラック</t>
    <phoneticPr fontId="4"/>
  </si>
  <si>
    <t>小　計</t>
    <phoneticPr fontId="4"/>
  </si>
  <si>
    <t>小　計</t>
    <phoneticPr fontId="4"/>
  </si>
  <si>
    <t>金額</t>
    <phoneticPr fontId="4"/>
  </si>
  <si>
    <t>高度化成肥料</t>
    <rPh sb="0" eb="2">
      <t>コウド</t>
    </rPh>
    <rPh sb="2" eb="4">
      <t>カセイ</t>
    </rPh>
    <rPh sb="4" eb="6">
      <t>ヒリョウ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</si>
</sst>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0_);[Red]\(0\)"/>
    <numFmt numFmtId="186" formatCode="0.0"/>
    <numFmt numFmtId="187" formatCode="#,##0.00_);[Red]\(#,##0.00\)"/>
    <numFmt numFmtId="188" formatCode="&quot;水&quot;&quot;稲&quot;#,##0.0&quot;ha&quot;"/>
    <numFmt numFmtId="189" formatCode="&quot;大豆&quot;#,##0.0&quot;ha&quot;"/>
    <numFmt numFmtId="190" formatCode="&quot;麦&quot;#,##0.0&quot;ha&quot;"/>
    <numFmt numFmtId="191" formatCode="0&quot;円/時&quot;"/>
    <numFmt numFmtId="192" formatCode="0&quot;円/袋&quot;"/>
    <numFmt numFmtId="193" formatCode="0&quot;円/10a&quot;"/>
    <numFmt numFmtId="194" formatCode="&quot;大&quot;&quot;豆&quot;#,##0.0&quot;ha&quot;"/>
    <numFmt numFmtId="195" formatCode="0.0_);\(0.0\)"/>
    <numFmt numFmtId="196" formatCode="0&quot;円/㎏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75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7" fontId="14" fillId="0" borderId="0"/>
    <xf numFmtId="0" fontId="13" fillId="0" borderId="0"/>
    <xf numFmtId="0" fontId="1" fillId="0" borderId="0"/>
    <xf numFmtId="0" fontId="15" fillId="0" borderId="0"/>
    <xf numFmtId="38" fontId="1" fillId="0" borderId="0" applyFont="0" applyFill="0" applyBorder="0" applyAlignment="0" applyProtection="0">
      <alignment vertical="center"/>
    </xf>
  </cellStyleXfs>
  <cellXfs count="1162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6" fontId="9" fillId="0" borderId="1" xfId="0" applyNumberFormat="1" applyFont="1" applyFill="1" applyBorder="1" applyAlignment="1">
      <alignment vertical="center" shrinkToFit="1"/>
    </xf>
    <xf numFmtId="176" fontId="9" fillId="0" borderId="83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vertical="center" shrinkToFit="1"/>
    </xf>
    <xf numFmtId="176" fontId="9" fillId="0" borderId="19" xfId="0" applyNumberFormat="1" applyFont="1" applyFill="1" applyBorder="1" applyAlignment="1">
      <alignment horizontal="left" vertical="center" shrinkToFit="1"/>
    </xf>
    <xf numFmtId="179" fontId="9" fillId="0" borderId="19" xfId="0" applyNumberFormat="1" applyFont="1" applyFill="1" applyBorder="1" applyAlignment="1">
      <alignment vertical="center" shrinkToFit="1"/>
    </xf>
    <xf numFmtId="9" fontId="9" fillId="0" borderId="1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5" xfId="0" applyFont="1" applyBorder="1" applyAlignment="1">
      <alignment horizontal="center" vertical="center"/>
    </xf>
    <xf numFmtId="180" fontId="0" fillId="0" borderId="75" xfId="1" applyNumberFormat="1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181" fontId="0" fillId="0" borderId="37" xfId="0" applyNumberFormat="1" applyFont="1" applyBorder="1" applyAlignment="1">
      <alignment horizontal="right" vertical="center"/>
    </xf>
    <xf numFmtId="38" fontId="0" fillId="0" borderId="59" xfId="1" applyFont="1" applyBorder="1" applyAlignment="1">
      <alignment vertical="center" shrinkToFit="1"/>
    </xf>
    <xf numFmtId="0" fontId="0" fillId="0" borderId="3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81" fontId="0" fillId="0" borderId="39" xfId="0" applyNumberFormat="1" applyFont="1" applyBorder="1" applyAlignment="1">
      <alignment horizontal="right" vertical="center"/>
    </xf>
    <xf numFmtId="38" fontId="0" fillId="0" borderId="60" xfId="1" applyFont="1" applyBorder="1" applyAlignment="1">
      <alignment vertical="center" shrinkToFit="1"/>
    </xf>
    <xf numFmtId="181" fontId="0" fillId="3" borderId="39" xfId="0" applyNumberFormat="1" applyFont="1" applyFill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4" borderId="39" xfId="0" applyNumberFormat="1" applyFont="1" applyFill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10" fillId="0" borderId="39" xfId="0" applyFont="1" applyBorder="1" applyAlignment="1">
      <alignment vertical="center"/>
    </xf>
    <xf numFmtId="181" fontId="0" fillId="4" borderId="61" xfId="0" applyNumberFormat="1" applyFont="1" applyFill="1" applyBorder="1" applyAlignment="1">
      <alignment horizontal="right" vertical="center"/>
    </xf>
    <xf numFmtId="38" fontId="0" fillId="0" borderId="62" xfId="1" applyFont="1" applyBorder="1" applyAlignment="1">
      <alignment vertical="center" shrinkToFit="1"/>
    </xf>
    <xf numFmtId="181" fontId="0" fillId="3" borderId="42" xfId="1" applyNumberFormat="1" applyFont="1" applyFill="1" applyBorder="1" applyAlignment="1">
      <alignment horizontal="right" vertical="center"/>
    </xf>
    <xf numFmtId="38" fontId="0" fillId="0" borderId="63" xfId="1" applyFont="1" applyBorder="1" applyAlignment="1">
      <alignment vertical="center" shrinkToFit="1"/>
    </xf>
    <xf numFmtId="181" fontId="0" fillId="0" borderId="112" xfId="0" applyNumberFormat="1" applyFont="1" applyBorder="1" applyAlignment="1">
      <alignment horizontal="right" vertical="center"/>
    </xf>
    <xf numFmtId="181" fontId="0" fillId="0" borderId="24" xfId="1" applyNumberFormat="1" applyFont="1" applyBorder="1" applyAlignment="1">
      <alignment horizontal="right" vertical="center"/>
    </xf>
    <xf numFmtId="38" fontId="0" fillId="0" borderId="66" xfId="1" applyFont="1" applyBorder="1" applyAlignment="1">
      <alignment vertical="center" shrinkToFit="1"/>
    </xf>
    <xf numFmtId="0" fontId="0" fillId="0" borderId="34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38" fontId="0" fillId="0" borderId="65" xfId="1" applyFont="1" applyBorder="1" applyAlignment="1">
      <alignment vertical="center" shrinkToFit="1"/>
    </xf>
    <xf numFmtId="181" fontId="0" fillId="4" borderId="47" xfId="1" applyNumberFormat="1" applyFont="1" applyFill="1" applyBorder="1" applyAlignment="1">
      <alignment horizontal="right" vertical="center"/>
    </xf>
    <xf numFmtId="181" fontId="0" fillId="3" borderId="48" xfId="1" applyNumberFormat="1" applyFont="1" applyFill="1" applyBorder="1" applyAlignment="1">
      <alignment horizontal="right"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0" xfId="0" applyNumberFormat="1" applyFont="1" applyBorder="1" applyAlignment="1">
      <alignment horizontal="center" vertical="center" shrinkToFit="1"/>
    </xf>
    <xf numFmtId="176" fontId="0" fillId="0" borderId="87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79" fontId="0" fillId="0" borderId="1" xfId="0" applyNumberFormat="1" applyFont="1" applyBorder="1" applyAlignment="1">
      <alignment horizontal="center"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0" borderId="1" xfId="0" applyNumberFormat="1" applyFont="1" applyBorder="1" applyAlignment="1">
      <alignment horizontal="right" vertical="center" shrinkToFit="1"/>
    </xf>
    <xf numFmtId="176" fontId="0" fillId="0" borderId="1" xfId="0" applyNumberFormat="1" applyFont="1" applyBorder="1" applyAlignment="1">
      <alignment horizontal="left"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6" fontId="0" fillId="0" borderId="83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6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9" fontId="0" fillId="0" borderId="67" xfId="0" applyNumberFormat="1" applyFont="1" applyBorder="1" applyAlignment="1">
      <alignment vertical="center" shrinkToFit="1"/>
    </xf>
    <xf numFmtId="176" fontId="0" fillId="0" borderId="68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74" xfId="2" applyFont="1" applyBorder="1" applyAlignment="1">
      <alignment vertical="center" wrapText="1"/>
    </xf>
    <xf numFmtId="0" fontId="8" fillId="0" borderId="74" xfId="2" applyFont="1" applyBorder="1" applyAlignment="1">
      <alignment horizontal="center" vertical="center" wrapText="1"/>
    </xf>
    <xf numFmtId="0" fontId="1" fillId="0" borderId="74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8" fillId="0" borderId="72" xfId="0" applyFont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1" fillId="0" borderId="110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1" fillId="0" borderId="49" xfId="2" applyFont="1" applyBorder="1" applyAlignment="1">
      <alignment horizontal="center" vertical="center" wrapText="1"/>
    </xf>
    <xf numFmtId="0" fontId="1" fillId="0" borderId="113" xfId="2" applyFont="1" applyBorder="1" applyAlignment="1">
      <alignment horizontal="center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1" fillId="0" borderId="31" xfId="2" applyFont="1" applyBorder="1" applyAlignment="1">
      <alignment horizontal="center"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8" fontId="0" fillId="2" borderId="109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horizontal="left"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2" borderId="18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0" borderId="38" xfId="3" applyNumberFormat="1" applyFont="1" applyBorder="1" applyAlignment="1">
      <alignment vertical="center"/>
    </xf>
    <xf numFmtId="181" fontId="0" fillId="0" borderId="45" xfId="1" applyNumberFormat="1" applyFont="1" applyBorder="1" applyAlignment="1">
      <alignment vertical="center"/>
    </xf>
    <xf numFmtId="177" fontId="0" fillId="0" borderId="46" xfId="3" applyNumberFormat="1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6" fontId="0" fillId="2" borderId="117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18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69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6" fontId="0" fillId="6" borderId="117" xfId="0" applyNumberFormat="1" applyFont="1" applyFill="1" applyBorder="1" applyAlignment="1">
      <alignment vertical="center" shrinkToFit="1"/>
    </xf>
    <xf numFmtId="179" fontId="0" fillId="0" borderId="122" xfId="0" applyNumberFormat="1" applyFont="1" applyBorder="1" applyAlignment="1">
      <alignment horizontal="center" vertical="center" shrinkToFit="1"/>
    </xf>
    <xf numFmtId="183" fontId="0" fillId="6" borderId="109" xfId="0" applyNumberFormat="1" applyFont="1" applyFill="1" applyBorder="1" applyAlignment="1">
      <alignment vertical="center" shrinkToFit="1"/>
    </xf>
    <xf numFmtId="183" fontId="0" fillId="6" borderId="52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83" fontId="0" fillId="6" borderId="119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83" fontId="0" fillId="6" borderId="125" xfId="0" applyNumberFormat="1" applyFont="1" applyFill="1" applyBorder="1" applyAlignment="1">
      <alignment vertical="center" shrinkToFit="1"/>
    </xf>
    <xf numFmtId="177" fontId="0" fillId="0" borderId="74" xfId="0" applyNumberFormat="1" applyFont="1" applyBorder="1" applyAlignment="1">
      <alignment vertical="center" shrinkToFit="1"/>
    </xf>
    <xf numFmtId="177" fontId="0" fillId="2" borderId="119" xfId="0" applyNumberFormat="1" applyFont="1" applyFill="1" applyBorder="1" applyAlignment="1">
      <alignment vertical="center" shrinkToFit="1"/>
    </xf>
    <xf numFmtId="181" fontId="0" fillId="0" borderId="34" xfId="1" applyNumberFormat="1" applyFont="1" applyFill="1" applyBorder="1" applyAlignment="1">
      <alignment vertical="center"/>
    </xf>
    <xf numFmtId="181" fontId="0" fillId="0" borderId="24" xfId="1" applyNumberFormat="1" applyFont="1" applyFill="1" applyBorder="1" applyAlignment="1">
      <alignment vertical="center"/>
    </xf>
    <xf numFmtId="181" fontId="0" fillId="6" borderId="47" xfId="1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81" fontId="0" fillId="0" borderId="132" xfId="1" applyNumberFormat="1" applyFont="1" applyFill="1" applyBorder="1" applyAlignment="1">
      <alignment vertical="center"/>
    </xf>
    <xf numFmtId="177" fontId="0" fillId="0" borderId="133" xfId="0" applyNumberFormat="1" applyFill="1" applyBorder="1" applyAlignment="1">
      <alignment vertical="center"/>
    </xf>
    <xf numFmtId="177" fontId="0" fillId="6" borderId="134" xfId="0" applyNumberFormat="1" applyFont="1" applyFill="1" applyBorder="1" applyAlignment="1">
      <alignment vertical="center" shrinkToFit="1"/>
    </xf>
    <xf numFmtId="177" fontId="0" fillId="0" borderId="134" xfId="3" applyNumberFormat="1" applyFont="1" applyBorder="1" applyAlignment="1">
      <alignment vertical="center"/>
    </xf>
    <xf numFmtId="177" fontId="0" fillId="0" borderId="105" xfId="3" applyNumberFormat="1" applyFont="1" applyBorder="1" applyAlignment="1">
      <alignment horizontal="right" vertical="center"/>
    </xf>
    <xf numFmtId="177" fontId="0" fillId="0" borderId="105" xfId="3" applyNumberFormat="1" applyFont="1" applyBorder="1" applyAlignment="1">
      <alignment horizontal="left" vertical="center" shrinkToFit="1"/>
    </xf>
    <xf numFmtId="177" fontId="0" fillId="0" borderId="135" xfId="0" applyNumberFormat="1" applyFont="1" applyBorder="1" applyAlignment="1">
      <alignment vertical="center"/>
    </xf>
    <xf numFmtId="177" fontId="0" fillId="0" borderId="136" xfId="0" applyNumberFormat="1" applyFont="1" applyBorder="1" applyAlignment="1">
      <alignment vertical="center"/>
    </xf>
    <xf numFmtId="177" fontId="0" fillId="0" borderId="137" xfId="0" applyNumberFormat="1" applyFont="1" applyBorder="1" applyAlignment="1">
      <alignment vertical="center"/>
    </xf>
    <xf numFmtId="177" fontId="0" fillId="0" borderId="133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horizontal="left" vertical="center"/>
    </xf>
    <xf numFmtId="178" fontId="0" fillId="0" borderId="136" xfId="0" applyNumberFormat="1" applyFont="1" applyBorder="1" applyAlignment="1">
      <alignment horizontal="left" vertical="center"/>
    </xf>
    <xf numFmtId="177" fontId="0" fillId="0" borderId="136" xfId="3" applyNumberFormat="1" applyFont="1" applyBorder="1" applyAlignment="1">
      <alignment vertical="center" shrinkToFit="1"/>
    </xf>
    <xf numFmtId="177" fontId="0" fillId="0" borderId="138" xfId="3" applyNumberFormat="1" applyFont="1" applyBorder="1" applyAlignment="1">
      <alignment vertical="center"/>
    </xf>
    <xf numFmtId="177" fontId="0" fillId="0" borderId="139" xfId="3" applyNumberFormat="1" applyFont="1" applyBorder="1" applyAlignment="1">
      <alignment vertical="center"/>
    </xf>
    <xf numFmtId="177" fontId="0" fillId="0" borderId="136" xfId="0" applyNumberFormat="1" applyFont="1" applyFill="1" applyBorder="1" applyAlignment="1">
      <alignment vertical="center"/>
    </xf>
    <xf numFmtId="177" fontId="0" fillId="0" borderId="133" xfId="0" applyNumberFormat="1" applyFont="1" applyFill="1" applyBorder="1" applyAlignment="1">
      <alignment horizontal="center" vertical="center"/>
    </xf>
    <xf numFmtId="177" fontId="0" fillId="0" borderId="133" xfId="0" applyNumberFormat="1" applyFont="1" applyFill="1" applyBorder="1" applyAlignment="1">
      <alignment vertical="center"/>
    </xf>
    <xf numFmtId="177" fontId="0" fillId="0" borderId="136" xfId="0" applyNumberFormat="1" applyFill="1" applyBorder="1" applyAlignment="1">
      <alignment vertical="center"/>
    </xf>
    <xf numFmtId="178" fontId="0" fillId="0" borderId="133" xfId="0" applyNumberFormat="1" applyFont="1" applyFill="1" applyBorder="1" applyAlignment="1">
      <alignment vertical="center"/>
    </xf>
    <xf numFmtId="9" fontId="0" fillId="0" borderId="14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0" xfId="0" applyNumberFormat="1" applyFont="1" applyFill="1" applyBorder="1" applyAlignment="1">
      <alignment vertical="center"/>
    </xf>
    <xf numFmtId="177" fontId="0" fillId="0" borderId="77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49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7" xfId="0" applyNumberFormat="1" applyFont="1" applyFill="1" applyBorder="1" applyAlignment="1">
      <alignment horizontal="center" vertical="center" shrinkToFit="1"/>
    </xf>
    <xf numFmtId="177" fontId="0" fillId="0" borderId="7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136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71" xfId="0" applyNumberFormat="1" applyFont="1" applyFill="1" applyBorder="1" applyAlignment="1">
      <alignment vertical="center" shrinkToFit="1"/>
    </xf>
    <xf numFmtId="177" fontId="0" fillId="0" borderId="9" xfId="0" applyNumberFormat="1" applyFill="1" applyBorder="1" applyAlignment="1">
      <alignment vertical="center" shrinkToFit="1"/>
    </xf>
    <xf numFmtId="177" fontId="0" fillId="0" borderId="49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37" xfId="0" applyNumberFormat="1" applyFont="1" applyFill="1" applyBorder="1" applyAlignment="1">
      <alignment vertical="center"/>
    </xf>
    <xf numFmtId="177" fontId="0" fillId="0" borderId="1" xfId="0" applyNumberFormat="1" applyFill="1" applyBorder="1" applyAlignment="1">
      <alignment vertical="center" shrinkToFit="1"/>
    </xf>
    <xf numFmtId="177" fontId="0" fillId="0" borderId="133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178" fontId="0" fillId="0" borderId="15" xfId="0" applyNumberFormat="1" applyFont="1" applyFill="1" applyBorder="1" applyAlignment="1">
      <alignment horizontal="left" vertical="center"/>
    </xf>
    <xf numFmtId="0" fontId="0" fillId="0" borderId="14" xfId="3" applyFont="1" applyFill="1" applyBorder="1" applyAlignment="1">
      <alignment vertical="center"/>
    </xf>
    <xf numFmtId="0" fontId="0" fillId="0" borderId="15" xfId="3" applyFont="1" applyFill="1" applyBorder="1" applyAlignment="1">
      <alignment vertical="center"/>
    </xf>
    <xf numFmtId="177" fontId="0" fillId="0" borderId="14" xfId="3" applyNumberFormat="1" applyFont="1" applyFill="1" applyBorder="1" applyAlignment="1">
      <alignment vertical="center"/>
    </xf>
    <xf numFmtId="177" fontId="0" fillId="0" borderId="15" xfId="3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36" xfId="0" applyNumberFormat="1" applyFont="1" applyFill="1" applyBorder="1" applyAlignment="1">
      <alignment horizontal="left" vertical="center"/>
    </xf>
    <xf numFmtId="177" fontId="0" fillId="0" borderId="136" xfId="3" applyNumberFormat="1" applyFont="1" applyFill="1" applyBorder="1" applyAlignment="1">
      <alignment vertical="center" shrinkToFit="1"/>
    </xf>
    <xf numFmtId="178" fontId="0" fillId="0" borderId="137" xfId="0" applyNumberFormat="1" applyFont="1" applyFill="1" applyBorder="1" applyAlignment="1">
      <alignment horizontal="left" vertical="center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1" xfId="3" applyNumberFormat="1" applyFont="1" applyBorder="1" applyAlignment="1">
      <alignment horizontal="center" vertical="center" shrinkToFit="1"/>
    </xf>
    <xf numFmtId="176" fontId="0" fillId="2" borderId="50" xfId="0" applyNumberFormat="1" applyFont="1" applyFill="1" applyBorder="1" applyAlignment="1">
      <alignment horizontal="center" vertical="center" shrinkToFit="1"/>
    </xf>
    <xf numFmtId="177" fontId="0" fillId="2" borderId="50" xfId="0" applyNumberFormat="1" applyFont="1" applyFill="1" applyBorder="1" applyAlignment="1">
      <alignment vertical="center" shrinkToFit="1"/>
    </xf>
    <xf numFmtId="177" fontId="0" fillId="0" borderId="146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44" xfId="0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/>
    </xf>
    <xf numFmtId="177" fontId="0" fillId="2" borderId="50" xfId="3" applyNumberFormat="1" applyFont="1" applyFill="1" applyBorder="1" applyAlignment="1">
      <alignment horizontal="center" vertical="center" shrinkToFit="1"/>
    </xf>
    <xf numFmtId="177" fontId="0" fillId="2" borderId="50" xfId="3" applyNumberFormat="1" applyFont="1" applyFill="1" applyBorder="1" applyAlignment="1">
      <alignment vertical="center" shrinkToFit="1"/>
    </xf>
    <xf numFmtId="176" fontId="0" fillId="6" borderId="144" xfId="0" applyNumberFormat="1" applyFont="1" applyFill="1" applyBorder="1" applyAlignment="1">
      <alignment vertical="center"/>
    </xf>
    <xf numFmtId="176" fontId="0" fillId="0" borderId="146" xfId="3" applyNumberFormat="1" applyFont="1" applyFill="1" applyBorder="1" applyAlignment="1">
      <alignment vertical="center" shrinkToFit="1"/>
    </xf>
    <xf numFmtId="176" fontId="0" fillId="0" borderId="24" xfId="3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vertical="center" shrinkToFit="1"/>
    </xf>
    <xf numFmtId="176" fontId="0" fillId="6" borderId="109" xfId="0" applyNumberFormat="1" applyFont="1" applyFill="1" applyBorder="1" applyAlignment="1">
      <alignment horizontal="center" vertical="center" shrinkToFit="1"/>
    </xf>
    <xf numFmtId="176" fontId="0" fillId="6" borderId="119" xfId="0" applyNumberFormat="1" applyFont="1" applyFill="1" applyBorder="1" applyAlignment="1">
      <alignment horizontal="center" vertical="center" shrinkToFit="1"/>
    </xf>
    <xf numFmtId="177" fontId="0" fillId="0" borderId="37" xfId="0" applyNumberFormat="1" applyFont="1" applyBorder="1" applyAlignment="1">
      <alignment horizontal="center" vertical="center" shrinkToFit="1"/>
    </xf>
    <xf numFmtId="177" fontId="0" fillId="0" borderId="59" xfId="0" applyNumberFormat="1" applyFont="1" applyBorder="1" applyAlignment="1">
      <alignment horizontal="center" vertical="center" shrinkToFit="1"/>
    </xf>
    <xf numFmtId="176" fontId="0" fillId="0" borderId="147" xfId="0" applyNumberFormat="1" applyFont="1" applyBorder="1" applyAlignment="1">
      <alignment vertical="center"/>
    </xf>
    <xf numFmtId="176" fontId="0" fillId="0" borderId="150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179" fontId="0" fillId="0" borderId="146" xfId="0" applyNumberFormat="1" applyBorder="1" applyAlignment="1">
      <alignment vertical="center" shrinkToFit="1"/>
    </xf>
    <xf numFmtId="9" fontId="0" fillId="0" borderId="146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0" xfId="0" applyNumberFormat="1" applyFont="1" applyBorder="1" applyAlignment="1">
      <alignment vertical="center" shrinkToFit="1"/>
    </xf>
    <xf numFmtId="177" fontId="0" fillId="2" borderId="154" xfId="0" applyNumberFormat="1" applyFont="1" applyFill="1" applyBorder="1" applyAlignment="1">
      <alignment vertical="center" shrinkToFit="1"/>
    </xf>
    <xf numFmtId="176" fontId="0" fillId="2" borderId="155" xfId="0" applyNumberFormat="1" applyFont="1" applyFill="1" applyBorder="1" applyAlignment="1">
      <alignment vertical="center" shrinkToFit="1"/>
    </xf>
    <xf numFmtId="176" fontId="0" fillId="6" borderId="156" xfId="0" applyNumberFormat="1" applyFont="1" applyFill="1" applyBorder="1" applyAlignment="1">
      <alignment vertical="center"/>
    </xf>
    <xf numFmtId="177" fontId="0" fillId="0" borderId="152" xfId="0" applyNumberFormat="1" applyFill="1" applyBorder="1" applyAlignment="1">
      <alignment vertical="center"/>
    </xf>
    <xf numFmtId="181" fontId="0" fillId="0" borderId="124" xfId="0" applyNumberFormat="1" applyFont="1" applyBorder="1" applyAlignment="1">
      <alignment horizontal="right" vertical="center"/>
    </xf>
    <xf numFmtId="181" fontId="0" fillId="3" borderId="92" xfId="1" applyNumberFormat="1" applyFont="1" applyFill="1" applyBorder="1" applyAlignment="1">
      <alignment horizontal="right" vertical="center"/>
    </xf>
    <xf numFmtId="177" fontId="0" fillId="0" borderId="7" xfId="0" applyNumberFormat="1" applyFill="1" applyBorder="1" applyAlignment="1">
      <alignment vertical="center" shrinkToFit="1"/>
    </xf>
    <xf numFmtId="181" fontId="0" fillId="0" borderId="122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1" fillId="0" borderId="0" xfId="2" applyFont="1" applyAlignment="1">
      <alignment horizontal="right" vertical="center"/>
    </xf>
    <xf numFmtId="177" fontId="0" fillId="0" borderId="1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52" xfId="0" applyNumberFormat="1" applyFont="1" applyBorder="1" applyAlignment="1">
      <alignment vertical="center" shrinkToFit="1"/>
    </xf>
    <xf numFmtId="176" fontId="0" fillId="0" borderId="161" xfId="0" applyNumberFormat="1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/>
    </xf>
    <xf numFmtId="177" fontId="0" fillId="0" borderId="5" xfId="0" applyNumberFormat="1" applyFont="1" applyBorder="1" applyAlignment="1">
      <alignment horizontal="center" vertical="center" shrinkToFit="1"/>
    </xf>
    <xf numFmtId="176" fontId="9" fillId="0" borderId="69" xfId="0" applyNumberFormat="1" applyFont="1" applyFill="1" applyBorder="1" applyAlignment="1">
      <alignment vertical="center" shrinkToFit="1"/>
    </xf>
    <xf numFmtId="176" fontId="0" fillId="0" borderId="162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69" xfId="0" applyNumberFormat="1" applyFont="1" applyFill="1" applyBorder="1" applyAlignment="1">
      <alignment vertical="center" shrinkToFit="1"/>
    </xf>
    <xf numFmtId="184" fontId="1" fillId="0" borderId="16" xfId="2" applyNumberFormat="1" applyFont="1" applyBorder="1" applyAlignment="1">
      <alignment vertical="center" wrapText="1"/>
    </xf>
    <xf numFmtId="0" fontId="8" fillId="0" borderId="49" xfId="2" applyFont="1" applyBorder="1" applyAlignment="1">
      <alignment vertical="center" wrapText="1"/>
    </xf>
    <xf numFmtId="0" fontId="1" fillId="0" borderId="158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8" fillId="0" borderId="152" xfId="2" applyFont="1" applyBorder="1" applyAlignment="1">
      <alignment horizontal="left" vertical="center"/>
    </xf>
    <xf numFmtId="0" fontId="8" fillId="0" borderId="152" xfId="2" applyFont="1" applyBorder="1" applyAlignment="1">
      <alignment vertical="center"/>
    </xf>
    <xf numFmtId="0" fontId="0" fillId="0" borderId="152" xfId="2" applyFont="1" applyBorder="1" applyAlignment="1">
      <alignment vertical="center"/>
    </xf>
    <xf numFmtId="0" fontId="0" fillId="0" borderId="122" xfId="0" applyFont="1" applyBorder="1" applyAlignment="1">
      <alignment horizontal="center" vertical="center"/>
    </xf>
    <xf numFmtId="181" fontId="0" fillId="0" borderId="164" xfId="0" applyNumberFormat="1" applyFont="1" applyBorder="1" applyAlignment="1">
      <alignment horizontal="right" vertical="center"/>
    </xf>
    <xf numFmtId="181" fontId="0" fillId="3" borderId="124" xfId="1" applyNumberFormat="1" applyFont="1" applyFill="1" applyBorder="1" applyAlignment="1">
      <alignment horizontal="right" vertical="center"/>
    </xf>
    <xf numFmtId="176" fontId="0" fillId="6" borderId="11" xfId="0" applyNumberFormat="1" applyFont="1" applyFill="1" applyBorder="1" applyAlignment="1">
      <alignment horizontal="center" vertical="center" shrinkToFit="1"/>
    </xf>
    <xf numFmtId="183" fontId="0" fillId="6" borderId="11" xfId="0" applyNumberFormat="1" applyFont="1" applyFill="1" applyBorder="1" applyAlignment="1">
      <alignment vertical="center" shrinkToFit="1"/>
    </xf>
    <xf numFmtId="179" fontId="0" fillId="0" borderId="171" xfId="0" applyNumberFormat="1" applyFont="1" applyBorder="1" applyAlignment="1">
      <alignment horizontal="center" vertical="center" shrinkToFit="1"/>
    </xf>
    <xf numFmtId="179" fontId="0" fillId="0" borderId="166" xfId="0" applyNumberFormat="1" applyFont="1" applyBorder="1" applyAlignment="1">
      <alignment horizontal="center" vertical="center" shrinkToFit="1"/>
    </xf>
    <xf numFmtId="176" fontId="0" fillId="6" borderId="178" xfId="0" applyNumberFormat="1" applyFont="1" applyFill="1" applyBorder="1" applyAlignment="1">
      <alignment vertical="center" shrinkToFit="1"/>
    </xf>
    <xf numFmtId="176" fontId="0" fillId="6" borderId="180" xfId="0" applyNumberFormat="1" applyFont="1" applyFill="1" applyBorder="1" applyAlignment="1">
      <alignment vertical="center" shrinkToFit="1"/>
    </xf>
    <xf numFmtId="176" fontId="0" fillId="6" borderId="182" xfId="0" applyNumberFormat="1" applyFont="1" applyFill="1" applyBorder="1" applyAlignment="1">
      <alignment horizontal="center" vertical="center" shrinkToFit="1"/>
    </xf>
    <xf numFmtId="183" fontId="0" fillId="6" borderId="182" xfId="0" applyNumberFormat="1" applyFont="1" applyFill="1" applyBorder="1" applyAlignment="1">
      <alignment vertical="center" shrinkToFit="1"/>
    </xf>
    <xf numFmtId="183" fontId="0" fillId="6" borderId="183" xfId="0" applyNumberFormat="1" applyFont="1" applyFill="1" applyBorder="1" applyAlignment="1">
      <alignment vertical="center" shrinkToFit="1"/>
    </xf>
    <xf numFmtId="183" fontId="0" fillId="6" borderId="184" xfId="0" applyNumberFormat="1" applyFont="1" applyFill="1" applyBorder="1" applyAlignment="1">
      <alignment vertical="center" shrinkToFit="1"/>
    </xf>
    <xf numFmtId="176" fontId="0" fillId="6" borderId="185" xfId="0" applyNumberFormat="1" applyFont="1" applyFill="1" applyBorder="1" applyAlignment="1">
      <alignment vertical="center" shrinkToFit="1"/>
    </xf>
    <xf numFmtId="176" fontId="0" fillId="0" borderId="127" xfId="0" applyNumberFormat="1" applyFont="1" applyBorder="1" applyAlignment="1">
      <alignment vertical="center" shrinkToFit="1"/>
    </xf>
    <xf numFmtId="183" fontId="0" fillId="0" borderId="127" xfId="0" applyNumberFormat="1" applyFont="1" applyBorder="1" applyAlignment="1">
      <alignment vertical="center" shrinkToFit="1"/>
    </xf>
    <xf numFmtId="176" fontId="0" fillId="0" borderId="188" xfId="0" applyNumberFormat="1" applyFont="1" applyBorder="1" applyAlignment="1">
      <alignment vertical="center" shrinkToFit="1"/>
    </xf>
    <xf numFmtId="177" fontId="0" fillId="0" borderId="167" xfId="0" applyNumberFormat="1" applyFont="1" applyBorder="1" applyAlignment="1">
      <alignment vertical="center" shrinkToFit="1"/>
    </xf>
    <xf numFmtId="176" fontId="0" fillId="0" borderId="190" xfId="0" applyNumberFormat="1" applyFont="1" applyBorder="1" applyAlignment="1">
      <alignment vertical="center" shrinkToFit="1"/>
    </xf>
    <xf numFmtId="183" fontId="0" fillId="0" borderId="190" xfId="0" applyNumberFormat="1" applyFont="1" applyBorder="1" applyAlignment="1">
      <alignment vertical="center" shrinkToFit="1"/>
    </xf>
    <xf numFmtId="176" fontId="0" fillId="0" borderId="189" xfId="0" applyNumberFormat="1" applyFont="1" applyBorder="1" applyAlignment="1">
      <alignment vertical="center" shrinkToFit="1"/>
    </xf>
    <xf numFmtId="176" fontId="0" fillId="0" borderId="193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vertical="center" shrinkToFit="1"/>
    </xf>
    <xf numFmtId="189" fontId="0" fillId="0" borderId="1" xfId="0" applyNumberFormat="1" applyFont="1" applyBorder="1" applyAlignment="1">
      <alignment vertical="center" shrinkToFit="1"/>
    </xf>
    <xf numFmtId="190" fontId="0" fillId="0" borderId="1" xfId="0" applyNumberFormat="1" applyFont="1" applyBorder="1" applyAlignment="1">
      <alignment vertical="center" shrinkToFit="1"/>
    </xf>
    <xf numFmtId="3" fontId="6" fillId="0" borderId="196" xfId="0" applyNumberFormat="1" applyFont="1" applyFill="1" applyBorder="1" applyAlignment="1"/>
    <xf numFmtId="184" fontId="0" fillId="0" borderId="76" xfId="0" applyNumberFormat="1" applyFont="1" applyBorder="1" applyAlignment="1">
      <alignment horizontal="center" vertical="center"/>
    </xf>
    <xf numFmtId="191" fontId="0" fillId="0" borderId="137" xfId="0" applyNumberFormat="1" applyFont="1" applyBorder="1" applyAlignment="1">
      <alignment vertical="center"/>
    </xf>
    <xf numFmtId="192" fontId="0" fillId="0" borderId="137" xfId="0" applyNumberFormat="1" applyFont="1" applyFill="1" applyBorder="1" applyAlignment="1">
      <alignment vertical="center"/>
    </xf>
    <xf numFmtId="177" fontId="0" fillId="0" borderId="207" xfId="0" applyNumberFormat="1" applyFont="1" applyFill="1" applyBorder="1" applyAlignment="1">
      <alignment vertical="center" shrinkToFit="1"/>
    </xf>
    <xf numFmtId="177" fontId="0" fillId="0" borderId="208" xfId="0" applyNumberFormat="1" applyFont="1" applyFill="1" applyBorder="1" applyAlignment="1">
      <alignment vertical="center" shrinkToFit="1"/>
    </xf>
    <xf numFmtId="177" fontId="0" fillId="0" borderId="209" xfId="0" applyNumberFormat="1" applyFill="1" applyBorder="1" applyAlignment="1">
      <alignment vertical="center" shrinkToFit="1"/>
    </xf>
    <xf numFmtId="179" fontId="0" fillId="5" borderId="24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6" fontId="0" fillId="0" borderId="211" xfId="0" applyNumberFormat="1" applyFont="1" applyBorder="1" applyAlignment="1">
      <alignment vertical="center"/>
    </xf>
    <xf numFmtId="0" fontId="8" fillId="0" borderId="73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0" fontId="8" fillId="0" borderId="167" xfId="2" applyFont="1" applyBorder="1" applyAlignment="1">
      <alignment vertical="center" wrapText="1"/>
    </xf>
    <xf numFmtId="0" fontId="8" fillId="0" borderId="154" xfId="2" applyFont="1" applyBorder="1" applyAlignment="1">
      <alignment horizontal="left" vertical="center" wrapText="1"/>
    </xf>
    <xf numFmtId="0" fontId="0" fillId="0" borderId="154" xfId="2" applyFont="1" applyBorder="1" applyAlignment="1">
      <alignment horizontal="left" vertical="center" wrapText="1"/>
    </xf>
    <xf numFmtId="0" fontId="1" fillId="0" borderId="154" xfId="2" applyFont="1" applyBorder="1" applyAlignment="1">
      <alignment horizontal="left" vertical="center" wrapText="1"/>
    </xf>
    <xf numFmtId="0" fontId="1" fillId="0" borderId="154" xfId="2" applyFont="1" applyBorder="1" applyAlignment="1">
      <alignment horizontal="center" vertical="center" wrapText="1"/>
    </xf>
    <xf numFmtId="0" fontId="1" fillId="0" borderId="155" xfId="2" applyFont="1" applyBorder="1" applyAlignment="1">
      <alignment horizontal="center" vertical="center" wrapText="1"/>
    </xf>
    <xf numFmtId="0" fontId="8" fillId="0" borderId="154" xfId="2" applyFont="1" applyBorder="1" applyAlignment="1">
      <alignment vertical="center" wrapText="1"/>
    </xf>
    <xf numFmtId="0" fontId="0" fillId="0" borderId="154" xfId="2" applyFont="1" applyBorder="1" applyAlignment="1">
      <alignment vertical="center" wrapText="1"/>
    </xf>
    <xf numFmtId="0" fontId="1" fillId="0" borderId="154" xfId="2" applyFont="1" applyBorder="1" applyAlignment="1">
      <alignment vertical="center" wrapText="1"/>
    </xf>
    <xf numFmtId="176" fontId="15" fillId="0" borderId="9" xfId="0" applyNumberFormat="1" applyFont="1" applyBorder="1" applyAlignment="1">
      <alignment vertical="center"/>
    </xf>
    <xf numFmtId="176" fontId="15" fillId="0" borderId="1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right"/>
    </xf>
    <xf numFmtId="176" fontId="15" fillId="0" borderId="0" xfId="0" applyNumberFormat="1" applyFont="1" applyBorder="1">
      <alignment vertical="center"/>
    </xf>
    <xf numFmtId="176" fontId="15" fillId="0" borderId="26" xfId="0" applyNumberFormat="1" applyFont="1" applyFill="1" applyBorder="1">
      <alignment vertical="center"/>
    </xf>
    <xf numFmtId="176" fontId="15" fillId="0" borderId="32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0" xfId="0" applyNumberFormat="1" applyFont="1" applyFill="1" applyBorder="1">
      <alignment vertical="center"/>
    </xf>
    <xf numFmtId="176" fontId="15" fillId="0" borderId="215" xfId="0" applyNumberFormat="1" applyFont="1" applyBorder="1" applyAlignment="1">
      <alignment vertical="center"/>
    </xf>
    <xf numFmtId="176" fontId="15" fillId="0" borderId="216" xfId="0" applyNumberFormat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176" fontId="15" fillId="0" borderId="20" xfId="0" applyNumberFormat="1" applyFont="1" applyBorder="1" applyAlignment="1">
      <alignment vertical="center"/>
    </xf>
    <xf numFmtId="179" fontId="0" fillId="0" borderId="152" xfId="0" applyNumberFormat="1" applyFont="1" applyBorder="1" applyAlignment="1">
      <alignment vertical="center"/>
    </xf>
    <xf numFmtId="179" fontId="0" fillId="0" borderId="214" xfId="0" applyNumberFormat="1" applyFont="1" applyBorder="1" applyAlignment="1">
      <alignment vertical="center"/>
    </xf>
    <xf numFmtId="176" fontId="0" fillId="0" borderId="71" xfId="0" applyNumberFormat="1" applyFont="1" applyBorder="1">
      <alignment vertical="center"/>
    </xf>
    <xf numFmtId="176" fontId="0" fillId="0" borderId="0" xfId="0" applyNumberFormat="1" applyFont="1" applyBorder="1" applyAlignment="1">
      <alignment horizontal="center" vertical="center"/>
    </xf>
    <xf numFmtId="184" fontId="8" fillId="0" borderId="168" xfId="2" applyNumberFormat="1" applyFont="1" applyFill="1" applyBorder="1" applyAlignment="1">
      <alignment vertical="center" wrapText="1"/>
    </xf>
    <xf numFmtId="0" fontId="0" fillId="0" borderId="27" xfId="2" applyFont="1" applyBorder="1" applyAlignment="1">
      <alignment horizontal="center" vertical="center" wrapText="1"/>
    </xf>
    <xf numFmtId="0" fontId="0" fillId="0" borderId="110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left" vertical="center" wrapText="1"/>
    </xf>
    <xf numFmtId="184" fontId="8" fillId="0" borderId="167" xfId="2" applyNumberFormat="1" applyFont="1" applyFill="1" applyBorder="1" applyAlignment="1">
      <alignment vertical="center" wrapText="1"/>
    </xf>
    <xf numFmtId="0" fontId="1" fillId="0" borderId="158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left" vertical="center" wrapText="1"/>
    </xf>
    <xf numFmtId="0" fontId="1" fillId="0" borderId="159" xfId="2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1" fillId="0" borderId="210" xfId="2" applyFont="1" applyBorder="1" applyAlignment="1">
      <alignment horizontal="center" vertical="center" wrapText="1"/>
    </xf>
    <xf numFmtId="0" fontId="1" fillId="0" borderId="136" xfId="2" applyFont="1" applyBorder="1" applyAlignment="1">
      <alignment horizontal="center" vertical="center" wrapText="1"/>
    </xf>
    <xf numFmtId="0" fontId="1" fillId="0" borderId="217" xfId="2" applyFont="1" applyBorder="1" applyAlignment="1">
      <alignment horizontal="center" vertical="center" wrapText="1"/>
    </xf>
    <xf numFmtId="0" fontId="1" fillId="0" borderId="137" xfId="2" applyFont="1" applyBorder="1" applyAlignment="1">
      <alignment horizontal="center" vertical="center" wrapText="1"/>
    </xf>
    <xf numFmtId="0" fontId="1" fillId="0" borderId="201" xfId="2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1" fillId="0" borderId="199" xfId="2" applyFont="1" applyFill="1" applyBorder="1" applyAlignment="1">
      <alignment vertical="center" wrapText="1"/>
    </xf>
    <xf numFmtId="184" fontId="8" fillId="0" borderId="167" xfId="2" applyNumberFormat="1" applyFont="1" applyFill="1" applyBorder="1" applyAlignment="1">
      <alignment horizontal="right" vertical="center" wrapText="1"/>
    </xf>
    <xf numFmtId="0" fontId="8" fillId="0" borderId="219" xfId="2" applyFont="1" applyBorder="1" applyAlignment="1">
      <alignment horizontal="center" vertical="center" wrapText="1"/>
    </xf>
    <xf numFmtId="0" fontId="8" fillId="0" borderId="192" xfId="2" applyFont="1" applyBorder="1" applyAlignment="1">
      <alignment horizontal="center" vertical="center" wrapText="1"/>
    </xf>
    <xf numFmtId="0" fontId="8" fillId="0" borderId="167" xfId="2" applyFont="1" applyFill="1" applyBorder="1" applyAlignment="1">
      <alignment horizontal="center" vertical="center" wrapText="1"/>
    </xf>
    <xf numFmtId="0" fontId="8" fillId="0" borderId="167" xfId="2" applyFont="1" applyFill="1" applyBorder="1" applyAlignment="1">
      <alignment vertical="center" wrapText="1"/>
    </xf>
    <xf numFmtId="0" fontId="8" fillId="0" borderId="194" xfId="2" applyFont="1" applyBorder="1" applyAlignment="1">
      <alignment vertical="center" wrapText="1"/>
    </xf>
    <xf numFmtId="0" fontId="0" fillId="0" borderId="167" xfId="2" applyFont="1" applyFill="1" applyBorder="1" applyAlignment="1">
      <alignment horizontal="center" vertical="center" shrinkToFit="1"/>
    </xf>
    <xf numFmtId="0" fontId="1" fillId="0" borderId="167" xfId="2" applyFont="1" applyFill="1" applyBorder="1" applyAlignment="1">
      <alignment horizontal="center" vertical="center" shrinkToFit="1"/>
    </xf>
    <xf numFmtId="0" fontId="1" fillId="0" borderId="194" xfId="2" applyFont="1" applyBorder="1" applyAlignment="1">
      <alignment horizontal="center" vertical="center" shrinkToFit="1"/>
    </xf>
    <xf numFmtId="0" fontId="0" fillId="0" borderId="167" xfId="2" applyFont="1" applyFill="1" applyBorder="1" applyAlignment="1">
      <alignment vertical="center" wrapText="1"/>
    </xf>
    <xf numFmtId="0" fontId="8" fillId="0" borderId="167" xfId="2" applyFont="1" applyFill="1" applyBorder="1" applyAlignment="1">
      <alignment horizontal="center" vertical="center"/>
    </xf>
    <xf numFmtId="0" fontId="1" fillId="0" borderId="167" xfId="2" applyFont="1" applyFill="1" applyBorder="1" applyAlignment="1">
      <alignment horizontal="center" vertical="center" wrapText="1"/>
    </xf>
    <xf numFmtId="195" fontId="1" fillId="0" borderId="167" xfId="2" applyNumberFormat="1" applyFont="1" applyFill="1" applyBorder="1" applyAlignment="1">
      <alignment horizontal="center" vertical="center" wrapText="1"/>
    </xf>
    <xf numFmtId="0" fontId="8" fillId="0" borderId="194" xfId="2" applyFont="1" applyBorder="1" applyAlignment="1">
      <alignment horizontal="center" vertical="center" wrapText="1"/>
    </xf>
    <xf numFmtId="0" fontId="0" fillId="0" borderId="167" xfId="2" applyFont="1" applyFill="1" applyBorder="1" applyAlignment="1">
      <alignment horizontal="center" vertical="center" wrapText="1"/>
    </xf>
    <xf numFmtId="0" fontId="8" fillId="0" borderId="167" xfId="2" applyFont="1" applyBorder="1" applyAlignment="1">
      <alignment horizontal="left" vertical="center" wrapText="1"/>
    </xf>
    <xf numFmtId="0" fontId="1" fillId="0" borderId="167" xfId="2" applyFont="1" applyBorder="1" applyAlignment="1">
      <alignment horizontal="left" vertical="center" wrapText="1"/>
    </xf>
    <xf numFmtId="0" fontId="0" fillId="0" borderId="167" xfId="2" applyFont="1" applyBorder="1" applyAlignment="1">
      <alignment horizontal="left" vertical="center" wrapText="1"/>
    </xf>
    <xf numFmtId="0" fontId="1" fillId="0" borderId="194" xfId="2" applyFont="1" applyBorder="1" applyAlignment="1">
      <alignment horizontal="center" vertical="center" wrapText="1"/>
    </xf>
    <xf numFmtId="0" fontId="1" fillId="0" borderId="183" xfId="2" applyFont="1" applyBorder="1" applyAlignment="1">
      <alignment horizontal="center" vertical="center" wrapText="1"/>
    </xf>
    <xf numFmtId="0" fontId="1" fillId="0" borderId="185" xfId="2" applyFont="1" applyBorder="1" applyAlignment="1">
      <alignment horizontal="center" vertical="center" wrapText="1"/>
    </xf>
    <xf numFmtId="176" fontId="0" fillId="0" borderId="210" xfId="0" applyNumberFormat="1" applyFont="1" applyBorder="1" applyAlignment="1">
      <alignment horizontal="center" vertical="center"/>
    </xf>
    <xf numFmtId="176" fontId="0" fillId="0" borderId="210" xfId="0" applyNumberFormat="1" applyFont="1" applyBorder="1" applyAlignment="1">
      <alignment vertical="center"/>
    </xf>
    <xf numFmtId="179" fontId="0" fillId="0" borderId="210" xfId="0" applyNumberFormat="1" applyFont="1" applyBorder="1" applyAlignment="1">
      <alignment vertical="center" shrinkToFit="1"/>
    </xf>
    <xf numFmtId="179" fontId="0" fillId="0" borderId="214" xfId="0" applyNumberFormat="1" applyFont="1" applyBorder="1" applyAlignment="1">
      <alignment vertical="center" shrinkToFit="1"/>
    </xf>
    <xf numFmtId="176" fontId="5" fillId="0" borderId="210" xfId="0" applyNumberFormat="1" applyFont="1" applyFill="1" applyBorder="1" applyAlignment="1">
      <alignment horizontal="center" vertical="center" shrinkToFit="1"/>
    </xf>
    <xf numFmtId="176" fontId="1" fillId="0" borderId="167" xfId="0" applyNumberFormat="1" applyFont="1" applyFill="1" applyBorder="1" applyAlignment="1">
      <alignment vertical="center" shrinkToFit="1"/>
    </xf>
    <xf numFmtId="176" fontId="0" fillId="0" borderId="167" xfId="0" applyNumberFormat="1" applyFont="1" applyFill="1" applyBorder="1" applyAlignment="1">
      <alignment vertical="center" shrinkToFit="1"/>
    </xf>
    <xf numFmtId="176" fontId="1" fillId="0" borderId="167" xfId="0" applyNumberFormat="1" applyFont="1" applyFill="1" applyBorder="1" applyAlignment="1">
      <alignment horizontal="right" vertical="center" shrinkToFit="1"/>
    </xf>
    <xf numFmtId="176" fontId="1" fillId="0" borderId="210" xfId="0" applyNumberFormat="1" applyFont="1" applyFill="1" applyBorder="1" applyAlignment="1">
      <alignment vertical="center" shrinkToFit="1"/>
    </xf>
    <xf numFmtId="176" fontId="1" fillId="0" borderId="210" xfId="0" applyNumberFormat="1" applyFont="1" applyFill="1" applyBorder="1" applyAlignment="1">
      <alignment horizontal="center" vertical="center" shrinkToFit="1"/>
    </xf>
    <xf numFmtId="9" fontId="1" fillId="0" borderId="210" xfId="0" applyNumberFormat="1" applyFont="1" applyFill="1" applyBorder="1" applyAlignment="1">
      <alignment vertical="center" shrinkToFit="1"/>
    </xf>
    <xf numFmtId="176" fontId="1" fillId="0" borderId="168" xfId="0" applyNumberFormat="1" applyFont="1" applyFill="1" applyBorder="1" applyAlignment="1">
      <alignment vertical="center" shrinkToFit="1"/>
    </xf>
    <xf numFmtId="176" fontId="0" fillId="0" borderId="168" xfId="0" applyNumberFormat="1" applyFont="1" applyFill="1" applyBorder="1" applyAlignment="1">
      <alignment vertical="center" shrinkToFit="1"/>
    </xf>
    <xf numFmtId="176" fontId="0" fillId="0" borderId="210" xfId="0" applyNumberFormat="1" applyFont="1" applyFill="1" applyBorder="1">
      <alignment vertical="center"/>
    </xf>
    <xf numFmtId="176" fontId="1" fillId="0" borderId="210" xfId="0" applyNumberFormat="1" applyFont="1" applyFill="1" applyBorder="1">
      <alignment vertical="center"/>
    </xf>
    <xf numFmtId="176" fontId="0" fillId="0" borderId="207" xfId="0" applyNumberFormat="1" applyFont="1" applyFill="1" applyBorder="1" applyAlignment="1">
      <alignment vertical="center"/>
    </xf>
    <xf numFmtId="185" fontId="0" fillId="0" borderId="167" xfId="0" applyNumberFormat="1" applyFont="1" applyFill="1" applyBorder="1" applyAlignment="1">
      <alignment horizontal="right" vertical="center" shrinkToFit="1"/>
    </xf>
    <xf numFmtId="176" fontId="0" fillId="0" borderId="167" xfId="0" applyNumberFormat="1" applyFill="1" applyBorder="1" applyAlignment="1">
      <alignment vertical="center" shrinkToFit="1"/>
    </xf>
    <xf numFmtId="176" fontId="1" fillId="0" borderId="83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vertical="center" shrinkToFit="1"/>
    </xf>
    <xf numFmtId="176" fontId="1" fillId="0" borderId="19" xfId="0" applyNumberFormat="1" applyFont="1" applyFill="1" applyBorder="1" applyAlignment="1">
      <alignment horizontal="left" vertical="center" shrinkToFit="1"/>
    </xf>
    <xf numFmtId="179" fontId="1" fillId="0" borderId="19" xfId="0" applyNumberFormat="1" applyFont="1" applyFill="1" applyBorder="1" applyAlignment="1">
      <alignment vertical="center" shrinkToFit="1"/>
    </xf>
    <xf numFmtId="176" fontId="1" fillId="0" borderId="69" xfId="0" applyNumberFormat="1" applyFont="1" applyFill="1" applyBorder="1" applyAlignment="1">
      <alignment vertical="center" shrinkToFit="1"/>
    </xf>
    <xf numFmtId="177" fontId="0" fillId="0" borderId="210" xfId="0" applyNumberFormat="1" applyFont="1" applyFill="1" applyBorder="1" applyAlignment="1">
      <alignment vertical="center" shrinkToFit="1"/>
    </xf>
    <xf numFmtId="177" fontId="0" fillId="0" borderId="210" xfId="0" applyNumberFormat="1" applyFill="1" applyBorder="1" applyAlignment="1">
      <alignment horizontal="center" vertical="center" shrinkToFit="1"/>
    </xf>
    <xf numFmtId="177" fontId="0" fillId="0" borderId="210" xfId="0" applyNumberFormat="1" applyFont="1" applyFill="1" applyBorder="1" applyAlignment="1">
      <alignment horizontal="center" vertical="center" shrinkToFit="1"/>
    </xf>
    <xf numFmtId="177" fontId="0" fillId="0" borderId="210" xfId="0" applyNumberFormat="1" applyFill="1" applyBorder="1" applyAlignment="1">
      <alignment vertical="center"/>
    </xf>
    <xf numFmtId="177" fontId="0" fillId="0" borderId="210" xfId="0" applyNumberFormat="1" applyFont="1" applyBorder="1" applyAlignment="1">
      <alignment vertical="center" shrinkToFit="1"/>
    </xf>
    <xf numFmtId="177" fontId="0" fillId="0" borderId="210" xfId="0" applyNumberFormat="1" applyFill="1" applyBorder="1" applyAlignment="1">
      <alignment vertical="center" shrinkToFit="1"/>
    </xf>
    <xf numFmtId="38" fontId="0" fillId="0" borderId="210" xfId="1" applyFont="1" applyFill="1" applyBorder="1" applyAlignment="1">
      <alignment vertical="center" shrinkToFit="1"/>
    </xf>
    <xf numFmtId="177" fontId="0" fillId="0" borderId="152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/>
    </xf>
    <xf numFmtId="178" fontId="0" fillId="0" borderId="210" xfId="0" applyNumberFormat="1" applyFont="1" applyFill="1" applyBorder="1" applyAlignment="1">
      <alignment vertical="center"/>
    </xf>
    <xf numFmtId="177" fontId="0" fillId="0" borderId="210" xfId="0" applyNumberFormat="1" applyFont="1" applyFill="1" applyBorder="1" applyAlignment="1">
      <alignment vertical="center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210" xfId="0" applyNumberFormat="1" applyFont="1" applyFill="1" applyBorder="1" applyAlignment="1">
      <alignment horizontal="center" vertical="center"/>
    </xf>
    <xf numFmtId="177" fontId="0" fillId="0" borderId="158" xfId="0" applyNumberFormat="1" applyFill="1" applyBorder="1" applyAlignment="1">
      <alignment vertical="center"/>
    </xf>
    <xf numFmtId="177" fontId="0" fillId="0" borderId="210" xfId="3" applyNumberFormat="1" applyFont="1" applyFill="1" applyBorder="1" applyAlignment="1">
      <alignment vertical="center"/>
    </xf>
    <xf numFmtId="177" fontId="0" fillId="2" borderId="210" xfId="0" applyNumberFormat="1" applyFont="1" applyFill="1" applyBorder="1" applyAlignment="1">
      <alignment vertical="center" shrinkToFit="1"/>
    </xf>
    <xf numFmtId="177" fontId="0" fillId="0" borderId="210" xfId="0" applyNumberFormat="1" applyFont="1" applyBorder="1" applyAlignment="1">
      <alignment vertical="center"/>
    </xf>
    <xf numFmtId="177" fontId="0" fillId="0" borderId="210" xfId="3" applyNumberFormat="1" applyFont="1" applyBorder="1" applyAlignment="1">
      <alignment vertical="center" shrinkToFit="1"/>
    </xf>
    <xf numFmtId="0" fontId="0" fillId="0" borderId="158" xfId="3" applyFont="1" applyFill="1" applyBorder="1" applyAlignment="1">
      <alignment vertical="center" shrinkToFit="1"/>
    </xf>
    <xf numFmtId="0" fontId="0" fillId="0" borderId="159" xfId="3" applyFont="1" applyFill="1" applyBorder="1" applyAlignment="1">
      <alignment vertical="center" shrinkToFit="1"/>
    </xf>
    <xf numFmtId="177" fontId="0" fillId="0" borderId="152" xfId="0" applyNumberFormat="1" applyFont="1" applyFill="1" applyBorder="1" applyAlignment="1">
      <alignment vertical="center"/>
    </xf>
    <xf numFmtId="9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horizontal="left" vertical="center"/>
    </xf>
    <xf numFmtId="177" fontId="0" fillId="0" borderId="210" xfId="3" applyNumberFormat="1" applyFont="1" applyFill="1" applyBorder="1" applyAlignment="1">
      <alignment vertical="center" shrinkToFit="1"/>
    </xf>
    <xf numFmtId="0" fontId="0" fillId="0" borderId="163" xfId="0" applyFont="1" applyBorder="1" applyAlignment="1">
      <alignment vertical="center"/>
    </xf>
    <xf numFmtId="181" fontId="0" fillId="0" borderId="198" xfId="1" applyNumberFormat="1" applyFont="1" applyFill="1" applyBorder="1" applyAlignment="1">
      <alignment vertical="center"/>
    </xf>
    <xf numFmtId="177" fontId="0" fillId="0" borderId="199" xfId="3" applyNumberFormat="1" applyFont="1" applyBorder="1" applyAlignment="1">
      <alignment vertical="center"/>
    </xf>
    <xf numFmtId="193" fontId="0" fillId="0" borderId="224" xfId="3" applyNumberFormat="1" applyFont="1" applyBorder="1" applyAlignment="1">
      <alignment vertical="center"/>
    </xf>
    <xf numFmtId="0" fontId="0" fillId="0" borderId="169" xfId="0" applyFont="1" applyFill="1" applyBorder="1" applyAlignment="1">
      <alignment vertical="center"/>
    </xf>
    <xf numFmtId="0" fontId="0" fillId="0" borderId="170" xfId="0" applyFont="1" applyFill="1" applyBorder="1" applyAlignment="1">
      <alignment vertical="center"/>
    </xf>
    <xf numFmtId="177" fontId="0" fillId="0" borderId="158" xfId="3" applyNumberFormat="1" applyFont="1" applyBorder="1" applyAlignment="1">
      <alignment vertical="center" shrinkToFit="1"/>
    </xf>
    <xf numFmtId="176" fontId="0" fillId="0" borderId="210" xfId="0" applyNumberFormat="1" applyFont="1" applyFill="1" applyBorder="1" applyAlignment="1">
      <alignment vertical="center" shrinkToFit="1"/>
    </xf>
    <xf numFmtId="176" fontId="0" fillId="0" borderId="210" xfId="0" applyNumberFormat="1" applyFont="1" applyBorder="1" applyAlignment="1">
      <alignment vertical="center" shrinkToFit="1"/>
    </xf>
    <xf numFmtId="176" fontId="0" fillId="0" borderId="210" xfId="0" applyNumberFormat="1" applyFont="1" applyBorder="1" applyAlignment="1">
      <alignment horizontal="center"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6" fontId="0" fillId="0" borderId="214" xfId="0" applyNumberFormat="1" applyFont="1" applyBorder="1" applyAlignment="1">
      <alignment vertical="center" shrinkToFit="1"/>
    </xf>
    <xf numFmtId="183" fontId="0" fillId="0" borderId="210" xfId="0" applyNumberFormat="1" applyFont="1" applyBorder="1" applyAlignment="1">
      <alignment vertical="center" shrinkToFit="1"/>
    </xf>
    <xf numFmtId="183" fontId="0" fillId="0" borderId="210" xfId="0" applyNumberFormat="1" applyFont="1" applyFill="1" applyBorder="1" applyAlignment="1">
      <alignment vertical="center" shrinkToFit="1"/>
    </xf>
    <xf numFmtId="176" fontId="0" fillId="0" borderId="225" xfId="0" applyNumberFormat="1" applyFont="1" applyBorder="1" applyAlignment="1">
      <alignment vertical="center" shrinkToFit="1"/>
    </xf>
    <xf numFmtId="183" fontId="0" fillId="0" borderId="225" xfId="0" applyNumberFormat="1" applyFont="1" applyBorder="1" applyAlignment="1">
      <alignment vertical="center" shrinkToFit="1"/>
    </xf>
    <xf numFmtId="176" fontId="0" fillId="0" borderId="226" xfId="0" applyNumberFormat="1" applyFont="1" applyBorder="1" applyAlignment="1">
      <alignment vertical="center" shrinkToFit="1"/>
    </xf>
    <xf numFmtId="177" fontId="0" fillId="2" borderId="153" xfId="0" applyNumberFormat="1" applyFont="1" applyFill="1" applyBorder="1" applyAlignment="1">
      <alignment vertical="center" shrinkToFit="1"/>
    </xf>
    <xf numFmtId="177" fontId="0" fillId="2" borderId="155" xfId="0" applyNumberFormat="1" applyFont="1" applyFill="1" applyBorder="1" applyAlignment="1">
      <alignment vertical="center" shrinkToFit="1"/>
    </xf>
    <xf numFmtId="3" fontId="6" fillId="0" borderId="207" xfId="0" applyNumberFormat="1" applyFont="1" applyFill="1" applyBorder="1" applyAlignment="1"/>
    <xf numFmtId="177" fontId="0" fillId="0" borderId="171" xfId="3" applyNumberFormat="1" applyFont="1" applyBorder="1" applyAlignment="1">
      <alignment horizontal="center" vertical="center" shrinkToFit="1"/>
    </xf>
    <xf numFmtId="177" fontId="0" fillId="0" borderId="172" xfId="0" applyNumberFormat="1" applyFont="1" applyBorder="1" applyAlignment="1">
      <alignment horizontal="center" vertical="center" shrinkToFit="1"/>
    </xf>
    <xf numFmtId="187" fontId="0" fillId="0" borderId="210" xfId="0" applyNumberFormat="1" applyFont="1" applyBorder="1" applyAlignment="1">
      <alignment vertical="center" shrinkToFit="1"/>
    </xf>
    <xf numFmtId="176" fontId="0" fillId="0" borderId="66" xfId="0" applyNumberFormat="1" applyFont="1" applyBorder="1" applyAlignment="1">
      <alignment vertical="center"/>
    </xf>
    <xf numFmtId="176" fontId="0" fillId="2" borderId="191" xfId="0" applyNumberFormat="1" applyFont="1" applyFill="1" applyBorder="1" applyAlignment="1">
      <alignment horizontal="center" vertical="center" shrinkToFit="1"/>
    </xf>
    <xf numFmtId="177" fontId="0" fillId="2" borderId="191" xfId="0" applyNumberFormat="1" applyFont="1" applyFill="1" applyBorder="1" applyAlignment="1">
      <alignment vertical="center" shrinkToFit="1"/>
    </xf>
    <xf numFmtId="176" fontId="0" fillId="2" borderId="156" xfId="0" applyNumberFormat="1" applyFont="1" applyFill="1" applyBorder="1" applyAlignment="1">
      <alignment vertical="center" shrinkToFit="1"/>
    </xf>
    <xf numFmtId="177" fontId="0" fillId="2" borderId="191" xfId="3" applyNumberFormat="1" applyFont="1" applyFill="1" applyBorder="1" applyAlignment="1">
      <alignment horizontal="center" vertical="center" shrinkToFit="1"/>
    </xf>
    <xf numFmtId="177" fontId="0" fillId="2" borderId="191" xfId="3" applyNumberFormat="1" applyFont="1" applyFill="1" applyBorder="1" applyAlignment="1">
      <alignment vertical="center" shrinkToFit="1"/>
    </xf>
    <xf numFmtId="177" fontId="0" fillId="0" borderId="171" xfId="0" applyNumberFormat="1" applyFont="1" applyBorder="1" applyAlignment="1">
      <alignment horizontal="center" vertical="center" shrinkToFit="1"/>
    </xf>
    <xf numFmtId="176" fontId="0" fillId="0" borderId="174" xfId="0" applyNumberFormat="1" applyFont="1" applyBorder="1" applyAlignment="1">
      <alignment vertical="center"/>
    </xf>
    <xf numFmtId="0" fontId="0" fillId="0" borderId="171" xfId="0" applyFont="1" applyBorder="1" applyAlignment="1">
      <alignment horizontal="center" vertical="center"/>
    </xf>
    <xf numFmtId="181" fontId="0" fillId="0" borderId="171" xfId="0" applyNumberFormat="1" applyFont="1" applyBorder="1" applyAlignment="1">
      <alignment horizontal="right" vertical="center"/>
    </xf>
    <xf numFmtId="181" fontId="0" fillId="3" borderId="170" xfId="0" applyNumberFormat="1" applyFont="1" applyFill="1" applyBorder="1" applyAlignment="1">
      <alignment horizontal="right" vertical="center"/>
    </xf>
    <xf numFmtId="181" fontId="0" fillId="0" borderId="166" xfId="0" applyNumberFormat="1" applyFont="1" applyBorder="1" applyAlignment="1">
      <alignment horizontal="right" vertical="center"/>
    </xf>
    <xf numFmtId="181" fontId="0" fillId="3" borderId="166" xfId="1" applyNumberFormat="1" applyFont="1" applyFill="1" applyBorder="1" applyAlignment="1">
      <alignment horizontal="right" vertical="center"/>
    </xf>
    <xf numFmtId="0" fontId="0" fillId="0" borderId="204" xfId="0" applyFont="1" applyBorder="1" applyAlignment="1">
      <alignment vertical="center"/>
    </xf>
    <xf numFmtId="0" fontId="0" fillId="0" borderId="202" xfId="0" applyFont="1" applyBorder="1" applyAlignment="1">
      <alignment vertical="center"/>
    </xf>
    <xf numFmtId="181" fontId="0" fillId="0" borderId="171" xfId="1" applyNumberFormat="1" applyFont="1" applyBorder="1" applyAlignment="1">
      <alignment horizontal="right" vertical="center"/>
    </xf>
    <xf numFmtId="181" fontId="0" fillId="0" borderId="191" xfId="1" applyNumberFormat="1" applyFont="1" applyBorder="1" applyAlignment="1">
      <alignment horizontal="right" vertical="center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158" xfId="2" applyFont="1" applyBorder="1" applyAlignment="1">
      <alignment vertical="center" wrapText="1"/>
    </xf>
    <xf numFmtId="0" fontId="1" fillId="0" borderId="152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8" fillId="0" borderId="55" xfId="2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167" xfId="2" applyFont="1" applyBorder="1" applyAlignment="1">
      <alignment horizontal="center" vertical="center" wrapText="1"/>
    </xf>
    <xf numFmtId="0" fontId="8" fillId="0" borderId="167" xfId="2" applyFont="1" applyBorder="1" applyAlignment="1">
      <alignment horizontal="center" vertical="center" wrapText="1"/>
    </xf>
    <xf numFmtId="0" fontId="1" fillId="0" borderId="167" xfId="2" applyFont="1" applyBorder="1" applyAlignment="1">
      <alignment horizontal="center" vertical="center" wrapText="1"/>
    </xf>
    <xf numFmtId="0" fontId="1" fillId="0" borderId="152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left" vertical="center" wrapText="1"/>
    </xf>
    <xf numFmtId="0" fontId="8" fillId="0" borderId="161" xfId="2" applyFont="1" applyBorder="1" applyAlignment="1">
      <alignment horizontal="center" vertical="center" wrapText="1"/>
    </xf>
    <xf numFmtId="176" fontId="0" fillId="0" borderId="239" xfId="0" applyNumberFormat="1" applyFont="1" applyBorder="1" applyAlignment="1">
      <alignment horizontal="center" vertical="center"/>
    </xf>
    <xf numFmtId="176" fontId="0" fillId="0" borderId="234" xfId="0" applyNumberFormat="1" applyFont="1" applyBorder="1" applyAlignment="1">
      <alignment horizontal="center" vertical="center"/>
    </xf>
    <xf numFmtId="176" fontId="15" fillId="0" borderId="240" xfId="0" applyNumberFormat="1" applyFont="1" applyBorder="1" applyAlignment="1">
      <alignment vertical="center"/>
    </xf>
    <xf numFmtId="176" fontId="15" fillId="0" borderId="210" xfId="0" applyNumberFormat="1" applyFont="1" applyBorder="1" applyAlignment="1">
      <alignment vertical="center"/>
    </xf>
    <xf numFmtId="176" fontId="15" fillId="0" borderId="234" xfId="0" applyNumberFormat="1" applyFont="1" applyBorder="1" applyAlignment="1">
      <alignment vertical="center"/>
    </xf>
    <xf numFmtId="176" fontId="15" fillId="0" borderId="235" xfId="0" applyNumberFormat="1" applyFont="1" applyBorder="1" applyAlignment="1">
      <alignment vertical="center"/>
    </xf>
    <xf numFmtId="176" fontId="0" fillId="0" borderId="240" xfId="0" applyNumberFormat="1" applyFont="1" applyBorder="1">
      <alignment vertical="center"/>
    </xf>
    <xf numFmtId="179" fontId="0" fillId="0" borderId="210" xfId="0" applyNumberFormat="1" applyFont="1" applyBorder="1" applyAlignment="1">
      <alignment vertical="center"/>
    </xf>
    <xf numFmtId="179" fontId="0" fillId="0" borderId="239" xfId="0" applyNumberFormat="1" applyFont="1" applyBorder="1" applyAlignment="1">
      <alignment vertical="center"/>
    </xf>
    <xf numFmtId="179" fontId="0" fillId="0" borderId="210" xfId="0" applyNumberFormat="1" applyFont="1" applyBorder="1">
      <alignment vertical="center"/>
    </xf>
    <xf numFmtId="179" fontId="0" fillId="0" borderId="239" xfId="0" applyNumberFormat="1" applyFont="1" applyBorder="1">
      <alignment vertical="center"/>
    </xf>
    <xf numFmtId="186" fontId="0" fillId="0" borderId="239" xfId="0" applyNumberFormat="1" applyFont="1" applyBorder="1" applyAlignment="1">
      <alignment vertical="center"/>
    </xf>
    <xf numFmtId="176" fontId="0" fillId="0" borderId="240" xfId="0" applyNumberFormat="1" applyFont="1" applyBorder="1" applyAlignment="1">
      <alignment horizontal="left" vertical="center" indent="1"/>
    </xf>
    <xf numFmtId="179" fontId="0" fillId="0" borderId="239" xfId="0" applyNumberFormat="1" applyFont="1" applyBorder="1" applyAlignment="1">
      <alignment vertical="center" shrinkToFit="1"/>
    </xf>
    <xf numFmtId="176" fontId="0" fillId="0" borderId="240" xfId="0" applyNumberFormat="1" applyFont="1" applyBorder="1" applyAlignment="1">
      <alignment horizontal="center" vertical="center"/>
    </xf>
    <xf numFmtId="179" fontId="0" fillId="0" borderId="234" xfId="0" applyNumberFormat="1" applyFont="1" applyBorder="1" applyAlignment="1">
      <alignment vertical="center" shrinkToFit="1"/>
    </xf>
    <xf numFmtId="176" fontId="15" fillId="0" borderId="241" xfId="0" applyNumberFormat="1" applyFont="1" applyBorder="1" applyAlignment="1">
      <alignment vertical="center"/>
    </xf>
    <xf numFmtId="176" fontId="0" fillId="0" borderId="234" xfId="0" applyNumberFormat="1" applyFont="1" applyBorder="1" applyAlignment="1">
      <alignment vertical="center"/>
    </xf>
    <xf numFmtId="0" fontId="0" fillId="0" borderId="152" xfId="2" applyFont="1" applyBorder="1" applyAlignment="1">
      <alignment horizontal="center" vertical="center" wrapText="1"/>
    </xf>
    <xf numFmtId="0" fontId="0" fillId="0" borderId="49" xfId="2" applyFont="1" applyBorder="1" applyAlignment="1">
      <alignment horizontal="center" vertical="center" wrapText="1"/>
    </xf>
    <xf numFmtId="0" fontId="0" fillId="0" borderId="114" xfId="2" applyFont="1" applyBorder="1" applyAlignment="1">
      <alignment horizontal="center" vertical="center" wrapText="1"/>
    </xf>
    <xf numFmtId="176" fontId="0" fillId="0" borderId="238" xfId="0" applyNumberFormat="1" applyFont="1" applyBorder="1" applyAlignment="1">
      <alignment vertical="center" shrinkToFit="1"/>
    </xf>
    <xf numFmtId="176" fontId="0" fillId="0" borderId="231" xfId="0" applyNumberFormat="1" applyFont="1" applyBorder="1" applyAlignment="1">
      <alignment horizontal="center" vertical="center" shrinkToFit="1"/>
    </xf>
    <xf numFmtId="177" fontId="0" fillId="0" borderId="238" xfId="0" applyNumberFormat="1" applyFont="1" applyBorder="1" applyAlignment="1">
      <alignment horizontal="center" vertical="center" shrinkToFit="1"/>
    </xf>
    <xf numFmtId="177" fontId="0" fillId="0" borderId="231" xfId="0" applyNumberFormat="1" applyFont="1" applyBorder="1" applyAlignment="1">
      <alignment horizontal="center" vertical="center" shrinkToFit="1"/>
    </xf>
    <xf numFmtId="177" fontId="0" fillId="0" borderId="161" xfId="0" applyNumberFormat="1" applyFont="1" applyBorder="1" applyAlignment="1">
      <alignment horizontal="center" vertical="center" shrinkToFit="1"/>
    </xf>
    <xf numFmtId="183" fontId="0" fillId="6" borderId="154" xfId="0" applyNumberFormat="1" applyFont="1" applyFill="1" applyBorder="1" applyAlignment="1">
      <alignment vertical="center" shrinkToFit="1"/>
    </xf>
    <xf numFmtId="176" fontId="0" fillId="6" borderId="155" xfId="0" applyNumberFormat="1" applyFont="1" applyFill="1" applyBorder="1" applyAlignment="1">
      <alignment vertical="center" shrinkToFit="1"/>
    </xf>
    <xf numFmtId="177" fontId="0" fillId="0" borderId="167" xfId="0" applyNumberFormat="1" applyFont="1" applyFill="1" applyBorder="1" applyAlignment="1">
      <alignment vertical="center" shrinkToFit="1"/>
    </xf>
    <xf numFmtId="177" fontId="0" fillId="0" borderId="167" xfId="0" applyNumberFormat="1" applyFont="1" applyBorder="1" applyAlignment="1">
      <alignment horizontal="center" vertical="center" shrinkToFit="1"/>
    </xf>
    <xf numFmtId="176" fontId="0" fillId="0" borderId="14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7" fontId="0" fillId="2" borderId="153" xfId="0" applyNumberFormat="1" applyFont="1" applyFill="1" applyBorder="1" applyAlignment="1">
      <alignment horizontal="center" vertical="center" shrinkToFit="1"/>
    </xf>
    <xf numFmtId="177" fontId="0" fillId="0" borderId="160" xfId="0" applyNumberFormat="1" applyFont="1" applyBorder="1" applyAlignment="1">
      <alignment horizontal="center" vertical="center" shrinkToFit="1"/>
    </xf>
    <xf numFmtId="196" fontId="0" fillId="0" borderId="159" xfId="0" applyNumberFormat="1" applyFont="1" applyFill="1" applyBorder="1" applyAlignment="1">
      <alignment vertical="center"/>
    </xf>
    <xf numFmtId="177" fontId="0" fillId="0" borderId="243" xfId="0" applyNumberFormat="1" applyFont="1" applyBorder="1" applyAlignment="1">
      <alignment vertical="center"/>
    </xf>
    <xf numFmtId="0" fontId="8" fillId="0" borderId="219" xfId="2" applyFont="1" applyBorder="1" applyAlignment="1">
      <alignment horizontal="center" vertical="center" wrapTex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235" xfId="0" applyNumberFormat="1" applyFont="1" applyBorder="1" applyAlignment="1">
      <alignment vertical="center"/>
    </xf>
    <xf numFmtId="176" fontId="1" fillId="0" borderId="241" xfId="0" applyNumberFormat="1" applyFont="1" applyFill="1" applyBorder="1" applyAlignment="1">
      <alignment horizontal="center" vertical="center" shrinkToFit="1"/>
    </xf>
    <xf numFmtId="176" fontId="0" fillId="0" borderId="241" xfId="0" applyNumberFormat="1" applyFill="1" applyBorder="1" applyAlignment="1">
      <alignment horizontal="center" vertical="center" shrinkToFit="1"/>
    </xf>
    <xf numFmtId="177" fontId="0" fillId="0" borderId="224" xfId="3" applyNumberFormat="1" applyFont="1" applyBorder="1" applyAlignment="1">
      <alignment vertical="center"/>
    </xf>
    <xf numFmtId="0" fontId="1" fillId="0" borderId="249" xfId="2" applyFont="1" applyBorder="1" applyAlignment="1">
      <alignment horizontal="center" vertical="center" wrapText="1"/>
    </xf>
    <xf numFmtId="176" fontId="1" fillId="0" borderId="253" xfId="0" applyNumberFormat="1" applyFont="1" applyFill="1" applyBorder="1" applyAlignment="1">
      <alignment vertical="center" shrinkToFit="1"/>
    </xf>
    <xf numFmtId="176" fontId="1" fillId="0" borderId="254" xfId="0" applyNumberFormat="1" applyFont="1" applyFill="1" applyBorder="1" applyAlignment="1">
      <alignment vertical="center" shrinkToFit="1"/>
    </xf>
    <xf numFmtId="176" fontId="0" fillId="0" borderId="254" xfId="0" applyNumberFormat="1" applyFont="1" applyFill="1" applyBorder="1" applyAlignment="1">
      <alignment vertical="center" shrinkToFit="1"/>
    </xf>
    <xf numFmtId="176" fontId="9" fillId="0" borderId="254" xfId="0" applyNumberFormat="1" applyFont="1" applyFill="1" applyBorder="1" applyAlignment="1">
      <alignment vertical="center" shrinkToFit="1"/>
    </xf>
    <xf numFmtId="176" fontId="1" fillId="0" borderId="255" xfId="0" applyNumberFormat="1" applyFont="1" applyFill="1" applyBorder="1" applyAlignment="1">
      <alignment horizontal="right" vertical="center"/>
    </xf>
    <xf numFmtId="176" fontId="9" fillId="0" borderId="256" xfId="0" applyNumberFormat="1" applyFont="1" applyFill="1" applyBorder="1" applyAlignment="1">
      <alignment vertical="center" shrinkToFit="1"/>
    </xf>
    <xf numFmtId="9" fontId="0" fillId="0" borderId="210" xfId="0" applyNumberFormat="1" applyFont="1" applyBorder="1" applyAlignment="1">
      <alignment vertical="center" shrinkToFit="1"/>
    </xf>
    <xf numFmtId="177" fontId="0" fillId="0" borderId="259" xfId="0" applyNumberFormat="1" applyFont="1" applyFill="1" applyBorder="1" applyAlignment="1">
      <alignment vertical="center" shrinkToFit="1"/>
    </xf>
    <xf numFmtId="177" fontId="0" fillId="0" borderId="260" xfId="0" applyNumberFormat="1" applyFont="1" applyFill="1" applyBorder="1" applyAlignment="1">
      <alignment vertical="center" shrinkToFit="1"/>
    </xf>
    <xf numFmtId="177" fontId="0" fillId="0" borderId="260" xfId="0" applyNumberFormat="1" applyFont="1" applyFill="1" applyBorder="1" applyAlignment="1">
      <alignment horizontal="center" vertical="center" shrinkToFit="1"/>
    </xf>
    <xf numFmtId="181" fontId="0" fillId="0" borderId="39" xfId="0" applyNumberFormat="1" applyFont="1" applyFill="1" applyBorder="1" applyAlignment="1">
      <alignment horizontal="right" vertical="center"/>
    </xf>
    <xf numFmtId="177" fontId="0" fillId="8" borderId="136" xfId="0" applyNumberFormat="1" applyFont="1" applyFill="1" applyBorder="1" applyAlignment="1">
      <alignment vertical="center"/>
    </xf>
    <xf numFmtId="182" fontId="0" fillId="8" borderId="136" xfId="0" applyNumberFormat="1" applyFont="1" applyFill="1" applyBorder="1" applyAlignment="1">
      <alignment vertical="center"/>
    </xf>
    <xf numFmtId="0" fontId="8" fillId="0" borderId="219" xfId="2" applyFont="1" applyBorder="1" applyAlignment="1">
      <alignment horizontal="center" vertical="center" wrapText="1"/>
    </xf>
    <xf numFmtId="181" fontId="0" fillId="0" borderId="24" xfId="0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vertical="center" wrapText="1"/>
    </xf>
    <xf numFmtId="177" fontId="0" fillId="0" borderId="250" xfId="0" applyNumberFormat="1" applyFill="1" applyBorder="1" applyAlignment="1">
      <alignment vertical="center"/>
    </xf>
    <xf numFmtId="177" fontId="0" fillId="0" borderId="251" xfId="0" applyNumberFormat="1" applyFont="1" applyFill="1" applyBorder="1" applyAlignment="1">
      <alignment vertical="center"/>
    </xf>
    <xf numFmtId="177" fontId="0" fillId="0" borderId="234" xfId="0" applyNumberFormat="1" applyFont="1" applyFill="1" applyBorder="1" applyAlignment="1">
      <alignment vertical="center"/>
    </xf>
    <xf numFmtId="177" fontId="0" fillId="0" borderId="273" xfId="0" applyNumberFormat="1" applyFont="1" applyFill="1" applyBorder="1" applyAlignment="1">
      <alignment vertical="center"/>
    </xf>
    <xf numFmtId="177" fontId="0" fillId="0" borderId="235" xfId="0" applyNumberFormat="1" applyFont="1" applyFill="1" applyBorder="1" applyAlignment="1">
      <alignment vertical="center"/>
    </xf>
    <xf numFmtId="182" fontId="0" fillId="0" borderId="234" xfId="0" applyNumberFormat="1" applyFont="1" applyFill="1" applyBorder="1" applyAlignment="1">
      <alignment vertical="center"/>
    </xf>
    <xf numFmtId="177" fontId="0" fillId="0" borderId="251" xfId="3" applyNumberFormat="1" applyFont="1" applyFill="1" applyBorder="1" applyAlignment="1">
      <alignment vertical="center" shrinkToFit="1"/>
    </xf>
    <xf numFmtId="191" fontId="0" fillId="0" borderId="235" xfId="0" applyNumberFormat="1" applyFont="1" applyFill="1" applyBorder="1" applyAlignment="1">
      <alignment vertical="center"/>
    </xf>
    <xf numFmtId="177" fontId="0" fillId="0" borderId="251" xfId="0" applyNumberFormat="1" applyFill="1" applyBorder="1" applyAlignment="1">
      <alignment vertical="center"/>
    </xf>
    <xf numFmtId="182" fontId="0" fillId="0" borderId="251" xfId="0" applyNumberFormat="1" applyFont="1" applyFill="1" applyBorder="1" applyAlignment="1">
      <alignment vertical="center"/>
    </xf>
    <xf numFmtId="177" fontId="0" fillId="0" borderId="273" xfId="0" applyNumberFormat="1" applyFill="1" applyBorder="1" applyAlignment="1">
      <alignment vertical="center"/>
    </xf>
    <xf numFmtId="192" fontId="0" fillId="0" borderId="235" xfId="0" applyNumberFormat="1" applyFont="1" applyFill="1" applyBorder="1" applyAlignment="1">
      <alignment vertical="center"/>
    </xf>
    <xf numFmtId="0" fontId="0" fillId="0" borderId="251" xfId="3" applyFont="1" applyFill="1" applyBorder="1" applyAlignment="1">
      <alignment vertical="center" shrinkToFit="1"/>
    </xf>
    <xf numFmtId="0" fontId="0" fillId="0" borderId="273" xfId="3" applyFont="1" applyFill="1" applyBorder="1" applyAlignment="1">
      <alignment vertical="center" shrinkToFit="1"/>
    </xf>
    <xf numFmtId="192" fontId="0" fillId="0" borderId="273" xfId="0" applyNumberFormat="1" applyFont="1" applyFill="1" applyBorder="1" applyAlignment="1">
      <alignment vertical="center"/>
    </xf>
    <xf numFmtId="178" fontId="0" fillId="0" borderId="273" xfId="0" applyNumberFormat="1" applyFont="1" applyFill="1" applyBorder="1" applyAlignment="1">
      <alignment horizontal="left" vertical="center"/>
    </xf>
    <xf numFmtId="0" fontId="0" fillId="0" borderId="251" xfId="3" applyFont="1" applyFill="1" applyBorder="1" applyAlignment="1">
      <alignment vertical="center"/>
    </xf>
    <xf numFmtId="0" fontId="0" fillId="0" borderId="273" xfId="3" applyFont="1" applyFill="1" applyBorder="1" applyAlignment="1">
      <alignment vertical="center"/>
    </xf>
    <xf numFmtId="177" fontId="0" fillId="0" borderId="251" xfId="3" applyNumberFormat="1" applyFont="1" applyFill="1" applyBorder="1" applyAlignment="1">
      <alignment vertical="center"/>
    </xf>
    <xf numFmtId="177" fontId="0" fillId="0" borderId="273" xfId="3" applyNumberFormat="1" applyFont="1" applyFill="1" applyBorder="1" applyAlignment="1">
      <alignment vertical="center"/>
    </xf>
    <xf numFmtId="178" fontId="0" fillId="0" borderId="251" xfId="0" applyNumberFormat="1" applyFont="1" applyFill="1" applyBorder="1" applyAlignment="1">
      <alignment horizontal="left" vertical="center"/>
    </xf>
    <xf numFmtId="178" fontId="0" fillId="0" borderId="234" xfId="0" applyNumberFormat="1" applyFont="1" applyFill="1" applyBorder="1" applyAlignment="1">
      <alignment horizontal="left" vertical="center"/>
    </xf>
    <xf numFmtId="177" fontId="0" fillId="0" borderId="234" xfId="3" applyNumberFormat="1" applyFont="1" applyFill="1" applyBorder="1" applyAlignment="1">
      <alignment vertical="center" shrinkToFit="1"/>
    </xf>
    <xf numFmtId="178" fontId="0" fillId="0" borderId="235" xfId="0" applyNumberFormat="1" applyFont="1" applyFill="1" applyBorder="1" applyAlignment="1">
      <alignment horizontal="left" vertical="center"/>
    </xf>
    <xf numFmtId="177" fontId="0" fillId="0" borderId="251" xfId="0" applyNumberFormat="1" applyFont="1" applyFill="1" applyBorder="1" applyAlignment="1">
      <alignment vertical="center" shrinkToFit="1"/>
    </xf>
    <xf numFmtId="177" fontId="0" fillId="0" borderId="273" xfId="0" applyNumberFormat="1" applyFont="1" applyFill="1" applyBorder="1" applyAlignment="1">
      <alignment vertical="center" shrinkToFit="1"/>
    </xf>
    <xf numFmtId="177" fontId="0" fillId="0" borderId="250" xfId="0" applyNumberFormat="1" applyBorder="1" applyAlignment="1">
      <alignment vertical="center"/>
    </xf>
    <xf numFmtId="177" fontId="0" fillId="0" borderId="105" xfId="3" applyNumberFormat="1" applyFont="1" applyFill="1" applyBorder="1" applyAlignment="1">
      <alignment horizontal="right" vertical="center"/>
    </xf>
    <xf numFmtId="177" fontId="0" fillId="0" borderId="105" xfId="3" applyNumberFormat="1" applyFont="1" applyFill="1" applyBorder="1" applyAlignment="1">
      <alignment horizontal="left" vertical="center" shrinkToFit="1"/>
    </xf>
    <xf numFmtId="177" fontId="0" fillId="0" borderId="274" xfId="0" applyNumberFormat="1" applyFont="1" applyFill="1" applyBorder="1" applyAlignment="1">
      <alignment vertical="center"/>
    </xf>
    <xf numFmtId="193" fontId="0" fillId="0" borderId="224" xfId="3" applyNumberFormat="1" applyFont="1" applyFill="1" applyBorder="1" applyAlignment="1">
      <alignment vertical="center"/>
    </xf>
    <xf numFmtId="181" fontId="0" fillId="0" borderId="45" xfId="12" applyNumberFormat="1" applyFont="1" applyBorder="1" applyAlignment="1">
      <alignment vertical="center"/>
    </xf>
    <xf numFmtId="178" fontId="0" fillId="0" borderId="234" xfId="0" applyNumberFormat="1" applyFont="1" applyBorder="1" applyAlignment="1">
      <alignment horizontal="left" vertical="center"/>
    </xf>
    <xf numFmtId="177" fontId="0" fillId="0" borderId="234" xfId="3" applyNumberFormat="1" applyFont="1" applyBorder="1" applyAlignment="1">
      <alignment vertical="center" shrinkToFit="1"/>
    </xf>
    <xf numFmtId="178" fontId="0" fillId="0" borderId="273" xfId="0" applyNumberFormat="1" applyFont="1" applyBorder="1" applyAlignment="1">
      <alignment horizontal="left" vertical="center"/>
    </xf>
    <xf numFmtId="177" fontId="0" fillId="0" borderId="274" xfId="0" applyNumberFormat="1" applyFont="1" applyBorder="1" applyAlignment="1">
      <alignment vertical="center"/>
    </xf>
    <xf numFmtId="177" fontId="0" fillId="0" borderId="234" xfId="0" applyNumberFormat="1" applyFont="1" applyBorder="1" applyAlignment="1">
      <alignment vertical="center"/>
    </xf>
    <xf numFmtId="177" fontId="0" fillId="0" borderId="235" xfId="0" applyNumberFormat="1" applyFont="1" applyBorder="1" applyAlignment="1">
      <alignment vertical="center"/>
    </xf>
    <xf numFmtId="177" fontId="0" fillId="0" borderId="251" xfId="3" applyNumberFormat="1" applyFont="1" applyBorder="1" applyAlignment="1">
      <alignment vertical="center" shrinkToFit="1"/>
    </xf>
    <xf numFmtId="191" fontId="0" fillId="0" borderId="235" xfId="0" applyNumberFormat="1" applyFont="1" applyBorder="1" applyAlignment="1">
      <alignment vertical="center"/>
    </xf>
    <xf numFmtId="177" fontId="0" fillId="0" borderId="251" xfId="0" applyNumberFormat="1" applyFont="1" applyBorder="1" applyAlignment="1">
      <alignment vertical="center"/>
    </xf>
    <xf numFmtId="177" fontId="0" fillId="0" borderId="273" xfId="0" applyNumberFormat="1" applyBorder="1" applyAlignment="1">
      <alignment vertical="center"/>
    </xf>
    <xf numFmtId="177" fontId="0" fillId="0" borderId="273" xfId="0" applyNumberFormat="1" applyFont="1" applyBorder="1" applyAlignment="1">
      <alignment vertical="center"/>
    </xf>
    <xf numFmtId="196" fontId="0" fillId="0" borderId="273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177" fontId="0" fillId="2" borderId="153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146" xfId="0" applyNumberFormat="1" applyFont="1" applyBorder="1" applyAlignment="1">
      <alignment vertical="center"/>
    </xf>
    <xf numFmtId="177" fontId="0" fillId="0" borderId="160" xfId="0" applyNumberFormat="1" applyFont="1" applyBorder="1" applyAlignment="1">
      <alignment horizontal="center" vertical="center" shrinkToFit="1"/>
    </xf>
    <xf numFmtId="176" fontId="0" fillId="0" borderId="231" xfId="0" applyNumberFormat="1" applyFont="1" applyFill="1" applyBorder="1" applyAlignment="1">
      <alignment horizontal="center" vertical="center" shrinkToFit="1"/>
    </xf>
    <xf numFmtId="176" fontId="0" fillId="0" borderId="261" xfId="0" applyNumberFormat="1" applyFont="1" applyBorder="1" applyAlignment="1">
      <alignment vertical="center" shrinkToFit="1"/>
    </xf>
    <xf numFmtId="177" fontId="0" fillId="0" borderId="261" xfId="0" applyNumberFormat="1" applyFont="1" applyFill="1" applyBorder="1" applyAlignment="1">
      <alignment vertical="center" shrinkToFit="1"/>
    </xf>
    <xf numFmtId="177" fontId="0" fillId="0" borderId="259" xfId="0" applyNumberFormat="1" applyFont="1" applyBorder="1" applyAlignment="1">
      <alignment vertical="center" shrinkToFit="1"/>
    </xf>
    <xf numFmtId="177" fontId="0" fillId="0" borderId="260" xfId="0" applyNumberFormat="1" applyFont="1" applyBorder="1" applyAlignment="1">
      <alignment vertical="center" shrinkToFit="1"/>
    </xf>
    <xf numFmtId="177" fontId="0" fillId="0" borderId="260" xfId="0" applyNumberFormat="1" applyFont="1" applyBorder="1" applyAlignment="1">
      <alignment horizontal="center" vertical="center" shrinkToFit="1"/>
    </xf>
    <xf numFmtId="177" fontId="0" fillId="0" borderId="261" xfId="0" applyNumberFormat="1" applyFont="1" applyBorder="1" applyAlignment="1">
      <alignment vertical="center" shrinkToFit="1"/>
    </xf>
    <xf numFmtId="177" fontId="0" fillId="0" borderId="250" xfId="0" applyNumberFormat="1" applyFont="1" applyBorder="1" applyAlignment="1">
      <alignment horizontal="center" vertical="center" shrinkToFit="1"/>
    </xf>
    <xf numFmtId="177" fontId="0" fillId="0" borderId="252" xfId="0" applyNumberFormat="1" applyFont="1" applyBorder="1" applyAlignment="1">
      <alignment horizontal="center" vertical="center" shrinkToFit="1"/>
    </xf>
    <xf numFmtId="177" fontId="0" fillId="0" borderId="250" xfId="0" applyNumberFormat="1" applyFont="1" applyBorder="1" applyAlignment="1">
      <alignment vertical="center" shrinkToFit="1"/>
    </xf>
    <xf numFmtId="176" fontId="0" fillId="2" borderId="265" xfId="0" applyNumberFormat="1" applyFont="1" applyFill="1" applyBorder="1" applyAlignment="1">
      <alignment horizontal="center" vertical="center" shrinkToFit="1"/>
    </xf>
    <xf numFmtId="177" fontId="0" fillId="2" borderId="265" xfId="0" applyNumberFormat="1" applyFont="1" applyFill="1" applyBorder="1" applyAlignment="1">
      <alignment vertical="center" shrinkToFit="1"/>
    </xf>
    <xf numFmtId="177" fontId="0" fillId="2" borderId="265" xfId="3" applyNumberFormat="1" applyFont="1" applyFill="1" applyBorder="1" applyAlignment="1">
      <alignment horizontal="center" vertical="center" shrinkToFit="1"/>
    </xf>
    <xf numFmtId="177" fontId="0" fillId="2" borderId="265" xfId="3" applyNumberFormat="1" applyFont="1" applyFill="1" applyBorder="1" applyAlignment="1">
      <alignment vertical="center" shrinkToFit="1"/>
    </xf>
    <xf numFmtId="17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left" vertical="center"/>
    </xf>
    <xf numFmtId="176" fontId="1" fillId="0" borderId="18" xfId="0" applyNumberFormat="1" applyFont="1" applyFill="1" applyBorder="1" applyAlignment="1">
      <alignment vertical="center"/>
    </xf>
    <xf numFmtId="179" fontId="1" fillId="0" borderId="241" xfId="0" applyNumberFormat="1" applyFont="1" applyFill="1" applyBorder="1" applyAlignment="1">
      <alignment horizontal="center" vertical="center" shrinkToFit="1"/>
    </xf>
    <xf numFmtId="176" fontId="1" fillId="0" borderId="162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vertical="center" shrinkToFit="1"/>
    </xf>
    <xf numFmtId="176" fontId="5" fillId="0" borderId="167" xfId="0" applyNumberFormat="1" applyFont="1" applyFill="1" applyBorder="1" applyAlignment="1">
      <alignment horizontal="center" vertical="center" shrinkToFit="1"/>
    </xf>
    <xf numFmtId="179" fontId="5" fillId="0" borderId="210" xfId="0" applyNumberFormat="1" applyFont="1" applyFill="1" applyBorder="1" applyAlignment="1">
      <alignment horizontal="center" vertical="center" shrinkToFit="1"/>
    </xf>
    <xf numFmtId="176" fontId="5" fillId="0" borderId="214" xfId="0" applyNumberFormat="1" applyFont="1" applyFill="1" applyBorder="1" applyAlignment="1">
      <alignment horizontal="center" vertical="center" wrapText="1" shrinkToFit="1"/>
    </xf>
    <xf numFmtId="9" fontId="1" fillId="0" borderId="167" xfId="0" applyNumberFormat="1" applyFont="1" applyFill="1" applyBorder="1" applyAlignment="1">
      <alignment vertical="center" shrinkToFit="1"/>
    </xf>
    <xf numFmtId="188" fontId="0" fillId="0" borderId="210" xfId="0" applyNumberFormat="1" applyFont="1" applyFill="1" applyBorder="1" applyAlignment="1">
      <alignment vertical="center" shrinkToFit="1"/>
    </xf>
    <xf numFmtId="182" fontId="1" fillId="0" borderId="167" xfId="4" applyNumberFormat="1" applyFont="1" applyFill="1" applyBorder="1" applyAlignment="1">
      <alignment vertical="center" shrinkToFit="1"/>
    </xf>
    <xf numFmtId="176" fontId="1" fillId="0" borderId="214" xfId="0" applyNumberFormat="1" applyFont="1" applyFill="1" applyBorder="1" applyAlignment="1">
      <alignment vertical="center" shrinkToFit="1"/>
    </xf>
    <xf numFmtId="176" fontId="1" fillId="0" borderId="167" xfId="0" applyNumberFormat="1" applyFont="1" applyFill="1" applyBorder="1" applyAlignment="1">
      <alignment horizontal="left" vertical="center" shrinkToFit="1"/>
    </xf>
    <xf numFmtId="182" fontId="1" fillId="0" borderId="210" xfId="4" applyNumberFormat="1" applyFont="1" applyFill="1" applyBorder="1" applyAlignment="1">
      <alignment vertical="center" shrinkToFit="1"/>
    </xf>
    <xf numFmtId="176" fontId="1" fillId="0" borderId="210" xfId="0" applyNumberFormat="1" applyFont="1" applyFill="1" applyBorder="1" applyAlignment="1">
      <alignment horizontal="left" vertical="center" shrinkToFit="1"/>
    </xf>
    <xf numFmtId="179" fontId="1" fillId="0" borderId="210" xfId="0" applyNumberFormat="1" applyFont="1" applyFill="1" applyBorder="1" applyAlignment="1">
      <alignment vertical="center" shrinkToFit="1"/>
    </xf>
    <xf numFmtId="176" fontId="10" fillId="0" borderId="167" xfId="0" applyNumberFormat="1" applyFont="1" applyFill="1" applyBorder="1" applyAlignment="1">
      <alignment vertical="center" shrinkToFit="1"/>
    </xf>
    <xf numFmtId="179" fontId="1" fillId="0" borderId="167" xfId="0" applyNumberFormat="1" applyFont="1" applyFill="1" applyBorder="1" applyAlignment="1">
      <alignment vertical="center" shrinkToFit="1"/>
    </xf>
    <xf numFmtId="9" fontId="1" fillId="0" borderId="167" xfId="4" applyFont="1" applyFill="1" applyBorder="1" applyAlignment="1">
      <alignment vertical="center" shrinkToFit="1"/>
    </xf>
    <xf numFmtId="9" fontId="1" fillId="0" borderId="210" xfId="4" applyFont="1" applyFill="1" applyBorder="1" applyAlignment="1">
      <alignment vertical="center" shrinkToFit="1"/>
    </xf>
    <xf numFmtId="176" fontId="0" fillId="0" borderId="210" xfId="0" applyNumberForma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176" fontId="1" fillId="0" borderId="82" xfId="0" applyNumberFormat="1" applyFont="1" applyFill="1" applyBorder="1" applyAlignment="1">
      <alignment horizontal="center" vertical="center" shrinkToFit="1"/>
    </xf>
    <xf numFmtId="176" fontId="1" fillId="0" borderId="70" xfId="0" applyNumberFormat="1" applyFont="1" applyFill="1" applyBorder="1" applyAlignment="1">
      <alignment horizontal="center" vertical="center" shrinkToFit="1"/>
    </xf>
    <xf numFmtId="176" fontId="0" fillId="0" borderId="70" xfId="0" applyNumberFormat="1" applyFill="1" applyBorder="1" applyAlignment="1">
      <alignment horizontal="center" vertical="center" shrinkToFit="1"/>
    </xf>
    <xf numFmtId="179" fontId="1" fillId="0" borderId="70" xfId="0" applyNumberFormat="1" applyFont="1" applyFill="1" applyBorder="1" applyAlignment="1">
      <alignment horizontal="center" vertical="center" shrinkToFit="1"/>
    </xf>
    <xf numFmtId="176" fontId="5" fillId="0" borderId="87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179" fontId="5" fillId="0" borderId="1" xfId="0" applyNumberFormat="1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 wrapText="1" shrinkToFit="1"/>
    </xf>
    <xf numFmtId="176" fontId="9" fillId="0" borderId="0" xfId="0" applyNumberFormat="1" applyFont="1" applyFill="1" applyAlignment="1">
      <alignment vertical="center"/>
    </xf>
    <xf numFmtId="176" fontId="0" fillId="0" borderId="87" xfId="0" applyNumberFormat="1" applyFont="1" applyFill="1" applyBorder="1" applyAlignment="1">
      <alignment vertical="center" shrinkToFit="1"/>
    </xf>
    <xf numFmtId="176" fontId="9" fillId="0" borderId="87" xfId="0" applyNumberFormat="1" applyFont="1" applyFill="1" applyBorder="1" applyAlignment="1">
      <alignment vertical="center" shrinkToFit="1"/>
    </xf>
    <xf numFmtId="9" fontId="9" fillId="0" borderId="87" xfId="0" applyNumberFormat="1" applyFont="1" applyFill="1" applyBorder="1" applyAlignment="1">
      <alignment vertical="center" shrinkToFit="1"/>
    </xf>
    <xf numFmtId="194" fontId="0" fillId="0" borderId="1" xfId="0" applyNumberFormat="1" applyFont="1" applyFill="1" applyBorder="1" applyAlignment="1">
      <alignment vertical="center" shrinkToFit="1"/>
    </xf>
    <xf numFmtId="182" fontId="9" fillId="0" borderId="87" xfId="4" applyNumberFormat="1" applyFont="1" applyFill="1" applyBorder="1" applyAlignment="1">
      <alignment horizontal="right" vertical="center" shrinkToFit="1"/>
    </xf>
    <xf numFmtId="176" fontId="9" fillId="0" borderId="2" xfId="0" applyNumberFormat="1" applyFont="1" applyFill="1" applyBorder="1" applyAlignment="1">
      <alignment vertical="center" shrinkToFit="1"/>
    </xf>
    <xf numFmtId="176" fontId="9" fillId="0" borderId="87" xfId="0" applyNumberFormat="1" applyFont="1" applyFill="1" applyBorder="1" applyAlignment="1">
      <alignment horizontal="right" vertical="center" shrinkToFit="1"/>
    </xf>
    <xf numFmtId="176" fontId="9" fillId="0" borderId="87" xfId="0" applyNumberFormat="1" applyFont="1" applyFill="1" applyBorder="1" applyAlignment="1">
      <alignment horizontal="left" vertical="center" shrinkToFit="1"/>
    </xf>
    <xf numFmtId="188" fontId="0" fillId="0" borderId="1" xfId="0" applyNumberFormat="1" applyFont="1" applyFill="1" applyBorder="1" applyAlignment="1">
      <alignment vertical="center" shrinkToFit="1"/>
    </xf>
    <xf numFmtId="182" fontId="9" fillId="0" borderId="87" xfId="4" applyNumberFormat="1" applyFont="1" applyFill="1" applyBorder="1" applyAlignment="1">
      <alignment vertical="center" shrinkToFit="1"/>
    </xf>
    <xf numFmtId="176" fontId="0" fillId="0" borderId="87" xfId="0" applyNumberFormat="1" applyFill="1" applyBorder="1" applyAlignment="1">
      <alignment vertical="center" shrinkToFit="1"/>
    </xf>
    <xf numFmtId="182" fontId="9" fillId="0" borderId="1" xfId="4" applyNumberFormat="1" applyFont="1" applyFill="1" applyBorder="1" applyAlignment="1">
      <alignment vertical="center" shrinkToFit="1"/>
    </xf>
    <xf numFmtId="176" fontId="9" fillId="0" borderId="1" xfId="0" applyNumberFormat="1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left" vertical="center" shrinkToFit="1"/>
    </xf>
    <xf numFmtId="176" fontId="9" fillId="0" borderId="10" xfId="0" applyNumberFormat="1" applyFont="1" applyFill="1" applyBorder="1" applyAlignment="1">
      <alignment vertical="center" shrinkToFit="1"/>
    </xf>
    <xf numFmtId="179" fontId="9" fillId="0" borderId="1" xfId="0" applyNumberFormat="1" applyFont="1" applyFill="1" applyBorder="1" applyAlignment="1">
      <alignment vertical="center" shrinkToFit="1"/>
    </xf>
    <xf numFmtId="176" fontId="1" fillId="0" borderId="210" xfId="0" applyNumberFormat="1" applyFont="1" applyFill="1" applyBorder="1" applyAlignment="1">
      <alignment horizontal="right"/>
    </xf>
    <xf numFmtId="176" fontId="1" fillId="0" borderId="210" xfId="0" applyNumberFormat="1" applyFont="1" applyFill="1" applyBorder="1" applyAlignment="1">
      <alignment horizontal="left" vertical="center"/>
    </xf>
    <xf numFmtId="9" fontId="9" fillId="0" borderId="252" xfId="0" applyNumberFormat="1" applyFont="1" applyFill="1" applyBorder="1" applyAlignment="1">
      <alignment vertical="center" shrinkToFit="1"/>
    </xf>
    <xf numFmtId="176" fontId="9" fillId="0" borderId="195" xfId="0" applyNumberFormat="1" applyFont="1" applyFill="1" applyBorder="1" applyAlignment="1">
      <alignment vertical="center" shrinkToFit="1"/>
    </xf>
    <xf numFmtId="49" fontId="9" fillId="0" borderId="87" xfId="0" applyNumberFormat="1" applyFont="1" applyFill="1" applyBorder="1" applyAlignment="1">
      <alignment vertical="center" shrinkToFit="1"/>
    </xf>
    <xf numFmtId="179" fontId="9" fillId="0" borderId="87" xfId="0" applyNumberFormat="1" applyFont="1" applyFill="1" applyBorder="1" applyAlignment="1">
      <alignment vertical="center" shrinkToFit="1"/>
    </xf>
    <xf numFmtId="9" fontId="9" fillId="0" borderId="87" xfId="4" applyFont="1" applyFill="1" applyBorder="1" applyAlignment="1">
      <alignment vertical="center" shrinkToFit="1"/>
    </xf>
    <xf numFmtId="9" fontId="9" fillId="0" borderId="1" xfId="4" applyFont="1" applyFill="1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176" fontId="9" fillId="0" borderId="82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Alignment="1">
      <alignment vertical="center"/>
    </xf>
    <xf numFmtId="190" fontId="0" fillId="0" borderId="1" xfId="0" applyNumberFormat="1" applyFont="1" applyFill="1" applyBorder="1" applyAlignment="1">
      <alignment vertical="center" shrinkToFit="1"/>
    </xf>
    <xf numFmtId="182" fontId="0" fillId="0" borderId="210" xfId="4" applyNumberFormat="1" applyFont="1" applyBorder="1" applyAlignment="1">
      <alignment vertical="center" shrinkToFit="1"/>
    </xf>
    <xf numFmtId="179" fontId="0" fillId="2" borderId="21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horizontal="left" vertical="center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0" fontId="0" fillId="0" borderId="0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0" fillId="0" borderId="199" xfId="2" applyFont="1" applyFill="1" applyBorder="1" applyAlignment="1">
      <alignment horizontal="left" vertical="center" wrapText="1"/>
    </xf>
    <xf numFmtId="0" fontId="1" fillId="0" borderId="199" xfId="2" applyFont="1" applyFill="1" applyBorder="1" applyAlignment="1">
      <alignment horizontal="left" vertical="center" wrapText="1"/>
    </xf>
    <xf numFmtId="0" fontId="0" fillId="0" borderId="53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left" vertical="center" shrinkToFit="1"/>
    </xf>
    <xf numFmtId="0" fontId="1" fillId="0" borderId="0" xfId="2" applyFont="1" applyFill="1" applyBorder="1" applyAlignment="1">
      <alignment horizontal="left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0" xfId="0" applyFont="1" applyBorder="1" applyAlignment="1">
      <alignment horizontal="center" vertical="center" shrinkToFit="1"/>
    </xf>
    <xf numFmtId="0" fontId="8" fillId="0" borderId="158" xfId="2" applyFont="1" applyBorder="1" applyAlignment="1">
      <alignment horizontal="center" vertical="center" wrapText="1"/>
    </xf>
    <xf numFmtId="0" fontId="8" fillId="0" borderId="159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vertical="center" wrapText="1"/>
    </xf>
    <xf numFmtId="0" fontId="8" fillId="0" borderId="4" xfId="2" applyFont="1" applyBorder="1" applyAlignment="1">
      <alignment vertical="center" wrapText="1"/>
    </xf>
    <xf numFmtId="0" fontId="8" fillId="0" borderId="85" xfId="2" applyFont="1" applyBorder="1" applyAlignment="1">
      <alignment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97" xfId="0" quotePrefix="1" applyFont="1" applyBorder="1" applyAlignment="1">
      <alignment horizontal="center" vertical="center" shrinkToFit="1"/>
    </xf>
    <xf numFmtId="0" fontId="8" fillId="0" borderId="97" xfId="0" applyFont="1" applyBorder="1" applyAlignment="1">
      <alignment horizontal="center" vertical="center" shrinkToFit="1"/>
    </xf>
    <xf numFmtId="0" fontId="8" fillId="0" borderId="98" xfId="0" applyFont="1" applyBorder="1" applyAlignment="1">
      <alignment horizontal="center" vertical="center" shrinkToFit="1"/>
    </xf>
    <xf numFmtId="0" fontId="1" fillId="0" borderId="99" xfId="0" applyFont="1" applyBorder="1" applyAlignment="1">
      <alignment horizontal="center" vertical="center" shrinkToFit="1"/>
    </xf>
    <xf numFmtId="0" fontId="1" fillId="0" borderId="100" xfId="0" applyFont="1" applyBorder="1" applyAlignment="1">
      <alignment horizontal="center" vertical="center" shrinkToFit="1"/>
    </xf>
    <xf numFmtId="0" fontId="1" fillId="0" borderId="101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1" fillId="0" borderId="73" xfId="0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1" xfId="2" applyFont="1" applyBorder="1" applyAlignment="1">
      <alignment horizontal="left" vertical="center" wrapText="1"/>
    </xf>
    <xf numFmtId="184" fontId="8" fillId="0" borderId="0" xfId="2" applyNumberFormat="1" applyFont="1" applyBorder="1" applyAlignment="1">
      <alignment horizontal="center" vertical="center" wrapText="1"/>
    </xf>
    <xf numFmtId="184" fontId="8" fillId="0" borderId="32" xfId="2" applyNumberFormat="1" applyFont="1" applyBorder="1" applyAlignment="1">
      <alignment horizontal="center" vertical="center" wrapText="1"/>
    </xf>
    <xf numFmtId="0" fontId="8" fillId="0" borderId="86" xfId="2" applyFont="1" applyBorder="1" applyAlignment="1">
      <alignment horizontal="center" vertical="center" wrapText="1"/>
    </xf>
    <xf numFmtId="0" fontId="8" fillId="0" borderId="167" xfId="2" applyFont="1" applyBorder="1" applyAlignment="1">
      <alignment horizontal="center" vertical="center" wrapText="1"/>
    </xf>
    <xf numFmtId="0" fontId="8" fillId="0" borderId="152" xfId="2" applyFont="1" applyBorder="1" applyAlignment="1">
      <alignment horizontal="center" vertical="center" wrapText="1"/>
    </xf>
    <xf numFmtId="0" fontId="8" fillId="0" borderId="56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0" fontId="8" fillId="0" borderId="10" xfId="2" applyFont="1" applyBorder="1" applyAlignment="1">
      <alignment vertical="center" wrapText="1"/>
    </xf>
    <xf numFmtId="0" fontId="8" fillId="0" borderId="0" xfId="2" applyFont="1" applyBorder="1" applyAlignment="1">
      <alignment vertical="center" wrapText="1"/>
    </xf>
    <xf numFmtId="0" fontId="8" fillId="0" borderId="25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110" xfId="2" applyFont="1" applyBorder="1" applyAlignment="1">
      <alignment horizontal="center" vertical="center" wrapText="1"/>
    </xf>
    <xf numFmtId="184" fontId="8" fillId="0" borderId="25" xfId="2" applyNumberFormat="1" applyFont="1" applyBorder="1" applyAlignment="1">
      <alignment horizontal="center" vertical="center" wrapText="1"/>
    </xf>
    <xf numFmtId="184" fontId="8" fillId="0" borderId="26" xfId="2" applyNumberFormat="1" applyFont="1" applyBorder="1" applyAlignment="1">
      <alignment horizontal="center" vertical="center" wrapText="1"/>
    </xf>
    <xf numFmtId="184" fontId="8" fillId="0" borderId="110" xfId="2" applyNumberFormat="1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0" fontId="1" fillId="0" borderId="167" xfId="2" applyFont="1" applyBorder="1" applyAlignment="1">
      <alignment horizontal="center" vertical="center" wrapText="1"/>
    </xf>
    <xf numFmtId="0" fontId="1" fillId="0" borderId="152" xfId="2" applyFont="1" applyBorder="1" applyAlignment="1">
      <alignment horizontal="center" vertical="center" wrapText="1"/>
    </xf>
    <xf numFmtId="184" fontId="8" fillId="0" borderId="152" xfId="2" applyNumberFormat="1" applyFont="1" applyBorder="1" applyAlignment="1">
      <alignment horizontal="center" vertical="center" wrapText="1"/>
    </xf>
    <xf numFmtId="184" fontId="8" fillId="0" borderId="158" xfId="2" applyNumberFormat="1" applyFont="1" applyBorder="1" applyAlignment="1">
      <alignment horizontal="center" vertical="center" wrapText="1"/>
    </xf>
    <xf numFmtId="184" fontId="8" fillId="0" borderId="49" xfId="2" applyNumberFormat="1" applyFont="1" applyBorder="1" applyAlignment="1">
      <alignment horizontal="center" vertical="center" wrapText="1"/>
    </xf>
    <xf numFmtId="0" fontId="1" fillId="0" borderId="152" xfId="2" applyFont="1" applyBorder="1" applyAlignment="1">
      <alignment horizontal="left" vertical="center" wrapText="1"/>
    </xf>
    <xf numFmtId="0" fontId="1" fillId="0" borderId="158" xfId="2" applyFont="1" applyBorder="1" applyAlignment="1">
      <alignment horizontal="left" vertical="center" wrapText="1"/>
    </xf>
    <xf numFmtId="0" fontId="1" fillId="0" borderId="49" xfId="2" applyFont="1" applyBorder="1" applyAlignment="1">
      <alignment horizontal="left" vertical="center" wrapText="1"/>
    </xf>
    <xf numFmtId="184" fontId="8" fillId="0" borderId="159" xfId="2" applyNumberFormat="1" applyFont="1" applyBorder="1" applyAlignment="1">
      <alignment horizontal="center" vertical="center" wrapText="1"/>
    </xf>
    <xf numFmtId="184" fontId="8" fillId="0" borderId="18" xfId="2" applyNumberFormat="1" applyFont="1" applyBorder="1" applyAlignment="1">
      <alignment horizontal="center" vertical="center" wrapText="1"/>
    </xf>
    <xf numFmtId="184" fontId="8" fillId="0" borderId="20" xfId="2" applyNumberFormat="1" applyFont="1" applyBorder="1" applyAlignment="1">
      <alignment horizontal="center" vertical="center" wrapText="1"/>
    </xf>
    <xf numFmtId="184" fontId="8" fillId="0" borderId="19" xfId="2" applyNumberFormat="1" applyFont="1" applyBorder="1" applyAlignment="1">
      <alignment horizontal="center" vertical="center" wrapText="1"/>
    </xf>
    <xf numFmtId="0" fontId="8" fillId="0" borderId="152" xfId="2" applyFont="1" applyBorder="1" applyAlignment="1">
      <alignment vertical="center" wrapText="1"/>
    </xf>
    <xf numFmtId="0" fontId="8" fillId="0" borderId="158" xfId="2" applyFont="1" applyBorder="1" applyAlignment="1">
      <alignment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8" fillId="0" borderId="33" xfId="2" applyFont="1" applyBorder="1" applyAlignment="1">
      <alignment horizontal="center" vertical="center" wrapText="1"/>
    </xf>
    <xf numFmtId="0" fontId="1" fillId="0" borderId="16" xfId="2" applyFont="1" applyBorder="1" applyAlignment="1">
      <alignment horizontal="center" vertical="center" wrapText="1"/>
    </xf>
    <xf numFmtId="0" fontId="1" fillId="0" borderId="10" xfId="2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1" xfId="2" applyFont="1" applyBorder="1" applyAlignment="1">
      <alignment horizontal="left" vertical="center" wrapText="1"/>
    </xf>
    <xf numFmtId="0" fontId="8" fillId="0" borderId="228" xfId="2" applyFont="1" applyBorder="1" applyAlignment="1">
      <alignment horizontal="center" vertical="center" textRotation="255" shrinkToFit="1"/>
    </xf>
    <xf numFmtId="0" fontId="8" fillId="0" borderId="56" xfId="2" applyFont="1" applyBorder="1" applyAlignment="1">
      <alignment horizontal="center" vertical="center" textRotation="255" shrinkToFit="1"/>
    </xf>
    <xf numFmtId="0" fontId="8" fillId="0" borderId="233" xfId="2" applyFont="1" applyBorder="1" applyAlignment="1">
      <alignment horizontal="center" vertical="center" textRotation="255" shrinkToFit="1"/>
    </xf>
    <xf numFmtId="0" fontId="0" fillId="0" borderId="201" xfId="2" applyFont="1" applyFill="1" applyBorder="1" applyAlignment="1">
      <alignment horizontal="left" vertical="center" shrinkToFit="1"/>
    </xf>
    <xf numFmtId="0" fontId="1" fillId="0" borderId="201" xfId="2" applyFont="1" applyFill="1" applyBorder="1" applyAlignment="1">
      <alignment horizontal="left" vertical="center" shrinkToFit="1"/>
    </xf>
    <xf numFmtId="0" fontId="0" fillId="0" borderId="201" xfId="2" applyFont="1" applyFill="1" applyBorder="1" applyAlignment="1">
      <alignment horizontal="center" vertical="center" wrapText="1"/>
    </xf>
    <xf numFmtId="0" fontId="1" fillId="0" borderId="201" xfId="2" applyFont="1" applyFill="1" applyBorder="1" applyAlignment="1">
      <alignment horizontal="center" vertical="center" wrapText="1"/>
    </xf>
    <xf numFmtId="0" fontId="0" fillId="0" borderId="201" xfId="2" applyFont="1" applyBorder="1" applyAlignment="1">
      <alignment horizontal="center" vertical="center" wrapText="1"/>
    </xf>
    <xf numFmtId="0" fontId="1" fillId="0" borderId="201" xfId="2" applyFont="1" applyBorder="1" applyAlignment="1">
      <alignment horizontal="center" vertical="center" wrapText="1"/>
    </xf>
    <xf numFmtId="0" fontId="1" fillId="0" borderId="205" xfId="2" applyFont="1" applyBorder="1" applyAlignment="1">
      <alignment horizontal="center" vertical="center" wrapText="1"/>
    </xf>
    <xf numFmtId="0" fontId="1" fillId="0" borderId="36" xfId="2" applyFont="1" applyBorder="1" applyAlignment="1">
      <alignment horizontal="center" vertical="center"/>
    </xf>
    <xf numFmtId="0" fontId="1" fillId="0" borderId="201" xfId="2" applyFont="1" applyBorder="1" applyAlignment="1">
      <alignment horizontal="center" vertical="center"/>
    </xf>
    <xf numFmtId="0" fontId="1" fillId="0" borderId="202" xfId="2" applyFont="1" applyBorder="1" applyAlignment="1">
      <alignment horizontal="center" vertical="center"/>
    </xf>
    <xf numFmtId="0" fontId="1" fillId="0" borderId="176" xfId="2" applyFont="1" applyBorder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1" fillId="0" borderId="163" xfId="2" applyFont="1" applyBorder="1" applyAlignment="1">
      <alignment horizontal="center" vertical="center"/>
    </xf>
    <xf numFmtId="0" fontId="1" fillId="0" borderId="203" xfId="2" applyFont="1" applyBorder="1" applyAlignment="1">
      <alignment horizontal="center" vertical="center"/>
    </xf>
    <xf numFmtId="0" fontId="1" fillId="0" borderId="199" xfId="2" applyFont="1" applyBorder="1" applyAlignment="1">
      <alignment horizontal="center" vertical="center"/>
    </xf>
    <xf numFmtId="0" fontId="1" fillId="0" borderId="197" xfId="2" applyFont="1" applyBorder="1" applyAlignment="1">
      <alignment horizontal="center" vertical="center"/>
    </xf>
    <xf numFmtId="0" fontId="0" fillId="0" borderId="204" xfId="2" applyFont="1" applyFill="1" applyBorder="1" applyAlignment="1">
      <alignment horizontal="left" vertical="center" shrinkToFit="1"/>
    </xf>
    <xf numFmtId="0" fontId="0" fillId="0" borderId="198" xfId="2" applyFont="1" applyFill="1" applyBorder="1" applyAlignment="1">
      <alignment horizontal="left" vertical="center" wrapText="1"/>
    </xf>
    <xf numFmtId="0" fontId="1" fillId="0" borderId="199" xfId="2" applyFont="1" applyBorder="1" applyAlignment="1">
      <alignment horizontal="center" vertical="center" wrapText="1"/>
    </xf>
    <xf numFmtId="0" fontId="1" fillId="0" borderId="200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 wrapText="1"/>
    </xf>
    <xf numFmtId="0" fontId="1" fillId="0" borderId="206" xfId="2" applyFont="1" applyBorder="1" applyAlignment="1">
      <alignment horizontal="center" vertical="center" wrapText="1"/>
    </xf>
    <xf numFmtId="0" fontId="1" fillId="0" borderId="199" xfId="2" applyFont="1" applyFill="1" applyBorder="1" applyAlignment="1">
      <alignment horizontal="center"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1" fillId="0" borderId="3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0" xfId="2" applyFont="1" applyBorder="1" applyAlignment="1">
      <alignment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61" xfId="2" applyFont="1" applyBorder="1" applyAlignment="1">
      <alignment horizontal="center" vertical="center"/>
    </xf>
    <xf numFmtId="0" fontId="1" fillId="0" borderId="47" xfId="2" applyFont="1" applyBorder="1" applyAlignment="1">
      <alignment horizontal="center" vertical="center"/>
    </xf>
    <xf numFmtId="0" fontId="15" fillId="0" borderId="262" xfId="0" applyFont="1" applyBorder="1" applyAlignment="1">
      <alignment horizontal="left" vertical="center" wrapText="1"/>
    </xf>
    <xf numFmtId="0" fontId="15" fillId="0" borderId="263" xfId="0" applyFont="1" applyBorder="1" applyAlignment="1">
      <alignment horizontal="left" vertical="center"/>
    </xf>
    <xf numFmtId="0" fontId="15" fillId="0" borderId="264" xfId="0" applyFont="1" applyBorder="1" applyAlignment="1">
      <alignment horizontal="left" vertical="center"/>
    </xf>
    <xf numFmtId="0" fontId="15" fillId="0" borderId="129" xfId="0" applyFont="1" applyBorder="1" applyAlignment="1">
      <alignment horizontal="left" vertical="center"/>
    </xf>
    <xf numFmtId="0" fontId="15" fillId="0" borderId="105" xfId="0" applyFont="1" applyBorder="1" applyAlignment="1">
      <alignment horizontal="left" vertical="center"/>
    </xf>
    <xf numFmtId="0" fontId="15" fillId="0" borderId="237" xfId="0" applyFont="1" applyBorder="1" applyAlignment="1">
      <alignment horizontal="left" vertical="center"/>
    </xf>
    <xf numFmtId="0" fontId="1" fillId="0" borderId="96" xfId="2" applyFont="1" applyBorder="1" applyAlignment="1">
      <alignment horizontal="center" vertical="center"/>
    </xf>
    <xf numFmtId="0" fontId="0" fillId="0" borderId="204" xfId="2" applyFont="1" applyBorder="1" applyAlignment="1">
      <alignment horizontal="left" vertical="center" wrapText="1"/>
    </xf>
    <xf numFmtId="0" fontId="1" fillId="0" borderId="201" xfId="2" applyFont="1" applyBorder="1" applyAlignment="1">
      <alignment horizontal="left" vertical="center" wrapText="1"/>
    </xf>
    <xf numFmtId="0" fontId="1" fillId="0" borderId="205" xfId="2" applyFont="1" applyBorder="1" applyAlignment="1">
      <alignment horizontal="left" vertical="center" wrapText="1"/>
    </xf>
    <xf numFmtId="0" fontId="1" fillId="0" borderId="53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206" xfId="2" applyFont="1" applyBorder="1" applyAlignment="1">
      <alignment horizontal="left" vertical="center" wrapText="1"/>
    </xf>
    <xf numFmtId="0" fontId="1" fillId="0" borderId="198" xfId="2" applyFont="1" applyBorder="1" applyAlignment="1">
      <alignment horizontal="left" vertical="center" wrapText="1"/>
    </xf>
    <xf numFmtId="0" fontId="1" fillId="0" borderId="199" xfId="2" applyFont="1" applyBorder="1" applyAlignment="1">
      <alignment horizontal="left" vertical="center" wrapText="1"/>
    </xf>
    <xf numFmtId="0" fontId="1" fillId="0" borderId="200" xfId="2" applyFont="1" applyBorder="1" applyAlignment="1">
      <alignment horizontal="left" vertical="center" wrapText="1"/>
    </xf>
    <xf numFmtId="0" fontId="0" fillId="0" borderId="47" xfId="2" applyFont="1" applyBorder="1" applyAlignment="1">
      <alignment vertical="center" wrapText="1"/>
    </xf>
    <xf numFmtId="0" fontId="1" fillId="0" borderId="47" xfId="2" applyFont="1" applyBorder="1" applyAlignment="1">
      <alignment vertical="center" wrapText="1"/>
    </xf>
    <xf numFmtId="0" fontId="1" fillId="0" borderId="62" xfId="2" applyFont="1" applyBorder="1" applyAlignment="1">
      <alignment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1" fillId="0" borderId="91" xfId="2" applyFont="1" applyBorder="1" applyAlignment="1">
      <alignment horizontal="center" vertical="center"/>
    </xf>
    <xf numFmtId="0" fontId="1" fillId="0" borderId="92" xfId="2" applyFont="1" applyBorder="1" applyAlignment="1">
      <alignment horizontal="center" vertical="center"/>
    </xf>
    <xf numFmtId="0" fontId="1" fillId="0" borderId="93" xfId="2" applyFont="1" applyBorder="1" applyAlignment="1">
      <alignment horizontal="center"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160" xfId="2" applyFont="1" applyBorder="1" applyAlignment="1">
      <alignment horizontal="center" vertical="center" wrapText="1"/>
    </xf>
    <xf numFmtId="0" fontId="8" fillId="0" borderId="229" xfId="2" applyFont="1" applyBorder="1" applyAlignment="1">
      <alignment horizontal="center" vertical="center" wrapText="1"/>
    </xf>
    <xf numFmtId="0" fontId="8" fillId="0" borderId="230" xfId="2" applyFont="1" applyBorder="1" applyAlignment="1">
      <alignment horizontal="center"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232" xfId="2" applyFont="1" applyBorder="1" applyAlignment="1">
      <alignment horizontal="center" vertical="center" wrapText="1"/>
    </xf>
    <xf numFmtId="0" fontId="8" fillId="0" borderId="271" xfId="2" applyFont="1" applyFill="1" applyBorder="1" applyAlignment="1">
      <alignment horizontal="center" vertical="center" textRotation="255" wrapText="1"/>
    </xf>
    <xf numFmtId="0" fontId="8" fillId="0" borderId="175" xfId="2" applyFont="1" applyFill="1" applyBorder="1" applyAlignment="1">
      <alignment horizontal="center" vertical="center" textRotation="255" wrapText="1"/>
    </xf>
    <xf numFmtId="0" fontId="8" fillId="0" borderId="272" xfId="2" applyFont="1" applyFill="1" applyBorder="1" applyAlignment="1">
      <alignment horizontal="center" vertical="center" textRotation="255" wrapText="1"/>
    </xf>
    <xf numFmtId="0" fontId="8" fillId="0" borderId="269" xfId="2" applyFont="1" applyBorder="1" applyAlignment="1">
      <alignment horizontal="center" vertical="center" wrapText="1"/>
    </xf>
    <xf numFmtId="0" fontId="8" fillId="0" borderId="270" xfId="2" applyFont="1" applyBorder="1" applyAlignment="1">
      <alignment horizontal="center" vertical="center" wrapText="1"/>
    </xf>
    <xf numFmtId="0" fontId="1" fillId="0" borderId="267" xfId="2" applyFont="1" applyBorder="1" applyAlignment="1">
      <alignment horizontal="center" vertical="center"/>
    </xf>
    <xf numFmtId="0" fontId="1" fillId="0" borderId="268" xfId="2" applyFont="1" applyBorder="1" applyAlignment="1">
      <alignment horizontal="center" vertical="center"/>
    </xf>
    <xf numFmtId="0" fontId="0" fillId="0" borderId="266" xfId="2" applyFont="1" applyFill="1" applyBorder="1" applyAlignment="1">
      <alignment horizontal="center" vertical="center" wrapText="1"/>
    </xf>
    <xf numFmtId="0" fontId="0" fillId="0" borderId="252" xfId="2" applyFont="1" applyFill="1" applyBorder="1" applyAlignment="1">
      <alignment horizontal="center" vertical="center" wrapText="1"/>
    </xf>
    <xf numFmtId="0" fontId="8" fillId="0" borderId="218" xfId="2" applyFont="1" applyBorder="1" applyAlignment="1">
      <alignment horizontal="center" vertical="center" wrapText="1"/>
    </xf>
    <xf numFmtId="0" fontId="8" fillId="0" borderId="219" xfId="2" applyFont="1" applyBorder="1" applyAlignment="1">
      <alignment horizontal="center" vertical="center" wrapText="1"/>
    </xf>
    <xf numFmtId="0" fontId="8" fillId="0" borderId="220" xfId="2" applyFont="1" applyFill="1" applyBorder="1" applyAlignment="1">
      <alignment horizontal="center" vertical="center" textRotation="255" wrapText="1"/>
    </xf>
    <xf numFmtId="0" fontId="0" fillId="0" borderId="221" xfId="2" applyFont="1" applyFill="1" applyBorder="1" applyAlignment="1">
      <alignment horizontal="center" vertical="center" wrapText="1"/>
    </xf>
    <xf numFmtId="0" fontId="1" fillId="0" borderId="49" xfId="2" applyFont="1" applyFill="1" applyBorder="1" applyAlignment="1">
      <alignment horizontal="center" vertical="center"/>
    </xf>
    <xf numFmtId="0" fontId="1" fillId="0" borderId="222" xfId="2" applyFont="1" applyBorder="1" applyAlignment="1">
      <alignment horizontal="center" vertical="center"/>
    </xf>
    <xf numFmtId="0" fontId="1" fillId="0" borderId="223" xfId="2" applyFont="1" applyBorder="1" applyAlignment="1">
      <alignment horizontal="center" vertical="center"/>
    </xf>
    <xf numFmtId="0" fontId="8" fillId="0" borderId="238" xfId="2" applyFont="1" applyBorder="1" applyAlignment="1">
      <alignment horizontal="center" vertical="center" wrapText="1"/>
    </xf>
    <xf numFmtId="0" fontId="8" fillId="0" borderId="231" xfId="2" applyFont="1" applyBorder="1" applyAlignment="1">
      <alignment horizontal="center" vertical="center" wrapText="1"/>
    </xf>
    <xf numFmtId="0" fontId="1" fillId="0" borderId="82" xfId="2" applyFont="1" applyBorder="1" applyAlignment="1">
      <alignment horizontal="center" vertical="center"/>
    </xf>
    <xf numFmtId="0" fontId="1" fillId="0" borderId="83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0" fillId="3" borderId="94" xfId="0" applyFill="1" applyBorder="1" applyAlignment="1">
      <alignment horizontal="center" vertical="center"/>
    </xf>
    <xf numFmtId="0" fontId="0" fillId="3" borderId="166" xfId="0" applyFont="1" applyFill="1" applyBorder="1" applyAlignment="1">
      <alignment horizontal="center" vertical="center"/>
    </xf>
    <xf numFmtId="0" fontId="0" fillId="3" borderId="10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 textRotation="255"/>
    </xf>
    <xf numFmtId="0" fontId="0" fillId="0" borderId="102" xfId="0" applyFont="1" applyBorder="1" applyAlignment="1">
      <alignment horizontal="center" vertical="center" textRotation="255"/>
    </xf>
    <xf numFmtId="0" fontId="0" fillId="0" borderId="44" xfId="0" applyFont="1" applyBorder="1" applyAlignment="1">
      <alignment horizontal="center" vertical="center" textRotation="255"/>
    </xf>
    <xf numFmtId="0" fontId="0" fillId="4" borderId="37" xfId="0" applyFont="1" applyFill="1" applyBorder="1" applyAlignment="1">
      <alignment horizontal="center" vertical="center" wrapText="1"/>
    </xf>
    <xf numFmtId="0" fontId="0" fillId="4" borderId="166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191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201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180" fontId="0" fillId="0" borderId="106" xfId="1" applyNumberFormat="1" applyFont="1" applyBorder="1" applyAlignment="1">
      <alignment horizontal="center" vertical="center"/>
    </xf>
    <xf numFmtId="0" fontId="0" fillId="0" borderId="107" xfId="0" applyFont="1" applyBorder="1" applyAlignment="1">
      <alignment vertical="center"/>
    </xf>
    <xf numFmtId="0" fontId="0" fillId="0" borderId="104" xfId="0" applyFont="1" applyBorder="1" applyAlignment="1">
      <alignment horizontal="center" vertical="center" textRotation="255"/>
    </xf>
    <xf numFmtId="0" fontId="0" fillId="3" borderId="17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66" xfId="0" applyFont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0" fillId="4" borderId="191" xfId="0" applyFont="1" applyFill="1" applyBorder="1" applyAlignment="1">
      <alignment horizontal="center" vertical="center" textRotation="255" wrapText="1"/>
    </xf>
    <xf numFmtId="0" fontId="0" fillId="0" borderId="42" xfId="0" applyFont="1" applyBorder="1" applyAlignment="1">
      <alignment horizontal="center" vertical="center" textRotation="255" wrapText="1"/>
    </xf>
    <xf numFmtId="0" fontId="0" fillId="0" borderId="165" xfId="0" applyFont="1" applyBorder="1" applyAlignment="1">
      <alignment horizontal="center" vertical="center" textRotation="255" wrapText="1"/>
    </xf>
    <xf numFmtId="0" fontId="0" fillId="0" borderId="191" xfId="0" applyFont="1" applyBorder="1" applyAlignment="1">
      <alignment vertical="center"/>
    </xf>
    <xf numFmtId="0" fontId="0" fillId="0" borderId="166" xfId="0" applyFont="1" applyBorder="1" applyAlignment="1">
      <alignment vertical="center"/>
    </xf>
    <xf numFmtId="0" fontId="0" fillId="0" borderId="191" xfId="0" applyFont="1" applyBorder="1" applyAlignment="1">
      <alignment vertical="center" wrapText="1"/>
    </xf>
    <xf numFmtId="0" fontId="0" fillId="0" borderId="4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 wrapText="1"/>
    </xf>
    <xf numFmtId="0" fontId="0" fillId="4" borderId="129" xfId="0" applyFont="1" applyFill="1" applyBorder="1" applyAlignment="1">
      <alignment horizontal="center" vertical="center" wrapText="1"/>
    </xf>
    <xf numFmtId="0" fontId="0" fillId="0" borderId="19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6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8" xfId="2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160" xfId="0" applyNumberFormat="1" applyFont="1" applyBorder="1" applyAlignment="1">
      <alignment horizontal="center" vertical="center"/>
    </xf>
    <xf numFmtId="176" fontId="0" fillId="0" borderId="229" xfId="0" applyNumberFormat="1" applyFont="1" applyBorder="1" applyAlignment="1">
      <alignment horizontal="center" vertical="center"/>
    </xf>
    <xf numFmtId="176" fontId="0" fillId="0" borderId="232" xfId="0" applyNumberFormat="1" applyFont="1" applyBorder="1" applyAlignment="1">
      <alignment horizontal="center" vertical="center"/>
    </xf>
    <xf numFmtId="176" fontId="0" fillId="0" borderId="162" xfId="0" applyNumberFormat="1" applyFont="1" applyBorder="1" applyAlignment="1">
      <alignment horizontal="center" vertical="center"/>
    </xf>
    <xf numFmtId="176" fontId="0" fillId="0" borderId="214" xfId="0" applyNumberFormat="1" applyFont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233" xfId="0" applyNumberFormat="1" applyFont="1" applyBorder="1" applyAlignment="1">
      <alignment horizontal="center" vertical="center"/>
    </xf>
    <xf numFmtId="176" fontId="0" fillId="0" borderId="228" xfId="0" applyNumberFormat="1" applyFon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15" fillId="0" borderId="228" xfId="0" applyNumberFormat="1" applyFont="1" applyBorder="1" applyAlignment="1">
      <alignment horizontal="center" vertical="center"/>
    </xf>
    <xf numFmtId="176" fontId="15" fillId="0" borderId="56" xfId="0" applyNumberFormat="1" applyFont="1" applyBorder="1" applyAlignment="1">
      <alignment horizontal="center" vertical="center"/>
    </xf>
    <xf numFmtId="176" fontId="15" fillId="0" borderId="33" xfId="0" applyNumberFormat="1" applyFont="1" applyBorder="1" applyAlignment="1">
      <alignment horizontal="center" vertical="center"/>
    </xf>
    <xf numFmtId="176" fontId="15" fillId="7" borderId="250" xfId="0" applyNumberFormat="1" applyFont="1" applyFill="1" applyBorder="1" applyAlignment="1">
      <alignment horizontal="center" vertical="center"/>
    </xf>
    <xf numFmtId="176" fontId="15" fillId="7" borderId="251" xfId="0" applyNumberFormat="1" applyFont="1" applyFill="1" applyBorder="1" applyAlignment="1">
      <alignment horizontal="center" vertical="center"/>
    </xf>
    <xf numFmtId="176" fontId="15" fillId="7" borderId="252" xfId="0" applyNumberFormat="1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left" vertical="center"/>
    </xf>
    <xf numFmtId="9" fontId="0" fillId="0" borderId="258" xfId="0" applyNumberFormat="1" applyFont="1" applyBorder="1" applyAlignment="1">
      <alignment horizontal="right" vertical="center" shrinkToFit="1"/>
    </xf>
    <xf numFmtId="9" fontId="0" fillId="0" borderId="16" xfId="0" applyNumberFormat="1" applyFont="1" applyBorder="1" applyAlignment="1">
      <alignment horizontal="right" vertical="center" shrinkToFit="1"/>
    </xf>
    <xf numFmtId="9" fontId="0" fillId="0" borderId="195" xfId="0" applyNumberFormat="1" applyFont="1" applyBorder="1" applyAlignment="1">
      <alignment horizontal="right" vertical="center" shrinkToFit="1"/>
    </xf>
    <xf numFmtId="176" fontId="0" fillId="0" borderId="258" xfId="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6" fontId="0" fillId="0" borderId="195" xfId="0" applyNumberFormat="1" applyFon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vertical="center" shrinkToFit="1"/>
    </xf>
    <xf numFmtId="176" fontId="0" fillId="0" borderId="16" xfId="0" applyNumberFormat="1" applyFont="1" applyBorder="1" applyAlignment="1">
      <alignment vertical="center" shrinkToFit="1"/>
    </xf>
    <xf numFmtId="176" fontId="0" fillId="0" borderId="84" xfId="0" applyNumberFormat="1" applyFont="1" applyBorder="1" applyAlignment="1">
      <alignment vertical="center" shrinkToFit="1"/>
    </xf>
    <xf numFmtId="176" fontId="0" fillId="0" borderId="258" xfId="0" applyNumberFormat="1" applyFont="1" applyBorder="1" applyAlignment="1">
      <alignment vertical="center" shrinkToFit="1"/>
    </xf>
    <xf numFmtId="176" fontId="0" fillId="0" borderId="195" xfId="0" applyNumberFormat="1" applyFont="1" applyBorder="1" applyAlignment="1">
      <alignment vertical="center" shrinkToFit="1"/>
    </xf>
    <xf numFmtId="176" fontId="0" fillId="0" borderId="258" xfId="0" applyNumberFormat="1" applyFont="1" applyBorder="1" applyAlignment="1">
      <alignment horizontal="left" vertical="center" shrinkToFit="1"/>
    </xf>
    <xf numFmtId="176" fontId="0" fillId="0" borderId="16" xfId="0" applyNumberFormat="1" applyFont="1" applyBorder="1" applyAlignment="1">
      <alignment horizontal="left" vertical="center" shrinkToFit="1"/>
    </xf>
    <xf numFmtId="176" fontId="0" fillId="0" borderId="195" xfId="0" applyNumberFormat="1" applyFont="1" applyBorder="1" applyAlignment="1">
      <alignment horizontal="left" vertical="center" shrinkToFit="1"/>
    </xf>
    <xf numFmtId="9" fontId="0" fillId="0" borderId="23" xfId="0" applyNumberFormat="1" applyFont="1" applyBorder="1" applyAlignment="1">
      <alignment vertical="center" shrinkToFit="1"/>
    </xf>
    <xf numFmtId="9" fontId="0" fillId="0" borderId="16" xfId="0" applyNumberFormat="1" applyFont="1" applyBorder="1" applyAlignment="1">
      <alignment vertical="center" shrinkToFit="1"/>
    </xf>
    <xf numFmtId="9" fontId="0" fillId="0" borderId="84" xfId="0" applyNumberFormat="1" applyFont="1" applyBorder="1" applyAlignment="1">
      <alignment vertical="center" shrinkToFit="1"/>
    </xf>
    <xf numFmtId="176" fontId="0" fillId="0" borderId="115" xfId="0" applyNumberFormat="1" applyFont="1" applyBorder="1" applyAlignment="1">
      <alignment horizontal="center"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9" fontId="0" fillId="0" borderId="258" xfId="0" applyNumberFormat="1" applyFont="1" applyBorder="1" applyAlignment="1">
      <alignment vertical="center" shrinkToFit="1"/>
    </xf>
    <xf numFmtId="9" fontId="0" fillId="0" borderId="195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70" xfId="0" applyNumberFormat="1" applyFont="1" applyBorder="1" applyAlignment="1">
      <alignment horizontal="center" vertical="center" shrinkToFit="1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78" xfId="0" applyNumberFormat="1" applyFont="1" applyBorder="1" applyAlignment="1">
      <alignment horizontal="center" vertical="center" shrinkToFit="1"/>
    </xf>
    <xf numFmtId="176" fontId="0" fillId="0" borderId="79" xfId="0" applyNumberFormat="1" applyFont="1" applyBorder="1" applyAlignment="1">
      <alignment horizontal="center" vertical="center" shrinkToFit="1"/>
    </xf>
    <xf numFmtId="176" fontId="0" fillId="0" borderId="265" xfId="0" applyNumberFormat="1" applyFont="1" applyBorder="1" applyAlignment="1">
      <alignment horizontal="center" vertical="center"/>
    </xf>
    <xf numFmtId="176" fontId="0" fillId="0" borderId="211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176" fontId="0" fillId="0" borderId="58" xfId="0" applyNumberFormat="1" applyFill="1" applyBorder="1" applyAlignment="1">
      <alignment horizontal="center" vertical="center" textRotation="255" shrinkToFit="1"/>
    </xf>
    <xf numFmtId="176" fontId="0" fillId="0" borderId="56" xfId="0" applyNumberFormat="1" applyFill="1" applyBorder="1" applyAlignment="1">
      <alignment horizontal="center" vertical="center" textRotation="255" shrinkToFit="1"/>
    </xf>
    <xf numFmtId="176" fontId="0" fillId="0" borderId="233" xfId="0" applyNumberFormat="1" applyFill="1" applyBorder="1" applyAlignment="1">
      <alignment horizontal="center" vertical="center" textRotation="255" shrinkToFit="1"/>
    </xf>
    <xf numFmtId="176" fontId="1" fillId="0" borderId="244" xfId="0" applyNumberFormat="1" applyFont="1" applyFill="1" applyBorder="1" applyAlignment="1">
      <alignment horizontal="center" vertical="center" shrinkToFit="1"/>
    </xf>
    <xf numFmtId="176" fontId="1" fillId="0" borderId="195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76" fontId="0" fillId="0" borderId="228" xfId="0" applyNumberFormat="1" applyFill="1" applyBorder="1" applyAlignment="1">
      <alignment horizontal="center" vertical="center" shrinkToFit="1"/>
    </xf>
    <xf numFmtId="176" fontId="0" fillId="0" borderId="233" xfId="0" applyNumberFormat="1" applyFill="1" applyBorder="1" applyAlignment="1">
      <alignment horizontal="center" vertical="center" shrinkToFit="1"/>
    </xf>
    <xf numFmtId="176" fontId="0" fillId="0" borderId="244" xfId="0" applyNumberFormat="1" applyFill="1" applyBorder="1" applyAlignment="1">
      <alignment horizontal="center" vertical="center" shrinkToFit="1"/>
    </xf>
    <xf numFmtId="176" fontId="0" fillId="0" borderId="195" xfId="0" applyNumberFormat="1" applyFill="1" applyBorder="1" applyAlignment="1">
      <alignment horizontal="center" vertical="center" shrinkToFit="1"/>
    </xf>
    <xf numFmtId="176" fontId="1" fillId="0" borderId="241" xfId="0" applyNumberFormat="1" applyFont="1" applyFill="1" applyBorder="1" applyAlignment="1">
      <alignment horizontal="center" vertical="center" shrinkToFit="1"/>
    </xf>
    <xf numFmtId="176" fontId="1" fillId="0" borderId="245" xfId="0" applyNumberFormat="1" applyFont="1" applyFill="1" applyBorder="1" applyAlignment="1">
      <alignment horizontal="center" vertical="center" shrinkToFit="1"/>
    </xf>
    <xf numFmtId="176" fontId="0" fillId="0" borderId="257" xfId="0" applyNumberFormat="1" applyFill="1" applyBorder="1" applyAlignment="1">
      <alignment horizontal="center" vertical="center" textRotation="255" shrinkToFit="1"/>
    </xf>
    <xf numFmtId="176" fontId="1" fillId="0" borderId="115" xfId="0" applyNumberFormat="1" applyFont="1" applyFill="1" applyBorder="1" applyAlignment="1">
      <alignment horizontal="center" vertical="center" shrinkToFit="1"/>
    </xf>
    <xf numFmtId="176" fontId="1" fillId="0" borderId="84" xfId="0" applyNumberFormat="1" applyFont="1" applyFill="1" applyBorder="1" applyAlignment="1">
      <alignment horizontal="center" vertical="center" shrinkToFit="1"/>
    </xf>
    <xf numFmtId="176" fontId="0" fillId="0" borderId="79" xfId="0" applyNumberFormat="1" applyFill="1" applyBorder="1" applyAlignment="1">
      <alignment horizontal="center" vertical="center" textRotation="255" shrinkToFit="1"/>
    </xf>
    <xf numFmtId="176" fontId="0" fillId="0" borderId="78" xfId="0" applyNumberFormat="1" applyFill="1" applyBorder="1" applyAlignment="1">
      <alignment horizontal="center" vertical="center" shrinkToFit="1"/>
    </xf>
    <xf numFmtId="176" fontId="0" fillId="0" borderId="79" xfId="0" applyNumberFormat="1" applyFill="1" applyBorder="1" applyAlignment="1">
      <alignment horizontal="center" vertical="center" shrinkToFit="1"/>
    </xf>
    <xf numFmtId="176" fontId="0" fillId="0" borderId="115" xfId="0" applyNumberFormat="1" applyFill="1" applyBorder="1" applyAlignment="1">
      <alignment horizontal="center" vertical="center" shrinkToFit="1"/>
    </xf>
    <xf numFmtId="176" fontId="0" fillId="0" borderId="84" xfId="0" applyNumberFormat="1" applyFill="1" applyBorder="1" applyAlignment="1">
      <alignment horizontal="center" vertical="center" shrinkToFit="1"/>
    </xf>
    <xf numFmtId="176" fontId="1" fillId="0" borderId="70" xfId="0" applyNumberFormat="1" applyFont="1" applyFill="1" applyBorder="1" applyAlignment="1">
      <alignment horizontal="center" vertical="center" shrinkToFit="1"/>
    </xf>
    <xf numFmtId="176" fontId="1" fillId="0" borderId="80" xfId="0" applyNumberFormat="1" applyFont="1" applyFill="1" applyBorder="1" applyAlignment="1">
      <alignment horizontal="center" vertical="center" shrinkToFit="1"/>
    </xf>
    <xf numFmtId="177" fontId="0" fillId="0" borderId="103" xfId="3" applyNumberFormat="1" applyFont="1" applyBorder="1" applyAlignment="1">
      <alignment horizontal="center" vertical="center" textRotation="255"/>
    </xf>
    <xf numFmtId="177" fontId="0" fillId="0" borderId="102" xfId="3" applyNumberFormat="1" applyFont="1" applyBorder="1" applyAlignment="1">
      <alignment horizontal="center" vertical="center" textRotation="255"/>
    </xf>
    <xf numFmtId="177" fontId="0" fillId="0" borderId="104" xfId="3" applyNumberFormat="1" applyFont="1" applyBorder="1" applyAlignment="1">
      <alignment horizontal="center" vertical="center" textRotation="255"/>
    </xf>
    <xf numFmtId="0" fontId="0" fillId="0" borderId="37" xfId="0" applyFill="1" applyBorder="1" applyAlignment="1">
      <alignment horizontal="center" vertical="center" wrapText="1"/>
    </xf>
    <xf numFmtId="0" fontId="0" fillId="0" borderId="21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91" xfId="0" applyFont="1" applyFill="1" applyBorder="1" applyAlignment="1">
      <alignment horizontal="center" vertical="center" wrapText="1"/>
    </xf>
    <xf numFmtId="0" fontId="0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0" fillId="6" borderId="61" xfId="0" applyFont="1" applyFill="1" applyBorder="1" applyAlignment="1">
      <alignment horizontal="center" vertical="center"/>
    </xf>
    <xf numFmtId="177" fontId="0" fillId="0" borderId="167" xfId="0" applyNumberFormat="1" applyFont="1" applyFill="1" applyBorder="1" applyAlignment="1">
      <alignment vertical="center" shrinkToFit="1"/>
    </xf>
    <xf numFmtId="0" fontId="0" fillId="0" borderId="126" xfId="0" applyFill="1" applyBorder="1" applyAlignment="1">
      <alignment horizontal="center" vertical="center" textRotation="255" wrapText="1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76" xfId="0" applyFont="1" applyFill="1" applyBorder="1" applyAlignment="1">
      <alignment horizontal="center" vertical="center" textRotation="255" wrapText="1"/>
    </xf>
    <xf numFmtId="0" fontId="0" fillId="0" borderId="211" xfId="0" applyFont="1" applyBorder="1" applyAlignment="1">
      <alignment vertical="center"/>
    </xf>
    <xf numFmtId="0" fontId="0" fillId="6" borderId="45" xfId="0" applyFill="1" applyBorder="1" applyAlignment="1">
      <alignment horizontal="left" vertical="center"/>
    </xf>
    <xf numFmtId="0" fontId="0" fillId="6" borderId="61" xfId="0" applyFont="1" applyFill="1" applyBorder="1" applyAlignment="1">
      <alignment horizontal="left" vertical="center"/>
    </xf>
    <xf numFmtId="177" fontId="0" fillId="2" borderId="127" xfId="0" applyNumberFormat="1" applyFill="1" applyBorder="1" applyAlignment="1">
      <alignment horizontal="center" vertical="center" shrinkToFit="1"/>
    </xf>
    <xf numFmtId="177" fontId="0" fillId="2" borderId="128" xfId="0" applyNumberFormat="1" applyFill="1" applyBorder="1" applyAlignment="1">
      <alignment horizontal="center" vertical="center" shrinkToFit="1"/>
    </xf>
    <xf numFmtId="177" fontId="0" fillId="0" borderId="168" xfId="0" applyNumberFormat="1" applyFont="1" applyFill="1" applyBorder="1" applyAlignment="1">
      <alignment vertical="center" shrinkToFit="1"/>
    </xf>
    <xf numFmtId="177" fontId="0" fillId="0" borderId="195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86" xfId="0" applyNumberFormat="1" applyFont="1" applyBorder="1" applyAlignment="1">
      <alignment horizontal="center" vertical="center" shrinkToFit="1"/>
    </xf>
    <xf numFmtId="177" fontId="0" fillId="0" borderId="167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5" xfId="0" applyNumberFormat="1" applyFont="1" applyBorder="1" applyAlignment="1">
      <alignment horizontal="center" vertical="center" shrinkToFit="1"/>
    </xf>
    <xf numFmtId="177" fontId="0" fillId="0" borderId="168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95" xfId="0" applyNumberFormat="1" applyFill="1" applyBorder="1" applyAlignment="1">
      <alignment horizontal="center" vertical="center" textRotation="255" shrinkToFit="1"/>
    </xf>
    <xf numFmtId="177" fontId="0" fillId="0" borderId="130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1" xfId="0" applyNumberFormat="1" applyBorder="1" applyAlignment="1">
      <alignment horizontal="center" vertical="center" textRotation="255" shrinkToFit="1"/>
    </xf>
    <xf numFmtId="177" fontId="0" fillId="0" borderId="152" xfId="0" applyNumberFormat="1" applyFont="1" applyBorder="1" applyAlignment="1">
      <alignment vertical="center"/>
    </xf>
    <xf numFmtId="177" fontId="0" fillId="0" borderId="158" xfId="0" applyNumberFormat="1" applyFont="1" applyBorder="1" applyAlignment="1">
      <alignment vertical="center"/>
    </xf>
    <xf numFmtId="177" fontId="0" fillId="0" borderId="159" xfId="0" applyNumberFormat="1" applyFont="1" applyBorder="1" applyAlignment="1">
      <alignment vertical="center"/>
    </xf>
    <xf numFmtId="177" fontId="0" fillId="0" borderId="3" xfId="0" applyNumberForma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77" fontId="0" fillId="0" borderId="152" xfId="0" applyNumberFormat="1" applyFont="1" applyFill="1" applyBorder="1" applyAlignment="1">
      <alignment vertical="center" shrinkToFit="1"/>
    </xf>
    <xf numFmtId="177" fontId="0" fillId="0" borderId="159" xfId="0" applyNumberFormat="1" applyFont="1" applyFill="1" applyBorder="1" applyAlignment="1">
      <alignment vertical="center" shrinkToFit="1"/>
    </xf>
    <xf numFmtId="177" fontId="0" fillId="0" borderId="210" xfId="0" applyNumberFormat="1" applyFont="1" applyFill="1" applyBorder="1" applyAlignment="1">
      <alignment horizontal="center" vertical="center" shrinkToFit="1"/>
    </xf>
    <xf numFmtId="177" fontId="0" fillId="0" borderId="137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108" xfId="0" applyNumberFormat="1" applyFont="1" applyFill="1" applyBorder="1" applyAlignment="1">
      <alignment horizontal="center"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9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108" xfId="0" applyNumberFormat="1" applyFont="1" applyFill="1" applyBorder="1" applyAlignment="1">
      <alignment horizontal="center" vertical="center" shrinkToFit="1"/>
    </xf>
    <xf numFmtId="177" fontId="0" fillId="0" borderId="152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177" fontId="0" fillId="0" borderId="159" xfId="0" applyNumberFormat="1" applyFont="1" applyFill="1" applyBorder="1" applyAlignment="1">
      <alignment vertical="center"/>
    </xf>
    <xf numFmtId="177" fontId="0" fillId="0" borderId="119" xfId="0" applyNumberFormat="1" applyFont="1" applyBorder="1" applyAlignment="1">
      <alignment vertical="center"/>
    </xf>
    <xf numFmtId="177" fontId="0" fillId="0" borderId="125" xfId="0" applyNumberFormat="1" applyFont="1" applyBorder="1" applyAlignment="1">
      <alignment vertical="center"/>
    </xf>
    <xf numFmtId="177" fontId="0" fillId="0" borderId="140" xfId="0" applyNumberFormat="1" applyFont="1" applyBorder="1" applyAlignment="1">
      <alignment vertical="center"/>
    </xf>
    <xf numFmtId="177" fontId="0" fillId="0" borderId="152" xfId="0" applyNumberFormat="1" applyFont="1" applyFill="1" applyBorder="1" applyAlignment="1">
      <alignment horizontal="center" vertical="center"/>
    </xf>
    <xf numFmtId="177" fontId="0" fillId="0" borderId="158" xfId="0" applyNumberFormat="1" applyFont="1" applyFill="1" applyBorder="1" applyAlignment="1">
      <alignment horizontal="center" vertical="center"/>
    </xf>
    <xf numFmtId="177" fontId="0" fillId="0" borderId="159" xfId="0" applyNumberFormat="1" applyFont="1" applyFill="1" applyBorder="1" applyAlignment="1">
      <alignment horizontal="center" vertical="center"/>
    </xf>
    <xf numFmtId="177" fontId="0" fillId="0" borderId="167" xfId="0" applyNumberFormat="1" applyFill="1" applyBorder="1" applyAlignment="1">
      <alignment vertical="center"/>
    </xf>
    <xf numFmtId="0" fontId="0" fillId="0" borderId="167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247" xfId="3" applyNumberFormat="1" applyFont="1" applyFill="1" applyBorder="1" applyAlignment="1">
      <alignment horizontal="center" vertical="center" shrinkToFit="1"/>
    </xf>
    <xf numFmtId="177" fontId="0" fillId="0" borderId="250" xfId="0" applyNumberFormat="1" applyFill="1" applyBorder="1" applyAlignment="1">
      <alignment vertical="center" shrinkToFit="1"/>
    </xf>
    <xf numFmtId="177" fontId="0" fillId="0" borderId="251" xfId="0" applyNumberFormat="1" applyFont="1" applyFill="1" applyBorder="1" applyAlignment="1">
      <alignment vertical="center" shrinkToFit="1"/>
    </xf>
    <xf numFmtId="177" fontId="0" fillId="0" borderId="273" xfId="0" applyNumberFormat="1" applyFont="1" applyFill="1" applyBorder="1" applyAlignment="1">
      <alignment vertical="center" shrinkToFit="1"/>
    </xf>
    <xf numFmtId="177" fontId="0" fillId="0" borderId="251" xfId="0" applyNumberFormat="1" applyFill="1" applyBorder="1" applyAlignment="1">
      <alignment vertical="center" shrinkToFit="1"/>
    </xf>
    <xf numFmtId="177" fontId="0" fillId="0" borderId="273" xfId="0" applyNumberFormat="1" applyFill="1" applyBorder="1" applyAlignment="1">
      <alignment vertical="center" shrinkToFit="1"/>
    </xf>
    <xf numFmtId="177" fontId="0" fillId="0" borderId="121" xfId="0" applyNumberFormat="1" applyBorder="1" applyAlignment="1">
      <alignment horizontal="center" vertical="center" textRotation="255" shrinkToFit="1"/>
    </xf>
    <xf numFmtId="177" fontId="0" fillId="0" borderId="56" xfId="0" applyNumberFormat="1" applyBorder="1" applyAlignment="1">
      <alignment horizontal="center" vertical="center" textRotation="255" shrinkToFit="1"/>
    </xf>
    <xf numFmtId="177" fontId="0" fillId="0" borderId="33" xfId="0" applyNumberFormat="1" applyBorder="1" applyAlignment="1">
      <alignment horizontal="center" vertical="center" textRotation="255" shrinkToFit="1"/>
    </xf>
    <xf numFmtId="177" fontId="0" fillId="0" borderId="167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4" xfId="0" applyNumberFormat="1" applyFont="1" applyFill="1" applyBorder="1" applyAlignment="1">
      <alignment vertical="center" shrinkToFit="1"/>
    </xf>
    <xf numFmtId="177" fontId="0" fillId="0" borderId="87" xfId="0" applyNumberFormat="1" applyFont="1" applyFill="1" applyBorder="1" applyAlignment="1">
      <alignment vertical="center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84" xfId="0" applyNumberFormat="1" applyFill="1" applyBorder="1" applyAlignment="1">
      <alignment horizontal="center" vertical="center" textRotation="255" shrinkToFit="1"/>
    </xf>
    <xf numFmtId="0" fontId="0" fillId="0" borderId="4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177" fontId="0" fillId="0" borderId="1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13" xfId="0" applyNumberFormat="1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177" fontId="0" fillId="0" borderId="246" xfId="0" applyNumberFormat="1" applyFill="1" applyBorder="1" applyAlignment="1">
      <alignment horizontal="center" vertical="center" shrinkToFit="1"/>
    </xf>
    <xf numFmtId="177" fontId="0" fillId="0" borderId="247" xfId="0" applyNumberFormat="1" applyFill="1" applyBorder="1" applyAlignment="1">
      <alignment horizontal="center" vertical="center" shrinkToFit="1"/>
    </xf>
    <xf numFmtId="177" fontId="0" fillId="0" borderId="248" xfId="0" applyNumberFormat="1" applyFill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1" xfId="0" applyNumberFormat="1" applyFont="1" applyFill="1" applyBorder="1" applyAlignment="1">
      <alignment horizontal="center" vertical="center" shrinkToFit="1"/>
    </xf>
    <xf numFmtId="177" fontId="0" fillId="0" borderId="57" xfId="0" applyNumberFormat="1" applyFont="1" applyFill="1" applyBorder="1" applyAlignment="1">
      <alignment horizontal="center" vertical="center" shrinkToFit="1"/>
    </xf>
    <xf numFmtId="177" fontId="0" fillId="0" borderId="87" xfId="0" applyNumberFormat="1" applyFill="1" applyBorder="1" applyAlignment="1">
      <alignment vertical="center"/>
    </xf>
    <xf numFmtId="0" fontId="0" fillId="0" borderId="87" xfId="0" applyFont="1" applyFill="1" applyBorder="1" applyAlignment="1">
      <alignment vertical="center"/>
    </xf>
    <xf numFmtId="177" fontId="0" fillId="0" borderId="87" xfId="0" applyNumberFormat="1" applyFont="1" applyFill="1" applyBorder="1" applyAlignment="1">
      <alignment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" xfId="0" applyNumberFormat="1" applyFill="1" applyBorder="1" applyAlignment="1">
      <alignment vertical="center" shrinkToFit="1"/>
    </xf>
    <xf numFmtId="177" fontId="0" fillId="0" borderId="142" xfId="3" applyNumberFormat="1" applyFont="1" applyBorder="1" applyAlignment="1">
      <alignment horizontal="center" vertical="center" shrinkToFit="1"/>
    </xf>
    <xf numFmtId="177" fontId="0" fillId="0" borderId="102" xfId="3" applyNumberFormat="1" applyFont="1" applyBorder="1" applyAlignment="1">
      <alignment horizontal="center" vertical="center" shrinkToFit="1"/>
    </xf>
    <xf numFmtId="177" fontId="0" fillId="0" borderId="151" xfId="3" applyNumberFormat="1" applyFont="1" applyBorder="1" applyAlignment="1">
      <alignment horizontal="center" vertical="center" shrinkToFit="1"/>
    </xf>
    <xf numFmtId="177" fontId="0" fillId="0" borderId="142" xfId="3" applyNumberFormat="1" applyFont="1" applyBorder="1" applyAlignment="1">
      <alignment horizontal="center" vertical="center" textRotation="255" shrinkToFit="1"/>
    </xf>
    <xf numFmtId="177" fontId="0" fillId="0" borderId="102" xfId="3" applyNumberFormat="1" applyFont="1" applyBorder="1" applyAlignment="1">
      <alignment horizontal="center" vertical="center" textRotation="255" shrinkToFit="1"/>
    </xf>
    <xf numFmtId="177" fontId="0" fillId="0" borderId="151" xfId="3" applyNumberFormat="1" applyFont="1" applyBorder="1" applyAlignment="1">
      <alignment horizontal="center" vertical="center" textRotation="255" shrinkToFit="1"/>
    </xf>
    <xf numFmtId="176" fontId="0" fillId="0" borderId="121" xfId="0" applyNumberFormat="1" applyFont="1" applyBorder="1" applyAlignment="1">
      <alignment horizontal="center" vertical="center" textRotation="255" shrinkToFit="1"/>
    </xf>
    <xf numFmtId="176" fontId="0" fillId="0" borderId="56" xfId="0" applyNumberFormat="1" applyFont="1" applyBorder="1" applyAlignment="1">
      <alignment horizontal="center" vertical="center" textRotation="255" shrinkToFit="1"/>
    </xf>
    <xf numFmtId="176" fontId="0" fillId="0" borderId="116" xfId="0" applyNumberFormat="1" applyFont="1" applyBorder="1" applyAlignment="1">
      <alignment horizontal="center" vertical="center" textRotation="255" shrinkToFit="1"/>
    </xf>
    <xf numFmtId="177" fontId="0" fillId="0" borderId="145" xfId="3" applyNumberFormat="1" applyFont="1" applyBorder="1" applyAlignment="1">
      <alignment horizontal="center" vertical="center" textRotation="255" shrinkToFit="1"/>
    </xf>
    <xf numFmtId="177" fontId="0" fillId="0" borderId="95" xfId="3" applyNumberFormat="1" applyFont="1" applyBorder="1" applyAlignment="1">
      <alignment horizontal="center" vertical="center" textRotation="255" shrinkToFit="1"/>
    </xf>
    <xf numFmtId="177" fontId="0" fillId="0" borderId="143" xfId="3" applyNumberFormat="1" applyFont="1" applyBorder="1" applyAlignment="1">
      <alignment horizontal="center" vertical="center" textRotation="255" shrinkToFit="1"/>
    </xf>
    <xf numFmtId="176" fontId="0" fillId="0" borderId="146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2" borderId="50" xfId="0" applyNumberFormat="1" applyFont="1" applyFill="1" applyBorder="1" applyAlignment="1">
      <alignment vertical="center" shrinkToFit="1"/>
    </xf>
    <xf numFmtId="176" fontId="0" fillId="0" borderId="50" xfId="0" applyNumberFormat="1" applyFont="1" applyBorder="1" applyAlignment="1">
      <alignment vertical="center"/>
    </xf>
    <xf numFmtId="176" fontId="0" fillId="0" borderId="179" xfId="0" applyNumberFormat="1" applyFont="1" applyBorder="1" applyAlignment="1">
      <alignment horizontal="center" vertical="center" textRotation="255" shrinkToFit="1"/>
    </xf>
    <xf numFmtId="176" fontId="0" fillId="0" borderId="175" xfId="0" applyNumberFormat="1" applyFont="1" applyBorder="1" applyAlignment="1">
      <alignment horizontal="center" vertical="center" textRotation="255" shrinkToFit="1"/>
    </xf>
    <xf numFmtId="176" fontId="0" fillId="0" borderId="177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4" xfId="3" applyNumberFormat="1" applyFont="1" applyBorder="1" applyAlignment="1">
      <alignment horizontal="center" vertical="center" shrinkToFit="1"/>
    </xf>
    <xf numFmtId="176" fontId="0" fillId="0" borderId="181" xfId="0" applyNumberFormat="1" applyFont="1" applyBorder="1" applyAlignment="1">
      <alignment horizontal="center" vertical="center" textRotation="255" shrinkToFit="1"/>
    </xf>
    <xf numFmtId="176" fontId="0" fillId="0" borderId="148" xfId="3" applyNumberFormat="1" applyFont="1" applyFill="1" applyBorder="1" applyAlignment="1">
      <alignment vertical="center" shrinkToFit="1"/>
    </xf>
    <xf numFmtId="176" fontId="0" fillId="0" borderId="149" xfId="3" applyNumberFormat="1" applyFont="1" applyFill="1" applyBorder="1" applyAlignment="1">
      <alignment vertical="center" shrinkToFit="1"/>
    </xf>
    <xf numFmtId="176" fontId="0" fillId="0" borderId="198" xfId="3" applyNumberFormat="1" applyFont="1" applyFill="1" applyBorder="1" applyAlignment="1">
      <alignment vertical="center" shrinkToFit="1"/>
    </xf>
    <xf numFmtId="176" fontId="0" fillId="0" borderId="197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39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2" borderId="265" xfId="0" applyNumberFormat="1" applyFont="1" applyFill="1" applyBorder="1" applyAlignment="1">
      <alignment vertical="center" shrinkToFit="1"/>
    </xf>
    <xf numFmtId="176" fontId="0" fillId="0" borderId="265" xfId="0" applyNumberFormat="1" applyFont="1" applyBorder="1" applyAlignment="1">
      <alignment vertical="center"/>
    </xf>
    <xf numFmtId="177" fontId="0" fillId="0" borderId="250" xfId="0" applyNumberFormat="1" applyFont="1" applyBorder="1" applyAlignment="1">
      <alignment horizontal="center" vertical="center" shrinkToFit="1"/>
    </xf>
    <xf numFmtId="177" fontId="0" fillId="0" borderId="252" xfId="0" applyNumberFormat="1" applyFont="1" applyBorder="1" applyAlignment="1">
      <alignment horizontal="center" vertical="center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257" xfId="0" applyNumberFormat="1" applyFont="1" applyBorder="1" applyAlignment="1">
      <alignment horizontal="center" vertical="center" textRotation="255" shrinkToFit="1"/>
    </xf>
    <xf numFmtId="176" fontId="0" fillId="2" borderId="119" xfId="0" applyNumberFormat="1" applyFont="1" applyFill="1" applyBorder="1" applyAlignment="1">
      <alignment horizontal="center" vertical="center" shrinkToFit="1"/>
    </xf>
    <xf numFmtId="176" fontId="0" fillId="2" borderId="83" xfId="0" applyNumberFormat="1" applyFont="1" applyFill="1" applyBorder="1" applyAlignment="1">
      <alignment horizontal="center" vertical="center" shrinkToFit="1"/>
    </xf>
    <xf numFmtId="176" fontId="0" fillId="0" borderId="171" xfId="0" applyNumberFormat="1" applyFont="1" applyBorder="1" applyAlignment="1">
      <alignment horizontal="center" vertical="center" shrinkToFit="1"/>
    </xf>
    <xf numFmtId="176" fontId="0" fillId="0" borderId="166" xfId="0" applyNumberFormat="1" applyFont="1" applyBorder="1" applyAlignment="1">
      <alignment horizontal="center" vertical="center" shrinkToFit="1"/>
    </xf>
    <xf numFmtId="176" fontId="0" fillId="0" borderId="103" xfId="0" applyNumberFormat="1" applyFont="1" applyBorder="1" applyAlignment="1">
      <alignment horizontal="center" vertical="center" textRotation="255" shrinkToFit="1"/>
    </xf>
    <xf numFmtId="176" fontId="0" fillId="0" borderId="173" xfId="0" applyNumberFormat="1" applyFont="1" applyBorder="1" applyAlignment="1">
      <alignment horizontal="center" vertical="center" textRotation="255" shrinkToFit="1"/>
    </xf>
    <xf numFmtId="177" fontId="0" fillId="0" borderId="160" xfId="0" applyNumberFormat="1" applyFont="1" applyBorder="1" applyAlignment="1">
      <alignment horizontal="center" vertical="center" shrinkToFit="1"/>
    </xf>
    <xf numFmtId="177" fontId="0" fillId="0" borderId="232" xfId="0" applyNumberFormat="1" applyFont="1" applyBorder="1" applyAlignment="1">
      <alignment horizontal="center" vertical="center" shrinkToFit="1"/>
    </xf>
    <xf numFmtId="177" fontId="0" fillId="0" borderId="250" xfId="0" applyNumberFormat="1" applyFont="1" applyFill="1" applyBorder="1" applyAlignment="1">
      <alignment horizontal="center" vertical="center" shrinkToFit="1"/>
    </xf>
    <xf numFmtId="177" fontId="0" fillId="0" borderId="252" xfId="0" applyNumberFormat="1" applyFont="1" applyFill="1" applyBorder="1" applyAlignment="1">
      <alignment horizontal="center" vertical="center" shrinkToFit="1"/>
    </xf>
    <xf numFmtId="176" fontId="0" fillId="0" borderId="186" xfId="0" applyNumberFormat="1" applyFont="1" applyBorder="1" applyAlignment="1">
      <alignment horizontal="center" vertical="center" textRotation="255" shrinkToFit="1"/>
    </xf>
    <xf numFmtId="176" fontId="0" fillId="0" borderId="176" xfId="0" applyNumberFormat="1" applyFont="1" applyBorder="1" applyAlignment="1">
      <alignment horizontal="center" vertical="center" textRotation="255" shrinkToFit="1"/>
    </xf>
    <xf numFmtId="176" fontId="0" fillId="0" borderId="187" xfId="0" applyNumberFormat="1" applyFont="1" applyBorder="1" applyAlignment="1">
      <alignment horizontal="center" vertical="center" textRotation="255" shrinkToFit="1"/>
    </xf>
    <xf numFmtId="177" fontId="0" fillId="0" borderId="37" xfId="3" applyNumberFormat="1" applyFont="1" applyBorder="1" applyAlignment="1">
      <alignment horizontal="center" vertical="center" shrinkToFit="1"/>
    </xf>
    <xf numFmtId="176" fontId="0" fillId="0" borderId="171" xfId="0" applyNumberFormat="1" applyFont="1" applyFill="1" applyBorder="1" applyAlignment="1">
      <alignment horizontal="center" vertical="center" shrinkToFit="1"/>
    </xf>
    <xf numFmtId="176" fontId="0" fillId="0" borderId="166" xfId="0" applyNumberFormat="1" applyFont="1" applyFill="1" applyBorder="1" applyAlignment="1">
      <alignment horizontal="center" vertical="center" shrinkToFit="1"/>
    </xf>
    <xf numFmtId="176" fontId="0" fillId="0" borderId="172" xfId="0" applyNumberFormat="1" applyFont="1" applyBorder="1" applyAlignment="1">
      <alignment horizontal="center" vertical="center" shrinkToFit="1"/>
    </xf>
    <xf numFmtId="176" fontId="0" fillId="0" borderId="174" xfId="0" applyNumberFormat="1" applyFont="1" applyBorder="1" applyAlignment="1">
      <alignment horizontal="center" vertical="center" shrinkToFit="1"/>
    </xf>
    <xf numFmtId="177" fontId="0" fillId="2" borderId="119" xfId="0" applyNumberFormat="1" applyFont="1" applyFill="1" applyBorder="1" applyAlignment="1">
      <alignment horizontal="center" vertical="center" shrinkToFit="1"/>
    </xf>
    <xf numFmtId="177" fontId="0" fillId="2" borderId="83" xfId="0" applyNumberFormat="1" applyFont="1" applyFill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177" fontId="0" fillId="2" borderId="154" xfId="0" applyNumberFormat="1" applyFont="1" applyFill="1" applyBorder="1" applyAlignment="1">
      <alignment horizontal="center" vertical="center" shrinkToFit="1"/>
    </xf>
    <xf numFmtId="3" fontId="0" fillId="0" borderId="51" xfId="5" applyNumberFormat="1" applyFont="1" applyFill="1" applyBorder="1" applyAlignment="1">
      <alignment horizontal="center" vertical="center" shrinkToFit="1"/>
    </xf>
    <xf numFmtId="3" fontId="0" fillId="0" borderId="42" xfId="5" applyNumberFormat="1" applyFont="1" applyFill="1" applyBorder="1" applyAlignment="1">
      <alignment horizontal="center" vertical="center" shrinkToFit="1"/>
    </xf>
    <xf numFmtId="3" fontId="0" fillId="0" borderId="211" xfId="5" applyNumberFormat="1" applyFont="1" applyFill="1" applyBorder="1" applyAlignment="1">
      <alignment horizontal="center" vertical="center" shrinkToFit="1"/>
    </xf>
    <xf numFmtId="3" fontId="0" fillId="0" borderId="166" xfId="5" applyNumberFormat="1" applyFont="1" applyFill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227" xfId="3" applyNumberFormat="1" applyFont="1" applyBorder="1" applyAlignment="1">
      <alignment horizontal="center" vertical="center" shrinkToFit="1"/>
    </xf>
    <xf numFmtId="177" fontId="0" fillId="2" borderId="82" xfId="0" applyNumberFormat="1" applyFont="1" applyFill="1" applyBorder="1" applyAlignment="1">
      <alignment horizontal="center" vertical="center" shrinkToFit="1"/>
    </xf>
    <xf numFmtId="176" fontId="0" fillId="0" borderId="122" xfId="0" applyNumberFormat="1" applyFont="1" applyBorder="1" applyAlignment="1">
      <alignment horizontal="center" vertical="center" shrinkToFit="1"/>
    </xf>
    <xf numFmtId="176" fontId="0" fillId="0" borderId="123" xfId="0" applyNumberFormat="1" applyFont="1" applyBorder="1" applyAlignment="1">
      <alignment horizontal="center" vertical="center" shrinkToFit="1"/>
    </xf>
    <xf numFmtId="176" fontId="0" fillId="0" borderId="242" xfId="0" applyNumberFormat="1" applyFont="1" applyBorder="1" applyAlignment="1">
      <alignment horizontal="center" vertical="center" textRotation="255" shrinkToFit="1"/>
    </xf>
    <xf numFmtId="0" fontId="0" fillId="0" borderId="102" xfId="0" applyFont="1" applyBorder="1">
      <alignment vertical="center"/>
    </xf>
    <xf numFmtId="0" fontId="0" fillId="0" borderId="151" xfId="0" applyFont="1" applyBorder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2" borderId="212" xfId="0" applyNumberFormat="1" applyFont="1" applyFill="1" applyBorder="1" applyAlignment="1">
      <alignment vertical="center" shrinkToFit="1"/>
    </xf>
    <xf numFmtId="176" fontId="0" fillId="2" borderId="213" xfId="0" applyNumberFormat="1" applyFont="1" applyFill="1" applyBorder="1" applyAlignment="1">
      <alignment vertical="center" shrinkToFit="1"/>
    </xf>
    <xf numFmtId="176" fontId="0" fillId="0" borderId="148" xfId="0" applyNumberFormat="1" applyFont="1" applyBorder="1" applyAlignment="1">
      <alignment vertical="center"/>
    </xf>
    <xf numFmtId="176" fontId="0" fillId="0" borderId="149" xfId="0" applyNumberFormat="1" applyFont="1" applyBorder="1" applyAlignment="1">
      <alignment vertical="center"/>
    </xf>
    <xf numFmtId="176" fontId="0" fillId="0" borderId="236" xfId="0" applyNumberFormat="1" applyFont="1" applyBorder="1" applyAlignment="1">
      <alignment horizontal="center" vertical="center" textRotation="255" shrinkToFit="1"/>
    </xf>
    <xf numFmtId="176" fontId="0" fillId="0" borderId="58" xfId="0" applyNumberFormat="1" applyFont="1" applyBorder="1" applyAlignment="1">
      <alignment horizontal="center" vertical="center" textRotation="255" shrinkToFit="1"/>
    </xf>
    <xf numFmtId="177" fontId="0" fillId="0" borderId="152" xfId="0" applyNumberFormat="1" applyFont="1" applyFill="1" applyBorder="1" applyAlignment="1">
      <alignment horizontal="center" vertical="center" shrinkToFit="1"/>
    </xf>
    <xf numFmtId="177" fontId="0" fillId="0" borderId="49" xfId="0" applyNumberFormat="1" applyFont="1" applyFill="1" applyBorder="1" applyAlignment="1">
      <alignment horizontal="center" vertical="center" shrinkToFit="1"/>
    </xf>
    <xf numFmtId="177" fontId="0" fillId="0" borderId="152" xfId="0" applyNumberFormat="1" applyFont="1" applyBorder="1" applyAlignment="1">
      <alignment horizontal="center" vertical="center" shrinkToFit="1"/>
    </xf>
    <xf numFmtId="177" fontId="0" fillId="0" borderId="49" xfId="0" applyNumberFormat="1" applyFont="1" applyBorder="1" applyAlignment="1">
      <alignment horizontal="center" vertical="center" shrinkToFit="1"/>
    </xf>
    <xf numFmtId="176" fontId="0" fillId="2" borderId="191" xfId="0" applyNumberFormat="1" applyFont="1" applyFill="1" applyBorder="1" applyAlignment="1">
      <alignment vertical="center" shrinkToFit="1"/>
    </xf>
    <xf numFmtId="176" fontId="0" fillId="0" borderId="191" xfId="0" applyNumberFormat="1" applyFont="1" applyBorder="1" applyAlignment="1">
      <alignment vertical="center"/>
    </xf>
    <xf numFmtId="176" fontId="0" fillId="0" borderId="233" xfId="0" applyNumberFormat="1" applyFont="1" applyBorder="1" applyAlignment="1">
      <alignment horizontal="center" vertical="center" textRotation="255" shrinkToFit="1"/>
    </xf>
  </cellXfs>
  <cellStyles count="13">
    <cellStyle name="パーセント" xfId="4" builtinId="5"/>
    <cellStyle name="パーセント 2" xfId="6"/>
    <cellStyle name="桁区切り" xfId="1" builtinId="6"/>
    <cellStyle name="桁区切り 2" xfId="7"/>
    <cellStyle name="桁区切り 3" xfId="12"/>
    <cellStyle name="標準" xfId="0" builtinId="0"/>
    <cellStyle name="標準 2" xfId="8"/>
    <cellStyle name="標準 2 2" xfId="10"/>
    <cellStyle name="標準 3" xfId="11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9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5128" name="Rectangle 8" descr="10%"/>
        <xdr:cNvSpPr>
          <a:spLocks noChangeArrowheads="1"/>
        </xdr:cNvSpPr>
      </xdr:nvSpPr>
      <xdr:spPr bwMode="auto">
        <a:xfrm>
          <a:off x="8939216" y="5072063"/>
          <a:ext cx="540000" cy="254381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9528</xdr:colOff>
      <xdr:row>20</xdr:row>
      <xdr:rowOff>0</xdr:rowOff>
    </xdr:from>
    <xdr:to>
      <xdr:col>28</xdr:col>
      <xdr:colOff>13747</xdr:colOff>
      <xdr:row>21</xdr:row>
      <xdr:rowOff>4350</xdr:rowOff>
    </xdr:to>
    <xdr:sp macro="" textlink="">
      <xdr:nvSpPr>
        <xdr:cNvPr id="19" name="Rectangle 8" descr="10%"/>
        <xdr:cNvSpPr>
          <a:spLocks noChangeArrowheads="1"/>
        </xdr:cNvSpPr>
      </xdr:nvSpPr>
      <xdr:spPr bwMode="auto">
        <a:xfrm>
          <a:off x="8715378" y="5029200"/>
          <a:ext cx="537619" cy="252000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64407</xdr:colOff>
      <xdr:row>12</xdr:row>
      <xdr:rowOff>27213</xdr:rowOff>
    </xdr:from>
    <xdr:to>
      <xdr:col>30</xdr:col>
      <xdr:colOff>163285</xdr:colOff>
      <xdr:row>12</xdr:row>
      <xdr:rowOff>190500</xdr:rowOff>
    </xdr:to>
    <xdr:sp macro="" textlink="">
      <xdr:nvSpPr>
        <xdr:cNvPr id="20" name="Rectangle 8" descr="10%"/>
        <xdr:cNvSpPr>
          <a:spLocks noChangeArrowheads="1"/>
        </xdr:cNvSpPr>
      </xdr:nvSpPr>
      <xdr:spPr bwMode="auto">
        <a:xfrm>
          <a:off x="9570357" y="3075213"/>
          <a:ext cx="365578" cy="163287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166007</xdr:colOff>
      <xdr:row>12</xdr:row>
      <xdr:rowOff>140611</xdr:rowOff>
    </xdr:from>
    <xdr:to>
      <xdr:col>29</xdr:col>
      <xdr:colOff>64407</xdr:colOff>
      <xdr:row>12</xdr:row>
      <xdr:rowOff>149678</xdr:rowOff>
    </xdr:to>
    <xdr:cxnSp macro="">
      <xdr:nvCxnSpPr>
        <xdr:cNvPr id="21" name="直線コネクタ 20"/>
        <xdr:cNvCxnSpPr/>
      </xdr:nvCxnSpPr>
      <xdr:spPr>
        <a:xfrm>
          <a:off x="5671457" y="3188611"/>
          <a:ext cx="3898900" cy="90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163285</xdr:colOff>
      <xdr:row>13</xdr:row>
      <xdr:rowOff>27215</xdr:rowOff>
    </xdr:from>
    <xdr:to>
      <xdr:col>32</xdr:col>
      <xdr:colOff>108857</xdr:colOff>
      <xdr:row>13</xdr:row>
      <xdr:rowOff>190500</xdr:rowOff>
    </xdr:to>
    <xdr:sp macro="" textlink="">
      <xdr:nvSpPr>
        <xdr:cNvPr id="22" name="Rectangle 8" descr="10%"/>
        <xdr:cNvSpPr>
          <a:spLocks noChangeArrowheads="1"/>
        </xdr:cNvSpPr>
      </xdr:nvSpPr>
      <xdr:spPr bwMode="auto">
        <a:xfrm>
          <a:off x="9935935" y="3322865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13</xdr:row>
      <xdr:rowOff>108858</xdr:rowOff>
    </xdr:from>
    <xdr:to>
      <xdr:col>30</xdr:col>
      <xdr:colOff>163285</xdr:colOff>
      <xdr:row>13</xdr:row>
      <xdr:rowOff>127002</xdr:rowOff>
    </xdr:to>
    <xdr:cxnSp macro="">
      <xdr:nvCxnSpPr>
        <xdr:cNvPr id="23" name="直線コネクタ 22"/>
        <xdr:cNvCxnSpPr>
          <a:endCxn id="22" idx="1"/>
        </xdr:cNvCxnSpPr>
      </xdr:nvCxnSpPr>
      <xdr:spPr>
        <a:xfrm flipV="1">
          <a:off x="5924550" y="3404508"/>
          <a:ext cx="4011385" cy="1814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141514</xdr:colOff>
      <xdr:row>14</xdr:row>
      <xdr:rowOff>55789</xdr:rowOff>
    </xdr:from>
    <xdr:to>
      <xdr:col>33</xdr:col>
      <xdr:colOff>236764</xdr:colOff>
      <xdr:row>14</xdr:row>
      <xdr:rowOff>232682</xdr:rowOff>
    </xdr:to>
    <xdr:sp macro="" textlink="">
      <xdr:nvSpPr>
        <xdr:cNvPr id="24" name="Rectangle 8" descr="10%"/>
        <xdr:cNvSpPr>
          <a:spLocks noChangeArrowheads="1"/>
        </xdr:cNvSpPr>
      </xdr:nvSpPr>
      <xdr:spPr bwMode="auto">
        <a:xfrm>
          <a:off x="10447564" y="6199414"/>
          <a:ext cx="361950" cy="176893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185057</xdr:colOff>
      <xdr:row>14</xdr:row>
      <xdr:rowOff>144236</xdr:rowOff>
    </xdr:from>
    <xdr:to>
      <xdr:col>32</xdr:col>
      <xdr:colOff>141514</xdr:colOff>
      <xdr:row>14</xdr:row>
      <xdr:rowOff>169186</xdr:rowOff>
    </xdr:to>
    <xdr:cxnSp macro="">
      <xdr:nvCxnSpPr>
        <xdr:cNvPr id="25" name="直線コネクタ 24"/>
        <xdr:cNvCxnSpPr>
          <a:endCxn id="24" idx="1"/>
        </xdr:cNvCxnSpPr>
      </xdr:nvCxnSpPr>
      <xdr:spPr>
        <a:xfrm flipV="1">
          <a:off x="6223907" y="6287861"/>
          <a:ext cx="4223657" cy="249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209550</xdr:colOff>
      <xdr:row>15</xdr:row>
      <xdr:rowOff>123825</xdr:rowOff>
    </xdr:from>
    <xdr:to>
      <xdr:col>37</xdr:col>
      <xdr:colOff>66675</xdr:colOff>
      <xdr:row>15</xdr:row>
      <xdr:rowOff>142875</xdr:rowOff>
    </xdr:to>
    <xdr:cxnSp macro="">
      <xdr:nvCxnSpPr>
        <xdr:cNvPr id="28" name="直線コネクタ 27"/>
        <xdr:cNvCxnSpPr/>
      </xdr:nvCxnSpPr>
      <xdr:spPr>
        <a:xfrm>
          <a:off x="7848600" y="6572250"/>
          <a:ext cx="3857625" cy="19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39460</xdr:colOff>
      <xdr:row>16</xdr:row>
      <xdr:rowOff>46265</xdr:rowOff>
    </xdr:from>
    <xdr:to>
      <xdr:col>22</xdr:col>
      <xdr:colOff>251732</xdr:colOff>
      <xdr:row>16</xdr:row>
      <xdr:rowOff>209550</xdr:rowOff>
    </xdr:to>
    <xdr:sp macro="" textlink="">
      <xdr:nvSpPr>
        <xdr:cNvPr id="29" name="Rectangle 8" descr="10%"/>
        <xdr:cNvSpPr>
          <a:spLocks noChangeArrowheads="1"/>
        </xdr:cNvSpPr>
      </xdr:nvSpPr>
      <xdr:spPr bwMode="auto">
        <a:xfrm>
          <a:off x="7411810" y="6742340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123825</xdr:colOff>
      <xdr:row>16</xdr:row>
      <xdr:rowOff>123825</xdr:rowOff>
    </xdr:from>
    <xdr:to>
      <xdr:col>42</xdr:col>
      <xdr:colOff>0</xdr:colOff>
      <xdr:row>16</xdr:row>
      <xdr:rowOff>133350</xdr:rowOff>
    </xdr:to>
    <xdr:cxnSp macro="">
      <xdr:nvCxnSpPr>
        <xdr:cNvPr id="30" name="直線コネクタ 29"/>
        <xdr:cNvCxnSpPr/>
      </xdr:nvCxnSpPr>
      <xdr:spPr>
        <a:xfrm flipV="1">
          <a:off x="11496675" y="6819900"/>
          <a:ext cx="14763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</xdr:row>
      <xdr:rowOff>133351</xdr:rowOff>
    </xdr:from>
    <xdr:to>
      <xdr:col>21</xdr:col>
      <xdr:colOff>39460</xdr:colOff>
      <xdr:row>16</xdr:row>
      <xdr:rowOff>146958</xdr:rowOff>
    </xdr:to>
    <xdr:cxnSp macro="">
      <xdr:nvCxnSpPr>
        <xdr:cNvPr id="31" name="直線コネクタ 30"/>
        <xdr:cNvCxnSpPr/>
      </xdr:nvCxnSpPr>
      <xdr:spPr>
        <a:xfrm>
          <a:off x="3352800" y="6829426"/>
          <a:ext cx="4059010" cy="13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66675</xdr:colOff>
      <xdr:row>15</xdr:row>
      <xdr:rowOff>66675</xdr:rowOff>
    </xdr:from>
    <xdr:to>
      <xdr:col>39</xdr:col>
      <xdr:colOff>12247</xdr:colOff>
      <xdr:row>15</xdr:row>
      <xdr:rowOff>229960</xdr:rowOff>
    </xdr:to>
    <xdr:sp macro="" textlink="">
      <xdr:nvSpPr>
        <xdr:cNvPr id="33" name="Rectangle 8" descr="10%"/>
        <xdr:cNvSpPr>
          <a:spLocks noChangeArrowheads="1"/>
        </xdr:cNvSpPr>
      </xdr:nvSpPr>
      <xdr:spPr bwMode="auto">
        <a:xfrm>
          <a:off x="11706225" y="6515100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66675</xdr:colOff>
      <xdr:row>15</xdr:row>
      <xdr:rowOff>66675</xdr:rowOff>
    </xdr:from>
    <xdr:to>
      <xdr:col>39</xdr:col>
      <xdr:colOff>12247</xdr:colOff>
      <xdr:row>15</xdr:row>
      <xdr:rowOff>229960</xdr:rowOff>
    </xdr:to>
    <xdr:sp macro="" textlink="">
      <xdr:nvSpPr>
        <xdr:cNvPr id="34" name="Rectangle 8" descr="10%"/>
        <xdr:cNvSpPr>
          <a:spLocks noChangeArrowheads="1"/>
        </xdr:cNvSpPr>
      </xdr:nvSpPr>
      <xdr:spPr bwMode="auto">
        <a:xfrm>
          <a:off x="11706225" y="6515100"/>
          <a:ext cx="478972" cy="163285"/>
        </a:xfrm>
        <a:prstGeom prst="rect">
          <a:avLst/>
        </a:prstGeom>
        <a:solidFill>
          <a:schemeClr val="tx1"/>
        </a:solidFill>
        <a:ln w="317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5</xdr:row>
      <xdr:rowOff>139700</xdr:rowOff>
    </xdr:from>
    <xdr:to>
      <xdr:col>25</xdr:col>
      <xdr:colOff>0</xdr:colOff>
      <xdr:row>5</xdr:row>
      <xdr:rowOff>142875</xdr:rowOff>
    </xdr:to>
    <xdr:cxnSp macro="">
      <xdr:nvCxnSpPr>
        <xdr:cNvPr id="3" name="直線コネクタ 2"/>
        <xdr:cNvCxnSpPr/>
      </xdr:nvCxnSpPr>
      <xdr:spPr>
        <a:xfrm flipV="1">
          <a:off x="7448550" y="1320800"/>
          <a:ext cx="5133975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139700</xdr:rowOff>
    </xdr:from>
    <xdr:to>
      <xdr:col>25</xdr:col>
      <xdr:colOff>0</xdr:colOff>
      <xdr:row>5</xdr:row>
      <xdr:rowOff>142875</xdr:rowOff>
    </xdr:to>
    <xdr:cxnSp macro="">
      <xdr:nvCxnSpPr>
        <xdr:cNvPr id="4" name="直線コネクタ 3"/>
        <xdr:cNvCxnSpPr/>
      </xdr:nvCxnSpPr>
      <xdr:spPr>
        <a:xfrm flipV="1">
          <a:off x="7448550" y="1320800"/>
          <a:ext cx="5133975" cy="3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5</xdr:row>
      <xdr:rowOff>127000</xdr:rowOff>
    </xdr:from>
    <xdr:to>
      <xdr:col>26</xdr:col>
      <xdr:colOff>12700</xdr:colOff>
      <xdr:row>5</xdr:row>
      <xdr:rowOff>139700</xdr:rowOff>
    </xdr:to>
    <xdr:cxnSp macro="">
      <xdr:nvCxnSpPr>
        <xdr:cNvPr id="3" name="直線コネクタ 2"/>
        <xdr:cNvCxnSpPr/>
      </xdr:nvCxnSpPr>
      <xdr:spPr>
        <a:xfrm>
          <a:off x="8372475" y="1308100"/>
          <a:ext cx="4689475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457200</xdr:colOff>
      <xdr:row>5</xdr:row>
      <xdr:rowOff>127000</xdr:rowOff>
    </xdr:from>
    <xdr:to>
      <xdr:col>26</xdr:col>
      <xdr:colOff>12700</xdr:colOff>
      <xdr:row>5</xdr:row>
      <xdr:rowOff>139700</xdr:rowOff>
    </xdr:to>
    <xdr:cxnSp macro="">
      <xdr:nvCxnSpPr>
        <xdr:cNvPr id="4" name="直線コネクタ 3"/>
        <xdr:cNvCxnSpPr/>
      </xdr:nvCxnSpPr>
      <xdr:spPr>
        <a:xfrm>
          <a:off x="8372475" y="1308100"/>
          <a:ext cx="4689475" cy="12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457200</xdr:colOff>
      <xdr:row>5</xdr:row>
      <xdr:rowOff>133350</xdr:rowOff>
    </xdr:from>
    <xdr:to>
      <xdr:col>28</xdr:col>
      <xdr:colOff>0</xdr:colOff>
      <xdr:row>5</xdr:row>
      <xdr:rowOff>142875</xdr:rowOff>
    </xdr:to>
    <xdr:cxnSp macro="">
      <xdr:nvCxnSpPr>
        <xdr:cNvPr id="2" name="直線コネクタ 1"/>
        <xdr:cNvCxnSpPr/>
      </xdr:nvCxnSpPr>
      <xdr:spPr>
        <a:xfrm>
          <a:off x="8372475" y="1314450"/>
          <a:ext cx="5610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457200</xdr:colOff>
      <xdr:row>5</xdr:row>
      <xdr:rowOff>133350</xdr:rowOff>
    </xdr:from>
    <xdr:to>
      <xdr:col>28</xdr:col>
      <xdr:colOff>0</xdr:colOff>
      <xdr:row>5</xdr:row>
      <xdr:rowOff>142875</xdr:rowOff>
    </xdr:to>
    <xdr:cxnSp macro="">
      <xdr:nvCxnSpPr>
        <xdr:cNvPr id="3" name="直線コネクタ 2"/>
        <xdr:cNvCxnSpPr/>
      </xdr:nvCxnSpPr>
      <xdr:spPr>
        <a:xfrm>
          <a:off x="8372475" y="1314450"/>
          <a:ext cx="561022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314325</xdr:colOff>
      <xdr:row>5</xdr:row>
      <xdr:rowOff>117475</xdr:rowOff>
    </xdr:from>
    <xdr:to>
      <xdr:col>31</xdr:col>
      <xdr:colOff>419100</xdr:colOff>
      <xdr:row>5</xdr:row>
      <xdr:rowOff>117475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10156825" y="1323975"/>
          <a:ext cx="57435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314325</xdr:colOff>
      <xdr:row>5</xdr:row>
      <xdr:rowOff>117475</xdr:rowOff>
    </xdr:from>
    <xdr:to>
      <xdr:col>31</xdr:col>
      <xdr:colOff>419100</xdr:colOff>
      <xdr:row>5</xdr:row>
      <xdr:rowOff>117475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96500" y="1298575"/>
          <a:ext cx="5705475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177800</xdr:colOff>
      <xdr:row>5</xdr:row>
      <xdr:rowOff>12700</xdr:rowOff>
    </xdr:from>
    <xdr:to>
      <xdr:col>19</xdr:col>
      <xdr:colOff>304800</xdr:colOff>
      <xdr:row>6</xdr:row>
      <xdr:rowOff>25400</xdr:rowOff>
    </xdr:to>
    <xdr:sp macro="" textlink="">
      <xdr:nvSpPr>
        <xdr:cNvPr id="2" name="正方形/長方形 1"/>
        <xdr:cNvSpPr/>
      </xdr:nvSpPr>
      <xdr:spPr>
        <a:xfrm>
          <a:off x="9550400" y="1219200"/>
          <a:ext cx="596900" cy="2667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　播種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6</xdr:row>
      <xdr:rowOff>104775</xdr:rowOff>
    </xdr:from>
    <xdr:to>
      <xdr:col>16</xdr:col>
      <xdr:colOff>428625</xdr:colOff>
      <xdr:row>6</xdr:row>
      <xdr:rowOff>104775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571625" y="6505575"/>
          <a:ext cx="65341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419100</xdr:colOff>
      <xdr:row>6</xdr:row>
      <xdr:rowOff>117474</xdr:rowOff>
    </xdr:from>
    <xdr:to>
      <xdr:col>37</xdr:col>
      <xdr:colOff>403225</xdr:colOff>
      <xdr:row>6</xdr:row>
      <xdr:rowOff>126999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V="1">
          <a:off x="16370300" y="1323974"/>
          <a:ext cx="2333625" cy="95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6</xdr:row>
      <xdr:rowOff>104775</xdr:rowOff>
    </xdr:from>
    <xdr:to>
      <xdr:col>16</xdr:col>
      <xdr:colOff>428625</xdr:colOff>
      <xdr:row>6</xdr:row>
      <xdr:rowOff>104775</xdr:rowOff>
    </xdr:to>
    <xdr:sp macro="" textlink="">
      <xdr:nvSpPr>
        <xdr:cNvPr id="9" name="Line 2"/>
        <xdr:cNvSpPr>
          <a:spLocks noChangeShapeType="1"/>
        </xdr:cNvSpPr>
      </xdr:nvSpPr>
      <xdr:spPr bwMode="auto">
        <a:xfrm>
          <a:off x="1876425" y="1285875"/>
          <a:ext cx="693420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88900</xdr:colOff>
      <xdr:row>6</xdr:row>
      <xdr:rowOff>25400</xdr:rowOff>
    </xdr:from>
    <xdr:to>
      <xdr:col>32</xdr:col>
      <xdr:colOff>419100</xdr:colOff>
      <xdr:row>7</xdr:row>
      <xdr:rowOff>12700</xdr:rowOff>
    </xdr:to>
    <xdr:sp macro="" textlink="">
      <xdr:nvSpPr>
        <xdr:cNvPr id="12" name="正方形/長方形 11"/>
        <xdr:cNvSpPr/>
      </xdr:nvSpPr>
      <xdr:spPr>
        <a:xfrm>
          <a:off x="15570200" y="1231900"/>
          <a:ext cx="800100" cy="2413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　播種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79998168889431442"/>
    <pageSetUpPr fitToPage="1"/>
  </sheetPr>
  <dimension ref="A1:AP34"/>
  <sheetViews>
    <sheetView tabSelected="1" zoomScale="75" zoomScaleNormal="75" workbookViewId="0">
      <selection activeCell="E33" sqref="E33:N33"/>
    </sheetView>
  </sheetViews>
  <sheetFormatPr defaultColWidth="9" defaultRowHeight="13.5" x14ac:dyDescent="0.15"/>
  <cols>
    <col min="1" max="1" width="1.625" style="80" customWidth="1"/>
    <col min="2" max="3" width="7.625" style="80" customWidth="1"/>
    <col min="4" max="6" width="9" style="80"/>
    <col min="7" max="7" width="3.5" style="80" customWidth="1"/>
    <col min="8" max="8" width="3.625" style="80" customWidth="1"/>
    <col min="9" max="9" width="3.75" style="80" customWidth="1"/>
    <col min="10" max="42" width="3.5" style="80" customWidth="1"/>
    <col min="43" max="43" width="1.375" style="80" customWidth="1"/>
    <col min="44" max="16384" width="9" style="80"/>
  </cols>
  <sheetData>
    <row r="1" spans="1:42" ht="9.9499999999999993" customHeight="1" thickBot="1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42" ht="39.950000000000003" customHeight="1" thickBot="1" x14ac:dyDescent="0.2">
      <c r="A2" s="85"/>
      <c r="B2" s="86" t="s">
        <v>367</v>
      </c>
      <c r="C2" s="699" t="s">
        <v>352</v>
      </c>
      <c r="D2" s="700"/>
      <c r="E2" s="317" t="s">
        <v>78</v>
      </c>
      <c r="F2" s="699" t="s">
        <v>615</v>
      </c>
      <c r="G2" s="701"/>
      <c r="H2" s="701"/>
      <c r="I2" s="701"/>
      <c r="J2" s="701"/>
      <c r="K2" s="701"/>
      <c r="L2" s="701"/>
      <c r="M2" s="701"/>
      <c r="N2" s="700"/>
      <c r="O2" s="714" t="s">
        <v>79</v>
      </c>
      <c r="P2" s="715"/>
      <c r="Q2" s="716"/>
      <c r="R2" s="717" t="s">
        <v>616</v>
      </c>
      <c r="S2" s="718"/>
      <c r="T2" s="718"/>
      <c r="U2" s="718"/>
      <c r="V2" s="717" t="s">
        <v>80</v>
      </c>
      <c r="W2" s="718"/>
      <c r="X2" s="718"/>
      <c r="Y2" s="711" t="s">
        <v>353</v>
      </c>
      <c r="Z2" s="712"/>
      <c r="AA2" s="713"/>
      <c r="AB2" s="87"/>
      <c r="AC2" s="87"/>
      <c r="AD2" s="87"/>
    </row>
    <row r="3" spans="1:42" ht="9.9499999999999993" customHeight="1" x14ac:dyDescent="0.15">
      <c r="B3" s="88"/>
    </row>
    <row r="4" spans="1:42" ht="24.95" customHeight="1" thickBot="1" x14ac:dyDescent="0.2">
      <c r="B4" s="80" t="s">
        <v>368</v>
      </c>
    </row>
    <row r="5" spans="1:42" ht="20.100000000000001" customHeight="1" x14ac:dyDescent="0.15">
      <c r="B5" s="704" t="s">
        <v>369</v>
      </c>
      <c r="C5" s="705"/>
      <c r="D5" s="706"/>
      <c r="E5" s="707"/>
      <c r="F5" s="707"/>
      <c r="G5" s="708"/>
      <c r="H5" s="709" t="s">
        <v>370</v>
      </c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5"/>
      <c r="X5" s="705"/>
      <c r="Y5" s="705"/>
      <c r="Z5" s="705"/>
      <c r="AA5" s="710"/>
      <c r="AD5" s="87"/>
      <c r="AE5" s="87"/>
      <c r="AF5" s="87"/>
      <c r="AG5" s="87"/>
      <c r="AH5" s="87"/>
      <c r="AI5" s="87"/>
      <c r="AJ5" s="87"/>
      <c r="AK5" s="87"/>
      <c r="AL5" s="87"/>
    </row>
    <row r="6" spans="1:42" ht="20.100000000000001" customHeight="1" x14ac:dyDescent="0.15">
      <c r="B6" s="724" t="s">
        <v>371</v>
      </c>
      <c r="C6" s="725"/>
      <c r="D6" s="725"/>
      <c r="E6" s="725"/>
      <c r="F6" s="725"/>
      <c r="G6" s="726"/>
      <c r="H6" s="726" t="s">
        <v>372</v>
      </c>
      <c r="I6" s="702"/>
      <c r="J6" s="702"/>
      <c r="K6" s="702"/>
      <c r="L6" s="702"/>
      <c r="M6" s="702"/>
      <c r="N6" s="726" t="s">
        <v>373</v>
      </c>
      <c r="O6" s="702"/>
      <c r="P6" s="702"/>
      <c r="Q6" s="726" t="s">
        <v>374</v>
      </c>
      <c r="R6" s="702"/>
      <c r="S6" s="702"/>
      <c r="T6" s="702"/>
      <c r="U6" s="702"/>
      <c r="V6" s="702"/>
      <c r="W6" s="702"/>
      <c r="X6" s="737"/>
      <c r="Y6" s="702" t="s">
        <v>375</v>
      </c>
      <c r="Z6" s="702"/>
      <c r="AA6" s="703"/>
    </row>
    <row r="7" spans="1:42" ht="20.100000000000001" customHeight="1" x14ac:dyDescent="0.15">
      <c r="B7" s="727" t="s">
        <v>376</v>
      </c>
      <c r="C7" s="728"/>
      <c r="D7" s="729" t="s">
        <v>377</v>
      </c>
      <c r="E7" s="730"/>
      <c r="F7" s="730"/>
      <c r="G7" s="730"/>
      <c r="H7" s="731" t="s">
        <v>10</v>
      </c>
      <c r="I7" s="732"/>
      <c r="J7" s="732"/>
      <c r="K7" s="732"/>
      <c r="L7" s="732"/>
      <c r="M7" s="733"/>
      <c r="N7" s="734">
        <f>SUM(F13:F15)</f>
        <v>20</v>
      </c>
      <c r="O7" s="735"/>
      <c r="P7" s="736"/>
      <c r="Q7" s="719" t="s">
        <v>614</v>
      </c>
      <c r="R7" s="720"/>
      <c r="S7" s="720"/>
      <c r="T7" s="720"/>
      <c r="U7" s="720"/>
      <c r="V7" s="720"/>
      <c r="W7" s="720"/>
      <c r="X7" s="721"/>
      <c r="Y7" s="722">
        <v>10</v>
      </c>
      <c r="Z7" s="722"/>
      <c r="AA7" s="723"/>
    </row>
    <row r="8" spans="1:42" ht="20.100000000000001" customHeight="1" x14ac:dyDescent="0.15">
      <c r="B8" s="724" t="s">
        <v>354</v>
      </c>
      <c r="C8" s="725"/>
      <c r="D8" s="738"/>
      <c r="E8" s="738"/>
      <c r="F8" s="738"/>
      <c r="G8" s="739"/>
      <c r="H8" s="726"/>
      <c r="I8" s="702"/>
      <c r="J8" s="702"/>
      <c r="K8" s="702"/>
      <c r="L8" s="702"/>
      <c r="M8" s="737"/>
      <c r="N8" s="740"/>
      <c r="O8" s="741"/>
      <c r="P8" s="742"/>
      <c r="Q8" s="743"/>
      <c r="R8" s="744"/>
      <c r="S8" s="744"/>
      <c r="T8" s="744"/>
      <c r="U8" s="744"/>
      <c r="V8" s="744"/>
      <c r="W8" s="744"/>
      <c r="X8" s="745"/>
      <c r="Y8" s="740"/>
      <c r="Z8" s="741"/>
      <c r="AA8" s="746"/>
    </row>
    <row r="9" spans="1:42" ht="20.100000000000001" customHeight="1" x14ac:dyDescent="0.15">
      <c r="B9" s="724" t="s">
        <v>355</v>
      </c>
      <c r="C9" s="725"/>
      <c r="D9" s="738"/>
      <c r="E9" s="738"/>
      <c r="F9" s="738"/>
      <c r="G9" s="739"/>
      <c r="H9" s="726"/>
      <c r="I9" s="702"/>
      <c r="J9" s="702"/>
      <c r="K9" s="702"/>
      <c r="L9" s="702"/>
      <c r="M9" s="737"/>
      <c r="N9" s="740"/>
      <c r="O9" s="741"/>
      <c r="P9" s="742"/>
      <c r="Q9" s="743"/>
      <c r="R9" s="744"/>
      <c r="S9" s="744"/>
      <c r="T9" s="744"/>
      <c r="U9" s="744"/>
      <c r="V9" s="744"/>
      <c r="W9" s="744"/>
      <c r="X9" s="745"/>
      <c r="Y9" s="740"/>
      <c r="Z9" s="741"/>
      <c r="AA9" s="746"/>
    </row>
    <row r="10" spans="1:42" ht="20.100000000000001" customHeight="1" x14ac:dyDescent="0.15">
      <c r="B10" s="724" t="s">
        <v>356</v>
      </c>
      <c r="C10" s="725"/>
      <c r="D10" s="738"/>
      <c r="E10" s="738"/>
      <c r="F10" s="738"/>
      <c r="G10" s="739"/>
      <c r="H10" s="750"/>
      <c r="I10" s="751"/>
      <c r="J10" s="751"/>
      <c r="K10" s="751"/>
      <c r="L10" s="751"/>
      <c r="M10" s="751"/>
      <c r="N10" s="740"/>
      <c r="O10" s="741"/>
      <c r="P10" s="742"/>
      <c r="Q10" s="743"/>
      <c r="R10" s="744"/>
      <c r="S10" s="744"/>
      <c r="T10" s="744"/>
      <c r="U10" s="744"/>
      <c r="V10" s="744"/>
      <c r="W10" s="744"/>
      <c r="X10" s="745"/>
      <c r="Y10" s="741"/>
      <c r="Z10" s="741"/>
      <c r="AA10" s="746"/>
    </row>
    <row r="11" spans="1:42" ht="20.100000000000001" customHeight="1" thickBot="1" x14ac:dyDescent="0.2">
      <c r="B11" s="754" t="s">
        <v>357</v>
      </c>
      <c r="C11" s="728"/>
      <c r="D11" s="755"/>
      <c r="E11" s="755"/>
      <c r="F11" s="755"/>
      <c r="G11" s="756"/>
      <c r="H11" s="757"/>
      <c r="I11" s="758"/>
      <c r="J11" s="758"/>
      <c r="K11" s="758"/>
      <c r="L11" s="758"/>
      <c r="M11" s="758"/>
      <c r="N11" s="749"/>
      <c r="O11" s="747"/>
      <c r="P11" s="747"/>
      <c r="Q11" s="759"/>
      <c r="R11" s="760"/>
      <c r="S11" s="760"/>
      <c r="T11" s="760"/>
      <c r="U11" s="760"/>
      <c r="V11" s="760"/>
      <c r="W11" s="760"/>
      <c r="X11" s="761"/>
      <c r="Y11" s="747"/>
      <c r="Z11" s="747"/>
      <c r="AA11" s="748"/>
    </row>
    <row r="12" spans="1:42" ht="20.100000000000001" customHeight="1" x14ac:dyDescent="0.15">
      <c r="B12" s="762" t="s">
        <v>110</v>
      </c>
      <c r="C12" s="825" t="s">
        <v>358</v>
      </c>
      <c r="D12" s="826"/>
      <c r="E12" s="831"/>
      <c r="F12" s="485" t="s">
        <v>359</v>
      </c>
      <c r="G12" s="825">
        <v>1</v>
      </c>
      <c r="H12" s="826"/>
      <c r="I12" s="831"/>
      <c r="J12" s="825">
        <v>2</v>
      </c>
      <c r="K12" s="826"/>
      <c r="L12" s="831"/>
      <c r="M12" s="825">
        <v>3</v>
      </c>
      <c r="N12" s="826"/>
      <c r="O12" s="831"/>
      <c r="P12" s="825">
        <v>4</v>
      </c>
      <c r="Q12" s="826"/>
      <c r="R12" s="831"/>
      <c r="S12" s="825">
        <v>5</v>
      </c>
      <c r="T12" s="826"/>
      <c r="U12" s="831"/>
      <c r="V12" s="825">
        <v>6</v>
      </c>
      <c r="W12" s="826"/>
      <c r="X12" s="831"/>
      <c r="Y12" s="825">
        <v>7</v>
      </c>
      <c r="Z12" s="826"/>
      <c r="AA12" s="831"/>
      <c r="AB12" s="825">
        <v>8</v>
      </c>
      <c r="AC12" s="826"/>
      <c r="AD12" s="831"/>
      <c r="AE12" s="825">
        <v>9</v>
      </c>
      <c r="AF12" s="826"/>
      <c r="AG12" s="831"/>
      <c r="AH12" s="825">
        <v>10</v>
      </c>
      <c r="AI12" s="826"/>
      <c r="AJ12" s="831"/>
      <c r="AK12" s="825">
        <v>11</v>
      </c>
      <c r="AL12" s="826"/>
      <c r="AM12" s="831"/>
      <c r="AN12" s="825">
        <v>12</v>
      </c>
      <c r="AO12" s="826"/>
      <c r="AP12" s="827"/>
    </row>
    <row r="13" spans="1:42" ht="20.100000000000001" customHeight="1" x14ac:dyDescent="0.15">
      <c r="B13" s="763"/>
      <c r="C13" s="279" t="s">
        <v>360</v>
      </c>
      <c r="D13" s="481"/>
      <c r="E13" s="276"/>
      <c r="F13" s="352">
        <f>AB26</f>
        <v>5</v>
      </c>
      <c r="G13" s="477"/>
      <c r="H13" s="478"/>
      <c r="I13" s="478"/>
      <c r="J13" s="477"/>
      <c r="K13" s="478"/>
      <c r="L13" s="89"/>
      <c r="M13" s="478"/>
      <c r="N13" s="478"/>
      <c r="O13" s="353" t="s">
        <v>378</v>
      </c>
      <c r="P13" s="477"/>
      <c r="Q13" s="478"/>
      <c r="R13" s="354" t="s">
        <v>379</v>
      </c>
      <c r="S13" s="355"/>
      <c r="T13" s="478"/>
      <c r="U13" s="353"/>
      <c r="V13" s="477"/>
      <c r="W13" s="478"/>
      <c r="X13" s="89"/>
      <c r="Y13" s="91"/>
      <c r="Z13" s="478"/>
      <c r="AA13" s="356" t="s">
        <v>380</v>
      </c>
      <c r="AB13" s="477"/>
      <c r="AC13" s="478"/>
      <c r="AD13" s="89"/>
      <c r="AE13" s="477"/>
      <c r="AF13" s="478"/>
      <c r="AG13" s="89"/>
      <c r="AH13" s="477"/>
      <c r="AI13" s="478"/>
      <c r="AJ13" s="89"/>
      <c r="AK13" s="477"/>
      <c r="AL13" s="478"/>
      <c r="AM13" s="89"/>
      <c r="AN13" s="478"/>
      <c r="AO13" s="478"/>
      <c r="AP13" s="479"/>
    </row>
    <row r="14" spans="1:42" ht="20.100000000000001" customHeight="1" x14ac:dyDescent="0.15">
      <c r="B14" s="763"/>
      <c r="C14" s="280" t="s">
        <v>381</v>
      </c>
      <c r="D14" s="481"/>
      <c r="E14" s="276"/>
      <c r="F14" s="357">
        <f>AM26</f>
        <v>10</v>
      </c>
      <c r="G14" s="482"/>
      <c r="H14" s="358"/>
      <c r="I14" s="358"/>
      <c r="J14" s="482"/>
      <c r="K14" s="358"/>
      <c r="L14" s="92"/>
      <c r="M14" s="478"/>
      <c r="N14" s="478"/>
      <c r="O14" s="353"/>
      <c r="P14" s="477" t="s">
        <v>341</v>
      </c>
      <c r="Q14" s="478"/>
      <c r="R14" s="354"/>
      <c r="S14" s="355" t="s">
        <v>361</v>
      </c>
      <c r="T14" s="478"/>
      <c r="U14" s="353"/>
      <c r="V14" s="477"/>
      <c r="W14" s="478"/>
      <c r="X14" s="89"/>
      <c r="Y14" s="91"/>
      <c r="Z14" s="478"/>
      <c r="AA14" s="90"/>
      <c r="AB14" s="359" t="s">
        <v>380</v>
      </c>
      <c r="AC14" s="478"/>
      <c r="AD14" s="89"/>
      <c r="AE14" s="477"/>
      <c r="AF14" s="478"/>
      <c r="AG14" s="89"/>
      <c r="AH14" s="482"/>
      <c r="AI14" s="358"/>
      <c r="AJ14" s="92"/>
      <c r="AK14" s="482"/>
      <c r="AL14" s="358"/>
      <c r="AM14" s="92"/>
      <c r="AN14" s="358"/>
      <c r="AO14" s="358"/>
      <c r="AP14" s="360"/>
    </row>
    <row r="15" spans="1:42" ht="20.100000000000001" customHeight="1" x14ac:dyDescent="0.15">
      <c r="B15" s="763"/>
      <c r="C15" s="280" t="s">
        <v>382</v>
      </c>
      <c r="D15" s="481"/>
      <c r="E15" s="276"/>
      <c r="F15" s="357">
        <f>AM27</f>
        <v>5</v>
      </c>
      <c r="G15" s="482"/>
      <c r="H15" s="358"/>
      <c r="I15" s="358"/>
      <c r="J15" s="482"/>
      <c r="K15" s="358"/>
      <c r="L15" s="92"/>
      <c r="M15" s="358"/>
      <c r="N15" s="358"/>
      <c r="O15" s="93"/>
      <c r="P15" s="477"/>
      <c r="Q15" s="358" t="s">
        <v>341</v>
      </c>
      <c r="R15" s="354"/>
      <c r="S15" s="355"/>
      <c r="T15" s="478" t="s">
        <v>361</v>
      </c>
      <c r="U15" s="353"/>
      <c r="V15" s="477"/>
      <c r="W15" s="537"/>
      <c r="X15" s="89"/>
      <c r="Y15" s="91"/>
      <c r="Z15" s="478"/>
      <c r="AA15" s="90"/>
      <c r="AB15" s="477"/>
      <c r="AC15" s="361" t="s">
        <v>380</v>
      </c>
      <c r="AD15" s="89"/>
      <c r="AE15" s="477"/>
      <c r="AF15" s="478"/>
      <c r="AG15" s="89"/>
      <c r="AH15" s="482"/>
      <c r="AI15" s="358"/>
      <c r="AJ15" s="92"/>
      <c r="AK15" s="482"/>
      <c r="AL15" s="358"/>
      <c r="AM15" s="92"/>
      <c r="AN15" s="358"/>
      <c r="AO15" s="358"/>
      <c r="AP15" s="360"/>
    </row>
    <row r="16" spans="1:42" ht="20.100000000000001" customHeight="1" x14ac:dyDescent="0.15">
      <c r="B16" s="763"/>
      <c r="C16" s="280" t="s">
        <v>387</v>
      </c>
      <c r="D16" s="481"/>
      <c r="E16" s="276"/>
      <c r="F16" s="369">
        <v>10</v>
      </c>
      <c r="G16" s="482"/>
      <c r="H16" s="358"/>
      <c r="I16" s="358"/>
      <c r="J16" s="482"/>
      <c r="K16" s="358"/>
      <c r="L16" s="92"/>
      <c r="M16" s="358"/>
      <c r="N16" s="358"/>
      <c r="O16" s="93"/>
      <c r="P16" s="477"/>
      <c r="Q16" s="478"/>
      <c r="R16" s="354"/>
      <c r="S16" s="355"/>
      <c r="T16" s="478"/>
      <c r="U16" s="353"/>
      <c r="V16" s="477"/>
      <c r="W16" s="486" t="s">
        <v>341</v>
      </c>
      <c r="X16" s="92"/>
      <c r="Y16" s="94"/>
      <c r="Z16" s="358"/>
      <c r="AA16" s="93"/>
      <c r="AB16" s="490"/>
      <c r="AC16" s="361" t="s">
        <v>380</v>
      </c>
      <c r="AD16" s="92"/>
      <c r="AE16" s="490"/>
      <c r="AF16" s="358"/>
      <c r="AG16" s="92"/>
      <c r="AH16" s="490"/>
      <c r="AI16" s="358"/>
      <c r="AJ16" s="92"/>
      <c r="AK16" s="490"/>
      <c r="AL16" s="358"/>
      <c r="AM16" s="92"/>
      <c r="AN16" s="358"/>
      <c r="AO16" s="358"/>
      <c r="AP16" s="360"/>
    </row>
    <row r="17" spans="2:42" ht="20.100000000000001" customHeight="1" x14ac:dyDescent="0.15">
      <c r="B17" s="763"/>
      <c r="C17" s="280" t="s">
        <v>388</v>
      </c>
      <c r="D17" s="481"/>
      <c r="E17" s="276"/>
      <c r="F17" s="369">
        <v>10</v>
      </c>
      <c r="G17" s="482"/>
      <c r="H17" s="358"/>
      <c r="I17" s="358"/>
      <c r="J17" s="482"/>
      <c r="K17" s="358"/>
      <c r="L17" s="92"/>
      <c r="M17" s="358"/>
      <c r="N17" s="358"/>
      <c r="O17" s="93"/>
      <c r="P17" s="482"/>
      <c r="Q17" s="358"/>
      <c r="R17" s="513" t="s">
        <v>557</v>
      </c>
      <c r="S17" s="514"/>
      <c r="T17" s="358"/>
      <c r="U17" s="93"/>
      <c r="V17" s="482"/>
      <c r="W17" s="358"/>
      <c r="X17" s="92"/>
      <c r="Y17" s="94"/>
      <c r="Z17" s="358"/>
      <c r="AA17" s="93"/>
      <c r="AB17" s="482"/>
      <c r="AC17" s="358"/>
      <c r="AD17" s="92"/>
      <c r="AE17" s="482"/>
      <c r="AF17" s="358"/>
      <c r="AG17" s="92"/>
      <c r="AH17" s="482"/>
      <c r="AI17" s="358"/>
      <c r="AJ17" s="92"/>
      <c r="AK17" s="512" t="s">
        <v>555</v>
      </c>
      <c r="AL17" s="358"/>
      <c r="AM17" s="513" t="s">
        <v>555</v>
      </c>
      <c r="AN17" s="358"/>
      <c r="AO17" s="358"/>
      <c r="AP17" s="360"/>
    </row>
    <row r="18" spans="2:42" ht="20.100000000000001" customHeight="1" x14ac:dyDescent="0.15">
      <c r="B18" s="763"/>
      <c r="C18" s="280"/>
      <c r="D18" s="481"/>
      <c r="E18" s="276"/>
      <c r="F18" s="357"/>
      <c r="G18" s="482"/>
      <c r="H18" s="358"/>
      <c r="I18" s="358"/>
      <c r="J18" s="482"/>
      <c r="K18" s="358"/>
      <c r="L18" s="92"/>
      <c r="M18" s="358"/>
      <c r="N18" s="358"/>
      <c r="O18" s="93"/>
      <c r="P18" s="482"/>
      <c r="Q18" s="358"/>
      <c r="R18" s="92"/>
      <c r="S18" s="94"/>
      <c r="T18" s="358"/>
      <c r="U18" s="93"/>
      <c r="V18" s="482"/>
      <c r="W18" s="358"/>
      <c r="X18" s="92"/>
      <c r="Y18" s="94"/>
      <c r="Z18" s="358"/>
      <c r="AA18" s="93"/>
      <c r="AB18" s="482"/>
      <c r="AC18" s="358"/>
      <c r="AD18" s="92"/>
      <c r="AE18" s="482"/>
      <c r="AF18" s="358"/>
      <c r="AG18" s="92"/>
      <c r="AH18" s="482"/>
      <c r="AI18" s="358"/>
      <c r="AJ18" s="92"/>
      <c r="AK18" s="482"/>
      <c r="AL18" s="358"/>
      <c r="AM18" s="92"/>
      <c r="AN18" s="358"/>
      <c r="AO18" s="358"/>
      <c r="AP18" s="360"/>
    </row>
    <row r="19" spans="2:42" ht="20.100000000000001" customHeight="1" x14ac:dyDescent="0.15">
      <c r="B19" s="764"/>
      <c r="C19" s="281"/>
      <c r="D19" s="277"/>
      <c r="E19" s="278"/>
      <c r="F19" s="275"/>
      <c r="G19" s="483"/>
      <c r="H19" s="484"/>
      <c r="I19" s="484"/>
      <c r="J19" s="362"/>
      <c r="K19" s="363"/>
      <c r="L19" s="364"/>
      <c r="M19" s="484"/>
      <c r="N19" s="484"/>
      <c r="O19" s="95"/>
      <c r="P19" s="362"/>
      <c r="Q19" s="363"/>
      <c r="R19" s="364"/>
      <c r="S19" s="96"/>
      <c r="T19" s="484"/>
      <c r="U19" s="95"/>
      <c r="V19" s="362"/>
      <c r="W19" s="363"/>
      <c r="X19" s="364"/>
      <c r="Y19" s="96"/>
      <c r="Z19" s="484"/>
      <c r="AA19" s="95"/>
      <c r="AB19" s="362"/>
      <c r="AC19" s="363"/>
      <c r="AD19" s="364"/>
      <c r="AE19" s="362"/>
      <c r="AF19" s="363"/>
      <c r="AG19" s="364"/>
      <c r="AH19" s="362"/>
      <c r="AI19" s="363"/>
      <c r="AJ19" s="364"/>
      <c r="AK19" s="362"/>
      <c r="AL19" s="363"/>
      <c r="AM19" s="364"/>
      <c r="AN19" s="363"/>
      <c r="AO19" s="363"/>
      <c r="AP19" s="365"/>
    </row>
    <row r="20" spans="2:42" ht="20.100000000000001" customHeight="1" x14ac:dyDescent="0.15">
      <c r="B20" s="824" t="s">
        <v>383</v>
      </c>
      <c r="C20" s="828"/>
      <c r="D20" s="829"/>
      <c r="E20" s="829"/>
      <c r="F20" s="829"/>
      <c r="G20" s="829"/>
      <c r="H20" s="829"/>
      <c r="I20" s="829"/>
      <c r="J20" s="829"/>
      <c r="K20" s="829"/>
      <c r="L20" s="829"/>
      <c r="M20" s="829"/>
      <c r="N20" s="829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829"/>
      <c r="AC20" s="829"/>
      <c r="AD20" s="829"/>
      <c r="AE20" s="829"/>
      <c r="AF20" s="829"/>
      <c r="AG20" s="829"/>
      <c r="AH20" s="829"/>
      <c r="AI20" s="829"/>
      <c r="AJ20" s="829"/>
      <c r="AK20" s="829"/>
      <c r="AL20" s="829"/>
      <c r="AM20" s="829"/>
      <c r="AN20" s="829"/>
      <c r="AO20" s="829"/>
      <c r="AP20" s="830"/>
    </row>
    <row r="21" spans="2:42" ht="20.100000000000001" customHeight="1" x14ac:dyDescent="0.15">
      <c r="B21" s="727"/>
      <c r="C21" s="752" t="s">
        <v>556</v>
      </c>
      <c r="D21" s="753"/>
      <c r="E21" s="753"/>
      <c r="F21" s="753"/>
      <c r="G21" s="753"/>
      <c r="H21" s="753"/>
      <c r="I21" s="753"/>
      <c r="J21" s="753"/>
      <c r="K21" s="753"/>
      <c r="L21" s="753"/>
      <c r="M21" s="753"/>
      <c r="N21" s="753"/>
      <c r="O21" s="753"/>
      <c r="P21" s="753"/>
      <c r="Q21" s="753"/>
      <c r="R21" s="753"/>
      <c r="S21" s="753"/>
      <c r="T21" s="753"/>
      <c r="U21" s="753"/>
      <c r="V21" s="480"/>
      <c r="W21" s="480"/>
      <c r="Y21" s="730" t="s">
        <v>384</v>
      </c>
      <c r="Z21" s="730"/>
      <c r="AA21" s="730"/>
      <c r="AB21" s="730"/>
      <c r="AC21" s="480"/>
      <c r="AD21" s="480"/>
      <c r="AI21" s="480"/>
      <c r="AJ21" s="480"/>
      <c r="AK21" s="480"/>
      <c r="AL21" s="480"/>
      <c r="AM21" s="480"/>
      <c r="AN21" s="480"/>
      <c r="AO21" s="480"/>
      <c r="AP21" s="97"/>
    </row>
    <row r="22" spans="2:42" ht="20.100000000000001" customHeight="1" thickBot="1" x14ac:dyDescent="0.2">
      <c r="B22" s="754"/>
      <c r="C22" s="788"/>
      <c r="D22" s="789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789"/>
      <c r="AH22" s="789"/>
      <c r="AI22" s="789"/>
      <c r="AJ22" s="789"/>
      <c r="AK22" s="789"/>
      <c r="AL22" s="789"/>
      <c r="AM22" s="789"/>
      <c r="AN22" s="789"/>
      <c r="AO22" s="789"/>
      <c r="AP22" s="790"/>
    </row>
    <row r="23" spans="2:42" ht="9.9499999999999993" customHeight="1" x14ac:dyDescent="0.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</row>
    <row r="24" spans="2:42" ht="24.95" customHeight="1" thickBot="1" x14ac:dyDescent="0.2">
      <c r="B24" s="80" t="s">
        <v>385</v>
      </c>
    </row>
    <row r="25" spans="2:42" ht="20.100000000000001" customHeight="1" thickBot="1" x14ac:dyDescent="0.2">
      <c r="B25" s="818" t="s">
        <v>19</v>
      </c>
      <c r="C25" s="819"/>
      <c r="D25" s="819"/>
      <c r="E25" s="819"/>
      <c r="F25" s="819"/>
      <c r="G25" s="819"/>
      <c r="H25" s="819"/>
      <c r="I25" s="819"/>
      <c r="J25" s="819"/>
      <c r="K25" s="819"/>
      <c r="L25" s="819"/>
      <c r="M25" s="819"/>
      <c r="N25" s="820"/>
      <c r="O25" s="821" t="s">
        <v>18</v>
      </c>
      <c r="P25" s="822"/>
      <c r="Q25" s="822"/>
      <c r="R25" s="822"/>
      <c r="S25" s="822"/>
      <c r="T25" s="822"/>
      <c r="U25" s="822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2"/>
      <c r="AJ25" s="822"/>
      <c r="AK25" s="822"/>
      <c r="AL25" s="822"/>
      <c r="AM25" s="822"/>
      <c r="AN25" s="822"/>
      <c r="AO25" s="822"/>
      <c r="AP25" s="823"/>
    </row>
    <row r="26" spans="2:42" ht="19.899999999999999" customHeight="1" x14ac:dyDescent="0.15">
      <c r="B26" s="772" t="s">
        <v>14</v>
      </c>
      <c r="C26" s="773"/>
      <c r="D26" s="774"/>
      <c r="E26" s="806" t="s">
        <v>362</v>
      </c>
      <c r="F26" s="807"/>
      <c r="G26" s="807"/>
      <c r="H26" s="807"/>
      <c r="I26" s="807"/>
      <c r="J26" s="807"/>
      <c r="K26" s="807"/>
      <c r="L26" s="807"/>
      <c r="M26" s="807"/>
      <c r="N26" s="808"/>
      <c r="O26" s="772" t="s">
        <v>11</v>
      </c>
      <c r="P26" s="773"/>
      <c r="Q26" s="773"/>
      <c r="R26" s="773"/>
      <c r="S26" s="774"/>
      <c r="T26" s="781" t="s">
        <v>363</v>
      </c>
      <c r="U26" s="766"/>
      <c r="V26" s="766"/>
      <c r="W26" s="766"/>
      <c r="X26" s="766"/>
      <c r="Y26" s="766"/>
      <c r="Z26" s="366"/>
      <c r="AA26" s="366"/>
      <c r="AB26" s="366">
        <v>5</v>
      </c>
      <c r="AC26" s="767" t="s">
        <v>386</v>
      </c>
      <c r="AD26" s="768"/>
      <c r="AE26" s="765" t="s">
        <v>301</v>
      </c>
      <c r="AF26" s="766"/>
      <c r="AG26" s="766"/>
      <c r="AH26" s="766"/>
      <c r="AI26" s="766"/>
      <c r="AJ26" s="766"/>
      <c r="AK26" s="366"/>
      <c r="AL26" s="366"/>
      <c r="AM26" s="366">
        <v>10</v>
      </c>
      <c r="AN26" s="769" t="s">
        <v>386</v>
      </c>
      <c r="AO26" s="770"/>
      <c r="AP26" s="771"/>
    </row>
    <row r="27" spans="2:42" ht="19.899999999999999" customHeight="1" x14ac:dyDescent="0.15">
      <c r="B27" s="775"/>
      <c r="C27" s="776"/>
      <c r="D27" s="777"/>
      <c r="E27" s="809"/>
      <c r="F27" s="810"/>
      <c r="G27" s="810"/>
      <c r="H27" s="810"/>
      <c r="I27" s="810"/>
      <c r="J27" s="810"/>
      <c r="K27" s="810"/>
      <c r="L27" s="810"/>
      <c r="M27" s="810"/>
      <c r="N27" s="811"/>
      <c r="O27" s="775"/>
      <c r="P27" s="776"/>
      <c r="Q27" s="776"/>
      <c r="R27" s="776"/>
      <c r="S27" s="777"/>
      <c r="T27" s="695" t="s">
        <v>302</v>
      </c>
      <c r="U27" s="692"/>
      <c r="V27" s="692"/>
      <c r="W27" s="692"/>
      <c r="X27" s="692"/>
      <c r="Y27" s="692"/>
      <c r="Z27" s="367"/>
      <c r="AA27" s="367"/>
      <c r="AB27" s="367">
        <v>0</v>
      </c>
      <c r="AC27" s="696" t="s">
        <v>298</v>
      </c>
      <c r="AD27" s="696"/>
      <c r="AE27" s="691" t="s">
        <v>302</v>
      </c>
      <c r="AF27" s="692"/>
      <c r="AG27" s="692"/>
      <c r="AH27" s="692"/>
      <c r="AI27" s="692"/>
      <c r="AJ27" s="692"/>
      <c r="AK27" s="367"/>
      <c r="AL27" s="367"/>
      <c r="AM27" s="367">
        <v>5</v>
      </c>
      <c r="AN27" s="785" t="s">
        <v>298</v>
      </c>
      <c r="AO27" s="785"/>
      <c r="AP27" s="786"/>
    </row>
    <row r="28" spans="2:42" ht="19.899999999999999" customHeight="1" x14ac:dyDescent="0.15">
      <c r="B28" s="775"/>
      <c r="C28" s="776"/>
      <c r="D28" s="777"/>
      <c r="E28" s="809"/>
      <c r="F28" s="810"/>
      <c r="G28" s="810"/>
      <c r="H28" s="810"/>
      <c r="I28" s="810"/>
      <c r="J28" s="810"/>
      <c r="K28" s="810"/>
      <c r="L28" s="810"/>
      <c r="M28" s="810"/>
      <c r="N28" s="811"/>
      <c r="O28" s="775"/>
      <c r="P28" s="776"/>
      <c r="Q28" s="776"/>
      <c r="R28" s="776"/>
      <c r="S28" s="777"/>
      <c r="T28" s="695"/>
      <c r="U28" s="692"/>
      <c r="V28" s="692"/>
      <c r="W28" s="692"/>
      <c r="X28" s="692"/>
      <c r="Y28" s="692"/>
      <c r="Z28" s="367"/>
      <c r="AA28" s="367"/>
      <c r="AB28" s="367"/>
      <c r="AC28" s="696"/>
      <c r="AD28" s="696"/>
      <c r="AE28" s="697" t="s">
        <v>510</v>
      </c>
      <c r="AF28" s="698"/>
      <c r="AG28" s="698"/>
      <c r="AH28" s="698"/>
      <c r="AI28" s="698"/>
      <c r="AJ28" s="698"/>
      <c r="AK28" s="367"/>
      <c r="AL28" s="367"/>
      <c r="AM28" s="367">
        <v>10</v>
      </c>
      <c r="AN28" s="785" t="s">
        <v>298</v>
      </c>
      <c r="AO28" s="785"/>
      <c r="AP28" s="786"/>
    </row>
    <row r="29" spans="2:42" ht="19.899999999999999" customHeight="1" x14ac:dyDescent="0.15">
      <c r="B29" s="775"/>
      <c r="C29" s="776"/>
      <c r="D29" s="777"/>
      <c r="E29" s="809"/>
      <c r="F29" s="810"/>
      <c r="G29" s="810"/>
      <c r="H29" s="810"/>
      <c r="I29" s="810"/>
      <c r="J29" s="810"/>
      <c r="K29" s="810"/>
      <c r="L29" s="810"/>
      <c r="M29" s="810"/>
      <c r="N29" s="811"/>
      <c r="O29" s="775"/>
      <c r="P29" s="776"/>
      <c r="Q29" s="776"/>
      <c r="R29" s="776"/>
      <c r="S29" s="777"/>
      <c r="T29" s="695" t="s">
        <v>509</v>
      </c>
      <c r="U29" s="692"/>
      <c r="V29" s="692"/>
      <c r="W29" s="692"/>
      <c r="X29" s="692"/>
      <c r="Y29" s="692"/>
      <c r="Z29" s="367"/>
      <c r="AA29" s="367"/>
      <c r="AB29" s="367">
        <v>10</v>
      </c>
      <c r="AC29" s="696" t="s">
        <v>298</v>
      </c>
      <c r="AD29" s="696"/>
      <c r="AE29" s="691"/>
      <c r="AF29" s="692"/>
      <c r="AG29" s="692"/>
      <c r="AH29" s="692"/>
      <c r="AI29" s="692"/>
      <c r="AJ29" s="692"/>
      <c r="AK29" s="367"/>
      <c r="AL29" s="367"/>
      <c r="AM29" s="367"/>
      <c r="AN29" s="785"/>
      <c r="AO29" s="785"/>
      <c r="AP29" s="786"/>
    </row>
    <row r="30" spans="2:42" ht="19.899999999999999" customHeight="1" x14ac:dyDescent="0.15">
      <c r="B30" s="778"/>
      <c r="C30" s="779"/>
      <c r="D30" s="780"/>
      <c r="E30" s="812"/>
      <c r="F30" s="813"/>
      <c r="G30" s="813"/>
      <c r="H30" s="813"/>
      <c r="I30" s="813"/>
      <c r="J30" s="813"/>
      <c r="K30" s="813"/>
      <c r="L30" s="813"/>
      <c r="M30" s="813"/>
      <c r="N30" s="814"/>
      <c r="O30" s="778"/>
      <c r="P30" s="779"/>
      <c r="Q30" s="779"/>
      <c r="R30" s="779"/>
      <c r="S30" s="780"/>
      <c r="T30" s="782"/>
      <c r="U30" s="694"/>
      <c r="V30" s="694"/>
      <c r="W30" s="694"/>
      <c r="X30" s="694"/>
      <c r="Y30" s="694"/>
      <c r="Z30" s="368"/>
      <c r="AA30" s="368"/>
      <c r="AB30" s="368"/>
      <c r="AC30" s="787"/>
      <c r="AD30" s="787"/>
      <c r="AE30" s="693"/>
      <c r="AF30" s="694"/>
      <c r="AG30" s="694"/>
      <c r="AH30" s="694"/>
      <c r="AI30" s="694"/>
      <c r="AJ30" s="694"/>
      <c r="AK30" s="368"/>
      <c r="AL30" s="368"/>
      <c r="AM30" s="368"/>
      <c r="AN30" s="783"/>
      <c r="AO30" s="783"/>
      <c r="AP30" s="784"/>
    </row>
    <row r="31" spans="2:42" ht="68.25" customHeight="1" x14ac:dyDescent="0.15">
      <c r="B31" s="796" t="s">
        <v>15</v>
      </c>
      <c r="C31" s="792"/>
      <c r="D31" s="792"/>
      <c r="E31" s="793" t="s">
        <v>364</v>
      </c>
      <c r="F31" s="794"/>
      <c r="G31" s="794"/>
      <c r="H31" s="794"/>
      <c r="I31" s="794"/>
      <c r="J31" s="794"/>
      <c r="K31" s="794"/>
      <c r="L31" s="794"/>
      <c r="M31" s="794"/>
      <c r="N31" s="795"/>
      <c r="O31" s="791" t="s">
        <v>12</v>
      </c>
      <c r="P31" s="792"/>
      <c r="Q31" s="792"/>
      <c r="R31" s="792"/>
      <c r="S31" s="792"/>
      <c r="T31" s="793" t="s">
        <v>660</v>
      </c>
      <c r="U31" s="794"/>
      <c r="V31" s="794"/>
      <c r="W31" s="794"/>
      <c r="X31" s="794"/>
      <c r="Y31" s="794"/>
      <c r="Z31" s="794"/>
      <c r="AA31" s="794"/>
      <c r="AB31" s="794"/>
      <c r="AC31" s="794"/>
      <c r="AD31" s="794"/>
      <c r="AE31" s="794"/>
      <c r="AF31" s="794"/>
      <c r="AG31" s="794"/>
      <c r="AH31" s="794"/>
      <c r="AI31" s="794"/>
      <c r="AJ31" s="794"/>
      <c r="AK31" s="794"/>
      <c r="AL31" s="794"/>
      <c r="AM31" s="794"/>
      <c r="AN31" s="794"/>
      <c r="AO31" s="794"/>
      <c r="AP31" s="795"/>
    </row>
    <row r="32" spans="2:42" ht="39.950000000000003" customHeight="1" x14ac:dyDescent="0.15">
      <c r="B32" s="796" t="s">
        <v>16</v>
      </c>
      <c r="C32" s="792"/>
      <c r="D32" s="792"/>
      <c r="E32" s="793" t="s">
        <v>365</v>
      </c>
      <c r="F32" s="794"/>
      <c r="G32" s="794"/>
      <c r="H32" s="794"/>
      <c r="I32" s="794"/>
      <c r="J32" s="794"/>
      <c r="K32" s="794"/>
      <c r="L32" s="794"/>
      <c r="M32" s="794"/>
      <c r="N32" s="795"/>
      <c r="O32" s="791" t="s">
        <v>13</v>
      </c>
      <c r="P32" s="792"/>
      <c r="Q32" s="792"/>
      <c r="R32" s="792"/>
      <c r="S32" s="792"/>
      <c r="T32" s="799" t="s">
        <v>508</v>
      </c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800"/>
      <c r="AI32" s="800"/>
      <c r="AJ32" s="800"/>
      <c r="AK32" s="800"/>
      <c r="AL32" s="800"/>
      <c r="AM32" s="800"/>
      <c r="AN32" s="800"/>
      <c r="AO32" s="800"/>
      <c r="AP32" s="801"/>
    </row>
    <row r="33" spans="2:42" ht="39.950000000000003" customHeight="1" thickBot="1" x14ac:dyDescent="0.2">
      <c r="B33" s="805" t="s">
        <v>17</v>
      </c>
      <c r="C33" s="798"/>
      <c r="D33" s="798"/>
      <c r="E33" s="815" t="s">
        <v>366</v>
      </c>
      <c r="F33" s="816"/>
      <c r="G33" s="816"/>
      <c r="H33" s="816"/>
      <c r="I33" s="816"/>
      <c r="J33" s="816"/>
      <c r="K33" s="816"/>
      <c r="L33" s="816"/>
      <c r="M33" s="816"/>
      <c r="N33" s="817"/>
      <c r="O33" s="797"/>
      <c r="P33" s="798"/>
      <c r="Q33" s="798"/>
      <c r="R33" s="798"/>
      <c r="S33" s="798"/>
      <c r="T33" s="802"/>
      <c r="U33" s="803"/>
      <c r="V33" s="80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  <c r="AG33" s="803"/>
      <c r="AH33" s="803"/>
      <c r="AI33" s="803"/>
      <c r="AJ33" s="803"/>
      <c r="AK33" s="803"/>
      <c r="AL33" s="803"/>
      <c r="AM33" s="803"/>
      <c r="AN33" s="803"/>
      <c r="AO33" s="803"/>
      <c r="AP33" s="804"/>
    </row>
    <row r="34" spans="2:42" ht="9.75" customHeight="1" x14ac:dyDescent="0.15">
      <c r="B34" s="84"/>
    </row>
  </sheetData>
  <mergeCells count="98">
    <mergeCell ref="AN12:AP12"/>
    <mergeCell ref="C20:AP20"/>
    <mergeCell ref="AE12:AG12"/>
    <mergeCell ref="J12:L12"/>
    <mergeCell ref="G12:I12"/>
    <mergeCell ref="AK12:AM12"/>
    <mergeCell ref="AB12:AD12"/>
    <mergeCell ref="M12:O12"/>
    <mergeCell ref="P12:R12"/>
    <mergeCell ref="S12:U12"/>
    <mergeCell ref="AH12:AJ12"/>
    <mergeCell ref="Y12:AA12"/>
    <mergeCell ref="V12:X12"/>
    <mergeCell ref="C12:E12"/>
    <mergeCell ref="C22:AP22"/>
    <mergeCell ref="O31:S31"/>
    <mergeCell ref="T31:AP31"/>
    <mergeCell ref="B32:D32"/>
    <mergeCell ref="E32:N32"/>
    <mergeCell ref="O32:S33"/>
    <mergeCell ref="T32:AP33"/>
    <mergeCell ref="B33:D33"/>
    <mergeCell ref="B26:D30"/>
    <mergeCell ref="E26:N30"/>
    <mergeCell ref="E33:N33"/>
    <mergeCell ref="B31:D31"/>
    <mergeCell ref="E31:N31"/>
    <mergeCell ref="B25:N25"/>
    <mergeCell ref="O25:AP25"/>
    <mergeCell ref="B20:B22"/>
    <mergeCell ref="AE26:AJ26"/>
    <mergeCell ref="AC26:AD26"/>
    <mergeCell ref="AN26:AP26"/>
    <mergeCell ref="O26:S30"/>
    <mergeCell ref="T26:Y26"/>
    <mergeCell ref="T27:Y27"/>
    <mergeCell ref="T29:Y29"/>
    <mergeCell ref="T30:Y30"/>
    <mergeCell ref="AC27:AD27"/>
    <mergeCell ref="AN30:AP30"/>
    <mergeCell ref="AN28:AP28"/>
    <mergeCell ref="AC29:AD29"/>
    <mergeCell ref="AC30:AD30"/>
    <mergeCell ref="AE27:AJ27"/>
    <mergeCell ref="AN27:AP27"/>
    <mergeCell ref="AN29:AP29"/>
    <mergeCell ref="Y11:AA11"/>
    <mergeCell ref="N11:P11"/>
    <mergeCell ref="H10:M10"/>
    <mergeCell ref="N10:P10"/>
    <mergeCell ref="C21:U21"/>
    <mergeCell ref="Y21:AB21"/>
    <mergeCell ref="D10:G10"/>
    <mergeCell ref="B11:C11"/>
    <mergeCell ref="D11:G11"/>
    <mergeCell ref="H11:M11"/>
    <mergeCell ref="Q11:X11"/>
    <mergeCell ref="B12:B19"/>
    <mergeCell ref="B10:C10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AE29:AJ29"/>
    <mergeCell ref="AE30:AJ30"/>
    <mergeCell ref="T28:Y28"/>
    <mergeCell ref="AC28:AD28"/>
    <mergeCell ref="AE28:AJ28"/>
  </mergeCells>
  <phoneticPr fontId="3"/>
  <pageMargins left="0.78740157480314965" right="0.78740157480314965" top="0.78740157480314965" bottom="0.78740157480314965" header="0.39370078740157483" footer="0.39370078740157483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43" width="0" style="49" hidden="1" customWidth="1"/>
    <col min="44" max="16384" width="9" style="49"/>
  </cols>
  <sheetData>
    <row r="1" spans="2:62" ht="9.9499999999999993" customHeight="1" x14ac:dyDescent="0.15"/>
    <row r="2" spans="2:62" ht="24.95" customHeight="1" thickBot="1" x14ac:dyDescent="0.2">
      <c r="B2" s="5" t="s">
        <v>119</v>
      </c>
      <c r="C2" s="5"/>
      <c r="D2" s="5"/>
      <c r="E2" s="5"/>
      <c r="F2" s="5"/>
      <c r="G2" s="5"/>
      <c r="H2" s="5"/>
      <c r="I2" s="5"/>
      <c r="J2" s="5"/>
      <c r="K2" s="249" t="s">
        <v>237</v>
      </c>
      <c r="L2" s="896" t="s">
        <v>393</v>
      </c>
      <c r="M2" s="896"/>
      <c r="N2" s="249" t="s">
        <v>238</v>
      </c>
      <c r="O2" s="80" t="s">
        <v>239</v>
      </c>
      <c r="P2" s="5"/>
      <c r="Q2" s="5"/>
      <c r="R2" s="5"/>
      <c r="S2" s="5"/>
      <c r="T2" s="5"/>
      <c r="U2" s="5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907" t="s">
        <v>586</v>
      </c>
      <c r="C3" s="899">
        <v>1</v>
      </c>
      <c r="D3" s="900"/>
      <c r="E3" s="901"/>
      <c r="F3" s="899">
        <v>2</v>
      </c>
      <c r="G3" s="900"/>
      <c r="H3" s="901"/>
      <c r="I3" s="899">
        <v>3</v>
      </c>
      <c r="J3" s="900"/>
      <c r="K3" s="901"/>
      <c r="L3" s="899">
        <v>4</v>
      </c>
      <c r="M3" s="900"/>
      <c r="N3" s="901"/>
      <c r="O3" s="899">
        <v>5</v>
      </c>
      <c r="P3" s="900"/>
      <c r="Q3" s="901"/>
      <c r="R3" s="899">
        <v>6</v>
      </c>
      <c r="S3" s="900"/>
      <c r="T3" s="901"/>
      <c r="U3" s="899">
        <v>7</v>
      </c>
      <c r="V3" s="900"/>
      <c r="W3" s="901"/>
      <c r="X3" s="899">
        <v>8</v>
      </c>
      <c r="Y3" s="900"/>
      <c r="Z3" s="901"/>
      <c r="AA3" s="899">
        <v>9</v>
      </c>
      <c r="AB3" s="900"/>
      <c r="AC3" s="901"/>
      <c r="AD3" s="899">
        <v>10</v>
      </c>
      <c r="AE3" s="900"/>
      <c r="AF3" s="901"/>
      <c r="AG3" s="899">
        <v>11</v>
      </c>
      <c r="AH3" s="900"/>
      <c r="AI3" s="901"/>
      <c r="AJ3" s="899">
        <v>12</v>
      </c>
      <c r="AK3" s="900"/>
      <c r="AL3" s="901"/>
      <c r="AM3" s="902" t="s">
        <v>34</v>
      </c>
      <c r="AO3" s="49" t="s">
        <v>587</v>
      </c>
      <c r="AP3" s="49" t="s">
        <v>300</v>
      </c>
      <c r="AQ3" s="49" t="s">
        <v>25</v>
      </c>
    </row>
    <row r="4" spans="2:62" ht="20.100000000000001" customHeight="1" x14ac:dyDescent="0.15">
      <c r="B4" s="906"/>
      <c r="C4" s="390" t="s">
        <v>35</v>
      </c>
      <c r="D4" s="71" t="s">
        <v>36</v>
      </c>
      <c r="E4" s="494" t="s">
        <v>37</v>
      </c>
      <c r="F4" s="390" t="s">
        <v>35</v>
      </c>
      <c r="G4" s="494" t="s">
        <v>36</v>
      </c>
      <c r="H4" s="494" t="s">
        <v>37</v>
      </c>
      <c r="I4" s="390" t="s">
        <v>35</v>
      </c>
      <c r="J4" s="494" t="s">
        <v>36</v>
      </c>
      <c r="K4" s="494" t="s">
        <v>37</v>
      </c>
      <c r="L4" s="390" t="s">
        <v>35</v>
      </c>
      <c r="M4" s="494" t="s">
        <v>36</v>
      </c>
      <c r="N4" s="494" t="s">
        <v>37</v>
      </c>
      <c r="O4" s="390" t="s">
        <v>35</v>
      </c>
      <c r="P4" s="494" t="s">
        <v>36</v>
      </c>
      <c r="Q4" s="494" t="s">
        <v>37</v>
      </c>
      <c r="R4" s="390" t="s">
        <v>35</v>
      </c>
      <c r="S4" s="495" t="s">
        <v>36</v>
      </c>
      <c r="T4" s="495" t="s">
        <v>37</v>
      </c>
      <c r="U4" s="390" t="s">
        <v>35</v>
      </c>
      <c r="V4" s="494" t="s">
        <v>36</v>
      </c>
      <c r="W4" s="494" t="s">
        <v>37</v>
      </c>
      <c r="X4" s="390" t="s">
        <v>35</v>
      </c>
      <c r="Y4" s="494" t="s">
        <v>36</v>
      </c>
      <c r="Z4" s="494" t="s">
        <v>37</v>
      </c>
      <c r="AA4" s="390" t="s">
        <v>35</v>
      </c>
      <c r="AB4" s="494" t="s">
        <v>36</v>
      </c>
      <c r="AC4" s="494" t="s">
        <v>37</v>
      </c>
      <c r="AD4" s="390" t="s">
        <v>35</v>
      </c>
      <c r="AE4" s="494" t="s">
        <v>36</v>
      </c>
      <c r="AF4" s="494" t="s">
        <v>37</v>
      </c>
      <c r="AG4" s="390" t="s">
        <v>35</v>
      </c>
      <c r="AH4" s="494" t="s">
        <v>36</v>
      </c>
      <c r="AI4" s="494" t="s">
        <v>37</v>
      </c>
      <c r="AJ4" s="390" t="s">
        <v>35</v>
      </c>
      <c r="AK4" s="494" t="s">
        <v>36</v>
      </c>
      <c r="AL4" s="494" t="s">
        <v>37</v>
      </c>
      <c r="AM4" s="903"/>
    </row>
    <row r="5" spans="2:62" ht="20.100000000000001" customHeight="1" x14ac:dyDescent="0.15">
      <c r="B5" s="904" t="s">
        <v>588</v>
      </c>
      <c r="C5" s="72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5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3"/>
    </row>
    <row r="6" spans="2:62" ht="20.100000000000001" customHeight="1" x14ac:dyDescent="0.15">
      <c r="B6" s="905"/>
      <c r="C6" s="72"/>
      <c r="D6" s="5"/>
      <c r="E6" s="5"/>
      <c r="F6" s="5"/>
      <c r="G6" s="5"/>
      <c r="H6" s="5"/>
      <c r="I6" s="5"/>
      <c r="J6" s="5"/>
      <c r="K6" s="5"/>
      <c r="M6" s="5"/>
      <c r="N6" s="5"/>
      <c r="O6" s="2"/>
      <c r="P6" s="531" t="s">
        <v>284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2"/>
      <c r="AC6" s="897" t="s">
        <v>291</v>
      </c>
      <c r="AD6" s="898"/>
      <c r="AE6" s="5"/>
      <c r="AF6" s="5"/>
      <c r="AG6" s="5"/>
      <c r="AH6" s="5"/>
      <c r="AI6" s="5"/>
      <c r="AJ6" s="5"/>
      <c r="AK6" s="5"/>
      <c r="AL6" s="5"/>
      <c r="AM6" s="73"/>
    </row>
    <row r="7" spans="2:62" ht="20.100000000000001" customHeight="1" x14ac:dyDescent="0.15">
      <c r="B7" s="906"/>
      <c r="C7" s="39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33"/>
    </row>
    <row r="8" spans="2:62" ht="20.100000000000001" customHeight="1" x14ac:dyDescent="0.15">
      <c r="B8" s="506" t="s">
        <v>281</v>
      </c>
      <c r="C8" s="392"/>
      <c r="D8" s="507"/>
      <c r="E8" s="507"/>
      <c r="F8" s="392"/>
      <c r="G8" s="507"/>
      <c r="H8" s="507"/>
      <c r="I8" s="392"/>
      <c r="J8" s="507"/>
      <c r="K8" s="507"/>
      <c r="L8" s="392"/>
      <c r="M8" s="507">
        <v>3.2</v>
      </c>
      <c r="N8" s="507"/>
      <c r="O8" s="392"/>
      <c r="P8" s="507"/>
      <c r="Q8" s="507"/>
      <c r="R8" s="392"/>
      <c r="S8" s="507"/>
      <c r="T8" s="507"/>
      <c r="U8" s="392"/>
      <c r="V8" s="507"/>
      <c r="W8" s="507"/>
      <c r="X8" s="392"/>
      <c r="Y8" s="507"/>
      <c r="Z8" s="507"/>
      <c r="AA8" s="392"/>
      <c r="AB8" s="507"/>
      <c r="AC8" s="507"/>
      <c r="AD8" s="392"/>
      <c r="AE8" s="507"/>
      <c r="AF8" s="507"/>
      <c r="AG8" s="392"/>
      <c r="AH8" s="507"/>
      <c r="AI8" s="507"/>
      <c r="AJ8" s="392"/>
      <c r="AK8" s="507"/>
      <c r="AL8" s="507"/>
      <c r="AM8" s="393">
        <f>SUM(C8:AL8)</f>
        <v>3.2</v>
      </c>
      <c r="AO8" s="314"/>
      <c r="AP8" s="314">
        <v>3.2</v>
      </c>
      <c r="AQ8" s="315">
        <v>3.2</v>
      </c>
    </row>
    <row r="9" spans="2:62" ht="20.100000000000001" customHeight="1" x14ac:dyDescent="0.15">
      <c r="B9" s="506" t="s">
        <v>282</v>
      </c>
      <c r="C9" s="392"/>
      <c r="D9" s="507"/>
      <c r="E9" s="507"/>
      <c r="F9" s="392"/>
      <c r="G9" s="507"/>
      <c r="H9" s="507"/>
      <c r="I9" s="392"/>
      <c r="J9" s="507"/>
      <c r="K9" s="507"/>
      <c r="L9" s="392"/>
      <c r="M9" s="507">
        <v>1.2</v>
      </c>
      <c r="N9" s="507">
        <v>5.3</v>
      </c>
      <c r="O9" s="392">
        <v>5.3</v>
      </c>
      <c r="P9" s="507">
        <v>2.2000000000000002</v>
      </c>
      <c r="Q9" s="507"/>
      <c r="R9" s="392"/>
      <c r="S9" s="507"/>
      <c r="T9" s="507"/>
      <c r="U9" s="392"/>
      <c r="V9" s="507"/>
      <c r="W9" s="507"/>
      <c r="X9" s="392"/>
      <c r="Y9" s="507"/>
      <c r="Z9" s="507"/>
      <c r="AA9" s="392"/>
      <c r="AB9" s="507"/>
      <c r="AC9" s="507"/>
      <c r="AD9" s="392"/>
      <c r="AE9" s="507"/>
      <c r="AF9" s="507"/>
      <c r="AG9" s="392"/>
      <c r="AH9" s="507"/>
      <c r="AI9" s="507"/>
      <c r="AJ9" s="392"/>
      <c r="AK9" s="507"/>
      <c r="AL9" s="507"/>
      <c r="AM9" s="393">
        <f t="shared" ref="AM9:AM33" si="0">SUM(C9:AL9)</f>
        <v>14</v>
      </c>
      <c r="AO9" s="314"/>
      <c r="AP9" s="314">
        <v>14</v>
      </c>
      <c r="AQ9" s="315">
        <v>14</v>
      </c>
    </row>
    <row r="10" spans="2:62" ht="20.100000000000001" customHeight="1" x14ac:dyDescent="0.15">
      <c r="B10" s="506" t="s">
        <v>283</v>
      </c>
      <c r="C10" s="392"/>
      <c r="D10" s="507"/>
      <c r="E10" s="507"/>
      <c r="F10" s="392"/>
      <c r="G10" s="507">
        <v>1.9</v>
      </c>
      <c r="H10" s="507">
        <v>1.9</v>
      </c>
      <c r="I10" s="392">
        <v>1.9</v>
      </c>
      <c r="J10" s="507">
        <v>1.9</v>
      </c>
      <c r="K10" s="507"/>
      <c r="L10" s="392"/>
      <c r="M10" s="507"/>
      <c r="N10" s="507"/>
      <c r="O10" s="392"/>
      <c r="P10" s="507"/>
      <c r="Q10" s="507"/>
      <c r="R10" s="392"/>
      <c r="S10" s="507"/>
      <c r="T10" s="507"/>
      <c r="U10" s="392"/>
      <c r="V10" s="507"/>
      <c r="W10" s="507"/>
      <c r="X10" s="392"/>
      <c r="Y10" s="507"/>
      <c r="Z10" s="507"/>
      <c r="AA10" s="392"/>
      <c r="AB10" s="507"/>
      <c r="AC10" s="507"/>
      <c r="AD10" s="392"/>
      <c r="AE10" s="507"/>
      <c r="AF10" s="507"/>
      <c r="AG10" s="392"/>
      <c r="AH10" s="507">
        <v>2.4</v>
      </c>
      <c r="AI10" s="507">
        <v>2.4</v>
      </c>
      <c r="AJ10" s="392">
        <v>2.2999999999999998</v>
      </c>
      <c r="AK10" s="507"/>
      <c r="AL10" s="507"/>
      <c r="AM10" s="393">
        <f t="shared" si="0"/>
        <v>14.7</v>
      </c>
      <c r="AO10" s="314">
        <v>14.7</v>
      </c>
      <c r="AP10" s="314"/>
      <c r="AQ10" s="315">
        <v>14.7</v>
      </c>
    </row>
    <row r="11" spans="2:62" ht="20.100000000000001" customHeight="1" x14ac:dyDescent="0.15">
      <c r="B11" s="506" t="s">
        <v>262</v>
      </c>
      <c r="C11" s="392"/>
      <c r="D11" s="507"/>
      <c r="E11" s="507"/>
      <c r="F11" s="392"/>
      <c r="G11" s="507"/>
      <c r="H11" s="507"/>
      <c r="I11" s="392"/>
      <c r="J11" s="507"/>
      <c r="K11" s="507"/>
      <c r="L11" s="392"/>
      <c r="M11" s="507">
        <v>2.5</v>
      </c>
      <c r="N11" s="507">
        <v>2.5</v>
      </c>
      <c r="O11" s="392"/>
      <c r="P11" s="507"/>
      <c r="Q11" s="507"/>
      <c r="R11" s="392"/>
      <c r="S11" s="507"/>
      <c r="T11" s="507"/>
      <c r="U11" s="392"/>
      <c r="V11" s="507"/>
      <c r="W11" s="507"/>
      <c r="X11" s="392"/>
      <c r="Y11" s="507"/>
      <c r="Z11" s="507"/>
      <c r="AA11" s="392"/>
      <c r="AB11" s="507"/>
      <c r="AC11" s="507"/>
      <c r="AD11" s="392"/>
      <c r="AE11" s="507"/>
      <c r="AF11" s="507"/>
      <c r="AG11" s="392"/>
      <c r="AH11" s="507"/>
      <c r="AI11" s="507"/>
      <c r="AJ11" s="392"/>
      <c r="AK11" s="507"/>
      <c r="AL11" s="507"/>
      <c r="AM11" s="393">
        <f t="shared" si="0"/>
        <v>5</v>
      </c>
      <c r="AO11" s="314">
        <v>5</v>
      </c>
      <c r="AP11" s="314"/>
      <c r="AQ11" s="315">
        <v>5</v>
      </c>
    </row>
    <row r="12" spans="2:62" ht="20.100000000000001" customHeight="1" x14ac:dyDescent="0.15">
      <c r="B12" s="506" t="s">
        <v>284</v>
      </c>
      <c r="C12" s="392"/>
      <c r="D12" s="507"/>
      <c r="E12" s="507"/>
      <c r="F12" s="392"/>
      <c r="G12" s="507"/>
      <c r="H12" s="507"/>
      <c r="I12" s="392"/>
      <c r="J12" s="507"/>
      <c r="K12" s="507"/>
      <c r="L12" s="392"/>
      <c r="M12" s="507"/>
      <c r="N12" s="507"/>
      <c r="O12" s="392"/>
      <c r="P12" s="507">
        <v>17.600000000000001</v>
      </c>
      <c r="Q12" s="507"/>
      <c r="R12" s="392"/>
      <c r="S12" s="507"/>
      <c r="T12" s="507"/>
      <c r="U12" s="392"/>
      <c r="V12" s="507"/>
      <c r="W12" s="507"/>
      <c r="X12" s="392"/>
      <c r="Y12" s="507"/>
      <c r="Z12" s="507"/>
      <c r="AA12" s="392"/>
      <c r="AB12" s="507"/>
      <c r="AC12" s="507"/>
      <c r="AD12" s="392"/>
      <c r="AE12" s="507"/>
      <c r="AF12" s="507"/>
      <c r="AG12" s="392"/>
      <c r="AH12" s="507"/>
      <c r="AI12" s="507"/>
      <c r="AJ12" s="392"/>
      <c r="AK12" s="507"/>
      <c r="AL12" s="507"/>
      <c r="AM12" s="393">
        <f t="shared" si="0"/>
        <v>17.600000000000001</v>
      </c>
      <c r="AO12" s="314">
        <v>4.4000000000000004</v>
      </c>
      <c r="AP12" s="314">
        <v>13.200000000000001</v>
      </c>
      <c r="AQ12" s="315">
        <v>17.600000000000001</v>
      </c>
    </row>
    <row r="13" spans="2:62" ht="20.100000000000001" customHeight="1" x14ac:dyDescent="0.15">
      <c r="B13" s="506" t="s">
        <v>285</v>
      </c>
      <c r="C13" s="392"/>
      <c r="D13" s="507"/>
      <c r="E13" s="507"/>
      <c r="F13" s="392"/>
      <c r="G13" s="507"/>
      <c r="H13" s="507"/>
      <c r="I13" s="392"/>
      <c r="J13" s="507"/>
      <c r="K13" s="507"/>
      <c r="L13" s="392"/>
      <c r="M13" s="507"/>
      <c r="N13" s="507"/>
      <c r="O13" s="392"/>
      <c r="P13" s="507"/>
      <c r="Q13" s="507"/>
      <c r="R13" s="392"/>
      <c r="S13" s="507"/>
      <c r="T13" s="507"/>
      <c r="U13" s="392"/>
      <c r="V13" s="507"/>
      <c r="W13" s="507"/>
      <c r="X13" s="392"/>
      <c r="Y13" s="507"/>
      <c r="Z13" s="507"/>
      <c r="AA13" s="392"/>
      <c r="AB13" s="507"/>
      <c r="AC13" s="507"/>
      <c r="AD13" s="392"/>
      <c r="AE13" s="507"/>
      <c r="AF13" s="507"/>
      <c r="AG13" s="392"/>
      <c r="AH13" s="507"/>
      <c r="AI13" s="507"/>
      <c r="AJ13" s="392"/>
      <c r="AK13" s="507"/>
      <c r="AL13" s="507"/>
      <c r="AM13" s="393">
        <f t="shared" si="0"/>
        <v>0</v>
      </c>
      <c r="AO13" s="314"/>
      <c r="AP13" s="314"/>
      <c r="AQ13" s="315">
        <v>0</v>
      </c>
    </row>
    <row r="14" spans="2:62" ht="20.100000000000001" customHeight="1" x14ac:dyDescent="0.15">
      <c r="B14" s="506" t="s">
        <v>286</v>
      </c>
      <c r="C14" s="392"/>
      <c r="D14" s="507"/>
      <c r="E14" s="507"/>
      <c r="F14" s="392"/>
      <c r="G14" s="507"/>
      <c r="H14" s="507"/>
      <c r="I14" s="392"/>
      <c r="J14" s="507"/>
      <c r="K14" s="507"/>
      <c r="L14" s="392"/>
      <c r="M14" s="507"/>
      <c r="N14" s="507"/>
      <c r="O14" s="392"/>
      <c r="P14" s="507"/>
      <c r="Q14" s="507"/>
      <c r="R14" s="392"/>
      <c r="S14" s="507"/>
      <c r="T14" s="507"/>
      <c r="U14" s="392"/>
      <c r="V14" s="507"/>
      <c r="W14" s="507"/>
      <c r="X14" s="392"/>
      <c r="Y14" s="507"/>
      <c r="Z14" s="507"/>
      <c r="AA14" s="392"/>
      <c r="AB14" s="507"/>
      <c r="AC14" s="507"/>
      <c r="AD14" s="392"/>
      <c r="AE14" s="507"/>
      <c r="AF14" s="507"/>
      <c r="AG14" s="392"/>
      <c r="AH14" s="507"/>
      <c r="AI14" s="507"/>
      <c r="AJ14" s="392"/>
      <c r="AK14" s="507"/>
      <c r="AL14" s="507"/>
      <c r="AM14" s="393">
        <f t="shared" si="0"/>
        <v>0</v>
      </c>
      <c r="AO14" s="314"/>
      <c r="AP14" s="314"/>
      <c r="AQ14" s="315">
        <v>0</v>
      </c>
    </row>
    <row r="15" spans="2:62" ht="20.100000000000001" customHeight="1" x14ac:dyDescent="0.15">
      <c r="B15" s="506" t="s">
        <v>287</v>
      </c>
      <c r="C15" s="392"/>
      <c r="D15" s="507"/>
      <c r="E15" s="507"/>
      <c r="F15" s="392"/>
      <c r="G15" s="507"/>
      <c r="H15" s="507"/>
      <c r="I15" s="392"/>
      <c r="J15" s="507"/>
      <c r="K15" s="507"/>
      <c r="L15" s="392"/>
      <c r="M15" s="507"/>
      <c r="N15" s="507"/>
      <c r="O15" s="392"/>
      <c r="P15" s="507"/>
      <c r="Q15" s="507"/>
      <c r="R15" s="392"/>
      <c r="S15" s="507"/>
      <c r="T15" s="507"/>
      <c r="U15" s="392"/>
      <c r="V15" s="507"/>
      <c r="W15" s="507">
        <v>3.4</v>
      </c>
      <c r="X15" s="392"/>
      <c r="Y15" s="507">
        <v>3.4</v>
      </c>
      <c r="Z15" s="507"/>
      <c r="AA15" s="392"/>
      <c r="AB15" s="507"/>
      <c r="AC15" s="507"/>
      <c r="AD15" s="392"/>
      <c r="AE15" s="507"/>
      <c r="AF15" s="507"/>
      <c r="AG15" s="392"/>
      <c r="AH15" s="507"/>
      <c r="AI15" s="507"/>
      <c r="AJ15" s="392"/>
      <c r="AK15" s="507"/>
      <c r="AL15" s="507"/>
      <c r="AM15" s="393">
        <f t="shared" si="0"/>
        <v>6.8</v>
      </c>
      <c r="AO15" s="314">
        <v>1.7</v>
      </c>
      <c r="AP15" s="314">
        <v>5.0999999999999996</v>
      </c>
      <c r="AQ15" s="315">
        <v>6.8</v>
      </c>
    </row>
    <row r="16" spans="2:62" ht="20.100000000000001" customHeight="1" x14ac:dyDescent="0.15">
      <c r="B16" s="506" t="s">
        <v>288</v>
      </c>
      <c r="C16" s="392"/>
      <c r="D16" s="507"/>
      <c r="E16" s="507"/>
      <c r="F16" s="392"/>
      <c r="G16" s="507"/>
      <c r="H16" s="507"/>
      <c r="I16" s="392"/>
      <c r="J16" s="507"/>
      <c r="K16" s="507"/>
      <c r="L16" s="392"/>
      <c r="M16" s="507"/>
      <c r="N16" s="507"/>
      <c r="O16" s="392"/>
      <c r="P16" s="507"/>
      <c r="Q16" s="507"/>
      <c r="R16" s="392"/>
      <c r="S16" s="507"/>
      <c r="T16" s="507"/>
      <c r="U16" s="392"/>
      <c r="V16" s="507"/>
      <c r="W16" s="507"/>
      <c r="X16" s="392"/>
      <c r="Y16" s="507"/>
      <c r="Z16" s="507"/>
      <c r="AA16" s="392"/>
      <c r="AB16" s="507"/>
      <c r="AC16" s="507">
        <v>10.3</v>
      </c>
      <c r="AD16" s="392">
        <v>10.4</v>
      </c>
      <c r="AE16" s="507"/>
      <c r="AF16" s="507"/>
      <c r="AG16" s="392"/>
      <c r="AH16" s="507"/>
      <c r="AI16" s="507"/>
      <c r="AJ16" s="392"/>
      <c r="AK16" s="507"/>
      <c r="AL16" s="507"/>
      <c r="AM16" s="393">
        <f t="shared" si="0"/>
        <v>20.700000000000003</v>
      </c>
      <c r="AO16" s="314">
        <v>6.9</v>
      </c>
      <c r="AP16" s="314">
        <v>13.8</v>
      </c>
      <c r="AQ16" s="315">
        <v>20.700000000000003</v>
      </c>
    </row>
    <row r="17" spans="2:43" x14ac:dyDescent="0.15">
      <c r="B17" s="506" t="s">
        <v>289</v>
      </c>
      <c r="C17" s="392"/>
      <c r="D17" s="507"/>
      <c r="E17" s="507"/>
      <c r="F17" s="392"/>
      <c r="G17" s="507"/>
      <c r="H17" s="507"/>
      <c r="I17" s="392"/>
      <c r="J17" s="507"/>
      <c r="K17" s="507"/>
      <c r="L17" s="392"/>
      <c r="M17" s="507"/>
      <c r="N17" s="507"/>
      <c r="O17" s="392"/>
      <c r="P17" s="507"/>
      <c r="Q17" s="507"/>
      <c r="R17" s="392"/>
      <c r="S17" s="507"/>
      <c r="T17" s="507"/>
      <c r="U17" s="392"/>
      <c r="V17" s="507"/>
      <c r="W17" s="507"/>
      <c r="X17" s="392"/>
      <c r="Y17" s="507"/>
      <c r="Z17" s="507"/>
      <c r="AA17" s="392"/>
      <c r="AB17" s="507"/>
      <c r="AC17" s="507">
        <v>4.7</v>
      </c>
      <c r="AD17" s="392">
        <v>4.8</v>
      </c>
      <c r="AE17" s="507"/>
      <c r="AF17" s="507"/>
      <c r="AG17" s="392"/>
      <c r="AH17" s="507"/>
      <c r="AI17" s="507"/>
      <c r="AJ17" s="392"/>
      <c r="AK17" s="507"/>
      <c r="AL17" s="507"/>
      <c r="AM17" s="393">
        <f t="shared" si="0"/>
        <v>9.5</v>
      </c>
      <c r="AO17" s="314"/>
      <c r="AP17" s="314">
        <v>9.5</v>
      </c>
      <c r="AQ17" s="315">
        <v>9.5</v>
      </c>
    </row>
    <row r="18" spans="2:43" x14ac:dyDescent="0.15">
      <c r="B18" s="506" t="s">
        <v>290</v>
      </c>
      <c r="C18" s="392"/>
      <c r="D18" s="507"/>
      <c r="E18" s="507"/>
      <c r="F18" s="392"/>
      <c r="G18" s="507"/>
      <c r="H18" s="507"/>
      <c r="I18" s="392"/>
      <c r="J18" s="507"/>
      <c r="K18" s="507"/>
      <c r="L18" s="392"/>
      <c r="M18" s="507"/>
      <c r="N18" s="507"/>
      <c r="O18" s="392"/>
      <c r="P18" s="507"/>
      <c r="Q18" s="507"/>
      <c r="R18" s="392"/>
      <c r="S18" s="507"/>
      <c r="T18" s="507"/>
      <c r="U18" s="392"/>
      <c r="V18" s="507"/>
      <c r="W18" s="507"/>
      <c r="X18" s="392"/>
      <c r="Y18" s="507"/>
      <c r="Z18" s="507"/>
      <c r="AA18" s="392"/>
      <c r="AB18" s="507"/>
      <c r="AC18" s="507"/>
      <c r="AD18" s="392"/>
      <c r="AE18" s="507"/>
      <c r="AF18" s="507"/>
      <c r="AG18" s="392">
        <v>1.2</v>
      </c>
      <c r="AH18" s="507">
        <v>1.2</v>
      </c>
      <c r="AI18" s="507"/>
      <c r="AJ18" s="392"/>
      <c r="AK18" s="507"/>
      <c r="AL18" s="507"/>
      <c r="AM18" s="393">
        <f t="shared" si="0"/>
        <v>2.4</v>
      </c>
      <c r="AO18" s="314">
        <v>1.2</v>
      </c>
      <c r="AP18" s="314">
        <v>1.2</v>
      </c>
      <c r="AQ18" s="315">
        <v>2.4</v>
      </c>
    </row>
    <row r="19" spans="2:43" x14ac:dyDescent="0.15">
      <c r="B19" s="506" t="s">
        <v>167</v>
      </c>
      <c r="C19" s="392"/>
      <c r="D19" s="507"/>
      <c r="E19" s="507"/>
      <c r="F19" s="392">
        <v>2</v>
      </c>
      <c r="G19" s="507"/>
      <c r="H19" s="507"/>
      <c r="I19" s="392"/>
      <c r="J19" s="507"/>
      <c r="K19" s="507"/>
      <c r="L19" s="392"/>
      <c r="M19" s="507"/>
      <c r="N19" s="507"/>
      <c r="O19" s="392"/>
      <c r="P19" s="507"/>
      <c r="Q19" s="507"/>
      <c r="R19" s="392"/>
      <c r="S19" s="507"/>
      <c r="T19" s="507"/>
      <c r="U19" s="392"/>
      <c r="V19" s="507"/>
      <c r="W19" s="507"/>
      <c r="X19" s="392"/>
      <c r="Y19" s="507"/>
      <c r="Z19" s="507"/>
      <c r="AA19" s="392"/>
      <c r="AB19" s="507"/>
      <c r="AC19" s="507"/>
      <c r="AD19" s="392"/>
      <c r="AE19" s="507"/>
      <c r="AF19" s="507"/>
      <c r="AG19" s="392"/>
      <c r="AH19" s="507"/>
      <c r="AI19" s="507"/>
      <c r="AJ19" s="392"/>
      <c r="AK19" s="507"/>
      <c r="AL19" s="507"/>
      <c r="AM19" s="393">
        <f t="shared" si="0"/>
        <v>2</v>
      </c>
      <c r="AO19" s="314"/>
      <c r="AP19" s="314">
        <v>2</v>
      </c>
      <c r="AQ19" s="315">
        <v>2</v>
      </c>
    </row>
    <row r="20" spans="2:43" x14ac:dyDescent="0.15">
      <c r="B20" s="506"/>
      <c r="C20" s="392"/>
      <c r="D20" s="507"/>
      <c r="E20" s="507"/>
      <c r="F20" s="392"/>
      <c r="G20" s="507"/>
      <c r="H20" s="507"/>
      <c r="I20" s="392"/>
      <c r="J20" s="507"/>
      <c r="K20" s="507"/>
      <c r="L20" s="392"/>
      <c r="M20" s="507"/>
      <c r="N20" s="507"/>
      <c r="O20" s="392"/>
      <c r="P20" s="507"/>
      <c r="Q20" s="507"/>
      <c r="R20" s="392"/>
      <c r="S20" s="507"/>
      <c r="T20" s="507"/>
      <c r="U20" s="392"/>
      <c r="V20" s="507"/>
      <c r="W20" s="507"/>
      <c r="X20" s="392"/>
      <c r="Y20" s="507"/>
      <c r="Z20" s="507"/>
      <c r="AA20" s="392"/>
      <c r="AB20" s="507"/>
      <c r="AC20" s="507"/>
      <c r="AD20" s="392"/>
      <c r="AE20" s="507"/>
      <c r="AF20" s="507"/>
      <c r="AG20" s="392"/>
      <c r="AH20" s="507"/>
      <c r="AI20" s="507"/>
      <c r="AJ20" s="392"/>
      <c r="AK20" s="507"/>
      <c r="AL20" s="507"/>
      <c r="AM20" s="393">
        <f t="shared" si="0"/>
        <v>0</v>
      </c>
      <c r="AO20" s="315"/>
      <c r="AP20" s="315"/>
      <c r="AQ20" s="315">
        <f t="shared" ref="AQ20:AQ33" si="1">SUM(AO20:AP20)</f>
        <v>0</v>
      </c>
    </row>
    <row r="21" spans="2:43" x14ac:dyDescent="0.15">
      <c r="B21" s="506"/>
      <c r="C21" s="392"/>
      <c r="D21" s="507"/>
      <c r="E21" s="507"/>
      <c r="F21" s="392"/>
      <c r="G21" s="507"/>
      <c r="H21" s="507"/>
      <c r="I21" s="392"/>
      <c r="J21" s="507"/>
      <c r="K21" s="507"/>
      <c r="L21" s="392"/>
      <c r="M21" s="507"/>
      <c r="N21" s="507"/>
      <c r="O21" s="392"/>
      <c r="P21" s="507"/>
      <c r="Q21" s="507"/>
      <c r="R21" s="392"/>
      <c r="S21" s="507"/>
      <c r="T21" s="507"/>
      <c r="U21" s="392"/>
      <c r="V21" s="507"/>
      <c r="W21" s="507"/>
      <c r="X21" s="392"/>
      <c r="Y21" s="507"/>
      <c r="Z21" s="507"/>
      <c r="AA21" s="392"/>
      <c r="AB21" s="507"/>
      <c r="AC21" s="507"/>
      <c r="AD21" s="392"/>
      <c r="AE21" s="507"/>
      <c r="AF21" s="507"/>
      <c r="AG21" s="392"/>
      <c r="AH21" s="507"/>
      <c r="AI21" s="507"/>
      <c r="AJ21" s="392"/>
      <c r="AK21" s="507"/>
      <c r="AL21" s="507"/>
      <c r="AM21" s="393">
        <f t="shared" si="0"/>
        <v>0</v>
      </c>
      <c r="AO21" s="315"/>
      <c r="AP21" s="315"/>
      <c r="AQ21" s="315">
        <f t="shared" si="1"/>
        <v>0</v>
      </c>
    </row>
    <row r="22" spans="2:43" x14ac:dyDescent="0.15">
      <c r="B22" s="506"/>
      <c r="C22" s="392"/>
      <c r="D22" s="507"/>
      <c r="E22" s="507"/>
      <c r="F22" s="392"/>
      <c r="G22" s="507"/>
      <c r="H22" s="507"/>
      <c r="I22" s="392"/>
      <c r="J22" s="507"/>
      <c r="K22" s="507"/>
      <c r="L22" s="392"/>
      <c r="M22" s="507"/>
      <c r="N22" s="507"/>
      <c r="O22" s="392"/>
      <c r="P22" s="507"/>
      <c r="Q22" s="507"/>
      <c r="R22" s="392"/>
      <c r="S22" s="507"/>
      <c r="T22" s="507"/>
      <c r="U22" s="392"/>
      <c r="V22" s="507"/>
      <c r="W22" s="507"/>
      <c r="X22" s="392"/>
      <c r="Y22" s="507"/>
      <c r="Z22" s="507"/>
      <c r="AA22" s="392"/>
      <c r="AB22" s="507"/>
      <c r="AC22" s="507"/>
      <c r="AD22" s="392"/>
      <c r="AE22" s="507"/>
      <c r="AF22" s="507"/>
      <c r="AG22" s="392"/>
      <c r="AH22" s="507"/>
      <c r="AI22" s="507"/>
      <c r="AJ22" s="392"/>
      <c r="AK22" s="507"/>
      <c r="AL22" s="507"/>
      <c r="AM22" s="393">
        <f t="shared" si="0"/>
        <v>0</v>
      </c>
      <c r="AO22" s="315"/>
      <c r="AP22" s="315"/>
      <c r="AQ22" s="315">
        <f t="shared" si="1"/>
        <v>0</v>
      </c>
    </row>
    <row r="23" spans="2:43" x14ac:dyDescent="0.15">
      <c r="B23" s="506"/>
      <c r="C23" s="392"/>
      <c r="D23" s="507"/>
      <c r="E23" s="507"/>
      <c r="F23" s="392"/>
      <c r="G23" s="507"/>
      <c r="H23" s="507"/>
      <c r="I23" s="392"/>
      <c r="J23" s="507"/>
      <c r="K23" s="507"/>
      <c r="L23" s="392"/>
      <c r="M23" s="507"/>
      <c r="N23" s="507"/>
      <c r="O23" s="392"/>
      <c r="P23" s="507"/>
      <c r="Q23" s="507"/>
      <c r="R23" s="392"/>
      <c r="S23" s="507"/>
      <c r="T23" s="507"/>
      <c r="U23" s="392"/>
      <c r="V23" s="507"/>
      <c r="W23" s="507"/>
      <c r="X23" s="392"/>
      <c r="Y23" s="507"/>
      <c r="Z23" s="507"/>
      <c r="AA23" s="392"/>
      <c r="AB23" s="507"/>
      <c r="AC23" s="507"/>
      <c r="AD23" s="392"/>
      <c r="AE23" s="507"/>
      <c r="AF23" s="507"/>
      <c r="AG23" s="392"/>
      <c r="AH23" s="507"/>
      <c r="AI23" s="507"/>
      <c r="AJ23" s="392"/>
      <c r="AK23" s="507"/>
      <c r="AL23" s="507"/>
      <c r="AM23" s="393">
        <f t="shared" si="0"/>
        <v>0</v>
      </c>
      <c r="AO23" s="315"/>
      <c r="AP23" s="315"/>
      <c r="AQ23" s="315">
        <f t="shared" si="1"/>
        <v>0</v>
      </c>
    </row>
    <row r="24" spans="2:43" x14ac:dyDescent="0.15">
      <c r="B24" s="506"/>
      <c r="C24" s="392"/>
      <c r="D24" s="507"/>
      <c r="E24" s="507"/>
      <c r="F24" s="392"/>
      <c r="G24" s="507"/>
      <c r="H24" s="507"/>
      <c r="I24" s="392"/>
      <c r="J24" s="507"/>
      <c r="K24" s="507"/>
      <c r="L24" s="392"/>
      <c r="M24" s="507"/>
      <c r="N24" s="507"/>
      <c r="O24" s="392"/>
      <c r="P24" s="507"/>
      <c r="Q24" s="507"/>
      <c r="R24" s="392"/>
      <c r="S24" s="507"/>
      <c r="T24" s="507"/>
      <c r="U24" s="392"/>
      <c r="V24" s="507"/>
      <c r="W24" s="507"/>
      <c r="X24" s="392"/>
      <c r="Y24" s="507"/>
      <c r="Z24" s="507"/>
      <c r="AA24" s="392"/>
      <c r="AB24" s="507"/>
      <c r="AC24" s="507"/>
      <c r="AD24" s="392"/>
      <c r="AE24" s="507"/>
      <c r="AF24" s="507"/>
      <c r="AG24" s="392"/>
      <c r="AH24" s="507"/>
      <c r="AI24" s="507"/>
      <c r="AJ24" s="392"/>
      <c r="AK24" s="507"/>
      <c r="AL24" s="507"/>
      <c r="AM24" s="393">
        <f t="shared" si="0"/>
        <v>0</v>
      </c>
      <c r="AO24" s="315"/>
      <c r="AP24" s="315"/>
      <c r="AQ24" s="315">
        <f t="shared" si="1"/>
        <v>0</v>
      </c>
    </row>
    <row r="25" spans="2:43" x14ac:dyDescent="0.15">
      <c r="B25" s="506"/>
      <c r="C25" s="392"/>
      <c r="D25" s="507"/>
      <c r="E25" s="507"/>
      <c r="F25" s="392"/>
      <c r="G25" s="507"/>
      <c r="H25" s="507"/>
      <c r="I25" s="392"/>
      <c r="J25" s="507"/>
      <c r="K25" s="507"/>
      <c r="L25" s="392"/>
      <c r="M25" s="507"/>
      <c r="N25" s="507"/>
      <c r="O25" s="392"/>
      <c r="P25" s="507"/>
      <c r="Q25" s="507"/>
      <c r="R25" s="392"/>
      <c r="S25" s="507"/>
      <c r="T25" s="507"/>
      <c r="U25" s="392"/>
      <c r="V25" s="507"/>
      <c r="W25" s="507"/>
      <c r="X25" s="392"/>
      <c r="Y25" s="507"/>
      <c r="Z25" s="507"/>
      <c r="AA25" s="392"/>
      <c r="AB25" s="507"/>
      <c r="AC25" s="507"/>
      <c r="AD25" s="392"/>
      <c r="AE25" s="507"/>
      <c r="AF25" s="507"/>
      <c r="AG25" s="392"/>
      <c r="AH25" s="507"/>
      <c r="AI25" s="507"/>
      <c r="AJ25" s="392"/>
      <c r="AK25" s="507"/>
      <c r="AL25" s="507"/>
      <c r="AM25" s="393">
        <f t="shared" si="0"/>
        <v>0</v>
      </c>
      <c r="AO25" s="315"/>
      <c r="AP25" s="315"/>
      <c r="AQ25" s="315">
        <f t="shared" si="1"/>
        <v>0</v>
      </c>
    </row>
    <row r="26" spans="2:43" x14ac:dyDescent="0.15">
      <c r="B26" s="506"/>
      <c r="C26" s="392"/>
      <c r="D26" s="507"/>
      <c r="E26" s="507"/>
      <c r="F26" s="392"/>
      <c r="G26" s="507"/>
      <c r="H26" s="507"/>
      <c r="I26" s="392"/>
      <c r="J26" s="507"/>
      <c r="K26" s="507"/>
      <c r="L26" s="392"/>
      <c r="M26" s="507"/>
      <c r="N26" s="507"/>
      <c r="O26" s="392"/>
      <c r="P26" s="507"/>
      <c r="Q26" s="507"/>
      <c r="R26" s="392"/>
      <c r="S26" s="507"/>
      <c r="T26" s="507"/>
      <c r="U26" s="392"/>
      <c r="V26" s="507"/>
      <c r="W26" s="507"/>
      <c r="X26" s="392"/>
      <c r="Y26" s="507"/>
      <c r="Z26" s="507"/>
      <c r="AA26" s="392"/>
      <c r="AB26" s="507"/>
      <c r="AC26" s="507"/>
      <c r="AD26" s="392"/>
      <c r="AE26" s="507"/>
      <c r="AF26" s="507"/>
      <c r="AG26" s="392"/>
      <c r="AH26" s="507"/>
      <c r="AI26" s="507"/>
      <c r="AJ26" s="392"/>
      <c r="AK26" s="507"/>
      <c r="AL26" s="507"/>
      <c r="AM26" s="393">
        <f t="shared" si="0"/>
        <v>0</v>
      </c>
      <c r="AO26" s="315"/>
      <c r="AP26" s="315"/>
      <c r="AQ26" s="315">
        <f t="shared" si="1"/>
        <v>0</v>
      </c>
    </row>
    <row r="27" spans="2:43" x14ac:dyDescent="0.15">
      <c r="B27" s="506"/>
      <c r="C27" s="392"/>
      <c r="D27" s="507"/>
      <c r="E27" s="507"/>
      <c r="F27" s="392"/>
      <c r="G27" s="507"/>
      <c r="H27" s="507"/>
      <c r="I27" s="392"/>
      <c r="J27" s="507"/>
      <c r="K27" s="507"/>
      <c r="L27" s="392"/>
      <c r="M27" s="507"/>
      <c r="N27" s="507"/>
      <c r="O27" s="392"/>
      <c r="P27" s="507"/>
      <c r="Q27" s="507"/>
      <c r="R27" s="392"/>
      <c r="S27" s="507"/>
      <c r="T27" s="507"/>
      <c r="U27" s="392"/>
      <c r="V27" s="507"/>
      <c r="W27" s="507"/>
      <c r="X27" s="392"/>
      <c r="Y27" s="507"/>
      <c r="Z27" s="507"/>
      <c r="AA27" s="392"/>
      <c r="AB27" s="507"/>
      <c r="AC27" s="507"/>
      <c r="AD27" s="392"/>
      <c r="AE27" s="507"/>
      <c r="AF27" s="507"/>
      <c r="AG27" s="392"/>
      <c r="AH27" s="507"/>
      <c r="AI27" s="507"/>
      <c r="AJ27" s="392"/>
      <c r="AK27" s="507"/>
      <c r="AL27" s="507"/>
      <c r="AM27" s="393">
        <f t="shared" si="0"/>
        <v>0</v>
      </c>
      <c r="AO27" s="315"/>
      <c r="AP27" s="315"/>
      <c r="AQ27" s="315">
        <f t="shared" si="1"/>
        <v>0</v>
      </c>
    </row>
    <row r="28" spans="2:43" x14ac:dyDescent="0.15">
      <c r="B28" s="506"/>
      <c r="C28" s="392"/>
      <c r="D28" s="507"/>
      <c r="E28" s="507"/>
      <c r="F28" s="392"/>
      <c r="G28" s="507"/>
      <c r="H28" s="507"/>
      <c r="I28" s="392"/>
      <c r="J28" s="507"/>
      <c r="K28" s="507"/>
      <c r="L28" s="392"/>
      <c r="M28" s="507"/>
      <c r="N28" s="507"/>
      <c r="O28" s="392"/>
      <c r="P28" s="507"/>
      <c r="Q28" s="507"/>
      <c r="R28" s="392"/>
      <c r="S28" s="507"/>
      <c r="T28" s="507"/>
      <c r="U28" s="392"/>
      <c r="V28" s="507"/>
      <c r="W28" s="507"/>
      <c r="X28" s="392"/>
      <c r="Y28" s="507"/>
      <c r="Z28" s="507"/>
      <c r="AA28" s="392"/>
      <c r="AB28" s="507"/>
      <c r="AC28" s="507"/>
      <c r="AD28" s="392"/>
      <c r="AE28" s="507"/>
      <c r="AF28" s="507"/>
      <c r="AG28" s="392"/>
      <c r="AH28" s="507"/>
      <c r="AI28" s="507"/>
      <c r="AJ28" s="392"/>
      <c r="AK28" s="507"/>
      <c r="AL28" s="507"/>
      <c r="AM28" s="393">
        <f t="shared" si="0"/>
        <v>0</v>
      </c>
      <c r="AO28" s="315"/>
      <c r="AP28" s="315"/>
      <c r="AQ28" s="315">
        <f t="shared" si="1"/>
        <v>0</v>
      </c>
    </row>
    <row r="29" spans="2:43" x14ac:dyDescent="0.15">
      <c r="B29" s="506"/>
      <c r="C29" s="392"/>
      <c r="D29" s="507"/>
      <c r="E29" s="507"/>
      <c r="F29" s="392"/>
      <c r="G29" s="507"/>
      <c r="H29" s="507"/>
      <c r="I29" s="392"/>
      <c r="J29" s="507"/>
      <c r="K29" s="507"/>
      <c r="L29" s="392"/>
      <c r="M29" s="507"/>
      <c r="N29" s="507"/>
      <c r="O29" s="392"/>
      <c r="P29" s="507"/>
      <c r="Q29" s="507"/>
      <c r="R29" s="392"/>
      <c r="S29" s="507"/>
      <c r="T29" s="507"/>
      <c r="U29" s="392"/>
      <c r="V29" s="507"/>
      <c r="W29" s="507"/>
      <c r="X29" s="392"/>
      <c r="Y29" s="507"/>
      <c r="Z29" s="507"/>
      <c r="AA29" s="392"/>
      <c r="AB29" s="507"/>
      <c r="AC29" s="507"/>
      <c r="AD29" s="392"/>
      <c r="AE29" s="507"/>
      <c r="AF29" s="507"/>
      <c r="AG29" s="392"/>
      <c r="AH29" s="507"/>
      <c r="AI29" s="507"/>
      <c r="AJ29" s="392"/>
      <c r="AK29" s="507"/>
      <c r="AL29" s="507"/>
      <c r="AM29" s="393">
        <f t="shared" si="0"/>
        <v>0</v>
      </c>
      <c r="AO29" s="315"/>
      <c r="AP29" s="315"/>
      <c r="AQ29" s="315">
        <f t="shared" si="1"/>
        <v>0</v>
      </c>
    </row>
    <row r="30" spans="2:43" x14ac:dyDescent="0.15">
      <c r="B30" s="506"/>
      <c r="C30" s="392"/>
      <c r="D30" s="507"/>
      <c r="E30" s="507"/>
      <c r="F30" s="392"/>
      <c r="G30" s="507"/>
      <c r="H30" s="507"/>
      <c r="I30" s="392"/>
      <c r="J30" s="507"/>
      <c r="K30" s="507"/>
      <c r="L30" s="392"/>
      <c r="M30" s="507"/>
      <c r="N30" s="507"/>
      <c r="O30" s="392"/>
      <c r="P30" s="507"/>
      <c r="Q30" s="507"/>
      <c r="R30" s="392"/>
      <c r="S30" s="507"/>
      <c r="T30" s="507"/>
      <c r="U30" s="392"/>
      <c r="V30" s="507"/>
      <c r="W30" s="507"/>
      <c r="X30" s="392"/>
      <c r="Y30" s="507"/>
      <c r="Z30" s="507"/>
      <c r="AA30" s="392"/>
      <c r="AB30" s="507"/>
      <c r="AC30" s="507"/>
      <c r="AD30" s="392"/>
      <c r="AE30" s="507"/>
      <c r="AF30" s="507"/>
      <c r="AG30" s="392"/>
      <c r="AH30" s="507"/>
      <c r="AI30" s="507"/>
      <c r="AJ30" s="392"/>
      <c r="AK30" s="507"/>
      <c r="AL30" s="507"/>
      <c r="AM30" s="393">
        <f t="shared" si="0"/>
        <v>0</v>
      </c>
      <c r="AO30" s="315"/>
      <c r="AP30" s="315"/>
      <c r="AQ30" s="315">
        <f t="shared" si="1"/>
        <v>0</v>
      </c>
    </row>
    <row r="31" spans="2:43" x14ac:dyDescent="0.15">
      <c r="B31" s="506"/>
      <c r="C31" s="392"/>
      <c r="D31" s="507"/>
      <c r="E31" s="507"/>
      <c r="F31" s="392"/>
      <c r="G31" s="507"/>
      <c r="H31" s="507"/>
      <c r="I31" s="392"/>
      <c r="J31" s="507"/>
      <c r="K31" s="507"/>
      <c r="L31" s="392"/>
      <c r="M31" s="507"/>
      <c r="N31" s="507"/>
      <c r="O31" s="392"/>
      <c r="P31" s="507"/>
      <c r="Q31" s="507"/>
      <c r="R31" s="392"/>
      <c r="S31" s="507"/>
      <c r="T31" s="507"/>
      <c r="U31" s="392"/>
      <c r="V31" s="507"/>
      <c r="W31" s="507"/>
      <c r="X31" s="392"/>
      <c r="Y31" s="507"/>
      <c r="Z31" s="507"/>
      <c r="AA31" s="392"/>
      <c r="AB31" s="507"/>
      <c r="AC31" s="507"/>
      <c r="AD31" s="392"/>
      <c r="AE31" s="507"/>
      <c r="AF31" s="507"/>
      <c r="AG31" s="392"/>
      <c r="AH31" s="507"/>
      <c r="AI31" s="507"/>
      <c r="AJ31" s="392"/>
      <c r="AK31" s="507"/>
      <c r="AL31" s="507"/>
      <c r="AM31" s="393">
        <f t="shared" si="0"/>
        <v>0</v>
      </c>
      <c r="AO31" s="315"/>
      <c r="AP31" s="315"/>
      <c r="AQ31" s="315">
        <f t="shared" si="1"/>
        <v>0</v>
      </c>
    </row>
    <row r="32" spans="2:43" x14ac:dyDescent="0.15">
      <c r="B32" s="506"/>
      <c r="C32" s="392"/>
      <c r="D32" s="507"/>
      <c r="E32" s="507"/>
      <c r="F32" s="392"/>
      <c r="G32" s="507"/>
      <c r="H32" s="507"/>
      <c r="I32" s="392"/>
      <c r="J32" s="507"/>
      <c r="K32" s="507"/>
      <c r="L32" s="392"/>
      <c r="M32" s="507"/>
      <c r="N32" s="507"/>
      <c r="O32" s="392"/>
      <c r="P32" s="507"/>
      <c r="Q32" s="507"/>
      <c r="R32" s="392"/>
      <c r="S32" s="507"/>
      <c r="T32" s="507"/>
      <c r="U32" s="392"/>
      <c r="V32" s="507"/>
      <c r="W32" s="507"/>
      <c r="X32" s="392"/>
      <c r="Y32" s="507"/>
      <c r="Z32" s="507"/>
      <c r="AA32" s="392"/>
      <c r="AB32" s="507"/>
      <c r="AC32" s="507"/>
      <c r="AD32" s="392"/>
      <c r="AE32" s="507"/>
      <c r="AF32" s="507"/>
      <c r="AG32" s="392"/>
      <c r="AH32" s="507"/>
      <c r="AI32" s="507"/>
      <c r="AJ32" s="392"/>
      <c r="AK32" s="507"/>
      <c r="AL32" s="507"/>
      <c r="AM32" s="393">
        <f t="shared" si="0"/>
        <v>0</v>
      </c>
      <c r="AO32" s="315"/>
      <c r="AP32" s="315"/>
      <c r="AQ32" s="315">
        <f t="shared" si="1"/>
        <v>0</v>
      </c>
    </row>
    <row r="33" spans="2:43" x14ac:dyDescent="0.15">
      <c r="B33" s="508" t="s">
        <v>584</v>
      </c>
      <c r="C33" s="392">
        <f t="shared" ref="C33:AL33" si="2">SUM(C8:C32)</f>
        <v>0</v>
      </c>
      <c r="D33" s="74">
        <f t="shared" si="2"/>
        <v>0</v>
      </c>
      <c r="E33" s="509">
        <f t="shared" si="2"/>
        <v>0</v>
      </c>
      <c r="F33" s="392">
        <f t="shared" si="2"/>
        <v>2</v>
      </c>
      <c r="G33" s="74">
        <f t="shared" si="2"/>
        <v>1.9</v>
      </c>
      <c r="H33" s="509">
        <f t="shared" si="2"/>
        <v>1.9</v>
      </c>
      <c r="I33" s="392">
        <f t="shared" si="2"/>
        <v>1.9</v>
      </c>
      <c r="J33" s="74">
        <f t="shared" si="2"/>
        <v>1.9</v>
      </c>
      <c r="K33" s="509">
        <f t="shared" si="2"/>
        <v>0</v>
      </c>
      <c r="L33" s="392">
        <f t="shared" si="2"/>
        <v>0</v>
      </c>
      <c r="M33" s="74">
        <f t="shared" si="2"/>
        <v>6.9</v>
      </c>
      <c r="N33" s="509">
        <f t="shared" si="2"/>
        <v>7.8</v>
      </c>
      <c r="O33" s="392">
        <f t="shared" si="2"/>
        <v>5.3</v>
      </c>
      <c r="P33" s="74">
        <f t="shared" si="2"/>
        <v>19.8</v>
      </c>
      <c r="Q33" s="509">
        <f t="shared" si="2"/>
        <v>0</v>
      </c>
      <c r="R33" s="392">
        <f t="shared" si="2"/>
        <v>0</v>
      </c>
      <c r="S33" s="74">
        <f t="shared" si="2"/>
        <v>0</v>
      </c>
      <c r="T33" s="509">
        <f t="shared" si="2"/>
        <v>0</v>
      </c>
      <c r="U33" s="392">
        <f t="shared" si="2"/>
        <v>0</v>
      </c>
      <c r="V33" s="74">
        <f t="shared" si="2"/>
        <v>0</v>
      </c>
      <c r="W33" s="509">
        <f t="shared" si="2"/>
        <v>3.4</v>
      </c>
      <c r="X33" s="392">
        <f t="shared" si="2"/>
        <v>0</v>
      </c>
      <c r="Y33" s="74">
        <f t="shared" si="2"/>
        <v>3.4</v>
      </c>
      <c r="Z33" s="509">
        <f t="shared" si="2"/>
        <v>0</v>
      </c>
      <c r="AA33" s="392">
        <f t="shared" si="2"/>
        <v>0</v>
      </c>
      <c r="AB33" s="74">
        <f t="shared" si="2"/>
        <v>0</v>
      </c>
      <c r="AC33" s="509">
        <f t="shared" si="2"/>
        <v>15</v>
      </c>
      <c r="AD33" s="392">
        <f t="shared" si="2"/>
        <v>15.2</v>
      </c>
      <c r="AE33" s="74">
        <f t="shared" si="2"/>
        <v>0</v>
      </c>
      <c r="AF33" s="509">
        <f t="shared" si="2"/>
        <v>0</v>
      </c>
      <c r="AG33" s="392">
        <f t="shared" si="2"/>
        <v>1.2</v>
      </c>
      <c r="AH33" s="74">
        <f t="shared" si="2"/>
        <v>3.5999999999999996</v>
      </c>
      <c r="AI33" s="509">
        <f t="shared" si="2"/>
        <v>2.4</v>
      </c>
      <c r="AJ33" s="392">
        <f t="shared" si="2"/>
        <v>2.2999999999999998</v>
      </c>
      <c r="AK33" s="74">
        <f t="shared" si="2"/>
        <v>0</v>
      </c>
      <c r="AL33" s="509">
        <f t="shared" si="2"/>
        <v>0</v>
      </c>
      <c r="AM33" s="393">
        <f t="shared" si="0"/>
        <v>95.9</v>
      </c>
      <c r="AO33" s="315"/>
      <c r="AP33" s="315"/>
      <c r="AQ33" s="315">
        <f t="shared" si="1"/>
        <v>0</v>
      </c>
    </row>
    <row r="34" spans="2:43" ht="14.25" thickBot="1" x14ac:dyDescent="0.2">
      <c r="B34" s="75" t="s">
        <v>585</v>
      </c>
      <c r="C34" s="76"/>
      <c r="D34" s="77">
        <f>SUM(C33:E33)</f>
        <v>0</v>
      </c>
      <c r="E34" s="77"/>
      <c r="F34" s="76"/>
      <c r="G34" s="77">
        <f>SUM(F33:H33)</f>
        <v>5.8</v>
      </c>
      <c r="H34" s="77"/>
      <c r="I34" s="76"/>
      <c r="J34" s="77">
        <f>SUM(I33:K33)</f>
        <v>3.8</v>
      </c>
      <c r="K34" s="77"/>
      <c r="L34" s="76"/>
      <c r="M34" s="77">
        <f>SUM(L33:N33)</f>
        <v>14.7</v>
      </c>
      <c r="N34" s="77"/>
      <c r="O34" s="76"/>
      <c r="P34" s="77">
        <f>SUM(O33:Q33)</f>
        <v>25.1</v>
      </c>
      <c r="Q34" s="77"/>
      <c r="R34" s="76"/>
      <c r="S34" s="77">
        <f>SUM(R33:T33)</f>
        <v>0</v>
      </c>
      <c r="T34" s="77"/>
      <c r="U34" s="76"/>
      <c r="V34" s="77">
        <f>SUM(U33:W33)</f>
        <v>3.4</v>
      </c>
      <c r="W34" s="77"/>
      <c r="X34" s="76"/>
      <c r="Y34" s="77">
        <f>SUM(X33:Z33)</f>
        <v>3.4</v>
      </c>
      <c r="Z34" s="77"/>
      <c r="AA34" s="76"/>
      <c r="AB34" s="77">
        <f>SUM(AA33:AC33)</f>
        <v>15</v>
      </c>
      <c r="AC34" s="77"/>
      <c r="AD34" s="76"/>
      <c r="AE34" s="77">
        <f>SUM(AD33:AF33)</f>
        <v>15.2</v>
      </c>
      <c r="AF34" s="77"/>
      <c r="AG34" s="76"/>
      <c r="AH34" s="77">
        <f>SUM(AG33:AI33)</f>
        <v>7.1999999999999993</v>
      </c>
      <c r="AI34" s="77"/>
      <c r="AJ34" s="76"/>
      <c r="AK34" s="77">
        <f>SUM(AJ33:AL33)</f>
        <v>2.2999999999999998</v>
      </c>
      <c r="AL34" s="77"/>
      <c r="AM34" s="78">
        <f>SUM(AM8:AM32)</f>
        <v>95.9</v>
      </c>
      <c r="AO34" s="315">
        <f>SUM(AO8:AO32)</f>
        <v>33.900000000000006</v>
      </c>
      <c r="AP34" s="315">
        <f t="shared" ref="AP34" si="3">SUM(AP8:AP32)</f>
        <v>62</v>
      </c>
      <c r="AQ34" s="315">
        <f>SUM(AQ8:AQ33)</f>
        <v>95.9</v>
      </c>
    </row>
  </sheetData>
  <mergeCells count="17">
    <mergeCell ref="AG3:AI3"/>
    <mergeCell ref="AJ3:AL3"/>
    <mergeCell ref="AM3:AM4"/>
    <mergeCell ref="B5:B7"/>
    <mergeCell ref="AC6:AD6"/>
    <mergeCell ref="O3:Q3"/>
    <mergeCell ref="R3:T3"/>
    <mergeCell ref="U3:W3"/>
    <mergeCell ref="X3:Z3"/>
    <mergeCell ref="AA3:AC3"/>
    <mergeCell ref="AD3:AF3"/>
    <mergeCell ref="L2:M2"/>
    <mergeCell ref="B3:B4"/>
    <mergeCell ref="C3:E3"/>
    <mergeCell ref="F3:H3"/>
    <mergeCell ref="I3:K3"/>
    <mergeCell ref="L3:N3"/>
  </mergeCells>
  <phoneticPr fontId="4"/>
  <pageMargins left="0.7" right="0.7" top="0.75" bottom="0.75" header="0.3" footer="0.3"/>
  <pageSetup paperSize="9" scale="47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BJ31"/>
  <sheetViews>
    <sheetView topLeftCell="A13" zoomScale="75" zoomScaleNormal="75" workbookViewId="0">
      <selection activeCell="H18" sqref="H18"/>
    </sheetView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41" width="9" style="49"/>
    <col min="42" max="46" width="0" style="49" hidden="1" customWidth="1"/>
    <col min="47" max="16384" width="9" style="49"/>
  </cols>
  <sheetData>
    <row r="1" spans="2:62" ht="9.9499999999999993" customHeight="1" x14ac:dyDescent="0.15"/>
    <row r="2" spans="2:62" ht="24.95" customHeight="1" thickBot="1" x14ac:dyDescent="0.2">
      <c r="B2" s="5" t="s">
        <v>349</v>
      </c>
      <c r="C2" s="5"/>
      <c r="D2" s="5"/>
      <c r="E2" s="5"/>
      <c r="F2" s="5"/>
      <c r="G2" s="5"/>
      <c r="H2" s="5"/>
      <c r="I2" s="5"/>
      <c r="J2" s="5"/>
      <c r="K2" s="249" t="s">
        <v>237</v>
      </c>
      <c r="L2" s="248" t="s">
        <v>310</v>
      </c>
      <c r="M2" s="80"/>
      <c r="N2" s="249" t="s">
        <v>238</v>
      </c>
      <c r="O2" s="248"/>
      <c r="P2" s="5"/>
      <c r="Q2" s="5"/>
      <c r="R2" s="5"/>
      <c r="S2" s="5"/>
      <c r="T2" s="5"/>
      <c r="U2" s="5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907" t="s">
        <v>539</v>
      </c>
      <c r="C3" s="899">
        <v>1</v>
      </c>
      <c r="D3" s="900"/>
      <c r="E3" s="901"/>
      <c r="F3" s="899">
        <v>2</v>
      </c>
      <c r="G3" s="900"/>
      <c r="H3" s="901"/>
      <c r="I3" s="899">
        <v>3</v>
      </c>
      <c r="J3" s="900"/>
      <c r="K3" s="901"/>
      <c r="L3" s="899">
        <v>4</v>
      </c>
      <c r="M3" s="900"/>
      <c r="N3" s="901"/>
      <c r="O3" s="899">
        <v>5</v>
      </c>
      <c r="P3" s="900"/>
      <c r="Q3" s="901"/>
      <c r="R3" s="899">
        <v>6</v>
      </c>
      <c r="S3" s="900"/>
      <c r="T3" s="901"/>
      <c r="U3" s="899">
        <v>7</v>
      </c>
      <c r="V3" s="900"/>
      <c r="W3" s="901"/>
      <c r="X3" s="899">
        <v>8</v>
      </c>
      <c r="Y3" s="900"/>
      <c r="Z3" s="901"/>
      <c r="AA3" s="899">
        <v>9</v>
      </c>
      <c r="AB3" s="900"/>
      <c r="AC3" s="901"/>
      <c r="AD3" s="899">
        <v>10</v>
      </c>
      <c r="AE3" s="900"/>
      <c r="AF3" s="901"/>
      <c r="AG3" s="899">
        <v>11</v>
      </c>
      <c r="AH3" s="900"/>
      <c r="AI3" s="901"/>
      <c r="AJ3" s="899">
        <v>12</v>
      </c>
      <c r="AK3" s="900"/>
      <c r="AL3" s="901"/>
      <c r="AM3" s="902" t="s">
        <v>34</v>
      </c>
      <c r="AP3" s="49" t="s">
        <v>540</v>
      </c>
      <c r="AQ3" s="49" t="s">
        <v>300</v>
      </c>
      <c r="AR3" s="49" t="s">
        <v>25</v>
      </c>
    </row>
    <row r="4" spans="2:62" ht="20.100000000000001" customHeight="1" x14ac:dyDescent="0.15">
      <c r="B4" s="906"/>
      <c r="C4" s="390" t="s">
        <v>35</v>
      </c>
      <c r="D4" s="71" t="s">
        <v>36</v>
      </c>
      <c r="E4" s="494" t="s">
        <v>37</v>
      </c>
      <c r="F4" s="390" t="s">
        <v>35</v>
      </c>
      <c r="G4" s="494" t="s">
        <v>36</v>
      </c>
      <c r="H4" s="494" t="s">
        <v>37</v>
      </c>
      <c r="I4" s="390" t="s">
        <v>35</v>
      </c>
      <c r="J4" s="494" t="s">
        <v>36</v>
      </c>
      <c r="K4" s="494" t="s">
        <v>37</v>
      </c>
      <c r="L4" s="390" t="s">
        <v>35</v>
      </c>
      <c r="M4" s="494" t="s">
        <v>36</v>
      </c>
      <c r="N4" s="494" t="s">
        <v>37</v>
      </c>
      <c r="O4" s="390" t="s">
        <v>35</v>
      </c>
      <c r="P4" s="494" t="s">
        <v>36</v>
      </c>
      <c r="Q4" s="494" t="s">
        <v>37</v>
      </c>
      <c r="R4" s="390" t="s">
        <v>35</v>
      </c>
      <c r="S4" s="495" t="s">
        <v>36</v>
      </c>
      <c r="T4" s="495" t="s">
        <v>37</v>
      </c>
      <c r="U4" s="390" t="s">
        <v>35</v>
      </c>
      <c r="V4" s="494" t="s">
        <v>36</v>
      </c>
      <c r="W4" s="494" t="s">
        <v>37</v>
      </c>
      <c r="X4" s="390" t="s">
        <v>35</v>
      </c>
      <c r="Y4" s="494" t="s">
        <v>36</v>
      </c>
      <c r="Z4" s="494" t="s">
        <v>37</v>
      </c>
      <c r="AA4" s="390" t="s">
        <v>35</v>
      </c>
      <c r="AB4" s="494" t="s">
        <v>36</v>
      </c>
      <c r="AC4" s="494" t="s">
        <v>37</v>
      </c>
      <c r="AD4" s="390" t="s">
        <v>35</v>
      </c>
      <c r="AE4" s="494" t="s">
        <v>36</v>
      </c>
      <c r="AF4" s="494" t="s">
        <v>37</v>
      </c>
      <c r="AG4" s="390" t="s">
        <v>35</v>
      </c>
      <c r="AH4" s="494" t="s">
        <v>36</v>
      </c>
      <c r="AI4" s="494" t="s">
        <v>37</v>
      </c>
      <c r="AJ4" s="390" t="s">
        <v>35</v>
      </c>
      <c r="AK4" s="494" t="s">
        <v>36</v>
      </c>
      <c r="AL4" s="494" t="s">
        <v>37</v>
      </c>
      <c r="AM4" s="903"/>
    </row>
    <row r="5" spans="2:62" ht="20.100000000000001" customHeight="1" x14ac:dyDescent="0.15">
      <c r="B5" s="333"/>
      <c r="C5" s="334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6"/>
      <c r="O5" s="336"/>
      <c r="P5" s="335"/>
      <c r="Q5" s="337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8"/>
      <c r="AC5" s="338"/>
      <c r="AD5" s="338"/>
      <c r="AE5" s="335"/>
      <c r="AF5" s="335"/>
      <c r="AG5" s="335"/>
      <c r="AH5" s="335"/>
      <c r="AI5" s="335"/>
      <c r="AJ5" s="335"/>
      <c r="AK5" s="335"/>
      <c r="AL5" s="335"/>
      <c r="AM5" s="339"/>
    </row>
    <row r="6" spans="2:62" ht="20.100000000000001" customHeight="1" x14ac:dyDescent="0.15">
      <c r="B6" s="333" t="s">
        <v>340</v>
      </c>
      <c r="C6" s="334"/>
      <c r="D6" s="335"/>
      <c r="E6" s="335"/>
      <c r="F6" s="335"/>
      <c r="G6" s="335"/>
      <c r="H6" s="335"/>
      <c r="I6" s="335"/>
      <c r="J6" s="335"/>
      <c r="K6" s="335"/>
      <c r="L6" s="335"/>
      <c r="M6" s="337"/>
      <c r="N6" s="336"/>
      <c r="O6" s="340"/>
      <c r="P6" s="341"/>
      <c r="Q6" s="337"/>
      <c r="R6" s="337"/>
      <c r="S6" s="341"/>
      <c r="T6" s="341"/>
      <c r="U6" s="337"/>
      <c r="V6" s="337"/>
      <c r="W6" s="337"/>
      <c r="X6" s="337"/>
      <c r="Y6" s="337"/>
      <c r="Z6" s="337"/>
      <c r="AA6" s="342"/>
      <c r="AB6" s="342"/>
      <c r="AC6" s="342"/>
      <c r="AD6" s="342"/>
      <c r="AE6" s="335"/>
      <c r="AF6" s="335"/>
      <c r="AG6" s="913" t="s">
        <v>621</v>
      </c>
      <c r="AH6" s="914"/>
      <c r="AI6" s="915"/>
      <c r="AJ6" s="342"/>
      <c r="AK6" s="342"/>
      <c r="AL6" s="335"/>
      <c r="AM6" s="339"/>
    </row>
    <row r="7" spans="2:62" ht="20.100000000000001" customHeight="1" x14ac:dyDescent="0.15">
      <c r="B7" s="496"/>
      <c r="C7" s="497"/>
      <c r="D7" s="498"/>
      <c r="E7" s="498"/>
      <c r="F7" s="498"/>
      <c r="G7" s="498"/>
      <c r="H7" s="498"/>
      <c r="I7" s="498"/>
      <c r="J7" s="498"/>
      <c r="K7" s="498"/>
      <c r="L7" s="498"/>
      <c r="M7" s="498"/>
      <c r="N7" s="498"/>
      <c r="O7" s="498"/>
      <c r="P7" s="498"/>
      <c r="Q7" s="498"/>
      <c r="R7" s="498"/>
      <c r="S7" s="498"/>
      <c r="T7" s="498"/>
      <c r="U7" s="498"/>
      <c r="V7" s="498"/>
      <c r="W7" s="498"/>
      <c r="X7" s="498"/>
      <c r="Y7" s="498"/>
      <c r="Z7" s="498"/>
      <c r="AA7" s="498"/>
      <c r="AB7" s="498"/>
      <c r="AC7" s="498"/>
      <c r="AD7" s="498"/>
      <c r="AE7" s="498"/>
      <c r="AF7" s="498"/>
      <c r="AG7" s="498"/>
      <c r="AH7" s="498"/>
      <c r="AI7" s="498"/>
      <c r="AJ7" s="498"/>
      <c r="AK7" s="498"/>
      <c r="AL7" s="498"/>
      <c r="AM7" s="499"/>
    </row>
    <row r="8" spans="2:62" ht="20.100000000000001" customHeight="1" x14ac:dyDescent="0.15">
      <c r="B8" s="500" t="s">
        <v>541</v>
      </c>
      <c r="C8" s="501"/>
      <c r="D8" s="502"/>
      <c r="E8" s="502"/>
      <c r="F8" s="501"/>
      <c r="G8" s="502"/>
      <c r="H8" s="502"/>
      <c r="I8" s="503"/>
      <c r="J8" s="504"/>
      <c r="K8" s="504"/>
      <c r="L8" s="503"/>
      <c r="M8" s="504"/>
      <c r="N8" s="504"/>
      <c r="O8" s="503"/>
      <c r="P8" s="504"/>
      <c r="Q8" s="504">
        <v>1.2</v>
      </c>
      <c r="R8" s="503"/>
      <c r="S8" s="504"/>
      <c r="T8" s="504"/>
      <c r="U8" s="503"/>
      <c r="V8" s="504"/>
      <c r="W8" s="504"/>
      <c r="X8" s="503"/>
      <c r="Y8" s="504"/>
      <c r="Z8" s="504"/>
      <c r="AA8" s="503"/>
      <c r="AB8" s="504"/>
      <c r="AC8" s="504"/>
      <c r="AD8" s="503"/>
      <c r="AE8" s="504"/>
      <c r="AF8" s="504"/>
      <c r="AG8" s="503"/>
      <c r="AH8" s="504"/>
      <c r="AI8" s="504"/>
      <c r="AJ8" s="501">
        <v>1.2</v>
      </c>
      <c r="AK8" s="502"/>
      <c r="AL8" s="502"/>
      <c r="AM8" s="349">
        <f t="shared" ref="AM8:AM24" si="0">SUM(C8:AL8)</f>
        <v>2.4</v>
      </c>
      <c r="AP8" s="234">
        <v>1.2</v>
      </c>
      <c r="AQ8" s="234">
        <v>1.2</v>
      </c>
      <c r="AR8" s="315">
        <f>SUM(AP8:AQ8)</f>
        <v>2.4</v>
      </c>
      <c r="AT8" s="50">
        <v>2.4</v>
      </c>
    </row>
    <row r="9" spans="2:62" ht="20.100000000000001" customHeight="1" x14ac:dyDescent="0.15">
      <c r="B9" s="500" t="s">
        <v>346</v>
      </c>
      <c r="C9" s="501"/>
      <c r="D9" s="502"/>
      <c r="E9" s="502"/>
      <c r="F9" s="501"/>
      <c r="G9" s="502"/>
      <c r="H9" s="502"/>
      <c r="I9" s="503"/>
      <c r="J9" s="504"/>
      <c r="K9" s="504"/>
      <c r="L9" s="503"/>
      <c r="M9" s="504"/>
      <c r="N9" s="504"/>
      <c r="O9" s="503"/>
      <c r="P9" s="504"/>
      <c r="Q9" s="504"/>
      <c r="R9" s="503">
        <v>10.199999999999999</v>
      </c>
      <c r="S9" s="504">
        <v>10.199999999999999</v>
      </c>
      <c r="T9" s="504"/>
      <c r="U9" s="503"/>
      <c r="V9" s="504"/>
      <c r="W9" s="504"/>
      <c r="X9" s="503"/>
      <c r="Y9" s="504"/>
      <c r="Z9" s="504"/>
      <c r="AA9" s="503"/>
      <c r="AB9" s="504"/>
      <c r="AC9" s="504"/>
      <c r="AD9" s="503"/>
      <c r="AE9" s="504"/>
      <c r="AF9" s="504"/>
      <c r="AG9" s="503"/>
      <c r="AH9" s="504"/>
      <c r="AI9" s="504"/>
      <c r="AJ9" s="501"/>
      <c r="AK9" s="502"/>
      <c r="AL9" s="505"/>
      <c r="AM9" s="349">
        <f t="shared" si="0"/>
        <v>20.399999999999999</v>
      </c>
      <c r="AP9" s="234">
        <v>5.0999999999999996</v>
      </c>
      <c r="AQ9" s="234">
        <v>15.3</v>
      </c>
      <c r="AR9" s="315">
        <f t="shared" ref="AR9:AR19" si="1">SUM(AP9:AQ9)</f>
        <v>20.399999999999999</v>
      </c>
      <c r="AT9" s="50">
        <v>20.399999999999999</v>
      </c>
    </row>
    <row r="10" spans="2:62" ht="20.100000000000001" customHeight="1" x14ac:dyDescent="0.15">
      <c r="B10" s="500" t="s">
        <v>542</v>
      </c>
      <c r="C10" s="501"/>
      <c r="D10" s="502"/>
      <c r="E10" s="502"/>
      <c r="F10" s="501"/>
      <c r="G10" s="502"/>
      <c r="H10" s="502"/>
      <c r="I10" s="503"/>
      <c r="J10" s="504"/>
      <c r="K10" s="504"/>
      <c r="L10" s="503"/>
      <c r="M10" s="504"/>
      <c r="N10" s="504"/>
      <c r="O10" s="503"/>
      <c r="P10" s="504"/>
      <c r="Q10" s="504"/>
      <c r="R10" s="503">
        <v>6.2</v>
      </c>
      <c r="S10" s="504">
        <v>6.1</v>
      </c>
      <c r="T10" s="504"/>
      <c r="U10" s="503"/>
      <c r="V10" s="504"/>
      <c r="W10" s="504"/>
      <c r="X10" s="503"/>
      <c r="Y10" s="504"/>
      <c r="Z10" s="504"/>
      <c r="AA10" s="503"/>
      <c r="AB10" s="504"/>
      <c r="AC10" s="504"/>
      <c r="AD10" s="503"/>
      <c r="AE10" s="504"/>
      <c r="AF10" s="504"/>
      <c r="AG10" s="503"/>
      <c r="AH10" s="504"/>
      <c r="AI10" s="504"/>
      <c r="AJ10" s="501"/>
      <c r="AK10" s="502"/>
      <c r="AL10" s="502"/>
      <c r="AM10" s="349">
        <f t="shared" si="0"/>
        <v>12.3</v>
      </c>
      <c r="AP10" s="234">
        <v>12.3</v>
      </c>
      <c r="AQ10" s="234"/>
      <c r="AR10" s="315">
        <f t="shared" si="1"/>
        <v>12.3</v>
      </c>
      <c r="AT10" s="50">
        <v>12.3</v>
      </c>
    </row>
    <row r="11" spans="2:62" ht="20.100000000000001" customHeight="1" x14ac:dyDescent="0.15">
      <c r="B11" s="500" t="s">
        <v>543</v>
      </c>
      <c r="C11" s="501"/>
      <c r="D11" s="502"/>
      <c r="E11" s="502"/>
      <c r="F11" s="501"/>
      <c r="G11" s="502"/>
      <c r="H11" s="502"/>
      <c r="I11" s="503"/>
      <c r="J11" s="504"/>
      <c r="K11" s="504"/>
      <c r="L11" s="503"/>
      <c r="M11" s="504"/>
      <c r="N11" s="504"/>
      <c r="O11" s="503"/>
      <c r="P11" s="504"/>
      <c r="Q11" s="504"/>
      <c r="R11" s="503"/>
      <c r="S11" s="504">
        <v>3.3</v>
      </c>
      <c r="T11" s="504">
        <v>3.2</v>
      </c>
      <c r="U11" s="503"/>
      <c r="V11" s="504"/>
      <c r="W11" s="504"/>
      <c r="X11" s="503"/>
      <c r="Y11" s="504"/>
      <c r="Z11" s="504"/>
      <c r="AA11" s="503"/>
      <c r="AB11" s="504"/>
      <c r="AC11" s="504"/>
      <c r="AD11" s="503"/>
      <c r="AE11" s="504"/>
      <c r="AF11" s="504"/>
      <c r="AG11" s="503"/>
      <c r="AH11" s="504"/>
      <c r="AI11" s="504"/>
      <c r="AJ11" s="501"/>
      <c r="AK11" s="502"/>
      <c r="AL11" s="502"/>
      <c r="AM11" s="349">
        <f t="shared" si="0"/>
        <v>6.5</v>
      </c>
      <c r="AP11" s="234">
        <v>1.5</v>
      </c>
      <c r="AQ11" s="234">
        <v>5</v>
      </c>
      <c r="AR11" s="315">
        <f t="shared" si="1"/>
        <v>6.5</v>
      </c>
      <c r="AT11" s="50">
        <v>6.5</v>
      </c>
    </row>
    <row r="12" spans="2:62" ht="20.100000000000001" customHeight="1" x14ac:dyDescent="0.15">
      <c r="B12" s="500" t="s">
        <v>544</v>
      </c>
      <c r="C12" s="501"/>
      <c r="D12" s="502"/>
      <c r="E12" s="502"/>
      <c r="F12" s="501"/>
      <c r="G12" s="502"/>
      <c r="H12" s="502"/>
      <c r="I12" s="503"/>
      <c r="J12" s="504"/>
      <c r="K12" s="504"/>
      <c r="L12" s="503"/>
      <c r="M12" s="504"/>
      <c r="N12" s="504"/>
      <c r="O12" s="503"/>
      <c r="P12" s="504"/>
      <c r="Q12" s="504"/>
      <c r="R12" s="503"/>
      <c r="S12" s="504"/>
      <c r="T12" s="504"/>
      <c r="U12" s="503"/>
      <c r="V12" s="504">
        <v>1.5</v>
      </c>
      <c r="W12" s="504"/>
      <c r="X12" s="503"/>
      <c r="Y12" s="504"/>
      <c r="Z12" s="504"/>
      <c r="AA12" s="503"/>
      <c r="AB12" s="504"/>
      <c r="AC12" s="504"/>
      <c r="AD12" s="503"/>
      <c r="AE12" s="504"/>
      <c r="AF12" s="504"/>
      <c r="AG12" s="503"/>
      <c r="AH12" s="504"/>
      <c r="AI12" s="504"/>
      <c r="AJ12" s="501"/>
      <c r="AK12" s="502"/>
      <c r="AL12" s="502"/>
      <c r="AM12" s="349">
        <f t="shared" si="0"/>
        <v>1.5</v>
      </c>
      <c r="AP12" s="234">
        <v>0.7</v>
      </c>
      <c r="AQ12" s="234">
        <v>0.8</v>
      </c>
      <c r="AR12" s="315">
        <f t="shared" si="1"/>
        <v>1.5</v>
      </c>
      <c r="AT12" s="50">
        <v>1.5</v>
      </c>
    </row>
    <row r="13" spans="2:62" ht="20.100000000000001" customHeight="1" x14ac:dyDescent="0.15">
      <c r="B13" s="500" t="s">
        <v>545</v>
      </c>
      <c r="C13" s="501"/>
      <c r="D13" s="502"/>
      <c r="E13" s="502"/>
      <c r="F13" s="501"/>
      <c r="G13" s="502"/>
      <c r="H13" s="502"/>
      <c r="I13" s="503"/>
      <c r="J13" s="504"/>
      <c r="K13" s="504"/>
      <c r="L13" s="503"/>
      <c r="M13" s="504"/>
      <c r="N13" s="504"/>
      <c r="O13" s="503"/>
      <c r="P13" s="504"/>
      <c r="Q13" s="504"/>
      <c r="R13" s="503"/>
      <c r="S13" s="504"/>
      <c r="T13" s="504"/>
      <c r="U13" s="503"/>
      <c r="V13" s="504"/>
      <c r="W13" s="504"/>
      <c r="X13" s="503"/>
      <c r="Y13" s="504">
        <v>1.8</v>
      </c>
      <c r="Z13" s="504"/>
      <c r="AA13" s="503">
        <v>1.9</v>
      </c>
      <c r="AB13" s="504"/>
      <c r="AC13" s="504"/>
      <c r="AD13" s="503"/>
      <c r="AE13" s="504"/>
      <c r="AF13" s="504"/>
      <c r="AG13" s="503"/>
      <c r="AH13" s="504"/>
      <c r="AI13" s="504"/>
      <c r="AJ13" s="501"/>
      <c r="AK13" s="502"/>
      <c r="AL13" s="502"/>
      <c r="AM13" s="349">
        <f t="shared" si="0"/>
        <v>3.7</v>
      </c>
      <c r="AP13" s="234">
        <v>0.9</v>
      </c>
      <c r="AQ13" s="234">
        <v>2.8</v>
      </c>
      <c r="AR13" s="315">
        <f t="shared" si="1"/>
        <v>3.6999999999999997</v>
      </c>
      <c r="AT13" s="50">
        <v>3.7</v>
      </c>
    </row>
    <row r="14" spans="2:62" ht="20.100000000000001" customHeight="1" x14ac:dyDescent="0.15">
      <c r="B14" s="500" t="s">
        <v>546</v>
      </c>
      <c r="C14" s="501"/>
      <c r="D14" s="502"/>
      <c r="E14" s="502"/>
      <c r="F14" s="501"/>
      <c r="G14" s="502"/>
      <c r="H14" s="502"/>
      <c r="I14" s="503"/>
      <c r="J14" s="504"/>
      <c r="K14" s="504"/>
      <c r="L14" s="503"/>
      <c r="M14" s="504"/>
      <c r="N14" s="504"/>
      <c r="O14" s="503"/>
      <c r="P14" s="504"/>
      <c r="Q14" s="504"/>
      <c r="R14" s="503"/>
      <c r="S14" s="504"/>
      <c r="T14" s="504"/>
      <c r="U14" s="503"/>
      <c r="V14" s="504"/>
      <c r="W14" s="504"/>
      <c r="X14" s="503"/>
      <c r="Y14" s="504"/>
      <c r="Z14" s="504"/>
      <c r="AA14" s="503"/>
      <c r="AB14" s="504"/>
      <c r="AC14" s="504"/>
      <c r="AD14" s="503"/>
      <c r="AE14" s="504"/>
      <c r="AF14" s="504"/>
      <c r="AG14" s="503">
        <v>4.5999999999999996</v>
      </c>
      <c r="AH14" s="504">
        <v>4.5999999999999996</v>
      </c>
      <c r="AI14" s="504">
        <v>4.5999999999999996</v>
      </c>
      <c r="AJ14" s="501"/>
      <c r="AK14" s="502"/>
      <c r="AL14" s="502"/>
      <c r="AM14" s="349">
        <f t="shared" si="0"/>
        <v>13.799999999999999</v>
      </c>
      <c r="AP14" s="234">
        <v>2.6</v>
      </c>
      <c r="AQ14" s="234">
        <v>11.2</v>
      </c>
      <c r="AR14" s="315">
        <f t="shared" si="1"/>
        <v>13.799999999999999</v>
      </c>
      <c r="AT14" s="50">
        <v>13.8</v>
      </c>
    </row>
    <row r="15" spans="2:62" ht="20.100000000000001" customHeight="1" x14ac:dyDescent="0.15">
      <c r="B15" s="500" t="s">
        <v>547</v>
      </c>
      <c r="C15" s="501"/>
      <c r="D15" s="502"/>
      <c r="E15" s="502"/>
      <c r="F15" s="501"/>
      <c r="G15" s="502"/>
      <c r="H15" s="502"/>
      <c r="I15" s="503"/>
      <c r="J15" s="504"/>
      <c r="K15" s="504"/>
      <c r="L15" s="503"/>
      <c r="M15" s="504"/>
      <c r="N15" s="504"/>
      <c r="O15" s="503"/>
      <c r="P15" s="504"/>
      <c r="Q15" s="504">
        <v>5.3</v>
      </c>
      <c r="R15" s="503"/>
      <c r="S15" s="504"/>
      <c r="T15" s="504"/>
      <c r="U15" s="503"/>
      <c r="V15" s="504"/>
      <c r="W15" s="504"/>
      <c r="X15" s="503"/>
      <c r="Y15" s="504"/>
      <c r="Z15" s="504"/>
      <c r="AA15" s="503"/>
      <c r="AB15" s="504"/>
      <c r="AC15" s="504"/>
      <c r="AD15" s="503"/>
      <c r="AE15" s="504"/>
      <c r="AF15" s="504"/>
      <c r="AG15" s="503"/>
      <c r="AH15" s="504"/>
      <c r="AI15" s="504"/>
      <c r="AJ15" s="501">
        <v>5.9</v>
      </c>
      <c r="AK15" s="502"/>
      <c r="AL15" s="502"/>
      <c r="AM15" s="349">
        <f t="shared" si="0"/>
        <v>11.2</v>
      </c>
      <c r="AP15" s="234"/>
      <c r="AQ15" s="234">
        <v>11.2</v>
      </c>
      <c r="AR15" s="315">
        <f t="shared" si="1"/>
        <v>11.2</v>
      </c>
      <c r="AT15" s="50">
        <v>11.2</v>
      </c>
    </row>
    <row r="16" spans="2:62" ht="20.100000000000001" customHeight="1" x14ac:dyDescent="0.15">
      <c r="B16" s="500"/>
      <c r="C16" s="501"/>
      <c r="D16" s="502"/>
      <c r="E16" s="502"/>
      <c r="F16" s="501"/>
      <c r="G16" s="502"/>
      <c r="H16" s="502"/>
      <c r="I16" s="503"/>
      <c r="J16" s="504"/>
      <c r="K16" s="504"/>
      <c r="L16" s="503"/>
      <c r="M16" s="504"/>
      <c r="N16" s="504"/>
      <c r="O16" s="503"/>
      <c r="P16" s="504"/>
      <c r="Q16" s="504"/>
      <c r="R16" s="503"/>
      <c r="S16" s="504"/>
      <c r="T16" s="504"/>
      <c r="U16" s="503"/>
      <c r="V16" s="504"/>
      <c r="W16" s="504"/>
      <c r="X16" s="503"/>
      <c r="Y16" s="504"/>
      <c r="Z16" s="504"/>
      <c r="AA16" s="503"/>
      <c r="AB16" s="504"/>
      <c r="AC16" s="504"/>
      <c r="AD16" s="503"/>
      <c r="AE16" s="504"/>
      <c r="AF16" s="504"/>
      <c r="AG16" s="503"/>
      <c r="AH16" s="504"/>
      <c r="AI16" s="504"/>
      <c r="AJ16" s="501"/>
      <c r="AK16" s="502"/>
      <c r="AL16" s="502"/>
      <c r="AM16" s="349">
        <f t="shared" si="0"/>
        <v>0</v>
      </c>
      <c r="AP16" s="234"/>
      <c r="AQ16" s="234"/>
      <c r="AR16" s="315">
        <f t="shared" si="1"/>
        <v>0</v>
      </c>
      <c r="AT16" s="50"/>
    </row>
    <row r="17" spans="2:46" ht="20.100000000000001" customHeight="1" x14ac:dyDescent="0.15">
      <c r="B17" s="506"/>
      <c r="C17" s="392"/>
      <c r="D17" s="507"/>
      <c r="E17" s="507"/>
      <c r="F17" s="392"/>
      <c r="G17" s="507"/>
      <c r="H17" s="507"/>
      <c r="I17" s="392"/>
      <c r="J17" s="507"/>
      <c r="K17" s="507"/>
      <c r="L17" s="392"/>
      <c r="M17" s="507"/>
      <c r="N17" s="507"/>
      <c r="O17" s="392"/>
      <c r="P17" s="507"/>
      <c r="Q17" s="507"/>
      <c r="R17" s="392"/>
      <c r="S17" s="507"/>
      <c r="T17" s="507"/>
      <c r="U17" s="392"/>
      <c r="V17" s="507"/>
      <c r="W17" s="507"/>
      <c r="X17" s="392"/>
      <c r="Y17" s="507"/>
      <c r="Z17" s="507"/>
      <c r="AA17" s="392"/>
      <c r="AB17" s="507"/>
      <c r="AC17" s="507"/>
      <c r="AD17" s="392"/>
      <c r="AE17" s="507"/>
      <c r="AF17" s="507"/>
      <c r="AG17" s="392"/>
      <c r="AH17" s="507"/>
      <c r="AI17" s="507"/>
      <c r="AJ17" s="392"/>
      <c r="AK17" s="507"/>
      <c r="AL17" s="507"/>
      <c r="AM17" s="393">
        <f t="shared" si="0"/>
        <v>0</v>
      </c>
      <c r="AP17" s="234"/>
      <c r="AQ17" s="234"/>
      <c r="AR17" s="315">
        <f t="shared" si="1"/>
        <v>0</v>
      </c>
      <c r="AT17" s="50"/>
    </row>
    <row r="18" spans="2:46" ht="20.100000000000001" customHeight="1" x14ac:dyDescent="0.15">
      <c r="B18" s="506"/>
      <c r="C18" s="392"/>
      <c r="D18" s="507"/>
      <c r="E18" s="507"/>
      <c r="F18" s="392"/>
      <c r="G18" s="507"/>
      <c r="H18" s="507"/>
      <c r="I18" s="392"/>
      <c r="J18" s="507"/>
      <c r="K18" s="507"/>
      <c r="L18" s="392"/>
      <c r="M18" s="507"/>
      <c r="N18" s="507"/>
      <c r="O18" s="392"/>
      <c r="P18" s="507"/>
      <c r="Q18" s="507"/>
      <c r="R18" s="392"/>
      <c r="S18" s="507"/>
      <c r="T18" s="507"/>
      <c r="U18" s="392"/>
      <c r="V18" s="507"/>
      <c r="W18" s="507"/>
      <c r="X18" s="392"/>
      <c r="Y18" s="507"/>
      <c r="Z18" s="507"/>
      <c r="AA18" s="392"/>
      <c r="AB18" s="507"/>
      <c r="AC18" s="507"/>
      <c r="AD18" s="392"/>
      <c r="AE18" s="507"/>
      <c r="AF18" s="507"/>
      <c r="AG18" s="392"/>
      <c r="AH18" s="507"/>
      <c r="AI18" s="507"/>
      <c r="AJ18" s="392"/>
      <c r="AK18" s="507"/>
      <c r="AL18" s="507"/>
      <c r="AM18" s="393">
        <f t="shared" si="0"/>
        <v>0</v>
      </c>
      <c r="AP18" s="234"/>
      <c r="AQ18" s="234"/>
      <c r="AR18" s="315">
        <f t="shared" si="1"/>
        <v>0</v>
      </c>
      <c r="AT18" s="50"/>
    </row>
    <row r="19" spans="2:46" ht="20.100000000000001" customHeight="1" x14ac:dyDescent="0.15">
      <c r="B19" s="506"/>
      <c r="C19" s="392"/>
      <c r="D19" s="507"/>
      <c r="E19" s="507"/>
      <c r="F19" s="392"/>
      <c r="G19" s="507"/>
      <c r="H19" s="507"/>
      <c r="I19" s="392"/>
      <c r="J19" s="507"/>
      <c r="K19" s="507"/>
      <c r="L19" s="392"/>
      <c r="M19" s="507"/>
      <c r="N19" s="507"/>
      <c r="O19" s="392"/>
      <c r="P19" s="507"/>
      <c r="Q19" s="507"/>
      <c r="R19" s="392"/>
      <c r="S19" s="507"/>
      <c r="T19" s="507"/>
      <c r="U19" s="392"/>
      <c r="V19" s="507"/>
      <c r="W19" s="507"/>
      <c r="X19" s="392"/>
      <c r="Y19" s="507"/>
      <c r="Z19" s="507"/>
      <c r="AA19" s="392"/>
      <c r="AB19" s="507"/>
      <c r="AC19" s="507"/>
      <c r="AD19" s="392"/>
      <c r="AE19" s="507"/>
      <c r="AF19" s="507"/>
      <c r="AG19" s="392"/>
      <c r="AH19" s="507"/>
      <c r="AI19" s="507"/>
      <c r="AJ19" s="392"/>
      <c r="AK19" s="507"/>
      <c r="AL19" s="507"/>
      <c r="AM19" s="393">
        <f t="shared" si="0"/>
        <v>0</v>
      </c>
      <c r="AP19" s="234"/>
      <c r="AQ19" s="234"/>
      <c r="AR19" s="315">
        <f t="shared" si="1"/>
        <v>0</v>
      </c>
      <c r="AT19" s="50"/>
    </row>
    <row r="20" spans="2:46" ht="20.100000000000001" customHeight="1" x14ac:dyDescent="0.15">
      <c r="B20" s="506"/>
      <c r="C20" s="392"/>
      <c r="D20" s="507"/>
      <c r="E20" s="507"/>
      <c r="F20" s="392"/>
      <c r="G20" s="507"/>
      <c r="H20" s="507"/>
      <c r="I20" s="392"/>
      <c r="J20" s="507"/>
      <c r="K20" s="507"/>
      <c r="L20" s="392"/>
      <c r="M20" s="507"/>
      <c r="N20" s="507"/>
      <c r="O20" s="392"/>
      <c r="P20" s="507"/>
      <c r="Q20" s="507"/>
      <c r="R20" s="392"/>
      <c r="S20" s="507"/>
      <c r="T20" s="507"/>
      <c r="U20" s="392"/>
      <c r="V20" s="507"/>
      <c r="W20" s="507"/>
      <c r="X20" s="392"/>
      <c r="Y20" s="507"/>
      <c r="Z20" s="507"/>
      <c r="AA20" s="392"/>
      <c r="AB20" s="507"/>
      <c r="AC20" s="507"/>
      <c r="AD20" s="392"/>
      <c r="AE20" s="507"/>
      <c r="AF20" s="507"/>
      <c r="AG20" s="392"/>
      <c r="AH20" s="507"/>
      <c r="AI20" s="507"/>
      <c r="AJ20" s="392"/>
      <c r="AK20" s="507"/>
      <c r="AL20" s="507"/>
      <c r="AM20" s="393">
        <f t="shared" si="0"/>
        <v>0</v>
      </c>
      <c r="AP20" s="315"/>
      <c r="AQ20" s="315"/>
      <c r="AR20" s="315">
        <f t="shared" ref="AR20:AR25" si="2">SUM(AP20:AQ20)</f>
        <v>0</v>
      </c>
      <c r="AT20" s="50"/>
    </row>
    <row r="21" spans="2:46" ht="20.100000000000001" customHeight="1" x14ac:dyDescent="0.15">
      <c r="B21" s="506"/>
      <c r="C21" s="392"/>
      <c r="D21" s="507"/>
      <c r="E21" s="507"/>
      <c r="F21" s="392"/>
      <c r="G21" s="507"/>
      <c r="H21" s="507"/>
      <c r="I21" s="392"/>
      <c r="J21" s="507"/>
      <c r="K21" s="507"/>
      <c r="L21" s="392"/>
      <c r="M21" s="507"/>
      <c r="N21" s="507"/>
      <c r="O21" s="392"/>
      <c r="P21" s="507"/>
      <c r="Q21" s="507"/>
      <c r="R21" s="392"/>
      <c r="S21" s="507"/>
      <c r="T21" s="507"/>
      <c r="U21" s="392"/>
      <c r="V21" s="507"/>
      <c r="W21" s="507"/>
      <c r="X21" s="392"/>
      <c r="Y21" s="507"/>
      <c r="Z21" s="507"/>
      <c r="AA21" s="392"/>
      <c r="AB21" s="507"/>
      <c r="AC21" s="507"/>
      <c r="AD21" s="392"/>
      <c r="AE21" s="507"/>
      <c r="AF21" s="507"/>
      <c r="AG21" s="392"/>
      <c r="AH21" s="507"/>
      <c r="AI21" s="507"/>
      <c r="AJ21" s="392"/>
      <c r="AK21" s="507"/>
      <c r="AL21" s="507"/>
      <c r="AM21" s="393">
        <f t="shared" si="0"/>
        <v>0</v>
      </c>
      <c r="AP21" s="315"/>
      <c r="AQ21" s="315"/>
      <c r="AR21" s="315">
        <f t="shared" si="2"/>
        <v>0</v>
      </c>
      <c r="AT21" s="50"/>
    </row>
    <row r="22" spans="2:46" ht="20.100000000000001" customHeight="1" x14ac:dyDescent="0.15">
      <c r="B22" s="506"/>
      <c r="C22" s="392"/>
      <c r="D22" s="507"/>
      <c r="E22" s="507"/>
      <c r="F22" s="392"/>
      <c r="G22" s="507"/>
      <c r="H22" s="507"/>
      <c r="I22" s="392"/>
      <c r="J22" s="507"/>
      <c r="K22" s="507"/>
      <c r="L22" s="392"/>
      <c r="M22" s="507"/>
      <c r="N22" s="507"/>
      <c r="O22" s="392"/>
      <c r="P22" s="507"/>
      <c r="Q22" s="507"/>
      <c r="R22" s="392"/>
      <c r="S22" s="507"/>
      <c r="T22" s="507"/>
      <c r="U22" s="392"/>
      <c r="V22" s="507"/>
      <c r="W22" s="507"/>
      <c r="X22" s="392"/>
      <c r="Y22" s="507"/>
      <c r="Z22" s="507"/>
      <c r="AA22" s="392"/>
      <c r="AB22" s="507"/>
      <c r="AC22" s="507"/>
      <c r="AD22" s="392"/>
      <c r="AE22" s="507"/>
      <c r="AF22" s="507"/>
      <c r="AG22" s="392"/>
      <c r="AH22" s="507"/>
      <c r="AI22" s="507"/>
      <c r="AJ22" s="392"/>
      <c r="AK22" s="507"/>
      <c r="AL22" s="507"/>
      <c r="AM22" s="393">
        <f t="shared" si="0"/>
        <v>0</v>
      </c>
      <c r="AP22" s="315"/>
      <c r="AQ22" s="315"/>
      <c r="AR22" s="315">
        <f t="shared" si="2"/>
        <v>0</v>
      </c>
      <c r="AT22" s="50"/>
    </row>
    <row r="23" spans="2:46" ht="20.100000000000001" customHeight="1" x14ac:dyDescent="0.15">
      <c r="B23" s="506"/>
      <c r="C23" s="392"/>
      <c r="D23" s="507"/>
      <c r="E23" s="507"/>
      <c r="F23" s="392"/>
      <c r="G23" s="507"/>
      <c r="H23" s="507"/>
      <c r="I23" s="392"/>
      <c r="J23" s="507"/>
      <c r="K23" s="507"/>
      <c r="L23" s="392"/>
      <c r="M23" s="507"/>
      <c r="N23" s="507"/>
      <c r="O23" s="392"/>
      <c r="P23" s="507"/>
      <c r="Q23" s="507"/>
      <c r="R23" s="392"/>
      <c r="S23" s="507"/>
      <c r="T23" s="507"/>
      <c r="U23" s="392"/>
      <c r="V23" s="507"/>
      <c r="W23" s="507"/>
      <c r="X23" s="392"/>
      <c r="Y23" s="507"/>
      <c r="Z23" s="507"/>
      <c r="AA23" s="392"/>
      <c r="AB23" s="507"/>
      <c r="AC23" s="507"/>
      <c r="AD23" s="392"/>
      <c r="AE23" s="507"/>
      <c r="AF23" s="507"/>
      <c r="AG23" s="392"/>
      <c r="AH23" s="507"/>
      <c r="AI23" s="507"/>
      <c r="AJ23" s="392"/>
      <c r="AK23" s="507"/>
      <c r="AL23" s="507"/>
      <c r="AM23" s="393">
        <f t="shared" si="0"/>
        <v>0</v>
      </c>
      <c r="AP23" s="315"/>
      <c r="AQ23" s="315"/>
      <c r="AR23" s="315">
        <f t="shared" si="2"/>
        <v>0</v>
      </c>
      <c r="AT23" s="50"/>
    </row>
    <row r="24" spans="2:46" ht="20.100000000000001" customHeight="1" x14ac:dyDescent="0.15">
      <c r="B24" s="506"/>
      <c r="C24" s="392"/>
      <c r="D24" s="507"/>
      <c r="E24" s="507"/>
      <c r="F24" s="392"/>
      <c r="G24" s="507"/>
      <c r="H24" s="507"/>
      <c r="I24" s="392"/>
      <c r="J24" s="507"/>
      <c r="K24" s="507"/>
      <c r="L24" s="392"/>
      <c r="M24" s="507"/>
      <c r="N24" s="507"/>
      <c r="O24" s="392"/>
      <c r="P24" s="507"/>
      <c r="Q24" s="507"/>
      <c r="R24" s="392"/>
      <c r="S24" s="507"/>
      <c r="T24" s="507"/>
      <c r="U24" s="392"/>
      <c r="V24" s="507"/>
      <c r="W24" s="507"/>
      <c r="X24" s="392"/>
      <c r="Y24" s="507"/>
      <c r="Z24" s="507"/>
      <c r="AA24" s="392"/>
      <c r="AB24" s="507"/>
      <c r="AC24" s="507"/>
      <c r="AD24" s="392"/>
      <c r="AE24" s="507"/>
      <c r="AF24" s="507"/>
      <c r="AG24" s="392"/>
      <c r="AH24" s="507"/>
      <c r="AI24" s="507"/>
      <c r="AJ24" s="392"/>
      <c r="AK24" s="507"/>
      <c r="AL24" s="507"/>
      <c r="AM24" s="393">
        <f t="shared" si="0"/>
        <v>0</v>
      </c>
      <c r="AP24" s="315"/>
      <c r="AQ24" s="315"/>
      <c r="AR24" s="315">
        <f t="shared" si="2"/>
        <v>0</v>
      </c>
      <c r="AT24" s="50"/>
    </row>
    <row r="25" spans="2:46" ht="20.100000000000001" customHeight="1" x14ac:dyDescent="0.15">
      <c r="B25" s="508" t="s">
        <v>548</v>
      </c>
      <c r="C25" s="392">
        <f t="shared" ref="C25:AL25" si="3">SUM(C8:C24)</f>
        <v>0</v>
      </c>
      <c r="D25" s="74">
        <f t="shared" si="3"/>
        <v>0</v>
      </c>
      <c r="E25" s="509">
        <f t="shared" si="3"/>
        <v>0</v>
      </c>
      <c r="F25" s="392">
        <f t="shared" si="3"/>
        <v>0</v>
      </c>
      <c r="G25" s="74">
        <f t="shared" si="3"/>
        <v>0</v>
      </c>
      <c r="H25" s="509">
        <f t="shared" si="3"/>
        <v>0</v>
      </c>
      <c r="I25" s="392">
        <f t="shared" si="3"/>
        <v>0</v>
      </c>
      <c r="J25" s="74">
        <f t="shared" si="3"/>
        <v>0</v>
      </c>
      <c r="K25" s="509">
        <f t="shared" si="3"/>
        <v>0</v>
      </c>
      <c r="L25" s="392">
        <f t="shared" si="3"/>
        <v>0</v>
      </c>
      <c r="M25" s="74">
        <f t="shared" si="3"/>
        <v>0</v>
      </c>
      <c r="N25" s="509">
        <f t="shared" si="3"/>
        <v>0</v>
      </c>
      <c r="O25" s="392">
        <f t="shared" si="3"/>
        <v>0</v>
      </c>
      <c r="P25" s="74">
        <f t="shared" si="3"/>
        <v>0</v>
      </c>
      <c r="Q25" s="509">
        <f t="shared" si="3"/>
        <v>6.5</v>
      </c>
      <c r="R25" s="392">
        <f t="shared" si="3"/>
        <v>16.399999999999999</v>
      </c>
      <c r="S25" s="74">
        <f t="shared" si="3"/>
        <v>19.599999999999998</v>
      </c>
      <c r="T25" s="509">
        <f t="shared" si="3"/>
        <v>3.2</v>
      </c>
      <c r="U25" s="392">
        <f t="shared" si="3"/>
        <v>0</v>
      </c>
      <c r="V25" s="74">
        <f t="shared" si="3"/>
        <v>1.5</v>
      </c>
      <c r="W25" s="509">
        <f t="shared" si="3"/>
        <v>0</v>
      </c>
      <c r="X25" s="392">
        <f t="shared" si="3"/>
        <v>0</v>
      </c>
      <c r="Y25" s="74">
        <f t="shared" si="3"/>
        <v>1.8</v>
      </c>
      <c r="Z25" s="509">
        <f t="shared" si="3"/>
        <v>0</v>
      </c>
      <c r="AA25" s="392">
        <f t="shared" si="3"/>
        <v>1.9</v>
      </c>
      <c r="AB25" s="74">
        <f t="shared" si="3"/>
        <v>0</v>
      </c>
      <c r="AC25" s="509">
        <f t="shared" si="3"/>
        <v>0</v>
      </c>
      <c r="AD25" s="392">
        <f t="shared" si="3"/>
        <v>0</v>
      </c>
      <c r="AE25" s="74">
        <f t="shared" si="3"/>
        <v>0</v>
      </c>
      <c r="AF25" s="509">
        <f t="shared" si="3"/>
        <v>0</v>
      </c>
      <c r="AG25" s="392">
        <f t="shared" si="3"/>
        <v>4.5999999999999996</v>
      </c>
      <c r="AH25" s="74">
        <f t="shared" si="3"/>
        <v>4.5999999999999996</v>
      </c>
      <c r="AI25" s="509">
        <f t="shared" si="3"/>
        <v>4.5999999999999996</v>
      </c>
      <c r="AJ25" s="392">
        <f t="shared" si="3"/>
        <v>7.1000000000000005</v>
      </c>
      <c r="AK25" s="74">
        <f t="shared" si="3"/>
        <v>0</v>
      </c>
      <c r="AL25" s="509">
        <f t="shared" si="3"/>
        <v>0</v>
      </c>
      <c r="AM25" s="393">
        <f>SUM(C25:AL25)</f>
        <v>71.8</v>
      </c>
      <c r="AP25" s="315"/>
      <c r="AQ25" s="315"/>
      <c r="AR25" s="315">
        <f t="shared" si="2"/>
        <v>0</v>
      </c>
      <c r="AT25" s="50"/>
    </row>
    <row r="26" spans="2:46" ht="20.100000000000001" customHeight="1" thickBot="1" x14ac:dyDescent="0.2">
      <c r="B26" s="75" t="s">
        <v>549</v>
      </c>
      <c r="C26" s="76"/>
      <c r="D26" s="77">
        <f>SUM(C25:E25)</f>
        <v>0</v>
      </c>
      <c r="E26" s="77"/>
      <c r="F26" s="76"/>
      <c r="G26" s="77">
        <f>SUM(F25:H25)</f>
        <v>0</v>
      </c>
      <c r="H26" s="77"/>
      <c r="I26" s="76"/>
      <c r="J26" s="77">
        <f>SUM(I25:K25)</f>
        <v>0</v>
      </c>
      <c r="K26" s="77"/>
      <c r="L26" s="76"/>
      <c r="M26" s="77">
        <f>SUM(L25:N25)</f>
        <v>0</v>
      </c>
      <c r="N26" s="77"/>
      <c r="O26" s="76"/>
      <c r="P26" s="77">
        <f>SUM(O25:Q25)</f>
        <v>6.5</v>
      </c>
      <c r="Q26" s="77"/>
      <c r="R26" s="76"/>
      <c r="S26" s="77">
        <f>SUM(R25:T25)</f>
        <v>39.200000000000003</v>
      </c>
      <c r="T26" s="77"/>
      <c r="U26" s="76"/>
      <c r="V26" s="77">
        <f>SUM(U25:W25)</f>
        <v>1.5</v>
      </c>
      <c r="W26" s="77"/>
      <c r="X26" s="76"/>
      <c r="Y26" s="77">
        <f>SUM(X25:Z25)</f>
        <v>1.8</v>
      </c>
      <c r="Z26" s="77"/>
      <c r="AA26" s="76"/>
      <c r="AB26" s="77">
        <f>SUM(AA25:AC25)</f>
        <v>1.9</v>
      </c>
      <c r="AC26" s="77"/>
      <c r="AD26" s="76"/>
      <c r="AE26" s="77">
        <f>SUM(AD25:AF25)</f>
        <v>0</v>
      </c>
      <c r="AF26" s="77"/>
      <c r="AG26" s="76"/>
      <c r="AH26" s="77">
        <f>SUM(AG25:AI25)</f>
        <v>13.799999999999999</v>
      </c>
      <c r="AI26" s="77"/>
      <c r="AJ26" s="76"/>
      <c r="AK26" s="77">
        <f>SUM(AJ25:AL25)</f>
        <v>7.1000000000000005</v>
      </c>
      <c r="AL26" s="77"/>
      <c r="AM26" s="78">
        <f>SUM(AM8:AM24)</f>
        <v>71.8</v>
      </c>
      <c r="AP26" s="315">
        <f>SUM(AP8:AP24)</f>
        <v>24.3</v>
      </c>
      <c r="AQ26" s="315">
        <f>SUM(AQ8:AQ24)</f>
        <v>47.5</v>
      </c>
      <c r="AR26" s="315">
        <f>SUM(AR8:AR25)</f>
        <v>71.8</v>
      </c>
      <c r="AT26" s="50">
        <f>SUM(AT8:AT25)</f>
        <v>71.8</v>
      </c>
    </row>
    <row r="27" spans="2:46" ht="14.25" x14ac:dyDescent="0.15">
      <c r="B27" s="910" t="s">
        <v>342</v>
      </c>
      <c r="C27" s="510" t="s">
        <v>343</v>
      </c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4"/>
    </row>
    <row r="28" spans="2:46" ht="14.25" x14ac:dyDescent="0.15">
      <c r="B28" s="911"/>
      <c r="C28" s="334" t="s">
        <v>344</v>
      </c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9"/>
    </row>
    <row r="29" spans="2:46" ht="14.25" x14ac:dyDescent="0.15">
      <c r="B29" s="911"/>
      <c r="C29" s="334" t="s">
        <v>345</v>
      </c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5"/>
      <c r="AL29" s="335"/>
      <c r="AM29" s="339"/>
    </row>
    <row r="30" spans="2:46" ht="14.25" x14ac:dyDescent="0.15">
      <c r="B30" s="911"/>
      <c r="C30" s="334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9"/>
    </row>
    <row r="31" spans="2:46" ht="15" thickBot="1" x14ac:dyDescent="0.2">
      <c r="B31" s="912"/>
      <c r="C31" s="345"/>
      <c r="D31" s="346"/>
      <c r="E31" s="346"/>
      <c r="F31" s="346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6"/>
      <c r="AG31" s="346"/>
      <c r="AH31" s="346"/>
      <c r="AI31" s="346"/>
      <c r="AJ31" s="346"/>
      <c r="AK31" s="346"/>
      <c r="AL31" s="346"/>
      <c r="AM31" s="347"/>
    </row>
  </sheetData>
  <mergeCells count="16">
    <mergeCell ref="B27:B31"/>
    <mergeCell ref="AJ3:AL3"/>
    <mergeCell ref="AM3:AM4"/>
    <mergeCell ref="R3:T3"/>
    <mergeCell ref="U3:W3"/>
    <mergeCell ref="X3:Z3"/>
    <mergeCell ref="AA3:AC3"/>
    <mergeCell ref="AD3:AF3"/>
    <mergeCell ref="AG3:AI3"/>
    <mergeCell ref="B3:B4"/>
    <mergeCell ref="C3:E3"/>
    <mergeCell ref="F3:H3"/>
    <mergeCell ref="I3:K3"/>
    <mergeCell ref="L3:N3"/>
    <mergeCell ref="O3:Q3"/>
    <mergeCell ref="AG6:AI6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B1:BJ39"/>
  <sheetViews>
    <sheetView zoomScale="75" zoomScaleNormal="75" workbookViewId="0"/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16384" width="9" style="49"/>
  </cols>
  <sheetData>
    <row r="1" spans="2:62" ht="24.75" customHeight="1" x14ac:dyDescent="0.15">
      <c r="B1" s="916" t="s">
        <v>653</v>
      </c>
      <c r="C1" s="916"/>
      <c r="D1" s="916"/>
      <c r="E1" s="916"/>
      <c r="F1" s="916"/>
      <c r="G1" s="916"/>
      <c r="H1" s="916"/>
    </row>
    <row r="2" spans="2:62" ht="24.75" customHeight="1" x14ac:dyDescent="0.15">
      <c r="B2" s="5" t="s">
        <v>659</v>
      </c>
    </row>
    <row r="3" spans="2:62" ht="24.95" customHeight="1" thickBot="1" x14ac:dyDescent="0.2">
      <c r="B3" s="5" t="s">
        <v>350</v>
      </c>
      <c r="C3" s="5"/>
      <c r="D3" s="5"/>
      <c r="E3" s="5"/>
      <c r="F3" s="5"/>
      <c r="G3" s="5"/>
      <c r="H3" s="5"/>
      <c r="I3" s="5"/>
      <c r="J3" s="5"/>
      <c r="K3" s="249" t="s">
        <v>237</v>
      </c>
      <c r="L3" s="248" t="s">
        <v>336</v>
      </c>
      <c r="M3" s="80"/>
      <c r="N3" s="249" t="s">
        <v>238</v>
      </c>
      <c r="O3" s="248" t="s">
        <v>351</v>
      </c>
      <c r="P3" s="5"/>
      <c r="Q3" s="5"/>
      <c r="R3" s="5"/>
      <c r="S3" s="5"/>
      <c r="T3" s="5"/>
      <c r="U3" s="5"/>
      <c r="V3" s="51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2:62" ht="20.100000000000001" customHeight="1" x14ac:dyDescent="0.15">
      <c r="B4" s="907" t="s">
        <v>550</v>
      </c>
      <c r="C4" s="899">
        <v>1</v>
      </c>
      <c r="D4" s="900"/>
      <c r="E4" s="901"/>
      <c r="F4" s="899">
        <v>2</v>
      </c>
      <c r="G4" s="900"/>
      <c r="H4" s="901"/>
      <c r="I4" s="899">
        <v>3</v>
      </c>
      <c r="J4" s="900"/>
      <c r="K4" s="901"/>
      <c r="L4" s="899">
        <v>4</v>
      </c>
      <c r="M4" s="900"/>
      <c r="N4" s="901"/>
      <c r="O4" s="899">
        <v>5</v>
      </c>
      <c r="P4" s="900"/>
      <c r="Q4" s="901"/>
      <c r="R4" s="899">
        <v>6</v>
      </c>
      <c r="S4" s="900"/>
      <c r="T4" s="901"/>
      <c r="U4" s="899">
        <v>7</v>
      </c>
      <c r="V4" s="900"/>
      <c r="W4" s="901"/>
      <c r="X4" s="899">
        <v>8</v>
      </c>
      <c r="Y4" s="900"/>
      <c r="Z4" s="901"/>
      <c r="AA4" s="899">
        <v>9</v>
      </c>
      <c r="AB4" s="900"/>
      <c r="AC4" s="901"/>
      <c r="AD4" s="899">
        <v>10</v>
      </c>
      <c r="AE4" s="900"/>
      <c r="AF4" s="901"/>
      <c r="AG4" s="899">
        <v>11</v>
      </c>
      <c r="AH4" s="900"/>
      <c r="AI4" s="901"/>
      <c r="AJ4" s="899">
        <v>12</v>
      </c>
      <c r="AK4" s="900"/>
      <c r="AL4" s="901"/>
      <c r="AM4" s="902" t="s">
        <v>34</v>
      </c>
      <c r="AP4" s="49" t="s">
        <v>551</v>
      </c>
      <c r="AQ4" s="49" t="s">
        <v>300</v>
      </c>
      <c r="AR4" s="49" t="s">
        <v>25</v>
      </c>
    </row>
    <row r="5" spans="2:62" ht="20.100000000000001" customHeight="1" x14ac:dyDescent="0.15">
      <c r="B5" s="906"/>
      <c r="C5" s="390" t="s">
        <v>35</v>
      </c>
      <c r="D5" s="71" t="s">
        <v>36</v>
      </c>
      <c r="E5" s="494" t="s">
        <v>37</v>
      </c>
      <c r="F5" s="390" t="s">
        <v>35</v>
      </c>
      <c r="G5" s="494" t="s">
        <v>36</v>
      </c>
      <c r="H5" s="494" t="s">
        <v>37</v>
      </c>
      <c r="I5" s="390" t="s">
        <v>35</v>
      </c>
      <c r="J5" s="494" t="s">
        <v>36</v>
      </c>
      <c r="K5" s="494" t="s">
        <v>37</v>
      </c>
      <c r="L5" s="390" t="s">
        <v>35</v>
      </c>
      <c r="M5" s="494" t="s">
        <v>36</v>
      </c>
      <c r="N5" s="494" t="s">
        <v>37</v>
      </c>
      <c r="O5" s="390" t="s">
        <v>35</v>
      </c>
      <c r="P5" s="494" t="s">
        <v>36</v>
      </c>
      <c r="Q5" s="494" t="s">
        <v>37</v>
      </c>
      <c r="R5" s="390" t="s">
        <v>35</v>
      </c>
      <c r="S5" s="495" t="s">
        <v>36</v>
      </c>
      <c r="T5" s="495" t="s">
        <v>37</v>
      </c>
      <c r="U5" s="390" t="s">
        <v>35</v>
      </c>
      <c r="V5" s="494" t="s">
        <v>36</v>
      </c>
      <c r="W5" s="494" t="s">
        <v>37</v>
      </c>
      <c r="X5" s="390" t="s">
        <v>35</v>
      </c>
      <c r="Y5" s="494" t="s">
        <v>36</v>
      </c>
      <c r="Z5" s="494" t="s">
        <v>37</v>
      </c>
      <c r="AA5" s="390" t="s">
        <v>35</v>
      </c>
      <c r="AB5" s="494" t="s">
        <v>36</v>
      </c>
      <c r="AC5" s="494" t="s">
        <v>37</v>
      </c>
      <c r="AD5" s="390" t="s">
        <v>35</v>
      </c>
      <c r="AE5" s="494" t="s">
        <v>36</v>
      </c>
      <c r="AF5" s="494" t="s">
        <v>37</v>
      </c>
      <c r="AG5" s="390" t="s">
        <v>35</v>
      </c>
      <c r="AH5" s="494" t="s">
        <v>36</v>
      </c>
      <c r="AI5" s="494" t="s">
        <v>37</v>
      </c>
      <c r="AJ5" s="390" t="s">
        <v>35</v>
      </c>
      <c r="AK5" s="494" t="s">
        <v>36</v>
      </c>
      <c r="AL5" s="494" t="s">
        <v>37</v>
      </c>
      <c r="AM5" s="903"/>
    </row>
    <row r="6" spans="2:62" ht="20.100000000000001" customHeight="1" x14ac:dyDescent="0.15">
      <c r="B6" s="333"/>
      <c r="C6" s="334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6"/>
      <c r="O6" s="336"/>
      <c r="P6" s="335"/>
      <c r="Q6" s="337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8"/>
      <c r="AC6" s="338"/>
      <c r="AD6" s="338"/>
      <c r="AE6" s="335"/>
      <c r="AF6" s="335"/>
      <c r="AG6" s="335"/>
      <c r="AH6" s="335"/>
      <c r="AI6" s="335"/>
      <c r="AJ6" s="335"/>
      <c r="AK6" s="335"/>
      <c r="AL6" s="335"/>
      <c r="AM6" s="339"/>
    </row>
    <row r="7" spans="2:62" ht="20.100000000000001" customHeight="1" x14ac:dyDescent="0.15">
      <c r="B7" s="333" t="s">
        <v>340</v>
      </c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337"/>
      <c r="N7" s="336"/>
      <c r="O7" s="340"/>
      <c r="P7" s="341"/>
      <c r="Q7" s="337"/>
      <c r="R7" s="913" t="s">
        <v>621</v>
      </c>
      <c r="S7" s="915"/>
      <c r="T7" s="337"/>
      <c r="U7" s="337"/>
      <c r="V7" s="337"/>
      <c r="W7" s="337"/>
      <c r="X7" s="337"/>
      <c r="Y7" s="337"/>
      <c r="Z7" s="337"/>
      <c r="AA7" s="342"/>
      <c r="AB7" s="342"/>
      <c r="AC7" s="342"/>
      <c r="AD7" s="342"/>
      <c r="AE7" s="335"/>
      <c r="AF7" s="351"/>
      <c r="AG7" s="351"/>
      <c r="AI7" s="351"/>
      <c r="AJ7" s="342"/>
      <c r="AK7" s="342"/>
      <c r="AL7" s="335"/>
      <c r="AM7" s="339"/>
    </row>
    <row r="8" spans="2:62" ht="20.100000000000001" customHeight="1" x14ac:dyDescent="0.15">
      <c r="B8" s="496"/>
      <c r="C8" s="497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  <c r="Q8" s="498"/>
      <c r="R8" s="498"/>
      <c r="S8" s="498"/>
      <c r="T8" s="498"/>
      <c r="U8" s="498"/>
      <c r="V8" s="498"/>
      <c r="W8" s="498"/>
      <c r="X8" s="498"/>
      <c r="Y8" s="498"/>
      <c r="Z8" s="498"/>
      <c r="AA8" s="498"/>
      <c r="AB8" s="498"/>
      <c r="AC8" s="498"/>
      <c r="AD8" s="498"/>
      <c r="AE8" s="498"/>
      <c r="AF8" s="498"/>
      <c r="AG8" s="511"/>
      <c r="AH8" s="511"/>
      <c r="AI8" s="511"/>
      <c r="AJ8" s="498"/>
      <c r="AK8" s="498"/>
      <c r="AL8" s="498"/>
      <c r="AM8" s="499"/>
    </row>
    <row r="9" spans="2:62" ht="20.100000000000001" customHeight="1" x14ac:dyDescent="0.15">
      <c r="B9" s="500" t="s">
        <v>541</v>
      </c>
      <c r="C9" s="348"/>
      <c r="D9" s="504"/>
      <c r="E9" s="504"/>
      <c r="F9" s="503"/>
      <c r="G9" s="504"/>
      <c r="H9" s="504"/>
      <c r="I9" s="503"/>
      <c r="J9" s="504"/>
      <c r="K9" s="504"/>
      <c r="L9" s="503"/>
      <c r="M9" s="504"/>
      <c r="N9" s="504"/>
      <c r="O9" s="503"/>
      <c r="P9" s="504"/>
      <c r="Q9" s="504"/>
      <c r="R9" s="503"/>
      <c r="S9" s="504"/>
      <c r="T9" s="504"/>
      <c r="U9" s="503"/>
      <c r="V9" s="504"/>
      <c r="W9" s="504"/>
      <c r="X9" s="503"/>
      <c r="Y9" s="504"/>
      <c r="Z9" s="504"/>
      <c r="AA9" s="503"/>
      <c r="AB9" s="504"/>
      <c r="AC9" s="504"/>
      <c r="AD9" s="503">
        <v>1.2</v>
      </c>
      <c r="AE9" s="504">
        <v>1.2</v>
      </c>
      <c r="AF9" s="504"/>
      <c r="AG9" s="503"/>
      <c r="AH9" s="504"/>
      <c r="AI9" s="504"/>
      <c r="AJ9" s="503"/>
      <c r="AK9" s="504"/>
      <c r="AL9" s="504"/>
      <c r="AM9" s="349">
        <f t="shared" ref="AM9:AM22" si="0">SUM(C9:AL9)</f>
        <v>2.4</v>
      </c>
      <c r="AP9" s="234">
        <v>1.2</v>
      </c>
      <c r="AQ9" s="234">
        <v>1.2</v>
      </c>
      <c r="AR9" s="315">
        <f>SUM(AP9:AQ9)</f>
        <v>2.4</v>
      </c>
      <c r="AT9" s="50">
        <v>2.4</v>
      </c>
    </row>
    <row r="10" spans="2:62" ht="20.100000000000001" customHeight="1" x14ac:dyDescent="0.15">
      <c r="B10" s="500" t="s">
        <v>346</v>
      </c>
      <c r="C10" s="501"/>
      <c r="D10" s="504"/>
      <c r="E10" s="504"/>
      <c r="F10" s="503"/>
      <c r="G10" s="504"/>
      <c r="H10" s="504"/>
      <c r="I10" s="503"/>
      <c r="J10" s="504"/>
      <c r="K10" s="504"/>
      <c r="L10" s="503"/>
      <c r="M10" s="504"/>
      <c r="N10" s="504"/>
      <c r="O10" s="503"/>
      <c r="P10" s="504"/>
      <c r="Q10" s="504"/>
      <c r="R10" s="503"/>
      <c r="S10" s="504"/>
      <c r="T10" s="504"/>
      <c r="U10" s="503"/>
      <c r="V10" s="504"/>
      <c r="W10" s="504"/>
      <c r="X10" s="503"/>
      <c r="Y10" s="504"/>
      <c r="Z10" s="504"/>
      <c r="AA10" s="503"/>
      <c r="AB10" s="504"/>
      <c r="AC10" s="504"/>
      <c r="AD10" s="503"/>
      <c r="AE10" s="504">
        <v>6.1</v>
      </c>
      <c r="AF10" s="504">
        <v>6.2</v>
      </c>
      <c r="AG10" s="503"/>
      <c r="AH10" s="504"/>
      <c r="AI10" s="504"/>
      <c r="AJ10" s="503"/>
      <c r="AK10" s="504"/>
      <c r="AL10" s="504"/>
      <c r="AM10" s="349">
        <f t="shared" si="0"/>
        <v>12.3</v>
      </c>
      <c r="AP10" s="234">
        <v>3</v>
      </c>
      <c r="AQ10" s="234">
        <v>9.3000000000000007</v>
      </c>
      <c r="AR10" s="315">
        <f t="shared" ref="AR10:AR20" si="1">SUM(AP10:AQ10)</f>
        <v>12.3</v>
      </c>
      <c r="AT10" s="50">
        <v>12.3</v>
      </c>
    </row>
    <row r="11" spans="2:62" ht="20.100000000000001" customHeight="1" x14ac:dyDescent="0.15">
      <c r="B11" s="350" t="s">
        <v>542</v>
      </c>
      <c r="C11" s="501"/>
      <c r="D11" s="504"/>
      <c r="E11" s="504"/>
      <c r="F11" s="503"/>
      <c r="G11" s="504"/>
      <c r="H11" s="504"/>
      <c r="I11" s="503"/>
      <c r="J11" s="504"/>
      <c r="K11" s="504"/>
      <c r="L11" s="503"/>
      <c r="M11" s="504"/>
      <c r="N11" s="504"/>
      <c r="O11" s="503"/>
      <c r="P11" s="504"/>
      <c r="Q11" s="504"/>
      <c r="R11" s="503"/>
      <c r="S11" s="504"/>
      <c r="T11" s="504"/>
      <c r="U11" s="503"/>
      <c r="V11" s="504"/>
      <c r="W11" s="504"/>
      <c r="X11" s="503"/>
      <c r="Y11" s="504"/>
      <c r="Z11" s="504"/>
      <c r="AA11" s="503"/>
      <c r="AB11" s="504"/>
      <c r="AC11" s="504"/>
      <c r="AD11" s="503"/>
      <c r="AE11" s="504">
        <v>5.7</v>
      </c>
      <c r="AF11" s="504">
        <v>5.7</v>
      </c>
      <c r="AG11" s="503"/>
      <c r="AH11" s="504"/>
      <c r="AI11" s="504"/>
      <c r="AJ11" s="503"/>
      <c r="AK11" s="504"/>
      <c r="AL11" s="504"/>
      <c r="AM11" s="349">
        <f t="shared" si="0"/>
        <v>11.4</v>
      </c>
      <c r="AP11" s="234">
        <v>11.4</v>
      </c>
      <c r="AQ11" s="234"/>
      <c r="AR11" s="315">
        <f t="shared" si="1"/>
        <v>11.4</v>
      </c>
      <c r="AT11" s="50">
        <v>11.4</v>
      </c>
    </row>
    <row r="12" spans="2:62" ht="20.100000000000001" customHeight="1" x14ac:dyDescent="0.15">
      <c r="B12" s="500" t="s">
        <v>543</v>
      </c>
      <c r="C12" s="501"/>
      <c r="D12" s="504"/>
      <c r="E12" s="504"/>
      <c r="F12" s="503"/>
      <c r="G12" s="504"/>
      <c r="H12" s="504"/>
      <c r="I12" s="503"/>
      <c r="J12" s="504"/>
      <c r="K12" s="504"/>
      <c r="L12" s="503"/>
      <c r="M12" s="504"/>
      <c r="N12" s="504"/>
      <c r="O12" s="503"/>
      <c r="P12" s="504"/>
      <c r="Q12" s="504"/>
      <c r="R12" s="503"/>
      <c r="S12" s="504"/>
      <c r="T12" s="504"/>
      <c r="U12" s="503"/>
      <c r="V12" s="504"/>
      <c r="W12" s="504"/>
      <c r="X12" s="503"/>
      <c r="Y12" s="504"/>
      <c r="Z12" s="504"/>
      <c r="AA12" s="503"/>
      <c r="AB12" s="504"/>
      <c r="AC12" s="504"/>
      <c r="AD12" s="503"/>
      <c r="AE12" s="504"/>
      <c r="AF12" s="504">
        <v>2.2999999999999998</v>
      </c>
      <c r="AG12" s="503">
        <v>2.4</v>
      </c>
      <c r="AH12" s="504"/>
      <c r="AI12" s="504"/>
      <c r="AJ12" s="503"/>
      <c r="AK12" s="504"/>
      <c r="AL12" s="504"/>
      <c r="AM12" s="349">
        <f t="shared" si="0"/>
        <v>4.6999999999999993</v>
      </c>
      <c r="AP12" s="234">
        <v>1</v>
      </c>
      <c r="AQ12" s="234">
        <v>3.7</v>
      </c>
      <c r="AR12" s="315">
        <f t="shared" si="1"/>
        <v>4.7</v>
      </c>
      <c r="AT12" s="50">
        <v>4.7</v>
      </c>
    </row>
    <row r="13" spans="2:62" ht="20.100000000000001" customHeight="1" x14ac:dyDescent="0.15">
      <c r="B13" s="500" t="s">
        <v>544</v>
      </c>
      <c r="C13" s="501"/>
      <c r="D13" s="504">
        <v>1</v>
      </c>
      <c r="E13" s="504"/>
      <c r="F13" s="503"/>
      <c r="G13" s="504"/>
      <c r="H13" s="504"/>
      <c r="I13" s="503"/>
      <c r="J13" s="504"/>
      <c r="K13" s="504"/>
      <c r="L13" s="503"/>
      <c r="M13" s="504"/>
      <c r="N13" s="504"/>
      <c r="O13" s="503"/>
      <c r="P13" s="504"/>
      <c r="Q13" s="504"/>
      <c r="R13" s="503"/>
      <c r="S13" s="504"/>
      <c r="T13" s="504"/>
      <c r="U13" s="503"/>
      <c r="V13" s="504"/>
      <c r="W13" s="504"/>
      <c r="X13" s="503"/>
      <c r="Y13" s="504"/>
      <c r="Z13" s="504"/>
      <c r="AA13" s="503"/>
      <c r="AB13" s="504"/>
      <c r="AC13" s="504"/>
      <c r="AD13" s="503"/>
      <c r="AE13" s="504"/>
      <c r="AF13" s="504"/>
      <c r="AG13" s="503"/>
      <c r="AH13" s="504"/>
      <c r="AI13" s="504"/>
      <c r="AJ13" s="503"/>
      <c r="AK13" s="504"/>
      <c r="AL13" s="504"/>
      <c r="AM13" s="349">
        <f t="shared" si="0"/>
        <v>1</v>
      </c>
      <c r="AP13" s="234">
        <v>0.5</v>
      </c>
      <c r="AQ13" s="234">
        <v>0.5</v>
      </c>
      <c r="AR13" s="315">
        <f t="shared" si="1"/>
        <v>1</v>
      </c>
      <c r="AT13" s="50">
        <v>1</v>
      </c>
    </row>
    <row r="14" spans="2:62" ht="20.100000000000001" customHeight="1" x14ac:dyDescent="0.15">
      <c r="B14" s="500" t="s">
        <v>552</v>
      </c>
      <c r="C14" s="501"/>
      <c r="D14" s="504"/>
      <c r="E14" s="504">
        <v>1.6</v>
      </c>
      <c r="F14" s="503"/>
      <c r="G14" s="504"/>
      <c r="H14" s="504"/>
      <c r="I14" s="503"/>
      <c r="J14" s="504"/>
      <c r="K14" s="504"/>
      <c r="L14" s="503"/>
      <c r="M14" s="504"/>
      <c r="N14" s="504"/>
      <c r="O14" s="503"/>
      <c r="P14" s="504"/>
      <c r="Q14" s="504"/>
      <c r="R14" s="503"/>
      <c r="S14" s="504"/>
      <c r="T14" s="504"/>
      <c r="U14" s="503"/>
      <c r="V14" s="504"/>
      <c r="W14" s="504"/>
      <c r="X14" s="503"/>
      <c r="Y14" s="504"/>
      <c r="Z14" s="504"/>
      <c r="AA14" s="503"/>
      <c r="AB14" s="504"/>
      <c r="AC14" s="504"/>
      <c r="AD14" s="503"/>
      <c r="AE14" s="504"/>
      <c r="AF14" s="504"/>
      <c r="AG14" s="503"/>
      <c r="AH14" s="504"/>
      <c r="AI14" s="504"/>
      <c r="AJ14" s="503"/>
      <c r="AK14" s="504"/>
      <c r="AL14" s="504"/>
      <c r="AM14" s="349">
        <f t="shared" si="0"/>
        <v>1.6</v>
      </c>
      <c r="AP14" s="234">
        <v>0.4</v>
      </c>
      <c r="AQ14" s="234">
        <v>1.2</v>
      </c>
      <c r="AR14" s="315">
        <f t="shared" si="1"/>
        <v>1.6</v>
      </c>
      <c r="AT14" s="50">
        <v>1.6</v>
      </c>
    </row>
    <row r="15" spans="2:62" ht="20.100000000000001" customHeight="1" x14ac:dyDescent="0.15">
      <c r="B15" s="500" t="s">
        <v>545</v>
      </c>
      <c r="C15" s="501"/>
      <c r="D15" s="504"/>
      <c r="E15" s="504"/>
      <c r="F15" s="503"/>
      <c r="G15" s="504"/>
      <c r="H15" s="504"/>
      <c r="I15" s="503"/>
      <c r="J15" s="504"/>
      <c r="K15" s="504"/>
      <c r="L15" s="503"/>
      <c r="M15" s="504"/>
      <c r="N15" s="504"/>
      <c r="O15" s="503"/>
      <c r="P15" s="504">
        <v>1.7</v>
      </c>
      <c r="Q15" s="504"/>
      <c r="R15" s="503"/>
      <c r="S15" s="504"/>
      <c r="T15" s="504"/>
      <c r="U15" s="503"/>
      <c r="V15" s="504"/>
      <c r="W15" s="504"/>
      <c r="X15" s="503"/>
      <c r="Y15" s="504"/>
      <c r="Z15" s="504"/>
      <c r="AA15" s="503"/>
      <c r="AB15" s="504"/>
      <c r="AC15" s="504"/>
      <c r="AD15" s="503"/>
      <c r="AE15" s="504"/>
      <c r="AF15" s="504"/>
      <c r="AG15" s="503"/>
      <c r="AH15" s="504"/>
      <c r="AI15" s="504"/>
      <c r="AJ15" s="503"/>
      <c r="AK15" s="504"/>
      <c r="AL15" s="504"/>
      <c r="AM15" s="349">
        <f t="shared" si="0"/>
        <v>1.7</v>
      </c>
      <c r="AP15" s="234">
        <v>0.4</v>
      </c>
      <c r="AQ15" s="234">
        <v>1.3</v>
      </c>
      <c r="AR15" s="315">
        <f t="shared" si="1"/>
        <v>1.7000000000000002</v>
      </c>
      <c r="AT15" s="50">
        <v>1.7</v>
      </c>
    </row>
    <row r="16" spans="2:62" ht="20.100000000000001" customHeight="1" x14ac:dyDescent="0.15">
      <c r="B16" s="500" t="s">
        <v>546</v>
      </c>
      <c r="C16" s="501"/>
      <c r="D16" s="504"/>
      <c r="E16" s="504"/>
      <c r="F16" s="503"/>
      <c r="G16" s="504"/>
      <c r="H16" s="504"/>
      <c r="I16" s="503"/>
      <c r="J16" s="504"/>
      <c r="K16" s="504"/>
      <c r="L16" s="503"/>
      <c r="M16" s="504"/>
      <c r="N16" s="504"/>
      <c r="O16" s="503"/>
      <c r="P16" s="504"/>
      <c r="Q16" s="504"/>
      <c r="R16" s="503">
        <v>5.2</v>
      </c>
      <c r="S16" s="504">
        <v>5.3</v>
      </c>
      <c r="T16" s="504"/>
      <c r="U16" s="503"/>
      <c r="V16" s="504"/>
      <c r="W16" s="504"/>
      <c r="X16" s="503"/>
      <c r="Y16" s="504"/>
      <c r="Z16" s="504"/>
      <c r="AA16" s="503"/>
      <c r="AB16" s="504"/>
      <c r="AC16" s="504"/>
      <c r="AD16" s="503"/>
      <c r="AE16" s="504"/>
      <c r="AF16" s="504"/>
      <c r="AG16" s="503"/>
      <c r="AH16" s="504"/>
      <c r="AI16" s="504"/>
      <c r="AJ16" s="503"/>
      <c r="AK16" s="504"/>
      <c r="AL16" s="504"/>
      <c r="AM16" s="349">
        <f t="shared" si="0"/>
        <v>10.5</v>
      </c>
      <c r="AP16" s="234">
        <v>2.2000000000000002</v>
      </c>
      <c r="AQ16" s="234">
        <v>8.3000000000000007</v>
      </c>
      <c r="AR16" s="315">
        <f t="shared" si="1"/>
        <v>10.5</v>
      </c>
      <c r="AT16" s="50">
        <v>10.5</v>
      </c>
    </row>
    <row r="17" spans="2:46" ht="20.100000000000001" customHeight="1" x14ac:dyDescent="0.15">
      <c r="B17" s="500"/>
      <c r="C17" s="501"/>
      <c r="D17" s="504"/>
      <c r="E17" s="504"/>
      <c r="F17" s="503"/>
      <c r="G17" s="504"/>
      <c r="H17" s="504"/>
      <c r="I17" s="503"/>
      <c r="J17" s="504"/>
      <c r="K17" s="504"/>
      <c r="L17" s="503"/>
      <c r="M17" s="504"/>
      <c r="N17" s="504"/>
      <c r="O17" s="503"/>
      <c r="P17" s="504"/>
      <c r="Q17" s="504"/>
      <c r="R17" s="503"/>
      <c r="S17" s="504"/>
      <c r="T17" s="504"/>
      <c r="U17" s="503"/>
      <c r="V17" s="504"/>
      <c r="W17" s="504"/>
      <c r="X17" s="503"/>
      <c r="Y17" s="504"/>
      <c r="Z17" s="504"/>
      <c r="AA17" s="503"/>
      <c r="AB17" s="504"/>
      <c r="AC17" s="504"/>
      <c r="AD17" s="503"/>
      <c r="AE17" s="504"/>
      <c r="AF17" s="504"/>
      <c r="AG17" s="503"/>
      <c r="AH17" s="504"/>
      <c r="AI17" s="504"/>
      <c r="AJ17" s="503"/>
      <c r="AK17" s="504"/>
      <c r="AL17" s="504"/>
      <c r="AM17" s="349">
        <f t="shared" si="0"/>
        <v>0</v>
      </c>
      <c r="AP17" s="234"/>
      <c r="AQ17" s="234"/>
      <c r="AR17" s="315">
        <f t="shared" si="1"/>
        <v>0</v>
      </c>
      <c r="AT17" s="50"/>
    </row>
    <row r="18" spans="2:46" ht="20.100000000000001" customHeight="1" x14ac:dyDescent="0.15">
      <c r="B18" s="500"/>
      <c r="C18" s="501"/>
      <c r="D18" s="504"/>
      <c r="E18" s="504"/>
      <c r="F18" s="503"/>
      <c r="G18" s="504"/>
      <c r="H18" s="504"/>
      <c r="I18" s="503"/>
      <c r="J18" s="504"/>
      <c r="K18" s="504"/>
      <c r="L18" s="503"/>
      <c r="M18" s="504"/>
      <c r="N18" s="504"/>
      <c r="O18" s="503"/>
      <c r="P18" s="504"/>
      <c r="Q18" s="504"/>
      <c r="R18" s="503"/>
      <c r="S18" s="504"/>
      <c r="T18" s="504"/>
      <c r="U18" s="503"/>
      <c r="V18" s="504"/>
      <c r="W18" s="504"/>
      <c r="X18" s="503"/>
      <c r="Y18" s="504"/>
      <c r="Z18" s="504"/>
      <c r="AA18" s="503"/>
      <c r="AB18" s="504"/>
      <c r="AC18" s="504"/>
      <c r="AD18" s="503"/>
      <c r="AE18" s="504"/>
      <c r="AF18" s="504"/>
      <c r="AG18" s="503"/>
      <c r="AH18" s="504"/>
      <c r="AI18" s="504"/>
      <c r="AJ18" s="503"/>
      <c r="AK18" s="504"/>
      <c r="AL18" s="504"/>
      <c r="AM18" s="349">
        <f t="shared" si="0"/>
        <v>0</v>
      </c>
      <c r="AP18" s="234"/>
      <c r="AQ18" s="234"/>
      <c r="AR18" s="315">
        <f t="shared" si="1"/>
        <v>0</v>
      </c>
      <c r="AT18" s="50"/>
    </row>
    <row r="19" spans="2:46" ht="20.100000000000001" hidden="1" customHeight="1" x14ac:dyDescent="0.15">
      <c r="B19" s="500"/>
      <c r="C19" s="501"/>
      <c r="D19" s="502"/>
      <c r="E19" s="502"/>
      <c r="F19" s="501"/>
      <c r="G19" s="502"/>
      <c r="H19" s="502"/>
      <c r="I19" s="503"/>
      <c r="J19" s="504"/>
      <c r="K19" s="504"/>
      <c r="L19" s="503"/>
      <c r="M19" s="504"/>
      <c r="N19" s="504"/>
      <c r="O19" s="503"/>
      <c r="P19" s="504"/>
      <c r="Q19" s="504"/>
      <c r="R19" s="503"/>
      <c r="S19" s="504"/>
      <c r="T19" s="504"/>
      <c r="U19" s="503"/>
      <c r="V19" s="504"/>
      <c r="W19" s="504"/>
      <c r="X19" s="503"/>
      <c r="Y19" s="504"/>
      <c r="Z19" s="504"/>
      <c r="AA19" s="503"/>
      <c r="AB19" s="504"/>
      <c r="AC19" s="504"/>
      <c r="AD19" s="503"/>
      <c r="AE19" s="504"/>
      <c r="AF19" s="504"/>
      <c r="AG19" s="503"/>
      <c r="AH19" s="504"/>
      <c r="AI19" s="504"/>
      <c r="AJ19" s="501"/>
      <c r="AK19" s="502"/>
      <c r="AL19" s="502"/>
      <c r="AM19" s="349">
        <f t="shared" si="0"/>
        <v>0</v>
      </c>
      <c r="AP19" s="234"/>
      <c r="AQ19" s="234"/>
      <c r="AR19" s="315">
        <f t="shared" si="1"/>
        <v>0</v>
      </c>
      <c r="AT19" s="50"/>
    </row>
    <row r="20" spans="2:46" ht="20.100000000000001" hidden="1" customHeight="1" x14ac:dyDescent="0.15">
      <c r="B20" s="500"/>
      <c r="C20" s="501"/>
      <c r="D20" s="502"/>
      <c r="E20" s="502"/>
      <c r="F20" s="501"/>
      <c r="G20" s="502"/>
      <c r="H20" s="502"/>
      <c r="I20" s="503"/>
      <c r="J20" s="504"/>
      <c r="K20" s="504"/>
      <c r="L20" s="503"/>
      <c r="M20" s="504"/>
      <c r="N20" s="504"/>
      <c r="O20" s="503"/>
      <c r="P20" s="504"/>
      <c r="Q20" s="504"/>
      <c r="R20" s="503"/>
      <c r="S20" s="504"/>
      <c r="T20" s="504"/>
      <c r="U20" s="503"/>
      <c r="V20" s="504"/>
      <c r="W20" s="504"/>
      <c r="X20" s="503"/>
      <c r="Y20" s="504"/>
      <c r="Z20" s="504"/>
      <c r="AA20" s="503"/>
      <c r="AB20" s="504"/>
      <c r="AC20" s="504"/>
      <c r="AD20" s="503"/>
      <c r="AE20" s="504"/>
      <c r="AF20" s="504"/>
      <c r="AG20" s="503"/>
      <c r="AH20" s="504"/>
      <c r="AI20" s="504"/>
      <c r="AJ20" s="501"/>
      <c r="AK20" s="502"/>
      <c r="AL20" s="502"/>
      <c r="AM20" s="349">
        <f t="shared" si="0"/>
        <v>0</v>
      </c>
      <c r="AP20" s="234"/>
      <c r="AQ20" s="234"/>
      <c r="AR20" s="315">
        <f t="shared" si="1"/>
        <v>0</v>
      </c>
      <c r="AT20" s="50"/>
    </row>
    <row r="21" spans="2:46" ht="20.100000000000001" hidden="1" customHeight="1" x14ac:dyDescent="0.15">
      <c r="B21" s="500"/>
      <c r="C21" s="501"/>
      <c r="D21" s="502"/>
      <c r="E21" s="502"/>
      <c r="F21" s="501"/>
      <c r="G21" s="502"/>
      <c r="H21" s="502"/>
      <c r="I21" s="503"/>
      <c r="J21" s="504"/>
      <c r="K21" s="504"/>
      <c r="L21" s="503"/>
      <c r="M21" s="504"/>
      <c r="N21" s="504"/>
      <c r="O21" s="503"/>
      <c r="P21" s="504"/>
      <c r="Q21" s="504"/>
      <c r="R21" s="503"/>
      <c r="S21" s="504"/>
      <c r="T21" s="504"/>
      <c r="U21" s="503"/>
      <c r="V21" s="504"/>
      <c r="W21" s="504"/>
      <c r="X21" s="503"/>
      <c r="Y21" s="504"/>
      <c r="Z21" s="504"/>
      <c r="AA21" s="503"/>
      <c r="AB21" s="504"/>
      <c r="AC21" s="504"/>
      <c r="AD21" s="503"/>
      <c r="AE21" s="504"/>
      <c r="AF21" s="504"/>
      <c r="AG21" s="503"/>
      <c r="AH21" s="504"/>
      <c r="AI21" s="504"/>
      <c r="AJ21" s="501"/>
      <c r="AK21" s="502"/>
      <c r="AL21" s="502"/>
      <c r="AM21" s="349">
        <f t="shared" si="0"/>
        <v>0</v>
      </c>
      <c r="AP21" s="315"/>
      <c r="AQ21" s="315"/>
      <c r="AR21" s="315">
        <f t="shared" ref="AR21:AR34" si="2">SUM(AP21:AQ21)</f>
        <v>0</v>
      </c>
      <c r="AT21" s="50"/>
    </row>
    <row r="22" spans="2:46" ht="20.100000000000001" hidden="1" customHeight="1" x14ac:dyDescent="0.15">
      <c r="B22" s="500"/>
      <c r="C22" s="501"/>
      <c r="D22" s="502"/>
      <c r="E22" s="502"/>
      <c r="F22" s="501"/>
      <c r="G22" s="502"/>
      <c r="H22" s="502"/>
      <c r="I22" s="503"/>
      <c r="J22" s="504"/>
      <c r="K22" s="504"/>
      <c r="L22" s="503"/>
      <c r="M22" s="504"/>
      <c r="N22" s="504"/>
      <c r="O22" s="503"/>
      <c r="P22" s="504"/>
      <c r="Q22" s="504"/>
      <c r="R22" s="503"/>
      <c r="S22" s="504"/>
      <c r="T22" s="504"/>
      <c r="U22" s="503"/>
      <c r="V22" s="504"/>
      <c r="W22" s="504"/>
      <c r="X22" s="503"/>
      <c r="Y22" s="504"/>
      <c r="Z22" s="504"/>
      <c r="AA22" s="503"/>
      <c r="AB22" s="504"/>
      <c r="AC22" s="504"/>
      <c r="AD22" s="503"/>
      <c r="AE22" s="504"/>
      <c r="AF22" s="504"/>
      <c r="AG22" s="503"/>
      <c r="AH22" s="504"/>
      <c r="AI22" s="504"/>
      <c r="AJ22" s="501"/>
      <c r="AK22" s="502"/>
      <c r="AL22" s="502"/>
      <c r="AM22" s="349">
        <f t="shared" si="0"/>
        <v>0</v>
      </c>
      <c r="AP22" s="315"/>
      <c r="AQ22" s="315"/>
      <c r="AR22" s="315">
        <f t="shared" si="2"/>
        <v>0</v>
      </c>
      <c r="AT22" s="50"/>
    </row>
    <row r="23" spans="2:46" ht="20.100000000000001" hidden="1" customHeight="1" x14ac:dyDescent="0.15">
      <c r="B23" s="506"/>
      <c r="C23" s="392"/>
      <c r="D23" s="507"/>
      <c r="E23" s="507"/>
      <c r="F23" s="392"/>
      <c r="G23" s="507"/>
      <c r="H23" s="507"/>
      <c r="I23" s="392"/>
      <c r="J23" s="507"/>
      <c r="K23" s="507"/>
      <c r="L23" s="392"/>
      <c r="M23" s="507"/>
      <c r="N23" s="507"/>
      <c r="O23" s="392"/>
      <c r="P23" s="507"/>
      <c r="Q23" s="507"/>
      <c r="R23" s="392"/>
      <c r="S23" s="507"/>
      <c r="T23" s="507"/>
      <c r="U23" s="392"/>
      <c r="V23" s="507"/>
      <c r="W23" s="507"/>
      <c r="X23" s="392"/>
      <c r="Y23" s="507"/>
      <c r="Z23" s="507"/>
      <c r="AA23" s="392"/>
      <c r="AB23" s="507"/>
      <c r="AC23" s="507"/>
      <c r="AD23" s="392"/>
      <c r="AE23" s="507"/>
      <c r="AF23" s="507"/>
      <c r="AG23" s="392"/>
      <c r="AH23" s="507"/>
      <c r="AI23" s="507"/>
      <c r="AJ23" s="392"/>
      <c r="AK23" s="507"/>
      <c r="AL23" s="507"/>
      <c r="AM23" s="393">
        <f t="shared" ref="AM23:AM34" si="3">SUM(C23:AL23)</f>
        <v>0</v>
      </c>
      <c r="AP23" s="315"/>
      <c r="AQ23" s="315"/>
      <c r="AR23" s="315">
        <f t="shared" si="2"/>
        <v>0</v>
      </c>
      <c r="AT23" s="50"/>
    </row>
    <row r="24" spans="2:46" ht="20.100000000000001" customHeight="1" x14ac:dyDescent="0.15">
      <c r="B24" s="506"/>
      <c r="C24" s="392"/>
      <c r="D24" s="507"/>
      <c r="E24" s="507"/>
      <c r="F24" s="392"/>
      <c r="G24" s="507"/>
      <c r="H24" s="507"/>
      <c r="I24" s="392"/>
      <c r="J24" s="507"/>
      <c r="K24" s="507"/>
      <c r="L24" s="392"/>
      <c r="M24" s="507"/>
      <c r="N24" s="507"/>
      <c r="O24" s="392"/>
      <c r="P24" s="507"/>
      <c r="Q24" s="507"/>
      <c r="R24" s="392"/>
      <c r="S24" s="507"/>
      <c r="T24" s="507"/>
      <c r="U24" s="392"/>
      <c r="V24" s="507"/>
      <c r="W24" s="507"/>
      <c r="X24" s="392"/>
      <c r="Y24" s="507"/>
      <c r="Z24" s="507"/>
      <c r="AA24" s="392"/>
      <c r="AB24" s="507"/>
      <c r="AC24" s="507"/>
      <c r="AD24" s="392"/>
      <c r="AE24" s="507"/>
      <c r="AF24" s="507"/>
      <c r="AG24" s="392"/>
      <c r="AH24" s="507"/>
      <c r="AI24" s="507"/>
      <c r="AJ24" s="392"/>
      <c r="AK24" s="507"/>
      <c r="AL24" s="507"/>
      <c r="AM24" s="393">
        <f t="shared" si="3"/>
        <v>0</v>
      </c>
      <c r="AP24" s="315"/>
      <c r="AQ24" s="315"/>
      <c r="AR24" s="315">
        <f t="shared" si="2"/>
        <v>0</v>
      </c>
      <c r="AT24" s="50"/>
    </row>
    <row r="25" spans="2:46" ht="20.100000000000001" customHeight="1" x14ac:dyDescent="0.15">
      <c r="B25" s="506"/>
      <c r="C25" s="392"/>
      <c r="D25" s="507"/>
      <c r="E25" s="507"/>
      <c r="F25" s="392"/>
      <c r="G25" s="507"/>
      <c r="H25" s="507"/>
      <c r="I25" s="392"/>
      <c r="J25" s="507"/>
      <c r="K25" s="507"/>
      <c r="L25" s="392"/>
      <c r="M25" s="507"/>
      <c r="N25" s="507"/>
      <c r="O25" s="392"/>
      <c r="P25" s="507"/>
      <c r="Q25" s="507"/>
      <c r="R25" s="392"/>
      <c r="S25" s="507"/>
      <c r="T25" s="507"/>
      <c r="U25" s="392"/>
      <c r="V25" s="507"/>
      <c r="W25" s="507"/>
      <c r="X25" s="392"/>
      <c r="Y25" s="507"/>
      <c r="Z25" s="507"/>
      <c r="AA25" s="392"/>
      <c r="AB25" s="507"/>
      <c r="AC25" s="507"/>
      <c r="AD25" s="392"/>
      <c r="AE25" s="507"/>
      <c r="AF25" s="507"/>
      <c r="AG25" s="392"/>
      <c r="AH25" s="507"/>
      <c r="AI25" s="507"/>
      <c r="AJ25" s="392"/>
      <c r="AK25" s="507"/>
      <c r="AL25" s="507"/>
      <c r="AM25" s="393">
        <f t="shared" si="3"/>
        <v>0</v>
      </c>
      <c r="AP25" s="315"/>
      <c r="AQ25" s="315"/>
      <c r="AR25" s="315">
        <f t="shared" si="2"/>
        <v>0</v>
      </c>
      <c r="AT25" s="50"/>
    </row>
    <row r="26" spans="2:46" ht="20.100000000000001" customHeight="1" x14ac:dyDescent="0.15">
      <c r="B26" s="506"/>
      <c r="C26" s="392"/>
      <c r="D26" s="507"/>
      <c r="E26" s="507"/>
      <c r="F26" s="392"/>
      <c r="G26" s="507"/>
      <c r="H26" s="507"/>
      <c r="I26" s="392"/>
      <c r="J26" s="507"/>
      <c r="K26" s="507"/>
      <c r="L26" s="392"/>
      <c r="M26" s="507"/>
      <c r="N26" s="507"/>
      <c r="O26" s="392"/>
      <c r="P26" s="507"/>
      <c r="Q26" s="507"/>
      <c r="R26" s="392"/>
      <c r="S26" s="507"/>
      <c r="T26" s="507"/>
      <c r="U26" s="392"/>
      <c r="V26" s="507"/>
      <c r="W26" s="507"/>
      <c r="X26" s="392"/>
      <c r="Y26" s="507"/>
      <c r="Z26" s="507"/>
      <c r="AA26" s="392"/>
      <c r="AB26" s="507"/>
      <c r="AC26" s="507"/>
      <c r="AD26" s="392"/>
      <c r="AE26" s="507"/>
      <c r="AF26" s="507"/>
      <c r="AG26" s="392"/>
      <c r="AH26" s="507"/>
      <c r="AI26" s="507"/>
      <c r="AJ26" s="392"/>
      <c r="AK26" s="507"/>
      <c r="AL26" s="507"/>
      <c r="AM26" s="393">
        <f t="shared" si="3"/>
        <v>0</v>
      </c>
      <c r="AP26" s="315"/>
      <c r="AQ26" s="315"/>
      <c r="AR26" s="315">
        <f t="shared" si="2"/>
        <v>0</v>
      </c>
      <c r="AT26" s="50"/>
    </row>
    <row r="27" spans="2:46" ht="20.100000000000001" customHeight="1" x14ac:dyDescent="0.15">
      <c r="B27" s="506"/>
      <c r="C27" s="392"/>
      <c r="D27" s="507"/>
      <c r="E27" s="507"/>
      <c r="F27" s="392"/>
      <c r="G27" s="507"/>
      <c r="H27" s="507"/>
      <c r="I27" s="392"/>
      <c r="J27" s="507"/>
      <c r="K27" s="507"/>
      <c r="L27" s="392"/>
      <c r="M27" s="507"/>
      <c r="N27" s="507"/>
      <c r="O27" s="392"/>
      <c r="P27" s="507"/>
      <c r="Q27" s="507"/>
      <c r="R27" s="392"/>
      <c r="S27" s="507"/>
      <c r="T27" s="507"/>
      <c r="U27" s="392"/>
      <c r="V27" s="507"/>
      <c r="W27" s="507"/>
      <c r="X27" s="392"/>
      <c r="Y27" s="507"/>
      <c r="Z27" s="507"/>
      <c r="AA27" s="392"/>
      <c r="AB27" s="507"/>
      <c r="AC27" s="507"/>
      <c r="AD27" s="392"/>
      <c r="AE27" s="507"/>
      <c r="AF27" s="507"/>
      <c r="AG27" s="392"/>
      <c r="AH27" s="507"/>
      <c r="AI27" s="507"/>
      <c r="AJ27" s="392"/>
      <c r="AK27" s="507"/>
      <c r="AL27" s="507"/>
      <c r="AM27" s="393">
        <f t="shared" si="3"/>
        <v>0</v>
      </c>
      <c r="AP27" s="315"/>
      <c r="AQ27" s="315"/>
      <c r="AR27" s="315">
        <f t="shared" si="2"/>
        <v>0</v>
      </c>
      <c r="AT27" s="50"/>
    </row>
    <row r="28" spans="2:46" ht="20.100000000000001" customHeight="1" x14ac:dyDescent="0.15">
      <c r="B28" s="506"/>
      <c r="C28" s="392"/>
      <c r="D28" s="507"/>
      <c r="E28" s="507"/>
      <c r="F28" s="392"/>
      <c r="G28" s="507"/>
      <c r="H28" s="507"/>
      <c r="I28" s="392"/>
      <c r="J28" s="507"/>
      <c r="K28" s="507"/>
      <c r="L28" s="392"/>
      <c r="M28" s="507"/>
      <c r="N28" s="507"/>
      <c r="O28" s="392"/>
      <c r="P28" s="507"/>
      <c r="Q28" s="507"/>
      <c r="R28" s="392"/>
      <c r="S28" s="507"/>
      <c r="T28" s="507"/>
      <c r="U28" s="392"/>
      <c r="V28" s="507"/>
      <c r="W28" s="507"/>
      <c r="X28" s="392"/>
      <c r="Y28" s="507"/>
      <c r="Z28" s="507"/>
      <c r="AA28" s="392"/>
      <c r="AB28" s="507"/>
      <c r="AC28" s="507"/>
      <c r="AD28" s="392"/>
      <c r="AE28" s="507"/>
      <c r="AF28" s="507"/>
      <c r="AG28" s="392"/>
      <c r="AH28" s="507"/>
      <c r="AI28" s="507"/>
      <c r="AJ28" s="392"/>
      <c r="AK28" s="507"/>
      <c r="AL28" s="507"/>
      <c r="AM28" s="393">
        <f t="shared" si="3"/>
        <v>0</v>
      </c>
      <c r="AP28" s="315"/>
      <c r="AQ28" s="315"/>
      <c r="AR28" s="315">
        <f t="shared" si="2"/>
        <v>0</v>
      </c>
      <c r="AT28" s="50"/>
    </row>
    <row r="29" spans="2:46" ht="20.100000000000001" customHeight="1" x14ac:dyDescent="0.15">
      <c r="B29" s="506"/>
      <c r="C29" s="392"/>
      <c r="D29" s="507"/>
      <c r="E29" s="507"/>
      <c r="F29" s="392"/>
      <c r="G29" s="507"/>
      <c r="H29" s="507"/>
      <c r="I29" s="392"/>
      <c r="J29" s="507"/>
      <c r="K29" s="507"/>
      <c r="L29" s="392"/>
      <c r="M29" s="507"/>
      <c r="N29" s="507"/>
      <c r="O29" s="392"/>
      <c r="P29" s="507"/>
      <c r="Q29" s="507"/>
      <c r="R29" s="392"/>
      <c r="S29" s="507"/>
      <c r="T29" s="507"/>
      <c r="U29" s="392"/>
      <c r="V29" s="507"/>
      <c r="W29" s="507"/>
      <c r="X29" s="392"/>
      <c r="Y29" s="507"/>
      <c r="Z29" s="507"/>
      <c r="AA29" s="392"/>
      <c r="AB29" s="507"/>
      <c r="AC29" s="507"/>
      <c r="AD29" s="392"/>
      <c r="AE29" s="507"/>
      <c r="AF29" s="507"/>
      <c r="AG29" s="392"/>
      <c r="AH29" s="507"/>
      <c r="AI29" s="507"/>
      <c r="AJ29" s="392"/>
      <c r="AK29" s="507"/>
      <c r="AL29" s="507"/>
      <c r="AM29" s="393">
        <f t="shared" si="3"/>
        <v>0</v>
      </c>
      <c r="AP29" s="315"/>
      <c r="AQ29" s="315"/>
      <c r="AR29" s="315">
        <f t="shared" si="2"/>
        <v>0</v>
      </c>
      <c r="AT29" s="50"/>
    </row>
    <row r="30" spans="2:46" ht="20.100000000000001" customHeight="1" x14ac:dyDescent="0.15">
      <c r="B30" s="506"/>
      <c r="C30" s="392"/>
      <c r="D30" s="507"/>
      <c r="E30" s="507"/>
      <c r="F30" s="392"/>
      <c r="G30" s="507"/>
      <c r="H30" s="507"/>
      <c r="I30" s="392"/>
      <c r="J30" s="507"/>
      <c r="K30" s="507"/>
      <c r="L30" s="392"/>
      <c r="M30" s="507"/>
      <c r="N30" s="507"/>
      <c r="O30" s="392"/>
      <c r="P30" s="507"/>
      <c r="Q30" s="507"/>
      <c r="R30" s="392"/>
      <c r="S30" s="507"/>
      <c r="T30" s="507"/>
      <c r="U30" s="392"/>
      <c r="V30" s="507"/>
      <c r="W30" s="507"/>
      <c r="X30" s="392"/>
      <c r="Y30" s="507"/>
      <c r="Z30" s="507"/>
      <c r="AA30" s="392"/>
      <c r="AB30" s="507"/>
      <c r="AC30" s="507"/>
      <c r="AD30" s="392"/>
      <c r="AE30" s="507"/>
      <c r="AF30" s="507"/>
      <c r="AG30" s="392"/>
      <c r="AH30" s="507"/>
      <c r="AI30" s="507"/>
      <c r="AJ30" s="392"/>
      <c r="AK30" s="507"/>
      <c r="AL30" s="507"/>
      <c r="AM30" s="393">
        <f t="shared" si="3"/>
        <v>0</v>
      </c>
      <c r="AP30" s="315"/>
      <c r="AQ30" s="315"/>
      <c r="AR30" s="315">
        <f t="shared" si="2"/>
        <v>0</v>
      </c>
      <c r="AT30" s="50"/>
    </row>
    <row r="31" spans="2:46" ht="20.100000000000001" customHeight="1" x14ac:dyDescent="0.15">
      <c r="B31" s="506"/>
      <c r="C31" s="392"/>
      <c r="D31" s="507"/>
      <c r="E31" s="507"/>
      <c r="F31" s="392"/>
      <c r="G31" s="507"/>
      <c r="H31" s="507"/>
      <c r="I31" s="392"/>
      <c r="J31" s="507"/>
      <c r="K31" s="507"/>
      <c r="L31" s="392"/>
      <c r="M31" s="507"/>
      <c r="N31" s="507"/>
      <c r="O31" s="392"/>
      <c r="P31" s="507"/>
      <c r="Q31" s="507"/>
      <c r="R31" s="392"/>
      <c r="S31" s="507"/>
      <c r="T31" s="507"/>
      <c r="U31" s="392"/>
      <c r="V31" s="507"/>
      <c r="W31" s="507"/>
      <c r="X31" s="392"/>
      <c r="Y31" s="507"/>
      <c r="Z31" s="507"/>
      <c r="AA31" s="392"/>
      <c r="AB31" s="507"/>
      <c r="AC31" s="507"/>
      <c r="AD31" s="392"/>
      <c r="AE31" s="507"/>
      <c r="AF31" s="507"/>
      <c r="AG31" s="392"/>
      <c r="AH31" s="507"/>
      <c r="AI31" s="507"/>
      <c r="AJ31" s="392"/>
      <c r="AK31" s="507"/>
      <c r="AL31" s="507"/>
      <c r="AM31" s="393">
        <f t="shared" si="3"/>
        <v>0</v>
      </c>
      <c r="AP31" s="315"/>
      <c r="AQ31" s="315"/>
      <c r="AR31" s="315">
        <f t="shared" si="2"/>
        <v>0</v>
      </c>
      <c r="AT31" s="50"/>
    </row>
    <row r="32" spans="2:46" ht="20.100000000000001" customHeight="1" x14ac:dyDescent="0.15">
      <c r="B32" s="506"/>
      <c r="C32" s="392"/>
      <c r="D32" s="507"/>
      <c r="E32" s="507"/>
      <c r="F32" s="392"/>
      <c r="G32" s="507"/>
      <c r="H32" s="507"/>
      <c r="I32" s="392"/>
      <c r="J32" s="507"/>
      <c r="K32" s="507"/>
      <c r="L32" s="392"/>
      <c r="M32" s="507"/>
      <c r="N32" s="507"/>
      <c r="O32" s="392"/>
      <c r="P32" s="507"/>
      <c r="Q32" s="507"/>
      <c r="R32" s="392"/>
      <c r="S32" s="507"/>
      <c r="T32" s="507"/>
      <c r="U32" s="392"/>
      <c r="V32" s="507"/>
      <c r="W32" s="507"/>
      <c r="X32" s="392"/>
      <c r="Y32" s="507"/>
      <c r="Z32" s="507"/>
      <c r="AA32" s="392"/>
      <c r="AB32" s="507"/>
      <c r="AC32" s="507"/>
      <c r="AD32" s="392"/>
      <c r="AE32" s="507"/>
      <c r="AF32" s="507"/>
      <c r="AG32" s="392"/>
      <c r="AH32" s="507"/>
      <c r="AI32" s="507"/>
      <c r="AJ32" s="392"/>
      <c r="AK32" s="507"/>
      <c r="AL32" s="507"/>
      <c r="AM32" s="393">
        <f t="shared" si="3"/>
        <v>0</v>
      </c>
      <c r="AP32" s="315"/>
      <c r="AQ32" s="315"/>
      <c r="AR32" s="315">
        <f t="shared" si="2"/>
        <v>0</v>
      </c>
      <c r="AT32" s="50"/>
    </row>
    <row r="33" spans="2:46" ht="20.100000000000001" customHeight="1" x14ac:dyDescent="0.15">
      <c r="B33" s="506"/>
      <c r="C33" s="392"/>
      <c r="D33" s="507"/>
      <c r="E33" s="507"/>
      <c r="F33" s="392"/>
      <c r="G33" s="507"/>
      <c r="H33" s="507"/>
      <c r="I33" s="392"/>
      <c r="J33" s="507"/>
      <c r="K33" s="507"/>
      <c r="L33" s="392"/>
      <c r="M33" s="507"/>
      <c r="N33" s="507"/>
      <c r="O33" s="392"/>
      <c r="P33" s="507"/>
      <c r="Q33" s="507"/>
      <c r="R33" s="392"/>
      <c r="S33" s="507"/>
      <c r="T33" s="507"/>
      <c r="U33" s="392"/>
      <c r="V33" s="507"/>
      <c r="W33" s="507"/>
      <c r="X33" s="392"/>
      <c r="Y33" s="507"/>
      <c r="Z33" s="507"/>
      <c r="AA33" s="392"/>
      <c r="AB33" s="507"/>
      <c r="AC33" s="507"/>
      <c r="AD33" s="392"/>
      <c r="AE33" s="507"/>
      <c r="AF33" s="507"/>
      <c r="AG33" s="392"/>
      <c r="AH33" s="507"/>
      <c r="AI33" s="507"/>
      <c r="AJ33" s="392"/>
      <c r="AK33" s="507"/>
      <c r="AL33" s="507"/>
      <c r="AM33" s="393">
        <f t="shared" si="3"/>
        <v>0</v>
      </c>
      <c r="AP33" s="315"/>
      <c r="AQ33" s="315"/>
      <c r="AR33" s="315">
        <f t="shared" si="2"/>
        <v>0</v>
      </c>
      <c r="AT33" s="50"/>
    </row>
    <row r="34" spans="2:46" ht="20.100000000000001" customHeight="1" x14ac:dyDescent="0.15">
      <c r="B34" s="508" t="s">
        <v>553</v>
      </c>
      <c r="C34" s="392">
        <f t="shared" ref="C34:AL34" si="4">SUM(C9:C33)</f>
        <v>0</v>
      </c>
      <c r="D34" s="74">
        <f t="shared" si="4"/>
        <v>1</v>
      </c>
      <c r="E34" s="509">
        <f t="shared" si="4"/>
        <v>1.6</v>
      </c>
      <c r="F34" s="392">
        <f t="shared" si="4"/>
        <v>0</v>
      </c>
      <c r="G34" s="74">
        <f t="shared" si="4"/>
        <v>0</v>
      </c>
      <c r="H34" s="509">
        <f t="shared" si="4"/>
        <v>0</v>
      </c>
      <c r="I34" s="392">
        <f t="shared" si="4"/>
        <v>0</v>
      </c>
      <c r="J34" s="74">
        <f t="shared" si="4"/>
        <v>0</v>
      </c>
      <c r="K34" s="509">
        <f t="shared" si="4"/>
        <v>0</v>
      </c>
      <c r="L34" s="392">
        <f t="shared" si="4"/>
        <v>0</v>
      </c>
      <c r="M34" s="74">
        <f t="shared" si="4"/>
        <v>0</v>
      </c>
      <c r="N34" s="509">
        <f t="shared" si="4"/>
        <v>0</v>
      </c>
      <c r="O34" s="392">
        <f t="shared" si="4"/>
        <v>0</v>
      </c>
      <c r="P34" s="74">
        <f t="shared" si="4"/>
        <v>1.7</v>
      </c>
      <c r="Q34" s="509">
        <f t="shared" si="4"/>
        <v>0</v>
      </c>
      <c r="R34" s="392">
        <f t="shared" si="4"/>
        <v>5.2</v>
      </c>
      <c r="S34" s="74">
        <f t="shared" si="4"/>
        <v>5.3</v>
      </c>
      <c r="T34" s="509">
        <f t="shared" si="4"/>
        <v>0</v>
      </c>
      <c r="U34" s="392">
        <f t="shared" si="4"/>
        <v>0</v>
      </c>
      <c r="V34" s="74">
        <f t="shared" si="4"/>
        <v>0</v>
      </c>
      <c r="W34" s="509">
        <f t="shared" si="4"/>
        <v>0</v>
      </c>
      <c r="X34" s="392">
        <f t="shared" si="4"/>
        <v>0</v>
      </c>
      <c r="Y34" s="74">
        <f t="shared" si="4"/>
        <v>0</v>
      </c>
      <c r="Z34" s="509">
        <f t="shared" si="4"/>
        <v>0</v>
      </c>
      <c r="AA34" s="392">
        <f t="shared" si="4"/>
        <v>0</v>
      </c>
      <c r="AB34" s="74">
        <f t="shared" si="4"/>
        <v>0</v>
      </c>
      <c r="AC34" s="509">
        <f t="shared" si="4"/>
        <v>0</v>
      </c>
      <c r="AD34" s="392">
        <f t="shared" si="4"/>
        <v>1.2</v>
      </c>
      <c r="AE34" s="74">
        <f t="shared" si="4"/>
        <v>13</v>
      </c>
      <c r="AF34" s="509">
        <f t="shared" si="4"/>
        <v>14.2</v>
      </c>
      <c r="AG34" s="392">
        <f t="shared" si="4"/>
        <v>2.4</v>
      </c>
      <c r="AH34" s="74">
        <f t="shared" si="4"/>
        <v>0</v>
      </c>
      <c r="AI34" s="509">
        <f t="shared" si="4"/>
        <v>0</v>
      </c>
      <c r="AJ34" s="392">
        <f t="shared" si="4"/>
        <v>0</v>
      </c>
      <c r="AK34" s="74">
        <f t="shared" si="4"/>
        <v>0</v>
      </c>
      <c r="AL34" s="509">
        <f t="shared" si="4"/>
        <v>0</v>
      </c>
      <c r="AM34" s="393">
        <f t="shared" si="3"/>
        <v>45.6</v>
      </c>
      <c r="AP34" s="315"/>
      <c r="AQ34" s="315"/>
      <c r="AR34" s="315">
        <f t="shared" si="2"/>
        <v>0</v>
      </c>
      <c r="AT34" s="50"/>
    </row>
    <row r="35" spans="2:46" ht="20.100000000000001" customHeight="1" thickBot="1" x14ac:dyDescent="0.2">
      <c r="B35" s="75" t="s">
        <v>554</v>
      </c>
      <c r="C35" s="76"/>
      <c r="D35" s="77">
        <f>SUM(C34:E34)</f>
        <v>2.6</v>
      </c>
      <c r="E35" s="77"/>
      <c r="F35" s="76"/>
      <c r="G35" s="77">
        <f>SUM(F34:H34)</f>
        <v>0</v>
      </c>
      <c r="H35" s="77"/>
      <c r="I35" s="76"/>
      <c r="J35" s="77">
        <f>SUM(I34:K34)</f>
        <v>0</v>
      </c>
      <c r="K35" s="77"/>
      <c r="L35" s="76"/>
      <c r="M35" s="77">
        <f>SUM(L34:N34)</f>
        <v>0</v>
      </c>
      <c r="N35" s="77"/>
      <c r="O35" s="76"/>
      <c r="P35" s="77">
        <f>SUM(O34:Q34)</f>
        <v>1.7</v>
      </c>
      <c r="Q35" s="77"/>
      <c r="R35" s="76"/>
      <c r="S35" s="77">
        <f>SUM(R34:T34)</f>
        <v>10.5</v>
      </c>
      <c r="T35" s="77"/>
      <c r="U35" s="76"/>
      <c r="V35" s="77">
        <f>SUM(U34:W34)</f>
        <v>0</v>
      </c>
      <c r="W35" s="77"/>
      <c r="X35" s="76"/>
      <c r="Y35" s="77">
        <f>SUM(X34:Z34)</f>
        <v>0</v>
      </c>
      <c r="Z35" s="77"/>
      <c r="AA35" s="76"/>
      <c r="AB35" s="77">
        <f>SUM(AA34:AC34)</f>
        <v>0</v>
      </c>
      <c r="AC35" s="77"/>
      <c r="AD35" s="76"/>
      <c r="AE35" s="77">
        <f>SUM(AD34:AF34)</f>
        <v>28.4</v>
      </c>
      <c r="AF35" s="77"/>
      <c r="AG35" s="76"/>
      <c r="AH35" s="77">
        <f>SUM(AG34:AI34)</f>
        <v>2.4</v>
      </c>
      <c r="AI35" s="77"/>
      <c r="AJ35" s="76"/>
      <c r="AK35" s="77">
        <f>SUM(AJ34:AL34)</f>
        <v>0</v>
      </c>
      <c r="AL35" s="77"/>
      <c r="AM35" s="78">
        <f>SUM(AM9:AM33)</f>
        <v>45.6</v>
      </c>
      <c r="AP35" s="315">
        <f>SUM(AP9:AP33)</f>
        <v>20.099999999999998</v>
      </c>
      <c r="AQ35" s="315">
        <f t="shared" ref="AQ35" si="5">SUM(AQ9:AQ33)</f>
        <v>25.5</v>
      </c>
      <c r="AR35" s="315">
        <f>SUM(AR9:AR34)</f>
        <v>45.6</v>
      </c>
      <c r="AT35" s="50">
        <f>SUM(AT9:AT34)</f>
        <v>45.6</v>
      </c>
    </row>
    <row r="36" spans="2:46" ht="14.25" x14ac:dyDescent="0.15">
      <c r="B36" s="910" t="s">
        <v>342</v>
      </c>
      <c r="C36" s="510" t="s">
        <v>347</v>
      </c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4"/>
    </row>
    <row r="37" spans="2:46" ht="14.25" x14ac:dyDescent="0.15">
      <c r="B37" s="911"/>
      <c r="C37" s="334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9"/>
    </row>
    <row r="38" spans="2:46" ht="14.25" x14ac:dyDescent="0.15">
      <c r="B38" s="911"/>
      <c r="C38" s="334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9"/>
    </row>
    <row r="39" spans="2:46" ht="15" thickBot="1" x14ac:dyDescent="0.2">
      <c r="B39" s="912"/>
      <c r="C39" s="345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7"/>
    </row>
  </sheetData>
  <mergeCells count="17">
    <mergeCell ref="O4:Q4"/>
    <mergeCell ref="R7:S7"/>
    <mergeCell ref="B1:H1"/>
    <mergeCell ref="B36:B39"/>
    <mergeCell ref="AJ4:AL4"/>
    <mergeCell ref="B4:B5"/>
    <mergeCell ref="C4:E4"/>
    <mergeCell ref="F4:H4"/>
    <mergeCell ref="I4:K4"/>
    <mergeCell ref="L4:N4"/>
    <mergeCell ref="AM4:AM5"/>
    <mergeCell ref="R4:T4"/>
    <mergeCell ref="U4:W4"/>
    <mergeCell ref="X4:Z4"/>
    <mergeCell ref="AA4:AC4"/>
    <mergeCell ref="AD4:AF4"/>
    <mergeCell ref="AG4:AI4"/>
  </mergeCells>
  <phoneticPr fontId="4"/>
  <pageMargins left="1.1811023622047245" right="0.78740157480314965" top="0.78740157480314965" bottom="0.78740157480314965" header="0.39370078740157483" footer="0.39370078740157483"/>
  <pageSetup paperSize="9" scale="5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B1:P95"/>
  <sheetViews>
    <sheetView topLeftCell="D2" zoomScale="75" zoomScaleNormal="75" zoomScaleSheetLayoutView="82" workbookViewId="0">
      <selection activeCell="K22" sqref="K22"/>
    </sheetView>
  </sheetViews>
  <sheetFormatPr defaultColWidth="9" defaultRowHeight="13.5" x14ac:dyDescent="0.15"/>
  <cols>
    <col min="1" max="1" width="1.625" style="49" customWidth="1"/>
    <col min="2" max="2" width="5" style="49" customWidth="1"/>
    <col min="3" max="3" width="22.5" style="49" bestFit="1" customWidth="1"/>
    <col min="4" max="4" width="30" style="49" bestFit="1" customWidth="1"/>
    <col min="5" max="6" width="6" style="49" bestFit="1" customWidth="1"/>
    <col min="7" max="7" width="17.625" style="49" customWidth="1"/>
    <col min="8" max="8" width="10.625" style="49" customWidth="1"/>
    <col min="9" max="9" width="17.625" style="49" customWidth="1"/>
    <col min="10" max="10" width="10.625" style="49" customWidth="1"/>
    <col min="11" max="11" width="15.125" style="50" customWidth="1"/>
    <col min="12" max="12" width="17.625" style="49" customWidth="1"/>
    <col min="13" max="13" width="10.625" style="49" customWidth="1"/>
    <col min="14" max="14" width="17.625" style="49" customWidth="1"/>
    <col min="15" max="15" width="10.625" style="49" customWidth="1"/>
    <col min="16" max="16" width="19.75" style="49" bestFit="1" customWidth="1"/>
    <col min="17" max="16384" width="9" style="49"/>
  </cols>
  <sheetData>
    <row r="1" spans="2:16" ht="9.9499999999999993" hidden="1" customHeight="1" x14ac:dyDescent="0.15"/>
    <row r="2" spans="2:16" ht="24.95" customHeight="1" thickBot="1" x14ac:dyDescent="0.2">
      <c r="B2" s="5" t="s">
        <v>241</v>
      </c>
      <c r="C2" s="5"/>
      <c r="D2" s="5"/>
      <c r="E2" s="51"/>
      <c r="F2" s="938"/>
      <c r="G2" s="939"/>
      <c r="H2" s="688"/>
      <c r="I2" s="688"/>
      <c r="J2" s="687"/>
      <c r="K2" s="52"/>
      <c r="L2" s="687"/>
      <c r="M2" s="686"/>
      <c r="P2" s="687"/>
    </row>
    <row r="3" spans="2:16" x14ac:dyDescent="0.15">
      <c r="B3" s="942" t="s">
        <v>122</v>
      </c>
      <c r="C3" s="934" t="s">
        <v>38</v>
      </c>
      <c r="D3" s="934" t="s">
        <v>121</v>
      </c>
      <c r="E3" s="940" t="s">
        <v>39</v>
      </c>
      <c r="F3" s="941"/>
      <c r="G3" s="689" t="s">
        <v>40</v>
      </c>
      <c r="H3" s="689" t="s">
        <v>124</v>
      </c>
      <c r="I3" s="689" t="s">
        <v>123</v>
      </c>
      <c r="J3" s="934" t="s">
        <v>91</v>
      </c>
      <c r="K3" s="54" t="s">
        <v>148</v>
      </c>
      <c r="L3" s="689" t="s">
        <v>41</v>
      </c>
      <c r="M3" s="689" t="s">
        <v>128</v>
      </c>
      <c r="N3" s="689" t="s">
        <v>42</v>
      </c>
      <c r="O3" s="689" t="s">
        <v>43</v>
      </c>
      <c r="P3" s="271" t="s">
        <v>44</v>
      </c>
    </row>
    <row r="4" spans="2:16" x14ac:dyDescent="0.15">
      <c r="B4" s="943"/>
      <c r="C4" s="935"/>
      <c r="D4" s="935"/>
      <c r="E4" s="55" t="s">
        <v>93</v>
      </c>
      <c r="F4" s="55" t="s">
        <v>9</v>
      </c>
      <c r="G4" s="56" t="s">
        <v>149</v>
      </c>
      <c r="H4" s="56" t="s">
        <v>150</v>
      </c>
      <c r="I4" s="56" t="s">
        <v>132</v>
      </c>
      <c r="J4" s="935"/>
      <c r="K4" s="57" t="s">
        <v>127</v>
      </c>
      <c r="L4" s="56" t="s">
        <v>151</v>
      </c>
      <c r="M4" s="56" t="s">
        <v>152</v>
      </c>
      <c r="N4" s="56" t="s">
        <v>134</v>
      </c>
      <c r="O4" s="56" t="s">
        <v>153</v>
      </c>
      <c r="P4" s="272" t="s">
        <v>154</v>
      </c>
    </row>
    <row r="5" spans="2:16" x14ac:dyDescent="0.15">
      <c r="B5" s="1112" t="s">
        <v>185</v>
      </c>
      <c r="C5" s="928" t="str">
        <f>'６（参考）水稲資本装備'!C5</f>
        <v>農機具庫</v>
      </c>
      <c r="D5" s="928" t="str">
        <f>'６（参考）水稲資本装備'!D5</f>
        <v>鉄骨　スレート</v>
      </c>
      <c r="E5" s="920">
        <f>'６（参考）水稲資本装備'!E5</f>
        <v>100</v>
      </c>
      <c r="F5" s="928" t="s">
        <v>155</v>
      </c>
      <c r="G5" s="920">
        <f>'６（参考）水稲資本装備'!G5</f>
        <v>5940000</v>
      </c>
      <c r="H5" s="917">
        <v>0</v>
      </c>
      <c r="I5" s="920">
        <f>G5*(1-H5)</f>
        <v>5940000</v>
      </c>
      <c r="J5" s="304">
        <v>20</v>
      </c>
      <c r="K5" s="684">
        <f>J5/SUM(J5:J7)/J5</f>
        <v>2.5000000000000001E-2</v>
      </c>
      <c r="L5" s="48">
        <f>I5*K5</f>
        <v>148500</v>
      </c>
      <c r="M5" s="58">
        <v>0</v>
      </c>
      <c r="N5" s="48">
        <f t="shared" ref="N5:N11" si="0">L5*M5/100</f>
        <v>0</v>
      </c>
      <c r="O5" s="48">
        <v>25</v>
      </c>
      <c r="P5" s="129">
        <f>IF(O5="","",(L5-N5)/O5)</f>
        <v>5940</v>
      </c>
    </row>
    <row r="6" spans="2:16" x14ac:dyDescent="0.15">
      <c r="B6" s="1084"/>
      <c r="C6" s="929"/>
      <c r="D6" s="929"/>
      <c r="E6" s="921"/>
      <c r="F6" s="929"/>
      <c r="G6" s="921"/>
      <c r="H6" s="918"/>
      <c r="I6" s="921"/>
      <c r="J6" s="305">
        <v>10</v>
      </c>
      <c r="K6" s="684">
        <f>J6/SUM(J5:J7)/J6</f>
        <v>2.5000000000000001E-2</v>
      </c>
      <c r="L6" s="48">
        <f>I5*K6</f>
        <v>148500</v>
      </c>
      <c r="M6" s="58">
        <v>0</v>
      </c>
      <c r="N6" s="48">
        <f t="shared" si="0"/>
        <v>0</v>
      </c>
      <c r="O6" s="48">
        <v>25</v>
      </c>
      <c r="P6" s="129">
        <f t="shared" ref="P6:P11" si="1">IF(O6="","",(L6-N6)/O6)</f>
        <v>5940</v>
      </c>
    </row>
    <row r="7" spans="2:16" x14ac:dyDescent="0.15">
      <c r="B7" s="1084"/>
      <c r="C7" s="930"/>
      <c r="D7" s="930"/>
      <c r="E7" s="922"/>
      <c r="F7" s="930"/>
      <c r="G7" s="922"/>
      <c r="H7" s="919"/>
      <c r="I7" s="922"/>
      <c r="J7" s="306">
        <v>10</v>
      </c>
      <c r="K7" s="684">
        <f>J7/SUM(J5:J7)/J7</f>
        <v>2.5000000000000001E-2</v>
      </c>
      <c r="L7" s="48">
        <f>I5*K7</f>
        <v>148500</v>
      </c>
      <c r="M7" s="58">
        <v>0</v>
      </c>
      <c r="N7" s="48">
        <f t="shared" si="0"/>
        <v>0</v>
      </c>
      <c r="O7" s="48">
        <v>25</v>
      </c>
      <c r="P7" s="129">
        <f t="shared" si="1"/>
        <v>5940</v>
      </c>
    </row>
    <row r="8" spans="2:16" x14ac:dyDescent="0.15">
      <c r="B8" s="1084"/>
      <c r="C8" s="928" t="str">
        <f>'６（参考）水稲資本装備'!C6</f>
        <v>乾燥調製施設</v>
      </c>
      <c r="D8" s="928" t="str">
        <f>'６（参考）水稲資本装備'!D6</f>
        <v>鉄骨　スレート</v>
      </c>
      <c r="E8" s="920">
        <f>'６（参考）水稲資本装備'!E6</f>
        <v>180</v>
      </c>
      <c r="F8" s="928" t="s">
        <v>98</v>
      </c>
      <c r="G8" s="920">
        <f>'６（参考）水稲資本装備'!G6</f>
        <v>10692000</v>
      </c>
      <c r="H8" s="917">
        <v>0</v>
      </c>
      <c r="I8" s="920">
        <f t="shared" ref="I8:I11" si="2">G8*(1-H8)</f>
        <v>10692000</v>
      </c>
      <c r="J8" s="304">
        <v>20</v>
      </c>
      <c r="K8" s="684">
        <f>J8/SUM(J8:J10)/J8</f>
        <v>2.5000000000000001E-2</v>
      </c>
      <c r="L8" s="48">
        <f>I8*K8</f>
        <v>267300</v>
      </c>
      <c r="M8" s="58">
        <v>0</v>
      </c>
      <c r="N8" s="48">
        <f t="shared" si="0"/>
        <v>0</v>
      </c>
      <c r="O8" s="48">
        <v>25</v>
      </c>
      <c r="P8" s="129">
        <f t="shared" si="1"/>
        <v>10692</v>
      </c>
    </row>
    <row r="9" spans="2:16" x14ac:dyDescent="0.15">
      <c r="B9" s="1084"/>
      <c r="C9" s="929"/>
      <c r="D9" s="929"/>
      <c r="E9" s="921"/>
      <c r="F9" s="929"/>
      <c r="G9" s="921"/>
      <c r="H9" s="918"/>
      <c r="I9" s="921"/>
      <c r="J9" s="305">
        <v>10</v>
      </c>
      <c r="K9" s="684">
        <f>J9/SUM(J8:J10)/J9</f>
        <v>2.5000000000000001E-2</v>
      </c>
      <c r="L9" s="445">
        <f>I8*K9</f>
        <v>267300</v>
      </c>
      <c r="M9" s="544">
        <v>0</v>
      </c>
      <c r="N9" s="445">
        <v>0</v>
      </c>
      <c r="O9" s="445">
        <v>25</v>
      </c>
      <c r="P9" s="448">
        <f t="shared" si="1"/>
        <v>10692</v>
      </c>
    </row>
    <row r="10" spans="2:16" x14ac:dyDescent="0.15">
      <c r="B10" s="1084"/>
      <c r="C10" s="930"/>
      <c r="D10" s="930"/>
      <c r="E10" s="922"/>
      <c r="F10" s="930"/>
      <c r="G10" s="922"/>
      <c r="H10" s="919"/>
      <c r="I10" s="922"/>
      <c r="J10" s="306">
        <v>10</v>
      </c>
      <c r="K10" s="684">
        <f>J10/SUM(J8:J10)/J10</f>
        <v>2.5000000000000001E-2</v>
      </c>
      <c r="L10" s="445">
        <f>I8*K10</f>
        <v>267300</v>
      </c>
      <c r="M10" s="544">
        <v>0</v>
      </c>
      <c r="N10" s="445">
        <v>0</v>
      </c>
      <c r="O10" s="445">
        <v>25</v>
      </c>
      <c r="P10" s="448">
        <f t="shared" si="1"/>
        <v>10692</v>
      </c>
    </row>
    <row r="11" spans="2:16" x14ac:dyDescent="0.15">
      <c r="B11" s="1084"/>
      <c r="C11" s="48" t="str">
        <f>'６（参考）水稲資本装備'!C7</f>
        <v>育苗ハウス</v>
      </c>
      <c r="D11" s="48" t="str">
        <f>'６（参考）水稲資本装備'!D7</f>
        <v>鉄パイプ</v>
      </c>
      <c r="E11" s="59">
        <f>'６（参考）水稲資本装備'!E7</f>
        <v>725</v>
      </c>
      <c r="F11" s="60" t="s">
        <v>155</v>
      </c>
      <c r="G11" s="48">
        <f>'６（参考）水稲資本装備'!G7</f>
        <v>1761750</v>
      </c>
      <c r="H11" s="58">
        <v>0</v>
      </c>
      <c r="I11" s="48">
        <f t="shared" si="2"/>
        <v>1761750</v>
      </c>
      <c r="J11" s="304">
        <v>20</v>
      </c>
      <c r="K11" s="684">
        <f>J11/SUM(J11)/J11</f>
        <v>0.05</v>
      </c>
      <c r="L11" s="48">
        <f>I11*K11</f>
        <v>88087.5</v>
      </c>
      <c r="M11" s="58">
        <v>0</v>
      </c>
      <c r="N11" s="48">
        <f t="shared" si="0"/>
        <v>0</v>
      </c>
      <c r="O11" s="48">
        <v>10</v>
      </c>
      <c r="P11" s="129">
        <f t="shared" si="1"/>
        <v>8808.75</v>
      </c>
    </row>
    <row r="12" spans="2:16" x14ac:dyDescent="0.15">
      <c r="B12" s="1161"/>
      <c r="C12" s="61" t="s">
        <v>45</v>
      </c>
      <c r="D12" s="62"/>
      <c r="E12" s="62"/>
      <c r="F12" s="63"/>
      <c r="G12" s="62">
        <f>SUM(G5:G11)</f>
        <v>18393750</v>
      </c>
      <c r="H12" s="62"/>
      <c r="I12" s="62">
        <f>SUM(I5:I11)</f>
        <v>18393750</v>
      </c>
      <c r="J12" s="62"/>
      <c r="K12" s="685"/>
      <c r="L12" s="62">
        <f>SUM(L5:L11)</f>
        <v>1335487.5</v>
      </c>
      <c r="M12" s="62"/>
      <c r="N12" s="62"/>
      <c r="O12" s="62"/>
      <c r="P12" s="273">
        <f>SUM(P5:P11)</f>
        <v>58704.75</v>
      </c>
    </row>
    <row r="13" spans="2:16" ht="13.5" customHeight="1" x14ac:dyDescent="0.15">
      <c r="B13" s="1112" t="s">
        <v>186</v>
      </c>
      <c r="C13" s="923" t="str">
        <f>'６（参考）水稲資本装備'!C16</f>
        <v>トラクター</v>
      </c>
      <c r="D13" s="923" t="str">
        <f>'６（参考）水稲資本装備'!D16</f>
        <v>46psキャビン付（ﾛｰﾀﾘｰ）</v>
      </c>
      <c r="E13" s="923">
        <v>1</v>
      </c>
      <c r="F13" s="923" t="s">
        <v>95</v>
      </c>
      <c r="G13" s="923">
        <f>'６（参考）水稲資本装備'!G16</f>
        <v>5726160</v>
      </c>
      <c r="H13" s="931">
        <v>0</v>
      </c>
      <c r="I13" s="923">
        <f>G13*(1-H13)</f>
        <v>5726160</v>
      </c>
      <c r="J13" s="304">
        <v>20</v>
      </c>
      <c r="K13" s="684">
        <f>J13/SUM(J13:J15)/J13</f>
        <v>2.5000000000000001E-2</v>
      </c>
      <c r="L13" s="48">
        <f>I13*K13</f>
        <v>143154</v>
      </c>
      <c r="M13" s="64">
        <v>0</v>
      </c>
      <c r="N13" s="445">
        <v>0</v>
      </c>
      <c r="O13" s="65">
        <v>7</v>
      </c>
      <c r="P13" s="129">
        <f t="shared" ref="P13:P86" si="3">IF(O13="","",(L13-N13)/O13)</f>
        <v>20450.571428571428</v>
      </c>
    </row>
    <row r="14" spans="2:16" x14ac:dyDescent="0.15">
      <c r="B14" s="1084"/>
      <c r="C14" s="924"/>
      <c r="D14" s="924"/>
      <c r="E14" s="924"/>
      <c r="F14" s="924"/>
      <c r="G14" s="924"/>
      <c r="H14" s="932"/>
      <c r="I14" s="924"/>
      <c r="J14" s="305">
        <v>10</v>
      </c>
      <c r="K14" s="684">
        <f>J14/SUM(J13:J15)/J14</f>
        <v>2.5000000000000001E-2</v>
      </c>
      <c r="L14" s="48">
        <f>I13*K14</f>
        <v>143154</v>
      </c>
      <c r="M14" s="64">
        <v>0</v>
      </c>
      <c r="N14" s="445">
        <v>0</v>
      </c>
      <c r="O14" s="65">
        <v>7</v>
      </c>
      <c r="P14" s="129">
        <f t="shared" si="3"/>
        <v>20450.571428571428</v>
      </c>
    </row>
    <row r="15" spans="2:16" x14ac:dyDescent="0.15">
      <c r="B15" s="1084"/>
      <c r="C15" s="925"/>
      <c r="D15" s="925"/>
      <c r="E15" s="925"/>
      <c r="F15" s="925"/>
      <c r="G15" s="925"/>
      <c r="H15" s="933"/>
      <c r="I15" s="925"/>
      <c r="J15" s="306">
        <v>10</v>
      </c>
      <c r="K15" s="684">
        <f>J15/SUM(J13:J15)/J15</f>
        <v>2.5000000000000001E-2</v>
      </c>
      <c r="L15" s="48">
        <f>I13*K15</f>
        <v>143154</v>
      </c>
      <c r="M15" s="64">
        <v>0</v>
      </c>
      <c r="N15" s="445">
        <v>0</v>
      </c>
      <c r="O15" s="65">
        <v>7</v>
      </c>
      <c r="P15" s="129">
        <f t="shared" si="3"/>
        <v>20450.571428571428</v>
      </c>
    </row>
    <row r="16" spans="2:16" x14ac:dyDescent="0.15">
      <c r="B16" s="1084"/>
      <c r="C16" s="923" t="str">
        <f>'６（参考）水稲資本装備'!C18</f>
        <v>ドライブハロー</v>
      </c>
      <c r="D16" s="923" t="str">
        <f>'６（参考）水稲資本装備'!D18</f>
        <v>2.8m幅</v>
      </c>
      <c r="E16" s="923">
        <v>1</v>
      </c>
      <c r="F16" s="923" t="s">
        <v>95</v>
      </c>
      <c r="G16" s="923">
        <f>'６（参考）水稲資本装備'!G18</f>
        <v>772200</v>
      </c>
      <c r="H16" s="931">
        <v>0</v>
      </c>
      <c r="I16" s="923">
        <f t="shared" ref="I16" si="4">G16*(1-H16)</f>
        <v>772200</v>
      </c>
      <c r="J16" s="304">
        <v>20</v>
      </c>
      <c r="K16" s="684">
        <f>J16/SUM(J16:J18)/J16</f>
        <v>3.3333333333333333E-2</v>
      </c>
      <c r="L16" s="48">
        <f>I16*K16</f>
        <v>25740</v>
      </c>
      <c r="M16" s="64">
        <v>0</v>
      </c>
      <c r="N16" s="445">
        <v>0</v>
      </c>
      <c r="O16" s="65">
        <v>7</v>
      </c>
      <c r="P16" s="129">
        <f t="shared" si="3"/>
        <v>3677.1428571428573</v>
      </c>
    </row>
    <row r="17" spans="2:16" x14ac:dyDescent="0.15">
      <c r="B17" s="1084"/>
      <c r="C17" s="924"/>
      <c r="D17" s="924"/>
      <c r="E17" s="924"/>
      <c r="F17" s="924"/>
      <c r="G17" s="924"/>
      <c r="H17" s="932"/>
      <c r="I17" s="924"/>
      <c r="J17" s="305"/>
      <c r="K17" s="684"/>
      <c r="L17" s="48">
        <f>I16*K17</f>
        <v>0</v>
      </c>
      <c r="M17" s="64">
        <v>0</v>
      </c>
      <c r="N17" s="445">
        <v>0</v>
      </c>
      <c r="O17" s="65">
        <v>7</v>
      </c>
      <c r="P17" s="129">
        <f t="shared" si="3"/>
        <v>0</v>
      </c>
    </row>
    <row r="18" spans="2:16" x14ac:dyDescent="0.15">
      <c r="B18" s="1084"/>
      <c r="C18" s="925"/>
      <c r="D18" s="925"/>
      <c r="E18" s="925"/>
      <c r="F18" s="925"/>
      <c r="G18" s="925"/>
      <c r="H18" s="933"/>
      <c r="I18" s="925"/>
      <c r="J18" s="306">
        <v>10</v>
      </c>
      <c r="K18" s="684">
        <f>J18/SUM(J16:J18)/J18</f>
        <v>3.3333333333333333E-2</v>
      </c>
      <c r="L18" s="48">
        <f>I16*K18</f>
        <v>25740</v>
      </c>
      <c r="M18" s="64">
        <v>0</v>
      </c>
      <c r="N18" s="445">
        <v>0</v>
      </c>
      <c r="O18" s="65">
        <v>7</v>
      </c>
      <c r="P18" s="129">
        <f t="shared" si="3"/>
        <v>3677.1428571428573</v>
      </c>
    </row>
    <row r="19" spans="2:16" x14ac:dyDescent="0.15">
      <c r="B19" s="1084"/>
      <c r="C19" s="923" t="str">
        <f>'６（参考）水稲資本装備'!C20</f>
        <v>乗用田植機</v>
      </c>
      <c r="D19" s="923" t="str">
        <f>'６（参考）水稲資本装備'!D20</f>
        <v>8条側条施肥機付き</v>
      </c>
      <c r="E19" s="923">
        <v>1</v>
      </c>
      <c r="F19" s="923" t="s">
        <v>95</v>
      </c>
      <c r="G19" s="923">
        <f>'６（参考）水稲資本装備'!G20</f>
        <v>4158000.0000000005</v>
      </c>
      <c r="H19" s="931">
        <v>0</v>
      </c>
      <c r="I19" s="923">
        <f t="shared" ref="I19" si="5">G19*(1-H19)</f>
        <v>4158000.0000000005</v>
      </c>
      <c r="J19" s="304">
        <v>20</v>
      </c>
      <c r="K19" s="684">
        <f>J19/SUM(J19:J21)/J19</f>
        <v>0.05</v>
      </c>
      <c r="L19" s="48">
        <f>I19*K19</f>
        <v>207900.00000000003</v>
      </c>
      <c r="M19" s="64">
        <v>0</v>
      </c>
      <c r="N19" s="445">
        <v>0</v>
      </c>
      <c r="O19" s="65">
        <v>7</v>
      </c>
      <c r="P19" s="129">
        <f t="shared" ref="P19" si="6">IF(O19="","",(L19-N19)/O19)</f>
        <v>29700.000000000004</v>
      </c>
    </row>
    <row r="20" spans="2:16" x14ac:dyDescent="0.15">
      <c r="B20" s="1084"/>
      <c r="C20" s="924"/>
      <c r="D20" s="924"/>
      <c r="E20" s="924"/>
      <c r="F20" s="924"/>
      <c r="G20" s="924"/>
      <c r="H20" s="932"/>
      <c r="I20" s="924"/>
      <c r="J20" s="305"/>
      <c r="K20" s="684"/>
      <c r="L20" s="48">
        <f>I19*K20</f>
        <v>0</v>
      </c>
      <c r="M20" s="64">
        <v>0</v>
      </c>
      <c r="N20" s="445">
        <v>0</v>
      </c>
      <c r="O20" s="65">
        <v>7</v>
      </c>
      <c r="P20" s="129"/>
    </row>
    <row r="21" spans="2:16" x14ac:dyDescent="0.15">
      <c r="B21" s="1084"/>
      <c r="C21" s="925"/>
      <c r="D21" s="925"/>
      <c r="E21" s="925"/>
      <c r="F21" s="925"/>
      <c r="G21" s="925"/>
      <c r="H21" s="933"/>
      <c r="I21" s="925"/>
      <c r="J21" s="306"/>
      <c r="K21" s="684"/>
      <c r="L21" s="48">
        <f>I19*K21</f>
        <v>0</v>
      </c>
      <c r="M21" s="64">
        <v>0</v>
      </c>
      <c r="N21" s="445">
        <v>0</v>
      </c>
      <c r="O21" s="65">
        <v>7</v>
      </c>
      <c r="P21" s="129"/>
    </row>
    <row r="22" spans="2:16" x14ac:dyDescent="0.15">
      <c r="B22" s="1084"/>
      <c r="C22" s="923" t="str">
        <f>'６（参考）水稲資本装備'!C22</f>
        <v>コンバイン</v>
      </c>
      <c r="D22" s="923" t="str">
        <f>'６（参考）水稲資本装備'!D22</f>
        <v>5条刈</v>
      </c>
      <c r="E22" s="923">
        <v>1</v>
      </c>
      <c r="F22" s="923" t="s">
        <v>95</v>
      </c>
      <c r="G22" s="923">
        <f>'６（参考）水稲資本装備'!G22</f>
        <v>10638000</v>
      </c>
      <c r="H22" s="931">
        <v>0</v>
      </c>
      <c r="I22" s="923">
        <f t="shared" ref="I22" si="7">G22*(1-H22)</f>
        <v>10638000</v>
      </c>
      <c r="J22" s="304">
        <v>20</v>
      </c>
      <c r="K22" s="684">
        <f>J22/SUM(J22:J24)/J22</f>
        <v>0.05</v>
      </c>
      <c r="L22" s="48">
        <f>I22*K22</f>
        <v>531900</v>
      </c>
      <c r="M22" s="64">
        <v>0</v>
      </c>
      <c r="N22" s="445">
        <v>0</v>
      </c>
      <c r="O22" s="65">
        <v>7</v>
      </c>
      <c r="P22" s="129">
        <f t="shared" ref="P22" si="8">IF(O22="","",(L22-N22)/O22)</f>
        <v>75985.71428571429</v>
      </c>
    </row>
    <row r="23" spans="2:16" x14ac:dyDescent="0.15">
      <c r="B23" s="1084"/>
      <c r="C23" s="924"/>
      <c r="D23" s="924"/>
      <c r="E23" s="924"/>
      <c r="F23" s="924"/>
      <c r="G23" s="924"/>
      <c r="H23" s="932"/>
      <c r="I23" s="924"/>
      <c r="J23" s="305"/>
      <c r="K23" s="684"/>
      <c r="L23" s="48">
        <f>I22*K23</f>
        <v>0</v>
      </c>
      <c r="M23" s="64">
        <v>0</v>
      </c>
      <c r="N23" s="445">
        <v>0</v>
      </c>
      <c r="O23" s="65">
        <v>7</v>
      </c>
      <c r="P23" s="129"/>
    </row>
    <row r="24" spans="2:16" x14ac:dyDescent="0.15">
      <c r="B24" s="1084"/>
      <c r="C24" s="925"/>
      <c r="D24" s="925"/>
      <c r="E24" s="925"/>
      <c r="F24" s="925"/>
      <c r="G24" s="925"/>
      <c r="H24" s="933"/>
      <c r="I24" s="925"/>
      <c r="J24" s="306"/>
      <c r="K24" s="684"/>
      <c r="L24" s="48">
        <f>I22*K24</f>
        <v>0</v>
      </c>
      <c r="M24" s="64">
        <v>0</v>
      </c>
      <c r="N24" s="445">
        <v>0</v>
      </c>
      <c r="O24" s="65">
        <v>7</v>
      </c>
      <c r="P24" s="129">
        <f t="shared" ref="P24" si="9">IF(O24="","",(L24-N24)/O24)</f>
        <v>0</v>
      </c>
    </row>
    <row r="25" spans="2:16" x14ac:dyDescent="0.15">
      <c r="B25" s="1084"/>
      <c r="C25" s="926" t="str">
        <f>'６（参考）水稲資本装備'!C24</f>
        <v>乗用管理機</v>
      </c>
      <c r="D25" s="923" t="str">
        <f>'６（参考）水稲資本装備'!D24</f>
        <v>散布巾10ｍ</v>
      </c>
      <c r="E25" s="923">
        <v>1</v>
      </c>
      <c r="F25" s="923" t="s">
        <v>95</v>
      </c>
      <c r="G25" s="923">
        <f>'６（参考）水稲資本装備'!G24</f>
        <v>3780000.0000000005</v>
      </c>
      <c r="H25" s="931">
        <v>0</v>
      </c>
      <c r="I25" s="923">
        <f t="shared" ref="I25" si="10">G25*(1-H25)</f>
        <v>3780000.0000000005</v>
      </c>
      <c r="J25" s="304">
        <v>20</v>
      </c>
      <c r="K25" s="684">
        <f>J25/SUM(J25:J27)/J25</f>
        <v>2.5000000000000001E-2</v>
      </c>
      <c r="L25" s="48">
        <f>I25*K25</f>
        <v>94500.000000000015</v>
      </c>
      <c r="M25" s="64">
        <v>0</v>
      </c>
      <c r="N25" s="445">
        <v>0</v>
      </c>
      <c r="O25" s="65">
        <v>7</v>
      </c>
      <c r="P25" s="129">
        <f t="shared" ref="P25:P26" si="11">IF(O25="","",(L25-N25)/O25)</f>
        <v>13500.000000000002</v>
      </c>
    </row>
    <row r="26" spans="2:16" x14ac:dyDescent="0.15">
      <c r="B26" s="1084"/>
      <c r="C26" s="924"/>
      <c r="D26" s="924"/>
      <c r="E26" s="924"/>
      <c r="F26" s="924"/>
      <c r="G26" s="924"/>
      <c r="H26" s="932"/>
      <c r="I26" s="924"/>
      <c r="J26" s="305">
        <v>10</v>
      </c>
      <c r="K26" s="684">
        <f>J26/SUM(J25:J27)/J26</f>
        <v>2.5000000000000001E-2</v>
      </c>
      <c r="L26" s="48">
        <f>I25*K26</f>
        <v>94500.000000000015</v>
      </c>
      <c r="M26" s="64">
        <v>0</v>
      </c>
      <c r="N26" s="445">
        <v>0</v>
      </c>
      <c r="O26" s="65">
        <v>7</v>
      </c>
      <c r="P26" s="129">
        <f t="shared" si="11"/>
        <v>13500.000000000002</v>
      </c>
    </row>
    <row r="27" spans="2:16" x14ac:dyDescent="0.15">
      <c r="B27" s="1084"/>
      <c r="C27" s="927"/>
      <c r="D27" s="925"/>
      <c r="E27" s="925"/>
      <c r="F27" s="925"/>
      <c r="G27" s="925"/>
      <c r="H27" s="933"/>
      <c r="I27" s="925"/>
      <c r="J27" s="306">
        <v>10</v>
      </c>
      <c r="K27" s="684">
        <f>J27/SUM(J25:J27)/J27</f>
        <v>2.5000000000000001E-2</v>
      </c>
      <c r="L27" s="48">
        <f>I25*K27</f>
        <v>94500.000000000015</v>
      </c>
      <c r="M27" s="64">
        <v>0</v>
      </c>
      <c r="N27" s="445">
        <v>0</v>
      </c>
      <c r="O27" s="65">
        <v>7</v>
      </c>
      <c r="P27" s="129">
        <f t="shared" ref="P27:P28" si="12">IF(O27="","",(L27-N27)/O27)</f>
        <v>13500.000000000002</v>
      </c>
    </row>
    <row r="28" spans="2:16" x14ac:dyDescent="0.15">
      <c r="B28" s="1084"/>
      <c r="C28" s="926" t="str">
        <f>'６（参考）水稲資本装備'!C25</f>
        <v>ブロードキャスター</v>
      </c>
      <c r="D28" s="923" t="str">
        <f>'６（参考）水稲資本装備'!D25</f>
        <v>400リットル</v>
      </c>
      <c r="E28" s="923">
        <v>1</v>
      </c>
      <c r="F28" s="923" t="s">
        <v>95</v>
      </c>
      <c r="G28" s="923">
        <f>'６（参考）水稲資本装備'!G25</f>
        <v>303480</v>
      </c>
      <c r="H28" s="931">
        <v>0</v>
      </c>
      <c r="I28" s="923">
        <f>G28*(1-H28)</f>
        <v>303480</v>
      </c>
      <c r="J28" s="304">
        <v>20</v>
      </c>
      <c r="K28" s="684">
        <f>J28/SUM(J28:J30)/J28</f>
        <v>2.5000000000000001E-2</v>
      </c>
      <c r="L28" s="48">
        <f>I28*K28</f>
        <v>7587</v>
      </c>
      <c r="M28" s="64">
        <v>0</v>
      </c>
      <c r="N28" s="445">
        <v>0</v>
      </c>
      <c r="O28" s="65">
        <v>7</v>
      </c>
      <c r="P28" s="129">
        <f t="shared" si="12"/>
        <v>1083.8571428571429</v>
      </c>
    </row>
    <row r="29" spans="2:16" x14ac:dyDescent="0.15">
      <c r="B29" s="1084"/>
      <c r="C29" s="924"/>
      <c r="D29" s="924"/>
      <c r="E29" s="924"/>
      <c r="F29" s="924"/>
      <c r="G29" s="924"/>
      <c r="H29" s="932"/>
      <c r="I29" s="924"/>
      <c r="J29" s="305">
        <v>10</v>
      </c>
      <c r="K29" s="684">
        <f>J29/SUM(J28:J30)/J29</f>
        <v>2.5000000000000001E-2</v>
      </c>
      <c r="L29" s="48">
        <f>I28*K29</f>
        <v>7587</v>
      </c>
      <c r="M29" s="64">
        <v>0</v>
      </c>
      <c r="N29" s="445">
        <v>0</v>
      </c>
      <c r="O29" s="65">
        <v>7</v>
      </c>
      <c r="P29" s="129"/>
    </row>
    <row r="30" spans="2:16" x14ac:dyDescent="0.15">
      <c r="B30" s="1084"/>
      <c r="C30" s="927"/>
      <c r="D30" s="925"/>
      <c r="E30" s="925"/>
      <c r="F30" s="925"/>
      <c r="G30" s="925"/>
      <c r="H30" s="933"/>
      <c r="I30" s="925"/>
      <c r="J30" s="306">
        <v>10</v>
      </c>
      <c r="K30" s="684">
        <f>J30/SUM(J28:J30)/J30</f>
        <v>2.5000000000000001E-2</v>
      </c>
      <c r="L30" s="48">
        <f>I28*K30</f>
        <v>7587</v>
      </c>
      <c r="M30" s="64">
        <v>0</v>
      </c>
      <c r="N30" s="445">
        <v>0</v>
      </c>
      <c r="O30" s="65">
        <v>7</v>
      </c>
      <c r="P30" s="129"/>
    </row>
    <row r="31" spans="2:16" x14ac:dyDescent="0.15">
      <c r="B31" s="1084"/>
      <c r="C31" s="926" t="str">
        <f>'６（参考）水稲資本装備'!C26</f>
        <v>催芽機</v>
      </c>
      <c r="D31" s="923" t="str">
        <f>'６（参考）水稲資本装備'!D26</f>
        <v>200ｋｇ/回</v>
      </c>
      <c r="E31" s="923">
        <v>1</v>
      </c>
      <c r="F31" s="923" t="s">
        <v>95</v>
      </c>
      <c r="G31" s="923">
        <f>'６（参考）水稲資本装備'!G26</f>
        <v>294840</v>
      </c>
      <c r="H31" s="931">
        <v>0</v>
      </c>
      <c r="I31" s="923">
        <f>G31*(1-H31)</f>
        <v>294840</v>
      </c>
      <c r="J31" s="304">
        <v>20</v>
      </c>
      <c r="K31" s="684">
        <f>J31/SUM(J31:J33)/J31</f>
        <v>0.05</v>
      </c>
      <c r="L31" s="48">
        <f>I31*K31</f>
        <v>14742</v>
      </c>
      <c r="M31" s="64">
        <v>0</v>
      </c>
      <c r="N31" s="445">
        <v>0</v>
      </c>
      <c r="O31" s="65">
        <v>7</v>
      </c>
      <c r="P31" s="129">
        <f t="shared" ref="P31" si="13">IF(O31="","",(L31-N31)/O31)</f>
        <v>2106</v>
      </c>
    </row>
    <row r="32" spans="2:16" x14ac:dyDescent="0.15">
      <c r="B32" s="1084"/>
      <c r="C32" s="924"/>
      <c r="D32" s="924"/>
      <c r="E32" s="924"/>
      <c r="F32" s="924"/>
      <c r="G32" s="924"/>
      <c r="H32" s="932"/>
      <c r="I32" s="924"/>
      <c r="J32" s="305"/>
      <c r="K32" s="684"/>
      <c r="L32" s="48">
        <f>I31*K32</f>
        <v>0</v>
      </c>
      <c r="M32" s="64">
        <v>0</v>
      </c>
      <c r="N32" s="445">
        <v>0</v>
      </c>
      <c r="O32" s="65">
        <v>7</v>
      </c>
      <c r="P32" s="129"/>
    </row>
    <row r="33" spans="2:16" x14ac:dyDescent="0.15">
      <c r="B33" s="1084"/>
      <c r="C33" s="927"/>
      <c r="D33" s="925"/>
      <c r="E33" s="925"/>
      <c r="F33" s="925"/>
      <c r="G33" s="925"/>
      <c r="H33" s="933"/>
      <c r="I33" s="925"/>
      <c r="J33" s="306"/>
      <c r="K33" s="684"/>
      <c r="L33" s="48">
        <f>I31*K33</f>
        <v>0</v>
      </c>
      <c r="M33" s="64">
        <v>0</v>
      </c>
      <c r="N33" s="445">
        <v>0</v>
      </c>
      <c r="O33" s="65">
        <v>7</v>
      </c>
      <c r="P33" s="129"/>
    </row>
    <row r="34" spans="2:16" x14ac:dyDescent="0.15">
      <c r="B34" s="1084"/>
      <c r="C34" s="926" t="str">
        <f>'６（参考）水稲資本装備'!C27</f>
        <v>播種覆土一連機械</v>
      </c>
      <c r="D34" s="923" t="str">
        <f>'６（参考）水稲資本装備'!D27</f>
        <v>（260箱/時間）</v>
      </c>
      <c r="E34" s="923">
        <v>1</v>
      </c>
      <c r="F34" s="923" t="s">
        <v>95</v>
      </c>
      <c r="G34" s="923">
        <f>'６（参考）水稲資本装備'!G27</f>
        <v>366120</v>
      </c>
      <c r="H34" s="931">
        <v>0</v>
      </c>
      <c r="I34" s="923">
        <f t="shared" ref="I34" si="14">G34*(1-H34)</f>
        <v>366120</v>
      </c>
      <c r="J34" s="304">
        <v>20</v>
      </c>
      <c r="K34" s="684">
        <f>J34/SUM(J34:J36)/J34</f>
        <v>0.05</v>
      </c>
      <c r="L34" s="48">
        <f>I34*K34</f>
        <v>18306</v>
      </c>
      <c r="M34" s="64">
        <v>0</v>
      </c>
      <c r="N34" s="445">
        <v>0</v>
      </c>
      <c r="O34" s="65">
        <v>7</v>
      </c>
      <c r="P34" s="129">
        <f t="shared" ref="P34" si="15">IF(O34="","",(L34-N34)/O34)</f>
        <v>2615.1428571428573</v>
      </c>
    </row>
    <row r="35" spans="2:16" x14ac:dyDescent="0.15">
      <c r="B35" s="1084"/>
      <c r="C35" s="924"/>
      <c r="D35" s="924"/>
      <c r="E35" s="924"/>
      <c r="F35" s="924"/>
      <c r="G35" s="924"/>
      <c r="H35" s="932"/>
      <c r="I35" s="924"/>
      <c r="J35" s="305"/>
      <c r="K35" s="684"/>
      <c r="L35" s="48">
        <f>I34*K35</f>
        <v>0</v>
      </c>
      <c r="M35" s="64">
        <v>0</v>
      </c>
      <c r="N35" s="445">
        <v>0</v>
      </c>
      <c r="O35" s="65">
        <v>7</v>
      </c>
      <c r="P35" s="129"/>
    </row>
    <row r="36" spans="2:16" x14ac:dyDescent="0.15">
      <c r="B36" s="1084"/>
      <c r="C36" s="927"/>
      <c r="D36" s="925"/>
      <c r="E36" s="925"/>
      <c r="F36" s="925"/>
      <c r="G36" s="925"/>
      <c r="H36" s="933"/>
      <c r="I36" s="925"/>
      <c r="J36" s="306"/>
      <c r="K36" s="684"/>
      <c r="L36" s="48">
        <f>I34*K36</f>
        <v>0</v>
      </c>
      <c r="M36" s="64">
        <v>0</v>
      </c>
      <c r="N36" s="445">
        <v>0</v>
      </c>
      <c r="O36" s="65">
        <v>7</v>
      </c>
      <c r="P36" s="129"/>
    </row>
    <row r="37" spans="2:16" x14ac:dyDescent="0.15">
      <c r="B37" s="1084"/>
      <c r="C37" s="926" t="str">
        <f>'６（参考）水稲資本装備'!C28</f>
        <v>育苗器</v>
      </c>
      <c r="D37" s="923" t="str">
        <f>'６（参考）水稲資本装備'!D28</f>
        <v>750箱／回，フォークリフト</v>
      </c>
      <c r="E37" s="923">
        <v>1</v>
      </c>
      <c r="F37" s="923" t="s">
        <v>95</v>
      </c>
      <c r="G37" s="923">
        <f>'６（参考）水稲資本装備'!G28</f>
        <v>629640</v>
      </c>
      <c r="H37" s="931">
        <v>0</v>
      </c>
      <c r="I37" s="923">
        <f>G37*(1-H37)</f>
        <v>629640</v>
      </c>
      <c r="J37" s="304">
        <v>20</v>
      </c>
      <c r="K37" s="684">
        <f>J37/SUM(J37:J39)/J37</f>
        <v>0.05</v>
      </c>
      <c r="L37" s="48">
        <f>I37*K37</f>
        <v>31482</v>
      </c>
      <c r="M37" s="64">
        <v>0</v>
      </c>
      <c r="N37" s="445">
        <v>0</v>
      </c>
      <c r="O37" s="65">
        <v>7</v>
      </c>
      <c r="P37" s="129">
        <f t="shared" ref="P37" si="16">IF(O37="","",(L37-N37)/O37)</f>
        <v>4497.4285714285716</v>
      </c>
    </row>
    <row r="38" spans="2:16" x14ac:dyDescent="0.15">
      <c r="B38" s="1084"/>
      <c r="C38" s="924"/>
      <c r="D38" s="924"/>
      <c r="E38" s="924"/>
      <c r="F38" s="924"/>
      <c r="G38" s="924"/>
      <c r="H38" s="932"/>
      <c r="I38" s="924"/>
      <c r="J38" s="305"/>
      <c r="K38" s="684"/>
      <c r="L38" s="48">
        <f>I37*K38</f>
        <v>0</v>
      </c>
      <c r="M38" s="64">
        <v>0</v>
      </c>
      <c r="N38" s="445">
        <v>0</v>
      </c>
      <c r="O38" s="65">
        <v>7</v>
      </c>
      <c r="P38" s="129"/>
    </row>
    <row r="39" spans="2:16" x14ac:dyDescent="0.15">
      <c r="B39" s="1084"/>
      <c r="C39" s="927"/>
      <c r="D39" s="925"/>
      <c r="E39" s="925"/>
      <c r="F39" s="925"/>
      <c r="G39" s="925"/>
      <c r="H39" s="933"/>
      <c r="I39" s="925"/>
      <c r="J39" s="306"/>
      <c r="K39" s="684"/>
      <c r="L39" s="48">
        <f>I37*K39</f>
        <v>0</v>
      </c>
      <c r="M39" s="64">
        <v>0</v>
      </c>
      <c r="N39" s="445">
        <v>0</v>
      </c>
      <c r="O39" s="65">
        <v>7</v>
      </c>
      <c r="P39" s="129"/>
    </row>
    <row r="40" spans="2:16" x14ac:dyDescent="0.15">
      <c r="B40" s="1084"/>
      <c r="C40" s="926" t="str">
        <f>'６（参考）水稲資本装備'!C29</f>
        <v>育苗箱洗浄機</v>
      </c>
      <c r="D40" s="923"/>
      <c r="E40" s="923">
        <v>1</v>
      </c>
      <c r="F40" s="923" t="s">
        <v>95</v>
      </c>
      <c r="G40" s="923">
        <f>'６（参考）水稲資本装備'!G29</f>
        <v>224532</v>
      </c>
      <c r="H40" s="931">
        <v>0</v>
      </c>
      <c r="I40" s="923">
        <f t="shared" ref="I40" si="17">G40*(1-H40)</f>
        <v>224532</v>
      </c>
      <c r="J40" s="304">
        <v>20</v>
      </c>
      <c r="K40" s="684">
        <f>J40/SUM(J40:J42)/J40</f>
        <v>0.05</v>
      </c>
      <c r="L40" s="48">
        <f>I40*K40</f>
        <v>11226.6</v>
      </c>
      <c r="M40" s="64">
        <v>0</v>
      </c>
      <c r="N40" s="445">
        <v>0</v>
      </c>
      <c r="O40" s="65">
        <v>7</v>
      </c>
      <c r="P40" s="129">
        <f t="shared" ref="P40" si="18">IF(O40="","",(L40-N40)/O40)</f>
        <v>1603.8</v>
      </c>
    </row>
    <row r="41" spans="2:16" x14ac:dyDescent="0.15">
      <c r="B41" s="1084"/>
      <c r="C41" s="924"/>
      <c r="D41" s="924"/>
      <c r="E41" s="924"/>
      <c r="F41" s="924"/>
      <c r="G41" s="924"/>
      <c r="H41" s="932"/>
      <c r="I41" s="924"/>
      <c r="J41" s="305"/>
      <c r="K41" s="684"/>
      <c r="L41" s="48">
        <f>I40*K41</f>
        <v>0</v>
      </c>
      <c r="M41" s="64">
        <v>0</v>
      </c>
      <c r="N41" s="445">
        <v>0</v>
      </c>
      <c r="O41" s="65">
        <v>7</v>
      </c>
      <c r="P41" s="129"/>
    </row>
    <row r="42" spans="2:16" x14ac:dyDescent="0.15">
      <c r="B42" s="1084"/>
      <c r="C42" s="927"/>
      <c r="D42" s="925"/>
      <c r="E42" s="925"/>
      <c r="F42" s="925"/>
      <c r="G42" s="925"/>
      <c r="H42" s="933"/>
      <c r="I42" s="925"/>
      <c r="J42" s="306"/>
      <c r="K42" s="684"/>
      <c r="L42" s="48">
        <f>I40*K42</f>
        <v>0</v>
      </c>
      <c r="M42" s="64">
        <v>0</v>
      </c>
      <c r="N42" s="445">
        <v>0</v>
      </c>
      <c r="O42" s="65">
        <v>7</v>
      </c>
      <c r="P42" s="129"/>
    </row>
    <row r="43" spans="2:16" x14ac:dyDescent="0.15">
      <c r="B43" s="1084"/>
      <c r="C43" s="926" t="str">
        <f>'６（参考）水稲資本装備'!C30</f>
        <v>温湯消毒器</v>
      </c>
      <c r="D43" s="923" t="str">
        <f>'６（参考）水稲資本装備'!D30</f>
        <v>16ｋｇ用</v>
      </c>
      <c r="E43" s="923">
        <v>1</v>
      </c>
      <c r="F43" s="923" t="s">
        <v>95</v>
      </c>
      <c r="G43" s="923">
        <f>'６（参考）水稲資本装備'!G30</f>
        <v>514080.00000000006</v>
      </c>
      <c r="H43" s="931">
        <v>0</v>
      </c>
      <c r="I43" s="923">
        <f>G43*(1-H43)</f>
        <v>514080.00000000006</v>
      </c>
      <c r="J43" s="304">
        <v>20</v>
      </c>
      <c r="K43" s="684">
        <f>J43/SUM(J43:J45)/J43</f>
        <v>0.05</v>
      </c>
      <c r="L43" s="48">
        <f>I43*K43</f>
        <v>25704.000000000004</v>
      </c>
      <c r="M43" s="64">
        <v>0</v>
      </c>
      <c r="N43" s="445">
        <v>0</v>
      </c>
      <c r="O43" s="65">
        <v>7</v>
      </c>
      <c r="P43" s="129">
        <f t="shared" ref="P43" si="19">IF(O43="","",(L43-N43)/O43)</f>
        <v>3672.0000000000005</v>
      </c>
    </row>
    <row r="44" spans="2:16" x14ac:dyDescent="0.15">
      <c r="B44" s="1084"/>
      <c r="C44" s="924"/>
      <c r="D44" s="924"/>
      <c r="E44" s="924"/>
      <c r="F44" s="924"/>
      <c r="G44" s="924"/>
      <c r="H44" s="932"/>
      <c r="I44" s="924"/>
      <c r="J44" s="305"/>
      <c r="K44" s="684"/>
      <c r="L44" s="48">
        <f>I43*K44</f>
        <v>0</v>
      </c>
      <c r="M44" s="64">
        <v>0</v>
      </c>
      <c r="N44" s="445">
        <v>0</v>
      </c>
      <c r="O44" s="65">
        <v>7</v>
      </c>
      <c r="P44" s="129"/>
    </row>
    <row r="45" spans="2:16" x14ac:dyDescent="0.15">
      <c r="B45" s="1084"/>
      <c r="C45" s="927"/>
      <c r="D45" s="925"/>
      <c r="E45" s="925"/>
      <c r="F45" s="925"/>
      <c r="G45" s="925"/>
      <c r="H45" s="933"/>
      <c r="I45" s="925"/>
      <c r="J45" s="306"/>
      <c r="K45" s="684"/>
      <c r="L45" s="48">
        <f>I43*K45</f>
        <v>0</v>
      </c>
      <c r="M45" s="64">
        <v>0</v>
      </c>
      <c r="N45" s="445">
        <v>0</v>
      </c>
      <c r="O45" s="65">
        <v>7</v>
      </c>
      <c r="P45" s="129"/>
    </row>
    <row r="46" spans="2:16" x14ac:dyDescent="0.15">
      <c r="B46" s="1084"/>
      <c r="C46" s="926" t="str">
        <f>'６（参考）水稲資本装備'!C31</f>
        <v>育苗箱</v>
      </c>
      <c r="D46" s="923" t="str">
        <f>'６（参考）水稲資本装備'!D31</f>
        <v>450円/箱</v>
      </c>
      <c r="E46" s="923">
        <v>1</v>
      </c>
      <c r="F46" s="923" t="s">
        <v>95</v>
      </c>
      <c r="G46" s="923">
        <f>'６（参考）水稲資本装備'!G31</f>
        <v>1273320.0000000002</v>
      </c>
      <c r="H46" s="931">
        <v>0</v>
      </c>
      <c r="I46" s="923">
        <f>G46*(1-H46)</f>
        <v>1273320.0000000002</v>
      </c>
      <c r="J46" s="304">
        <v>20</v>
      </c>
      <c r="K46" s="684">
        <f>J46/SUM(J46:J48)/J46</f>
        <v>0.05</v>
      </c>
      <c r="L46" s="48">
        <f>I46*K46</f>
        <v>63666.000000000015</v>
      </c>
      <c r="M46" s="64">
        <v>0</v>
      </c>
      <c r="N46" s="445">
        <v>0</v>
      </c>
      <c r="O46" s="65">
        <v>7</v>
      </c>
      <c r="P46" s="129">
        <f t="shared" ref="P46" si="20">IF(O46="","",(L46-N46)/O46)</f>
        <v>9095.1428571428587</v>
      </c>
    </row>
    <row r="47" spans="2:16" x14ac:dyDescent="0.15">
      <c r="B47" s="1084"/>
      <c r="C47" s="924"/>
      <c r="D47" s="924"/>
      <c r="E47" s="924"/>
      <c r="F47" s="924"/>
      <c r="G47" s="924"/>
      <c r="H47" s="932"/>
      <c r="I47" s="924"/>
      <c r="J47" s="305"/>
      <c r="K47" s="684"/>
      <c r="L47" s="48">
        <f>I46*K47</f>
        <v>0</v>
      </c>
      <c r="M47" s="64">
        <v>0</v>
      </c>
      <c r="N47" s="445">
        <v>0</v>
      </c>
      <c r="O47" s="65">
        <v>7</v>
      </c>
      <c r="P47" s="129"/>
    </row>
    <row r="48" spans="2:16" x14ac:dyDescent="0.15">
      <c r="B48" s="1084"/>
      <c r="C48" s="927"/>
      <c r="D48" s="925"/>
      <c r="E48" s="925"/>
      <c r="F48" s="925"/>
      <c r="G48" s="925"/>
      <c r="H48" s="933"/>
      <c r="I48" s="925"/>
      <c r="J48" s="306"/>
      <c r="K48" s="684"/>
      <c r="L48" s="48">
        <f>I46*K48</f>
        <v>0</v>
      </c>
      <c r="M48" s="64">
        <v>0</v>
      </c>
      <c r="N48" s="445">
        <v>0</v>
      </c>
      <c r="O48" s="65">
        <v>7</v>
      </c>
      <c r="P48" s="129"/>
    </row>
    <row r="49" spans="2:16" x14ac:dyDescent="0.15">
      <c r="B49" s="1084"/>
      <c r="C49" s="926" t="str">
        <f>'６（参考）水稲資本装備'!C32</f>
        <v>乾燥調製一式</v>
      </c>
      <c r="D49" s="923" t="str">
        <f>'６（参考）水稲資本装備'!D32</f>
        <v>一式</v>
      </c>
      <c r="E49" s="923">
        <v>1</v>
      </c>
      <c r="F49" s="923" t="s">
        <v>95</v>
      </c>
      <c r="G49" s="923">
        <f>'６（参考）水稲資本装備'!G32</f>
        <v>15000000.120000001</v>
      </c>
      <c r="H49" s="931">
        <v>0</v>
      </c>
      <c r="I49" s="923">
        <f>G49*(1-H49)</f>
        <v>15000000.120000001</v>
      </c>
      <c r="J49" s="304">
        <v>20</v>
      </c>
      <c r="K49" s="684">
        <f>J49/SUM(J49:J51)/J49</f>
        <v>2.5000000000000001E-2</v>
      </c>
      <c r="L49" s="48">
        <f>I49*K49</f>
        <v>375000.00300000003</v>
      </c>
      <c r="M49" s="64">
        <v>0</v>
      </c>
      <c r="N49" s="445">
        <v>0</v>
      </c>
      <c r="O49" s="65">
        <v>7</v>
      </c>
      <c r="P49" s="129">
        <f t="shared" ref="P49" si="21">IF(O49="","",(L49-N49)/O49)</f>
        <v>53571.429000000004</v>
      </c>
    </row>
    <row r="50" spans="2:16" x14ac:dyDescent="0.15">
      <c r="B50" s="1084"/>
      <c r="C50" s="924"/>
      <c r="D50" s="924"/>
      <c r="E50" s="924"/>
      <c r="F50" s="924"/>
      <c r="G50" s="924"/>
      <c r="H50" s="932"/>
      <c r="I50" s="924"/>
      <c r="J50" s="305">
        <v>10</v>
      </c>
      <c r="K50" s="684">
        <f>J50/SUM(J49:J51)/J50</f>
        <v>2.5000000000000001E-2</v>
      </c>
      <c r="L50" s="48">
        <f>I49*K50</f>
        <v>375000.00300000003</v>
      </c>
      <c r="M50" s="64">
        <v>0</v>
      </c>
      <c r="N50" s="445">
        <v>0</v>
      </c>
      <c r="O50" s="65">
        <v>7</v>
      </c>
      <c r="P50" s="129"/>
    </row>
    <row r="51" spans="2:16" x14ac:dyDescent="0.15">
      <c r="B51" s="1084"/>
      <c r="C51" s="927"/>
      <c r="D51" s="925"/>
      <c r="E51" s="925"/>
      <c r="F51" s="925"/>
      <c r="G51" s="925"/>
      <c r="H51" s="933"/>
      <c r="I51" s="925"/>
      <c r="J51" s="306">
        <v>10</v>
      </c>
      <c r="K51" s="684">
        <f>J51/SUM(J49:J51)/J51</f>
        <v>2.5000000000000001E-2</v>
      </c>
      <c r="L51" s="48">
        <f>I49*K51</f>
        <v>375000.00300000003</v>
      </c>
      <c r="M51" s="64">
        <v>0</v>
      </c>
      <c r="N51" s="445">
        <v>0</v>
      </c>
      <c r="O51" s="65">
        <v>7</v>
      </c>
      <c r="P51" s="129">
        <f t="shared" ref="P51:P53" si="22">IF(O51="","",(L51-N51)/O51)</f>
        <v>53571.429000000004</v>
      </c>
    </row>
    <row r="52" spans="2:16" x14ac:dyDescent="0.15">
      <c r="B52" s="1084"/>
      <c r="C52" s="926" t="str">
        <f>'６（参考）水稲資本装備'!C33</f>
        <v>高圧洗車機</v>
      </c>
      <c r="D52" s="923"/>
      <c r="E52" s="923">
        <v>1</v>
      </c>
      <c r="F52" s="923" t="s">
        <v>95</v>
      </c>
      <c r="G52" s="923">
        <f>'６（参考）水稲資本装備'!G33</f>
        <v>289440</v>
      </c>
      <c r="H52" s="931">
        <v>0</v>
      </c>
      <c r="I52" s="923">
        <f t="shared" ref="I52" si="23">G52*(1-H52)</f>
        <v>289440</v>
      </c>
      <c r="J52" s="304">
        <v>20</v>
      </c>
      <c r="K52" s="684">
        <f>J52/SUM(J52:J54)/J52</f>
        <v>2.5000000000000001E-2</v>
      </c>
      <c r="L52" s="48">
        <f>I52*K52</f>
        <v>7236</v>
      </c>
      <c r="M52" s="64">
        <v>0</v>
      </c>
      <c r="N52" s="445">
        <v>0</v>
      </c>
      <c r="O52" s="65">
        <v>7</v>
      </c>
      <c r="P52" s="129">
        <f t="shared" si="22"/>
        <v>1033.7142857142858</v>
      </c>
    </row>
    <row r="53" spans="2:16" x14ac:dyDescent="0.15">
      <c r="B53" s="1084"/>
      <c r="C53" s="924"/>
      <c r="D53" s="924"/>
      <c r="E53" s="924"/>
      <c r="F53" s="924"/>
      <c r="G53" s="924"/>
      <c r="H53" s="932"/>
      <c r="I53" s="924"/>
      <c r="J53" s="305">
        <v>10</v>
      </c>
      <c r="K53" s="684">
        <f>J53/SUM(J52:J54)/J53</f>
        <v>2.5000000000000001E-2</v>
      </c>
      <c r="L53" s="48">
        <f>I52*K53</f>
        <v>7236</v>
      </c>
      <c r="M53" s="64">
        <v>0</v>
      </c>
      <c r="N53" s="445">
        <v>0</v>
      </c>
      <c r="O53" s="65">
        <v>7</v>
      </c>
      <c r="P53" s="129">
        <f t="shared" si="22"/>
        <v>1033.7142857142858</v>
      </c>
    </row>
    <row r="54" spans="2:16" x14ac:dyDescent="0.15">
      <c r="B54" s="1084"/>
      <c r="C54" s="927"/>
      <c r="D54" s="925"/>
      <c r="E54" s="925"/>
      <c r="F54" s="925"/>
      <c r="G54" s="925"/>
      <c r="H54" s="933"/>
      <c r="I54" s="925"/>
      <c r="J54" s="306">
        <v>10</v>
      </c>
      <c r="K54" s="684">
        <f>J54/SUM(J52:J54)/J54</f>
        <v>2.5000000000000001E-2</v>
      </c>
      <c r="L54" s="48">
        <f>I52*K54</f>
        <v>7236</v>
      </c>
      <c r="M54" s="64">
        <v>0</v>
      </c>
      <c r="N54" s="445">
        <v>0</v>
      </c>
      <c r="O54" s="65">
        <v>7</v>
      </c>
      <c r="P54" s="129">
        <f t="shared" ref="P54:P55" si="24">IF(O54="","",(L54-N54)/O54)</f>
        <v>1033.7142857142858</v>
      </c>
    </row>
    <row r="55" spans="2:16" x14ac:dyDescent="0.15">
      <c r="B55" s="1084"/>
      <c r="C55" s="926" t="str">
        <f>'６（参考）水稲資本装備'!C34</f>
        <v>ﾏﾆｭｱｽﾌﾟﾚｯﾀﾞ</v>
      </c>
      <c r="D55" s="923" t="str">
        <f>'６（参考）水稲資本装備'!D34</f>
        <v>2トン牽引式</v>
      </c>
      <c r="E55" s="923">
        <v>1</v>
      </c>
      <c r="F55" s="923" t="s">
        <v>95</v>
      </c>
      <c r="G55" s="923">
        <f>'６（参考）水稲資本装備'!G34</f>
        <v>986040.00000000012</v>
      </c>
      <c r="H55" s="931">
        <v>0</v>
      </c>
      <c r="I55" s="923">
        <f>G55*(1-H55)</f>
        <v>986040.00000000012</v>
      </c>
      <c r="J55" s="304">
        <v>20</v>
      </c>
      <c r="K55" s="684">
        <f>J55/SUM(J55:J57)/J55</f>
        <v>2.5000000000000001E-2</v>
      </c>
      <c r="L55" s="48">
        <f>I55*K55</f>
        <v>24651.000000000004</v>
      </c>
      <c r="M55" s="64">
        <v>0</v>
      </c>
      <c r="N55" s="445">
        <v>0</v>
      </c>
      <c r="O55" s="65">
        <v>7</v>
      </c>
      <c r="P55" s="129">
        <f t="shared" si="24"/>
        <v>3521.5714285714289</v>
      </c>
    </row>
    <row r="56" spans="2:16" x14ac:dyDescent="0.15">
      <c r="B56" s="1084"/>
      <c r="C56" s="924"/>
      <c r="D56" s="924"/>
      <c r="E56" s="924"/>
      <c r="F56" s="924"/>
      <c r="G56" s="924"/>
      <c r="H56" s="932"/>
      <c r="I56" s="924"/>
      <c r="J56" s="305">
        <v>10</v>
      </c>
      <c r="K56" s="684">
        <f>J56/SUM(J55:J57)/J56</f>
        <v>2.5000000000000001E-2</v>
      </c>
      <c r="L56" s="48">
        <f>I55*K56</f>
        <v>24651.000000000004</v>
      </c>
      <c r="M56" s="64">
        <v>0</v>
      </c>
      <c r="N56" s="445">
        <v>0</v>
      </c>
      <c r="O56" s="65">
        <v>7</v>
      </c>
      <c r="P56" s="129"/>
    </row>
    <row r="57" spans="2:16" x14ac:dyDescent="0.15">
      <c r="B57" s="1084"/>
      <c r="C57" s="927"/>
      <c r="D57" s="925"/>
      <c r="E57" s="925"/>
      <c r="F57" s="925"/>
      <c r="G57" s="925"/>
      <c r="H57" s="933"/>
      <c r="I57" s="925"/>
      <c r="J57" s="306">
        <v>10</v>
      </c>
      <c r="K57" s="684">
        <f>J57/SUM(J55:J57)/J57</f>
        <v>2.5000000000000001E-2</v>
      </c>
      <c r="L57" s="48">
        <f>I55*K57</f>
        <v>24651.000000000004</v>
      </c>
      <c r="M57" s="64">
        <v>0</v>
      </c>
      <c r="N57" s="445">
        <v>0</v>
      </c>
      <c r="O57" s="65">
        <v>7</v>
      </c>
      <c r="P57" s="129"/>
    </row>
    <row r="58" spans="2:16" x14ac:dyDescent="0.15">
      <c r="B58" s="1084"/>
      <c r="C58" s="926" t="str">
        <f>'６（参考）水稲資本装備'!C35</f>
        <v>ﾌｫｰｸﾘﾌﾄ</v>
      </c>
      <c r="D58" s="923"/>
      <c r="E58" s="923">
        <v>1</v>
      </c>
      <c r="F58" s="923" t="s">
        <v>95</v>
      </c>
      <c r="G58" s="923">
        <f>'６（参考）水稲資本装備'!G35</f>
        <v>500000</v>
      </c>
      <c r="H58" s="931">
        <v>0</v>
      </c>
      <c r="I58" s="923">
        <f t="shared" ref="I58" si="25">G58*(1-H58)</f>
        <v>500000</v>
      </c>
      <c r="J58" s="304">
        <v>20</v>
      </c>
      <c r="K58" s="684">
        <f>J58/SUM(J58:J60)/J58</f>
        <v>2.5000000000000001E-2</v>
      </c>
      <c r="L58" s="48">
        <f>I58*K58</f>
        <v>12500</v>
      </c>
      <c r="M58" s="64">
        <v>0</v>
      </c>
      <c r="N58" s="445">
        <v>0</v>
      </c>
      <c r="O58" s="65">
        <v>7</v>
      </c>
      <c r="P58" s="129">
        <f t="shared" ref="P58" si="26">IF(O58="","",(L58-N58)/O58)</f>
        <v>1785.7142857142858</v>
      </c>
    </row>
    <row r="59" spans="2:16" x14ac:dyDescent="0.15">
      <c r="B59" s="1084"/>
      <c r="C59" s="924"/>
      <c r="D59" s="924"/>
      <c r="E59" s="924"/>
      <c r="F59" s="924"/>
      <c r="G59" s="924"/>
      <c r="H59" s="932"/>
      <c r="I59" s="924"/>
      <c r="J59" s="305">
        <v>10</v>
      </c>
      <c r="K59" s="684">
        <f>J59/SUM(J58:J60)/J59</f>
        <v>2.5000000000000001E-2</v>
      </c>
      <c r="L59" s="48">
        <f>I58*K59</f>
        <v>12500</v>
      </c>
      <c r="M59" s="64">
        <v>0</v>
      </c>
      <c r="N59" s="445">
        <v>0</v>
      </c>
      <c r="O59" s="65">
        <v>7</v>
      </c>
      <c r="P59" s="129"/>
    </row>
    <row r="60" spans="2:16" x14ac:dyDescent="0.15">
      <c r="B60" s="1084"/>
      <c r="C60" s="927"/>
      <c r="D60" s="925"/>
      <c r="E60" s="925"/>
      <c r="F60" s="925"/>
      <c r="G60" s="925"/>
      <c r="H60" s="933"/>
      <c r="I60" s="925"/>
      <c r="J60" s="306">
        <v>10</v>
      </c>
      <c r="K60" s="684">
        <f>J60/SUM(J58:J60)/J60</f>
        <v>2.5000000000000001E-2</v>
      </c>
      <c r="L60" s="48">
        <f>I58*K60</f>
        <v>12500</v>
      </c>
      <c r="M60" s="64">
        <v>0</v>
      </c>
      <c r="N60" s="445">
        <v>0</v>
      </c>
      <c r="O60" s="65">
        <v>7</v>
      </c>
      <c r="P60" s="129"/>
    </row>
    <row r="61" spans="2:16" x14ac:dyDescent="0.15">
      <c r="B61" s="1084"/>
      <c r="C61" s="926" t="str">
        <f>'６（参考）水稲資本装備'!C36</f>
        <v>普通トラック</v>
      </c>
      <c r="D61" s="923" t="str">
        <f>'６（参考）水稲資本装備'!D36</f>
        <v>2ｔﾄﾗｯｸ</v>
      </c>
      <c r="E61" s="923">
        <v>1</v>
      </c>
      <c r="F61" s="923" t="s">
        <v>95</v>
      </c>
      <c r="G61" s="923">
        <f>'６（参考）水稲資本装備'!G36</f>
        <v>1500000</v>
      </c>
      <c r="H61" s="931">
        <v>0</v>
      </c>
      <c r="I61" s="923">
        <f>G61*(1-H61)</f>
        <v>1500000</v>
      </c>
      <c r="J61" s="304">
        <v>20</v>
      </c>
      <c r="K61" s="684">
        <f>J61/SUM(J61:J63)/J61</f>
        <v>2.5000000000000001E-2</v>
      </c>
      <c r="L61" s="48">
        <f>I61*K61</f>
        <v>37500</v>
      </c>
      <c r="M61" s="64">
        <v>0</v>
      </c>
      <c r="N61" s="445">
        <v>0</v>
      </c>
      <c r="O61" s="65">
        <v>7</v>
      </c>
      <c r="P61" s="129">
        <f t="shared" ref="P61:P62" si="27">IF(O61="","",(L61-N61)/O61)</f>
        <v>5357.1428571428569</v>
      </c>
    </row>
    <row r="62" spans="2:16" x14ac:dyDescent="0.15">
      <c r="B62" s="1084"/>
      <c r="C62" s="924"/>
      <c r="D62" s="924"/>
      <c r="E62" s="924"/>
      <c r="F62" s="924"/>
      <c r="G62" s="924"/>
      <c r="H62" s="932"/>
      <c r="I62" s="924"/>
      <c r="J62" s="305">
        <v>10</v>
      </c>
      <c r="K62" s="684">
        <f>J62/SUM(J61:J63)/J62</f>
        <v>2.5000000000000001E-2</v>
      </c>
      <c r="L62" s="48">
        <f>I61*K62</f>
        <v>37500</v>
      </c>
      <c r="M62" s="64">
        <v>0</v>
      </c>
      <c r="N62" s="445">
        <v>0</v>
      </c>
      <c r="O62" s="65">
        <v>7</v>
      </c>
      <c r="P62" s="129">
        <f t="shared" si="27"/>
        <v>5357.1428571428569</v>
      </c>
    </row>
    <row r="63" spans="2:16" x14ac:dyDescent="0.15">
      <c r="B63" s="1084"/>
      <c r="C63" s="927"/>
      <c r="D63" s="925"/>
      <c r="E63" s="925"/>
      <c r="F63" s="925"/>
      <c r="G63" s="925"/>
      <c r="H63" s="933"/>
      <c r="I63" s="925"/>
      <c r="J63" s="306">
        <v>10</v>
      </c>
      <c r="K63" s="684">
        <f>J63/SUM(J61:J63)/J63</f>
        <v>2.5000000000000001E-2</v>
      </c>
      <c r="L63" s="48">
        <f>I61*K63</f>
        <v>37500</v>
      </c>
      <c r="M63" s="64">
        <v>0</v>
      </c>
      <c r="N63" s="445">
        <v>0</v>
      </c>
      <c r="O63" s="65">
        <v>7</v>
      </c>
      <c r="P63" s="129">
        <f t="shared" ref="P63:P65" si="28">IF(O63="","",(L63-N63)/O63)</f>
        <v>5357.1428571428569</v>
      </c>
    </row>
    <row r="64" spans="2:16" x14ac:dyDescent="0.15">
      <c r="B64" s="1084"/>
      <c r="C64" s="926" t="str">
        <f>'６（参考）水稲資本装備'!C37</f>
        <v>軽トラック</v>
      </c>
      <c r="D64" s="923"/>
      <c r="E64" s="923">
        <v>1</v>
      </c>
      <c r="F64" s="923" t="s">
        <v>95</v>
      </c>
      <c r="G64" s="923">
        <f>'６（参考）水稲資本装備'!G37</f>
        <v>920000</v>
      </c>
      <c r="H64" s="931">
        <v>0</v>
      </c>
      <c r="I64" s="923">
        <f>G64*(1-H64)</f>
        <v>920000</v>
      </c>
      <c r="J64" s="304">
        <v>20</v>
      </c>
      <c r="K64" s="684">
        <f>J64/SUM(J64:J66)/J64</f>
        <v>2.5000000000000001E-2</v>
      </c>
      <c r="L64" s="48">
        <f>I64*K64</f>
        <v>23000</v>
      </c>
      <c r="M64" s="64">
        <v>0</v>
      </c>
      <c r="N64" s="445">
        <v>0</v>
      </c>
      <c r="O64" s="65">
        <v>7</v>
      </c>
      <c r="P64" s="129">
        <f t="shared" si="28"/>
        <v>3285.7142857142858</v>
      </c>
    </row>
    <row r="65" spans="2:16" x14ac:dyDescent="0.15">
      <c r="B65" s="1084"/>
      <c r="C65" s="924"/>
      <c r="D65" s="924"/>
      <c r="E65" s="924"/>
      <c r="F65" s="924"/>
      <c r="G65" s="924"/>
      <c r="H65" s="932"/>
      <c r="I65" s="924"/>
      <c r="J65" s="305">
        <v>10</v>
      </c>
      <c r="K65" s="684">
        <f>J65/SUM(J64:J66)/J65</f>
        <v>2.5000000000000001E-2</v>
      </c>
      <c r="L65" s="48">
        <f>I64*K65</f>
        <v>23000</v>
      </c>
      <c r="M65" s="64">
        <v>0</v>
      </c>
      <c r="N65" s="445">
        <v>0</v>
      </c>
      <c r="O65" s="65">
        <v>7</v>
      </c>
      <c r="P65" s="129">
        <f t="shared" si="28"/>
        <v>3285.7142857142858</v>
      </c>
    </row>
    <row r="66" spans="2:16" x14ac:dyDescent="0.15">
      <c r="B66" s="1084"/>
      <c r="C66" s="927"/>
      <c r="D66" s="925"/>
      <c r="E66" s="925"/>
      <c r="F66" s="925"/>
      <c r="G66" s="925"/>
      <c r="H66" s="933"/>
      <c r="I66" s="925"/>
      <c r="J66" s="306">
        <v>10</v>
      </c>
      <c r="K66" s="684">
        <f>J66/SUM(J64:J66)/J66</f>
        <v>2.5000000000000001E-2</v>
      </c>
      <c r="L66" s="48">
        <f>I64*K66</f>
        <v>23000</v>
      </c>
      <c r="M66" s="64">
        <v>0</v>
      </c>
      <c r="N66" s="445">
        <v>0</v>
      </c>
      <c r="O66" s="65">
        <v>7</v>
      </c>
      <c r="P66" s="129">
        <f t="shared" ref="P66" si="29">IF(O66="","",(L66-N66)/O66)</f>
        <v>3285.7142857142858</v>
      </c>
    </row>
    <row r="67" spans="2:16" x14ac:dyDescent="0.15">
      <c r="B67" s="1084"/>
      <c r="C67" s="926" t="str">
        <f>'６（参考）大豆資本装備'!C21</f>
        <v>大豆対応汎用型コンバイン</v>
      </c>
      <c r="D67" s="923" t="str">
        <f>'６（参考）大豆資本装備'!D21</f>
        <v>43ｐｓ</v>
      </c>
      <c r="E67" s="923">
        <v>1</v>
      </c>
      <c r="F67" s="923" t="s">
        <v>95</v>
      </c>
      <c r="G67" s="923">
        <f>'６（参考）大豆資本装備'!G21</f>
        <v>7182000.0000000009</v>
      </c>
      <c r="H67" s="931">
        <v>0</v>
      </c>
      <c r="I67" s="923">
        <f>G67*(1-H67)</f>
        <v>7182000.0000000009</v>
      </c>
      <c r="J67" s="304"/>
      <c r="K67" s="684"/>
      <c r="L67" s="48">
        <f>I67*K67</f>
        <v>0</v>
      </c>
      <c r="M67" s="64">
        <v>0</v>
      </c>
      <c r="N67" s="445">
        <v>0</v>
      </c>
      <c r="O67" s="65">
        <v>7</v>
      </c>
      <c r="P67" s="129"/>
    </row>
    <row r="68" spans="2:16" x14ac:dyDescent="0.15">
      <c r="B68" s="1084"/>
      <c r="C68" s="924"/>
      <c r="D68" s="924"/>
      <c r="E68" s="924"/>
      <c r="F68" s="924"/>
      <c r="G68" s="924"/>
      <c r="H68" s="932"/>
      <c r="I68" s="924"/>
      <c r="J68" s="305">
        <v>10</v>
      </c>
      <c r="K68" s="684">
        <f>J68/SUM(J67:J69)/J68</f>
        <v>0.05</v>
      </c>
      <c r="L68" s="48">
        <f>I67*K68</f>
        <v>359100.00000000006</v>
      </c>
      <c r="M68" s="64">
        <v>0</v>
      </c>
      <c r="N68" s="445">
        <v>0</v>
      </c>
      <c r="O68" s="65">
        <v>7</v>
      </c>
      <c r="P68" s="129">
        <f t="shared" ref="P68" si="30">IF(O68="","",(L68-N68)/O68)</f>
        <v>51300.000000000007</v>
      </c>
    </row>
    <row r="69" spans="2:16" x14ac:dyDescent="0.15">
      <c r="B69" s="1084"/>
      <c r="C69" s="927"/>
      <c r="D69" s="925"/>
      <c r="E69" s="925"/>
      <c r="F69" s="925"/>
      <c r="G69" s="925"/>
      <c r="H69" s="933"/>
      <c r="I69" s="925"/>
      <c r="J69" s="306">
        <v>10</v>
      </c>
      <c r="K69" s="684">
        <f>J69/SUM(J67:J69)/J69</f>
        <v>0.05</v>
      </c>
      <c r="L69" s="48">
        <f>I67*K69</f>
        <v>359100.00000000006</v>
      </c>
      <c r="M69" s="64">
        <v>0</v>
      </c>
      <c r="N69" s="445">
        <v>0</v>
      </c>
      <c r="O69" s="65">
        <v>7</v>
      </c>
      <c r="P69" s="129"/>
    </row>
    <row r="70" spans="2:16" x14ac:dyDescent="0.15">
      <c r="B70" s="1084"/>
      <c r="C70" s="926" t="str">
        <f>'６（参考）大豆資本装備'!C22</f>
        <v>溝切機</v>
      </c>
      <c r="D70" s="923" t="str">
        <f>'６（参考）大豆資本装備'!D22</f>
        <v>オーガ式</v>
      </c>
      <c r="E70" s="923">
        <v>1</v>
      </c>
      <c r="F70" s="923" t="s">
        <v>95</v>
      </c>
      <c r="G70" s="923">
        <f>'６（参考）大豆資本装備'!G22</f>
        <v>524880</v>
      </c>
      <c r="H70" s="931">
        <v>0</v>
      </c>
      <c r="I70" s="923">
        <f>G70*(1-H70)</f>
        <v>524880</v>
      </c>
      <c r="J70" s="304"/>
      <c r="K70" s="684"/>
      <c r="L70" s="48">
        <f>I70*K70</f>
        <v>0</v>
      </c>
      <c r="M70" s="64">
        <v>0</v>
      </c>
      <c r="N70" s="445">
        <v>0</v>
      </c>
      <c r="O70" s="65">
        <v>7</v>
      </c>
      <c r="P70" s="129"/>
    </row>
    <row r="71" spans="2:16" x14ac:dyDescent="0.15">
      <c r="B71" s="1084"/>
      <c r="C71" s="924"/>
      <c r="D71" s="924"/>
      <c r="E71" s="924"/>
      <c r="F71" s="924"/>
      <c r="G71" s="924"/>
      <c r="H71" s="932"/>
      <c r="I71" s="924"/>
      <c r="J71" s="305">
        <v>10</v>
      </c>
      <c r="K71" s="684">
        <f>J71/SUM(J70:J72)/J71</f>
        <v>0.05</v>
      </c>
      <c r="L71" s="48">
        <f>I70*K71</f>
        <v>26244</v>
      </c>
      <c r="M71" s="64">
        <v>0</v>
      </c>
      <c r="N71" s="445">
        <v>0</v>
      </c>
      <c r="O71" s="65">
        <v>7</v>
      </c>
      <c r="P71" s="129"/>
    </row>
    <row r="72" spans="2:16" x14ac:dyDescent="0.15">
      <c r="B72" s="1084"/>
      <c r="C72" s="927"/>
      <c r="D72" s="925"/>
      <c r="E72" s="925"/>
      <c r="F72" s="925"/>
      <c r="G72" s="925"/>
      <c r="H72" s="933"/>
      <c r="I72" s="925"/>
      <c r="J72" s="306">
        <v>10</v>
      </c>
      <c r="K72" s="684">
        <f>J72/SUM(J72:J74)/J72</f>
        <v>0.05</v>
      </c>
      <c r="L72" s="48">
        <f>I70*K72</f>
        <v>26244</v>
      </c>
      <c r="M72" s="64">
        <v>0</v>
      </c>
      <c r="N72" s="445">
        <v>0</v>
      </c>
      <c r="O72" s="65">
        <v>7</v>
      </c>
      <c r="P72" s="129">
        <f t="shared" ref="P72" si="31">IF(O72="","",(L72-N72)/O72)</f>
        <v>3749.1428571428573</v>
      </c>
    </row>
    <row r="73" spans="2:16" x14ac:dyDescent="0.15">
      <c r="B73" s="1084"/>
      <c r="C73" s="926" t="str">
        <f>'６（参考）大豆資本装備'!C23</f>
        <v>サブソイラー</v>
      </c>
      <c r="D73" s="923" t="str">
        <f>'６（参考）大豆資本装備'!D23</f>
        <v>振動式</v>
      </c>
      <c r="E73" s="923">
        <v>1</v>
      </c>
      <c r="F73" s="923" t="s">
        <v>95</v>
      </c>
      <c r="G73" s="923">
        <f>'６（参考）大豆資本装備'!G23</f>
        <v>184680</v>
      </c>
      <c r="H73" s="931">
        <v>0</v>
      </c>
      <c r="I73" s="923">
        <f t="shared" ref="I73" si="32">G73*(1-H73)</f>
        <v>184680</v>
      </c>
      <c r="J73" s="304"/>
      <c r="K73" s="684"/>
      <c r="L73" s="48">
        <f>I73*K73</f>
        <v>0</v>
      </c>
      <c r="M73" s="64">
        <v>0</v>
      </c>
      <c r="N73" s="445">
        <v>0</v>
      </c>
      <c r="O73" s="65">
        <v>7</v>
      </c>
      <c r="P73" s="129"/>
    </row>
    <row r="74" spans="2:16" x14ac:dyDescent="0.15">
      <c r="B74" s="1084"/>
      <c r="C74" s="924"/>
      <c r="D74" s="924"/>
      <c r="E74" s="924"/>
      <c r="F74" s="924"/>
      <c r="G74" s="924"/>
      <c r="H74" s="932"/>
      <c r="I74" s="924"/>
      <c r="J74" s="305">
        <v>10</v>
      </c>
      <c r="K74" s="684">
        <f>J74/SUM(J74:J76)/J74</f>
        <v>0.05</v>
      </c>
      <c r="L74" s="48">
        <f>I73*K74</f>
        <v>9234</v>
      </c>
      <c r="M74" s="64">
        <v>0</v>
      </c>
      <c r="N74" s="445">
        <v>0</v>
      </c>
      <c r="O74" s="65">
        <v>7</v>
      </c>
      <c r="P74" s="129"/>
    </row>
    <row r="75" spans="2:16" x14ac:dyDescent="0.15">
      <c r="B75" s="1084"/>
      <c r="C75" s="927"/>
      <c r="D75" s="925"/>
      <c r="E75" s="925"/>
      <c r="F75" s="925"/>
      <c r="G75" s="925"/>
      <c r="H75" s="933"/>
      <c r="I75" s="925"/>
      <c r="J75" s="306">
        <v>10</v>
      </c>
      <c r="K75" s="684">
        <f>J75/SUM(J75:J77)/J75</f>
        <v>0.05</v>
      </c>
      <c r="L75" s="48">
        <f>I73*K75</f>
        <v>9234</v>
      </c>
      <c r="M75" s="64">
        <v>0</v>
      </c>
      <c r="N75" s="445">
        <v>0</v>
      </c>
      <c r="O75" s="65">
        <v>7</v>
      </c>
      <c r="P75" s="129">
        <f t="shared" ref="P75" si="33">IF(O75="","",(L75-N75)/O75)</f>
        <v>1319.1428571428571</v>
      </c>
    </row>
    <row r="76" spans="2:16" x14ac:dyDescent="0.15">
      <c r="B76" s="1084"/>
      <c r="C76" s="926" t="str">
        <f>'６（参考）大豆資本装備'!C28</f>
        <v>播種機</v>
      </c>
      <c r="D76" s="923" t="str">
        <f>'６（参考）大豆資本装備'!D28</f>
        <v>施肥/農薬散布付（牽引６条タイプ（リンクベルト））</v>
      </c>
      <c r="E76" s="923">
        <v>1</v>
      </c>
      <c r="F76" s="923" t="s">
        <v>95</v>
      </c>
      <c r="G76" s="923">
        <f>'６（参考）大豆資本装備'!G28</f>
        <v>648000</v>
      </c>
      <c r="H76" s="931">
        <v>0</v>
      </c>
      <c r="I76" s="923">
        <f>G76*(1-H76)</f>
        <v>648000</v>
      </c>
      <c r="J76" s="304"/>
      <c r="K76" s="684"/>
      <c r="L76" s="48">
        <f>I76*K76</f>
        <v>0</v>
      </c>
      <c r="M76" s="64">
        <v>0</v>
      </c>
      <c r="N76" s="445">
        <v>0</v>
      </c>
      <c r="O76" s="65">
        <v>7</v>
      </c>
      <c r="P76" s="129"/>
    </row>
    <row r="77" spans="2:16" x14ac:dyDescent="0.15">
      <c r="B77" s="1084"/>
      <c r="C77" s="924"/>
      <c r="D77" s="924"/>
      <c r="E77" s="924"/>
      <c r="F77" s="924"/>
      <c r="G77" s="924"/>
      <c r="H77" s="932"/>
      <c r="I77" s="924"/>
      <c r="J77" s="305">
        <v>10</v>
      </c>
      <c r="K77" s="684">
        <f>J77/SUM(J77:J79)/J77</f>
        <v>2.5000000000000001E-2</v>
      </c>
      <c r="L77" s="48">
        <f>I76*K77</f>
        <v>16200</v>
      </c>
      <c r="M77" s="64">
        <v>0</v>
      </c>
      <c r="N77" s="445">
        <v>0</v>
      </c>
      <c r="O77" s="65">
        <v>7</v>
      </c>
      <c r="P77" s="129"/>
    </row>
    <row r="78" spans="2:16" x14ac:dyDescent="0.15">
      <c r="B78" s="1084"/>
      <c r="C78" s="927"/>
      <c r="D78" s="925"/>
      <c r="E78" s="925"/>
      <c r="F78" s="925"/>
      <c r="G78" s="925"/>
      <c r="H78" s="933"/>
      <c r="I78" s="925"/>
      <c r="J78" s="306">
        <v>10</v>
      </c>
      <c r="K78" s="684">
        <f>J78/SUM(J76:J78)/J78</f>
        <v>0.05</v>
      </c>
      <c r="L78" s="48">
        <f>I76*K78</f>
        <v>32400</v>
      </c>
      <c r="M78" s="64">
        <v>0</v>
      </c>
      <c r="N78" s="445">
        <v>0</v>
      </c>
      <c r="O78" s="65">
        <v>7</v>
      </c>
      <c r="P78" s="129">
        <f t="shared" ref="P78" si="34">IF(O78="","",(L78-N78)/O78)</f>
        <v>4628.5714285714284</v>
      </c>
    </row>
    <row r="79" spans="2:16" x14ac:dyDescent="0.15">
      <c r="B79" s="1084"/>
      <c r="C79" s="926" t="str">
        <f>'６（参考）大豆資本装備'!C30</f>
        <v>グレンコンテナ</v>
      </c>
      <c r="D79" s="923" t="str">
        <f>'６（参考）大豆資本装備'!D30</f>
        <v>1トン</v>
      </c>
      <c r="E79" s="923">
        <v>1</v>
      </c>
      <c r="F79" s="923" t="s">
        <v>95</v>
      </c>
      <c r="G79" s="923">
        <f>'６（参考）大豆資本装備'!G30</f>
        <v>179280</v>
      </c>
      <c r="H79" s="931">
        <v>0</v>
      </c>
      <c r="I79" s="923">
        <f t="shared" ref="I79" si="35">G79*(1-H79)</f>
        <v>179280</v>
      </c>
      <c r="J79" s="304">
        <v>20</v>
      </c>
      <c r="K79" s="684">
        <f>J79/SUM(J79:J81)/J79</f>
        <v>2.5000000000000001E-2</v>
      </c>
      <c r="L79" s="48">
        <f>I79*K79</f>
        <v>4482</v>
      </c>
      <c r="M79" s="64">
        <v>0</v>
      </c>
      <c r="N79" s="445">
        <v>0</v>
      </c>
      <c r="O79" s="65">
        <v>7</v>
      </c>
      <c r="P79" s="129"/>
    </row>
    <row r="80" spans="2:16" x14ac:dyDescent="0.15">
      <c r="B80" s="1084"/>
      <c r="C80" s="924"/>
      <c r="D80" s="924"/>
      <c r="E80" s="924"/>
      <c r="F80" s="924"/>
      <c r="G80" s="924"/>
      <c r="H80" s="932"/>
      <c r="I80" s="924"/>
      <c r="J80" s="305">
        <v>10</v>
      </c>
      <c r="K80" s="684">
        <f>J80/SUM(J79:J81)/J80</f>
        <v>2.5000000000000001E-2</v>
      </c>
      <c r="L80" s="48">
        <f>I79*K80</f>
        <v>4482</v>
      </c>
      <c r="M80" s="64">
        <v>0</v>
      </c>
      <c r="N80" s="445">
        <v>0</v>
      </c>
      <c r="O80" s="65">
        <v>7</v>
      </c>
      <c r="P80" s="129"/>
    </row>
    <row r="81" spans="2:16" x14ac:dyDescent="0.15">
      <c r="B81" s="1084"/>
      <c r="C81" s="927"/>
      <c r="D81" s="925"/>
      <c r="E81" s="925"/>
      <c r="F81" s="925"/>
      <c r="G81" s="925"/>
      <c r="H81" s="933"/>
      <c r="I81" s="925"/>
      <c r="J81" s="306">
        <v>10</v>
      </c>
      <c r="K81" s="684">
        <f>J81/SUM(J79:J81)/J81</f>
        <v>2.5000000000000001E-2</v>
      </c>
      <c r="L81" s="48">
        <f>I79*K81</f>
        <v>4482</v>
      </c>
      <c r="M81" s="64">
        <v>0</v>
      </c>
      <c r="N81" s="445">
        <v>0</v>
      </c>
      <c r="O81" s="65">
        <v>7</v>
      </c>
      <c r="P81" s="129">
        <f t="shared" ref="P81" si="36">IF(O81="","",(L81-N81)/O81)</f>
        <v>640.28571428571433</v>
      </c>
    </row>
    <row r="82" spans="2:16" x14ac:dyDescent="0.15">
      <c r="B82" s="1084"/>
      <c r="C82" s="926"/>
      <c r="D82" s="923"/>
      <c r="E82" s="923"/>
      <c r="F82" s="923"/>
      <c r="G82" s="923"/>
      <c r="H82" s="931"/>
      <c r="I82" s="923"/>
      <c r="J82" s="304"/>
      <c r="K82" s="684"/>
      <c r="L82" s="48"/>
      <c r="M82" s="64"/>
      <c r="N82" s="445"/>
      <c r="O82" s="65"/>
      <c r="P82" s="129"/>
    </row>
    <row r="83" spans="2:16" x14ac:dyDescent="0.15">
      <c r="B83" s="1084"/>
      <c r="C83" s="924"/>
      <c r="D83" s="924"/>
      <c r="E83" s="924"/>
      <c r="F83" s="924"/>
      <c r="G83" s="924"/>
      <c r="H83" s="932"/>
      <c r="I83" s="924"/>
      <c r="J83" s="305"/>
      <c r="K83" s="684"/>
      <c r="L83" s="48"/>
      <c r="M83" s="64"/>
      <c r="N83" s="445"/>
      <c r="O83" s="65"/>
      <c r="P83" s="129"/>
    </row>
    <row r="84" spans="2:16" x14ac:dyDescent="0.15">
      <c r="B84" s="1084"/>
      <c r="C84" s="927"/>
      <c r="D84" s="925"/>
      <c r="E84" s="925"/>
      <c r="F84" s="925"/>
      <c r="G84" s="925"/>
      <c r="H84" s="933"/>
      <c r="I84" s="925"/>
      <c r="J84" s="306"/>
      <c r="K84" s="684"/>
      <c r="L84" s="48"/>
      <c r="M84" s="64"/>
      <c r="N84" s="445"/>
      <c r="O84" s="65"/>
      <c r="P84" s="129"/>
    </row>
    <row r="85" spans="2:16" hidden="1" x14ac:dyDescent="0.15">
      <c r="B85" s="1084"/>
      <c r="C85" s="926"/>
      <c r="D85" s="926"/>
      <c r="E85" s="926"/>
      <c r="F85" s="926"/>
      <c r="G85" s="926"/>
      <c r="H85" s="936"/>
      <c r="I85" s="926">
        <f>G85*(1-H85)</f>
        <v>0</v>
      </c>
      <c r="J85" s="48"/>
      <c r="K85" s="684"/>
      <c r="L85" s="48" t="e">
        <f>I85*#REF!</f>
        <v>#REF!</v>
      </c>
      <c r="M85" s="64"/>
      <c r="N85" s="48" t="e">
        <f t="shared" ref="N85:N86" si="37">L85*M85</f>
        <v>#REF!</v>
      </c>
      <c r="O85" s="65"/>
      <c r="P85" s="129" t="str">
        <f t="shared" si="3"/>
        <v/>
      </c>
    </row>
    <row r="86" spans="2:16" hidden="1" x14ac:dyDescent="0.15">
      <c r="B86" s="1084"/>
      <c r="C86" s="927"/>
      <c r="D86" s="927"/>
      <c r="E86" s="927"/>
      <c r="F86" s="927"/>
      <c r="G86" s="927"/>
      <c r="H86" s="937"/>
      <c r="I86" s="927"/>
      <c r="J86" s="48"/>
      <c r="K86" s="684"/>
      <c r="L86" s="48" t="e">
        <f>I85*#REF!</f>
        <v>#REF!</v>
      </c>
      <c r="M86" s="64"/>
      <c r="N86" s="48" t="e">
        <f t="shared" si="37"/>
        <v>#REF!</v>
      </c>
      <c r="O86" s="65"/>
      <c r="P86" s="129" t="str">
        <f t="shared" si="3"/>
        <v/>
      </c>
    </row>
    <row r="87" spans="2:16" x14ac:dyDescent="0.15">
      <c r="B87" s="1161"/>
      <c r="C87" s="62" t="s">
        <v>46</v>
      </c>
      <c r="D87" s="62"/>
      <c r="E87" s="62"/>
      <c r="F87" s="63"/>
      <c r="G87" s="62">
        <f>SUM(G13:G86)</f>
        <v>56594692.120000005</v>
      </c>
      <c r="H87" s="62"/>
      <c r="I87" s="62">
        <f>SUM(I13:I86)</f>
        <v>56594692.120000005</v>
      </c>
      <c r="J87" s="62"/>
      <c r="K87" s="685"/>
      <c r="L87" s="62">
        <f>SUM(L13:L84)</f>
        <v>3982992.6090000002</v>
      </c>
      <c r="M87" s="62"/>
      <c r="N87" s="62"/>
      <c r="O87" s="62"/>
      <c r="P87" s="273">
        <f>SUM(P13:P86)</f>
        <v>442682.08657142834</v>
      </c>
    </row>
    <row r="88" spans="2:16" ht="14.25" thickBot="1" x14ac:dyDescent="0.2">
      <c r="B88" s="66"/>
      <c r="C88" s="67" t="s">
        <v>156</v>
      </c>
      <c r="D88" s="68"/>
      <c r="E88" s="68"/>
      <c r="F88" s="69"/>
      <c r="G88" s="68">
        <f>G12+G87</f>
        <v>74988442.120000005</v>
      </c>
      <c r="H88" s="68"/>
      <c r="I88" s="68">
        <f>I12+I87</f>
        <v>74988442.120000005</v>
      </c>
      <c r="J88" s="68"/>
      <c r="K88" s="70"/>
      <c r="L88" s="68">
        <f>L12+L87</f>
        <v>5318480.1090000002</v>
      </c>
      <c r="M88" s="68"/>
      <c r="N88" s="68"/>
      <c r="O88" s="68"/>
      <c r="P88" s="274">
        <f>P12+P87</f>
        <v>501386.83657142834</v>
      </c>
    </row>
    <row r="89" spans="2:16" ht="11.25" customHeight="1" x14ac:dyDescent="0.15"/>
    <row r="90" spans="2:16" x14ac:dyDescent="0.15">
      <c r="K90" s="944" t="s">
        <v>310</v>
      </c>
      <c r="L90" s="690">
        <f>+L6+L9</f>
        <v>415800</v>
      </c>
      <c r="M90" s="690"/>
      <c r="N90" s="946" t="s">
        <v>310</v>
      </c>
      <c r="O90" s="690" t="s">
        <v>662</v>
      </c>
      <c r="P90" s="690">
        <f>+P6+P9</f>
        <v>16632</v>
      </c>
    </row>
    <row r="91" spans="2:16" x14ac:dyDescent="0.15">
      <c r="K91" s="945"/>
      <c r="L91" s="690">
        <f>SUM(L83,L80,L77,L74,L71,L68,L65,L62,L59,L56,L53,L50,L47,L44,L41,L38,L35,L32,L29,L26,L23,L20,L17,L14)</f>
        <v>1140388.003</v>
      </c>
      <c r="M91" s="690"/>
      <c r="N91" s="946"/>
      <c r="O91" s="690" t="s">
        <v>663</v>
      </c>
      <c r="P91" s="690">
        <f>SUM(P83,P80,P77,P74,P71,P68,P65,P62,P59,P56,P53,P50,P47,P44,P41,P38,P35,P32,P29,P26,P23,P20,P17,P14)</f>
        <v>94927.14285714287</v>
      </c>
    </row>
    <row r="92" spans="2:16" x14ac:dyDescent="0.15">
      <c r="K92" s="944" t="s">
        <v>664</v>
      </c>
      <c r="L92" s="690">
        <f>+L7+L10</f>
        <v>415800</v>
      </c>
      <c r="M92" s="690"/>
      <c r="N92" s="944" t="s">
        <v>664</v>
      </c>
      <c r="O92" s="690" t="s">
        <v>662</v>
      </c>
      <c r="P92" s="690">
        <f>+P7+P10</f>
        <v>16632</v>
      </c>
    </row>
    <row r="93" spans="2:16" x14ac:dyDescent="0.15">
      <c r="K93" s="945"/>
      <c r="L93" s="690">
        <f>SUM(L84,L81,L78,L75,L72,L69,L66,L63,L60,L57,L54,L51,L48,L45,M42,L39,L36,L33,L30,L27,L24,L21,L18,L15)</f>
        <v>1182328.003</v>
      </c>
      <c r="M93" s="690"/>
      <c r="N93" s="945"/>
      <c r="O93" s="690" t="s">
        <v>663</v>
      </c>
      <c r="P93" s="690">
        <f>SUM(P84,P81,P78,P75,P72,P69,P66,P63,P60,P57,P54,P51,P48,P45,Q42,P39,P36,P33,P30,P27,P24,P21,P18,P15)</f>
        <v>111212.85757142858</v>
      </c>
    </row>
    <row r="94" spans="2:16" x14ac:dyDescent="0.15">
      <c r="K94" s="944" t="s">
        <v>59</v>
      </c>
      <c r="L94" s="690">
        <f>+L5+L8+L11</f>
        <v>503887.5</v>
      </c>
      <c r="M94" s="690"/>
      <c r="N94" s="946" t="s">
        <v>59</v>
      </c>
      <c r="O94" s="690" t="s">
        <v>662</v>
      </c>
      <c r="P94" s="690">
        <f>+P5+P8+P11</f>
        <v>25440.75</v>
      </c>
    </row>
    <row r="95" spans="2:16" x14ac:dyDescent="0.15">
      <c r="K95" s="945"/>
      <c r="L95" s="690">
        <f>+L87-L91-L93</f>
        <v>1660276.6030000001</v>
      </c>
      <c r="M95" s="690"/>
      <c r="N95" s="946"/>
      <c r="O95" s="690" t="s">
        <v>663</v>
      </c>
      <c r="P95" s="690">
        <f>+P87-P91-P93</f>
        <v>236542.08614285692</v>
      </c>
    </row>
  </sheetData>
  <mergeCells count="203">
    <mergeCell ref="K90:K91"/>
    <mergeCell ref="N90:N91"/>
    <mergeCell ref="K94:K95"/>
    <mergeCell ref="N94:N95"/>
    <mergeCell ref="K92:K93"/>
    <mergeCell ref="N92:N93"/>
    <mergeCell ref="H82:H84"/>
    <mergeCell ref="I82:I84"/>
    <mergeCell ref="B13:B87"/>
    <mergeCell ref="C82:C84"/>
    <mergeCell ref="D82:D84"/>
    <mergeCell ref="E82:E84"/>
    <mergeCell ref="F82:F84"/>
    <mergeCell ref="G82:G84"/>
    <mergeCell ref="H76:H78"/>
    <mergeCell ref="I76:I78"/>
    <mergeCell ref="C79:C81"/>
    <mergeCell ref="D79:D81"/>
    <mergeCell ref="E79:E81"/>
    <mergeCell ref="F79:F81"/>
    <mergeCell ref="G79:G81"/>
    <mergeCell ref="H79:H81"/>
    <mergeCell ref="I79:I81"/>
    <mergeCell ref="C76:C78"/>
    <mergeCell ref="D76:D78"/>
    <mergeCell ref="E76:E78"/>
    <mergeCell ref="F76:F78"/>
    <mergeCell ref="G76:G78"/>
    <mergeCell ref="H70:H72"/>
    <mergeCell ref="I70:I72"/>
    <mergeCell ref="C73:C75"/>
    <mergeCell ref="D73:D75"/>
    <mergeCell ref="E73:E75"/>
    <mergeCell ref="F73:F75"/>
    <mergeCell ref="G73:G75"/>
    <mergeCell ref="H73:H75"/>
    <mergeCell ref="I73:I75"/>
    <mergeCell ref="C70:C72"/>
    <mergeCell ref="D70:D72"/>
    <mergeCell ref="E70:E72"/>
    <mergeCell ref="F70:F72"/>
    <mergeCell ref="G70:G72"/>
    <mergeCell ref="H64:H66"/>
    <mergeCell ref="I64:I66"/>
    <mergeCell ref="C67:C69"/>
    <mergeCell ref="D67:D69"/>
    <mergeCell ref="E67:E69"/>
    <mergeCell ref="F67:F69"/>
    <mergeCell ref="G67:G69"/>
    <mergeCell ref="H67:H69"/>
    <mergeCell ref="I67:I69"/>
    <mergeCell ref="C64:C66"/>
    <mergeCell ref="D64:D66"/>
    <mergeCell ref="E64:E66"/>
    <mergeCell ref="F64:F66"/>
    <mergeCell ref="G64:G66"/>
    <mergeCell ref="C61:C63"/>
    <mergeCell ref="D61:D63"/>
    <mergeCell ref="E61:E63"/>
    <mergeCell ref="F61:F63"/>
    <mergeCell ref="G61:G63"/>
    <mergeCell ref="H61:H63"/>
    <mergeCell ref="I61:I63"/>
    <mergeCell ref="C58:C60"/>
    <mergeCell ref="D58:D60"/>
    <mergeCell ref="E58:E60"/>
    <mergeCell ref="F58:F60"/>
    <mergeCell ref="G58:G60"/>
    <mergeCell ref="C55:C57"/>
    <mergeCell ref="D55:D57"/>
    <mergeCell ref="E55:E57"/>
    <mergeCell ref="F55:F57"/>
    <mergeCell ref="G55:G57"/>
    <mergeCell ref="H55:H57"/>
    <mergeCell ref="I55:I57"/>
    <mergeCell ref="C52:C54"/>
    <mergeCell ref="D52:D54"/>
    <mergeCell ref="E52:E54"/>
    <mergeCell ref="F52:F54"/>
    <mergeCell ref="G52:G54"/>
    <mergeCell ref="C49:C51"/>
    <mergeCell ref="D49:D51"/>
    <mergeCell ref="E49:E51"/>
    <mergeCell ref="F49:F51"/>
    <mergeCell ref="G49:G51"/>
    <mergeCell ref="H49:H51"/>
    <mergeCell ref="I49:I51"/>
    <mergeCell ref="C46:C48"/>
    <mergeCell ref="D46:D48"/>
    <mergeCell ref="E46:E48"/>
    <mergeCell ref="F46:F48"/>
    <mergeCell ref="G46:G48"/>
    <mergeCell ref="C43:C45"/>
    <mergeCell ref="D43:D45"/>
    <mergeCell ref="E43:E45"/>
    <mergeCell ref="F43:F45"/>
    <mergeCell ref="G43:G45"/>
    <mergeCell ref="C40:C42"/>
    <mergeCell ref="H40:H42"/>
    <mergeCell ref="I40:I42"/>
    <mergeCell ref="H46:H48"/>
    <mergeCell ref="I46:I48"/>
    <mergeCell ref="D40:D42"/>
    <mergeCell ref="E40:E42"/>
    <mergeCell ref="H43:H45"/>
    <mergeCell ref="I43:I45"/>
    <mergeCell ref="H28:H30"/>
    <mergeCell ref="I28:I30"/>
    <mergeCell ref="C25:C27"/>
    <mergeCell ref="D25:D27"/>
    <mergeCell ref="E25:E27"/>
    <mergeCell ref="F25:F27"/>
    <mergeCell ref="G25:G27"/>
    <mergeCell ref="C37:C39"/>
    <mergeCell ref="D37:D39"/>
    <mergeCell ref="E37:E39"/>
    <mergeCell ref="F37:F39"/>
    <mergeCell ref="G37:G39"/>
    <mergeCell ref="H34:H36"/>
    <mergeCell ref="I34:I36"/>
    <mergeCell ref="G31:G33"/>
    <mergeCell ref="C34:C36"/>
    <mergeCell ref="D34:D36"/>
    <mergeCell ref="E34:E36"/>
    <mergeCell ref="F34:F36"/>
    <mergeCell ref="G34:G36"/>
    <mergeCell ref="C28:C30"/>
    <mergeCell ref="D28:D30"/>
    <mergeCell ref="E28:E30"/>
    <mergeCell ref="F28:F30"/>
    <mergeCell ref="G28:G30"/>
    <mergeCell ref="B5:B12"/>
    <mergeCell ref="C22:C24"/>
    <mergeCell ref="D22:D24"/>
    <mergeCell ref="E22:E24"/>
    <mergeCell ref="F22:F24"/>
    <mergeCell ref="G22:G24"/>
    <mergeCell ref="C13:C15"/>
    <mergeCell ref="F2:G2"/>
    <mergeCell ref="E3:F3"/>
    <mergeCell ref="B3:B4"/>
    <mergeCell ref="C3:C4"/>
    <mergeCell ref="D3:D4"/>
    <mergeCell ref="C5:C7"/>
    <mergeCell ref="D5:D7"/>
    <mergeCell ref="E5:E7"/>
    <mergeCell ref="F5:F7"/>
    <mergeCell ref="G5:G7"/>
    <mergeCell ref="D13:D15"/>
    <mergeCell ref="E13:E15"/>
    <mergeCell ref="F13:F15"/>
    <mergeCell ref="G13:G15"/>
    <mergeCell ref="C19:C21"/>
    <mergeCell ref="D19:D21"/>
    <mergeCell ref="E19:E21"/>
    <mergeCell ref="J3:J4"/>
    <mergeCell ref="C85:C86"/>
    <mergeCell ref="D85:D86"/>
    <mergeCell ref="E85:E86"/>
    <mergeCell ref="F85:F86"/>
    <mergeCell ref="C16:C18"/>
    <mergeCell ref="D16:D18"/>
    <mergeCell ref="E16:E18"/>
    <mergeCell ref="F16:F18"/>
    <mergeCell ref="G16:G18"/>
    <mergeCell ref="H16:H18"/>
    <mergeCell ref="G85:G86"/>
    <mergeCell ref="H85:H86"/>
    <mergeCell ref="C8:C10"/>
    <mergeCell ref="D8:D10"/>
    <mergeCell ref="E8:E10"/>
    <mergeCell ref="H13:H15"/>
    <mergeCell ref="F19:F21"/>
    <mergeCell ref="G19:G21"/>
    <mergeCell ref="H19:H21"/>
    <mergeCell ref="C31:C33"/>
    <mergeCell ref="D31:D33"/>
    <mergeCell ref="E31:E33"/>
    <mergeCell ref="F31:F33"/>
    <mergeCell ref="H5:H7"/>
    <mergeCell ref="I5:I7"/>
    <mergeCell ref="I13:I15"/>
    <mergeCell ref="G8:G10"/>
    <mergeCell ref="H8:H10"/>
    <mergeCell ref="I8:I10"/>
    <mergeCell ref="I85:I86"/>
    <mergeCell ref="I16:I18"/>
    <mergeCell ref="F8:F10"/>
    <mergeCell ref="I19:I21"/>
    <mergeCell ref="H22:H24"/>
    <mergeCell ref="I22:I24"/>
    <mergeCell ref="H37:H39"/>
    <mergeCell ref="I37:I39"/>
    <mergeCell ref="F40:F42"/>
    <mergeCell ref="G40:G42"/>
    <mergeCell ref="H52:H54"/>
    <mergeCell ref="I52:I54"/>
    <mergeCell ref="H58:H60"/>
    <mergeCell ref="I58:I60"/>
    <mergeCell ref="H31:H33"/>
    <mergeCell ref="I31:I33"/>
    <mergeCell ref="H25:H27"/>
    <mergeCell ref="I25:I27"/>
  </mergeCells>
  <phoneticPr fontId="4"/>
  <pageMargins left="1.1811023622047245" right="0.78740157480314965" top="0.78740157480314965" bottom="0.78740157480314965" header="0.39370078740157483" footer="0.39370078740157483"/>
  <pageSetup paperSize="9" scale="4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Z60"/>
  <sheetViews>
    <sheetView zoomScale="75" zoomScaleNormal="75" workbookViewId="0"/>
  </sheetViews>
  <sheetFormatPr defaultColWidth="9" defaultRowHeight="13.5" x14ac:dyDescent="0.15"/>
  <cols>
    <col min="1" max="1" width="1.625" style="618" customWidth="1"/>
    <col min="2" max="2" width="5" style="618" customWidth="1"/>
    <col min="3" max="3" width="22.5" style="618" bestFit="1" customWidth="1"/>
    <col min="4" max="4" width="30" style="618" bestFit="1" customWidth="1"/>
    <col min="5" max="6" width="6" style="618" bestFit="1" customWidth="1"/>
    <col min="7" max="7" width="17.625" style="618" customWidth="1"/>
    <col min="8" max="8" width="10.625" style="618" customWidth="1"/>
    <col min="9" max="9" width="17.625" style="618" customWidth="1"/>
    <col min="10" max="10" width="10.625" style="618" customWidth="1"/>
    <col min="11" max="11" width="15.125" style="619" bestFit="1" customWidth="1"/>
    <col min="12" max="12" width="17.625" style="618" customWidth="1"/>
    <col min="13" max="13" width="10.625" style="618" customWidth="1"/>
    <col min="14" max="14" width="17.625" style="618" customWidth="1"/>
    <col min="15" max="15" width="10.625" style="618" customWidth="1"/>
    <col min="16" max="16" width="19.75" style="618" bestFit="1" customWidth="1"/>
    <col min="17" max="17" width="3.5" style="618" customWidth="1"/>
    <col min="18" max="18" width="16" style="618" customWidth="1"/>
    <col min="19" max="19" width="13.75" style="618" customWidth="1"/>
    <col min="20" max="16384" width="9" style="618"/>
  </cols>
  <sheetData>
    <row r="1" spans="2:26" ht="9.9499999999999993" customHeight="1" x14ac:dyDescent="0.15"/>
    <row r="2" spans="2:26" ht="24.95" customHeight="1" thickBot="1" x14ac:dyDescent="0.2">
      <c r="B2" s="620" t="s">
        <v>242</v>
      </c>
      <c r="C2" s="621"/>
      <c r="D2" s="621"/>
      <c r="E2" s="622"/>
      <c r="F2" s="952"/>
      <c r="G2" s="953"/>
      <c r="H2" s="623" t="s">
        <v>237</v>
      </c>
      <c r="I2" s="624" t="s">
        <v>59</v>
      </c>
      <c r="J2" s="110"/>
      <c r="K2" s="623" t="s">
        <v>238</v>
      </c>
      <c r="L2" s="624" t="s">
        <v>239</v>
      </c>
      <c r="M2" s="625"/>
      <c r="P2" s="626"/>
      <c r="R2" s="149" t="s">
        <v>312</v>
      </c>
      <c r="S2" s="149" t="s">
        <v>305</v>
      </c>
    </row>
    <row r="3" spans="2:26" x14ac:dyDescent="0.15">
      <c r="B3" s="954" t="s">
        <v>81</v>
      </c>
      <c r="C3" s="950" t="s">
        <v>38</v>
      </c>
      <c r="D3" s="956" t="s">
        <v>121</v>
      </c>
      <c r="E3" s="958" t="s">
        <v>39</v>
      </c>
      <c r="F3" s="959"/>
      <c r="G3" s="534" t="s">
        <v>40</v>
      </c>
      <c r="H3" s="535" t="s">
        <v>124</v>
      </c>
      <c r="I3" s="535" t="s">
        <v>123</v>
      </c>
      <c r="J3" s="950" t="s">
        <v>91</v>
      </c>
      <c r="K3" s="627" t="s">
        <v>591</v>
      </c>
      <c r="L3" s="534" t="s">
        <v>41</v>
      </c>
      <c r="M3" s="535" t="s">
        <v>128</v>
      </c>
      <c r="N3" s="534" t="s">
        <v>42</v>
      </c>
      <c r="O3" s="534" t="s">
        <v>43</v>
      </c>
      <c r="P3" s="628" t="s">
        <v>44</v>
      </c>
      <c r="S3" s="629" t="s">
        <v>306</v>
      </c>
      <c r="T3" s="629" t="s">
        <v>307</v>
      </c>
      <c r="U3" s="629" t="s">
        <v>308</v>
      </c>
      <c r="V3" s="629" t="s">
        <v>309</v>
      </c>
      <c r="W3" s="629" t="s">
        <v>592</v>
      </c>
      <c r="X3" s="629" t="s">
        <v>310</v>
      </c>
      <c r="Y3" s="629" t="s">
        <v>311</v>
      </c>
      <c r="Z3" s="149" t="s">
        <v>593</v>
      </c>
    </row>
    <row r="4" spans="2:26" x14ac:dyDescent="0.15">
      <c r="B4" s="955"/>
      <c r="C4" s="951"/>
      <c r="D4" s="957"/>
      <c r="E4" s="630" t="s">
        <v>93</v>
      </c>
      <c r="F4" s="630" t="s">
        <v>9</v>
      </c>
      <c r="G4" s="394" t="s">
        <v>594</v>
      </c>
      <c r="H4" s="394" t="s">
        <v>595</v>
      </c>
      <c r="I4" s="394" t="s">
        <v>132</v>
      </c>
      <c r="J4" s="951"/>
      <c r="K4" s="631" t="s">
        <v>596</v>
      </c>
      <c r="L4" s="394" t="s">
        <v>597</v>
      </c>
      <c r="M4" s="394" t="s">
        <v>598</v>
      </c>
      <c r="N4" s="394" t="s">
        <v>134</v>
      </c>
      <c r="O4" s="394" t="s">
        <v>599</v>
      </c>
      <c r="P4" s="632" t="s">
        <v>600</v>
      </c>
      <c r="R4" s="618" t="e">
        <f>SUM(S4:Z4)</f>
        <v>#REF!</v>
      </c>
      <c r="S4" s="618" t="e">
        <v>#REF!</v>
      </c>
      <c r="T4" s="618" t="e">
        <v>#REF!</v>
      </c>
      <c r="U4" s="618" t="e">
        <v>#REF!</v>
      </c>
      <c r="V4" s="618" t="e">
        <v>#REF!</v>
      </c>
      <c r="W4" s="618" t="e">
        <v>#REF!</v>
      </c>
      <c r="X4" s="618" t="e">
        <v>#REF!</v>
      </c>
      <c r="Y4" s="618" t="e">
        <v>#REF!</v>
      </c>
      <c r="Z4" s="618" t="e">
        <v>#REF!</v>
      </c>
    </row>
    <row r="5" spans="2:26" x14ac:dyDescent="0.15">
      <c r="B5" s="947" t="s">
        <v>183</v>
      </c>
      <c r="C5" s="396" t="s">
        <v>280</v>
      </c>
      <c r="D5" s="395" t="s">
        <v>97</v>
      </c>
      <c r="E5" s="395">
        <v>100</v>
      </c>
      <c r="F5" s="395" t="s">
        <v>601</v>
      </c>
      <c r="G5" s="395">
        <f>59400*E5</f>
        <v>5940000</v>
      </c>
      <c r="H5" s="633">
        <v>0</v>
      </c>
      <c r="I5" s="395">
        <f>G5*(1-H5)</f>
        <v>5940000</v>
      </c>
      <c r="J5" s="634">
        <f>'１　対象経営の概要，２　前提条件'!$N$7</f>
        <v>20</v>
      </c>
      <c r="K5" s="635">
        <f>20/30/20</f>
        <v>3.3333333333333333E-2</v>
      </c>
      <c r="L5" s="398">
        <f>I5*K5</f>
        <v>198000</v>
      </c>
      <c r="M5" s="400">
        <v>0</v>
      </c>
      <c r="N5" s="398">
        <f t="shared" ref="N5:N14" si="0">L5*M5/100</f>
        <v>0</v>
      </c>
      <c r="O5" s="398">
        <v>25</v>
      </c>
      <c r="P5" s="636">
        <f>IF(O5="","",(L5-N5)/O5)</f>
        <v>7920</v>
      </c>
    </row>
    <row r="6" spans="2:26" x14ac:dyDescent="0.15">
      <c r="B6" s="948"/>
      <c r="C6" s="395" t="s">
        <v>279</v>
      </c>
      <c r="D6" s="395" t="s">
        <v>97</v>
      </c>
      <c r="E6" s="395">
        <v>180</v>
      </c>
      <c r="F6" s="395" t="s">
        <v>602</v>
      </c>
      <c r="G6" s="395">
        <f>59400*E6</f>
        <v>10692000</v>
      </c>
      <c r="H6" s="633">
        <v>0</v>
      </c>
      <c r="I6" s="395">
        <f>G6*(1-H6)</f>
        <v>10692000</v>
      </c>
      <c r="J6" s="634">
        <f>'１　対象経営の概要，２　前提条件'!$N$7</f>
        <v>20</v>
      </c>
      <c r="K6" s="635">
        <f t="shared" ref="K6" si="1">20/30/20</f>
        <v>3.3333333333333333E-2</v>
      </c>
      <c r="L6" s="398">
        <f t="shared" ref="L6:L14" si="2">I6*K6</f>
        <v>356400</v>
      </c>
      <c r="M6" s="400">
        <v>0</v>
      </c>
      <c r="N6" s="398">
        <f t="shared" si="0"/>
        <v>0</v>
      </c>
      <c r="O6" s="398">
        <v>25</v>
      </c>
      <c r="P6" s="636">
        <f t="shared" ref="P6:P14" si="3">IF(O6="","",(L6-N6)/O6)</f>
        <v>14256</v>
      </c>
    </row>
    <row r="7" spans="2:26" x14ac:dyDescent="0.15">
      <c r="B7" s="948"/>
      <c r="C7" s="396" t="s">
        <v>253</v>
      </c>
      <c r="D7" s="395" t="s">
        <v>47</v>
      </c>
      <c r="E7" s="397">
        <v>725</v>
      </c>
      <c r="F7" s="637" t="s">
        <v>603</v>
      </c>
      <c r="G7" s="395">
        <f>2430*E7</f>
        <v>1761750</v>
      </c>
      <c r="H7" s="633">
        <v>0</v>
      </c>
      <c r="I7" s="395">
        <f t="shared" ref="I7:I14" si="4">G7*(1-H7)</f>
        <v>1761750</v>
      </c>
      <c r="J7" s="634">
        <f>'１　対象経営の概要，２　前提条件'!$N$7</f>
        <v>20</v>
      </c>
      <c r="K7" s="635">
        <f>20/20/20</f>
        <v>0.05</v>
      </c>
      <c r="L7" s="398">
        <f t="shared" si="2"/>
        <v>88087.5</v>
      </c>
      <c r="M7" s="400">
        <v>0</v>
      </c>
      <c r="N7" s="398">
        <f t="shared" si="0"/>
        <v>0</v>
      </c>
      <c r="O7" s="398">
        <v>25</v>
      </c>
      <c r="P7" s="636">
        <f t="shared" si="3"/>
        <v>3523.5</v>
      </c>
    </row>
    <row r="8" spans="2:26" x14ac:dyDescent="0.15">
      <c r="B8" s="948"/>
      <c r="C8" s="395"/>
      <c r="D8" s="395"/>
      <c r="E8" s="397"/>
      <c r="F8" s="637"/>
      <c r="G8" s="395"/>
      <c r="H8" s="633"/>
      <c r="I8" s="395">
        <f t="shared" si="4"/>
        <v>0</v>
      </c>
      <c r="J8" s="395"/>
      <c r="K8" s="635"/>
      <c r="L8" s="398">
        <f t="shared" si="2"/>
        <v>0</v>
      </c>
      <c r="M8" s="400">
        <v>0</v>
      </c>
      <c r="N8" s="398">
        <f t="shared" si="0"/>
        <v>0</v>
      </c>
      <c r="O8" s="398"/>
      <c r="P8" s="636" t="str">
        <f t="shared" si="3"/>
        <v/>
      </c>
    </row>
    <row r="9" spans="2:26" x14ac:dyDescent="0.15">
      <c r="B9" s="948"/>
      <c r="C9" s="396"/>
      <c r="D9" s="395"/>
      <c r="E9" s="397"/>
      <c r="F9" s="637"/>
      <c r="G9" s="395"/>
      <c r="H9" s="633"/>
      <c r="I9" s="395">
        <f t="shared" si="4"/>
        <v>0</v>
      </c>
      <c r="J9" s="396"/>
      <c r="K9" s="635"/>
      <c r="L9" s="398">
        <f t="shared" si="2"/>
        <v>0</v>
      </c>
      <c r="M9" s="400">
        <v>0</v>
      </c>
      <c r="N9" s="398">
        <f t="shared" si="0"/>
        <v>0</v>
      </c>
      <c r="O9" s="398"/>
      <c r="P9" s="636" t="str">
        <f t="shared" si="3"/>
        <v/>
      </c>
    </row>
    <row r="10" spans="2:26" x14ac:dyDescent="0.15">
      <c r="B10" s="948"/>
      <c r="C10" s="395"/>
      <c r="D10" s="395"/>
      <c r="E10" s="395"/>
      <c r="F10" s="407"/>
      <c r="G10" s="395"/>
      <c r="H10" s="633"/>
      <c r="I10" s="395">
        <f t="shared" si="4"/>
        <v>0</v>
      </c>
      <c r="J10" s="395"/>
      <c r="K10" s="635"/>
      <c r="L10" s="398">
        <f t="shared" si="2"/>
        <v>0</v>
      </c>
      <c r="M10" s="400">
        <v>0</v>
      </c>
      <c r="N10" s="398">
        <f t="shared" si="0"/>
        <v>0</v>
      </c>
      <c r="O10" s="398"/>
      <c r="P10" s="636" t="str">
        <f t="shared" si="3"/>
        <v/>
      </c>
    </row>
    <row r="11" spans="2:26" x14ac:dyDescent="0.15">
      <c r="B11" s="948"/>
      <c r="C11" s="395"/>
      <c r="D11" s="395"/>
      <c r="E11" s="395"/>
      <c r="F11" s="395"/>
      <c r="G11" s="395"/>
      <c r="H11" s="633"/>
      <c r="I11" s="395">
        <f t="shared" si="4"/>
        <v>0</v>
      </c>
      <c r="J11" s="395"/>
      <c r="K11" s="635"/>
      <c r="L11" s="398">
        <f t="shared" si="2"/>
        <v>0</v>
      </c>
      <c r="M11" s="400">
        <v>0</v>
      </c>
      <c r="N11" s="398">
        <f t="shared" si="0"/>
        <v>0</v>
      </c>
      <c r="O11" s="398"/>
      <c r="P11" s="636" t="str">
        <f t="shared" si="3"/>
        <v/>
      </c>
    </row>
    <row r="12" spans="2:26" x14ac:dyDescent="0.15">
      <c r="B12" s="948"/>
      <c r="C12" s="395"/>
      <c r="D12" s="395"/>
      <c r="E12" s="395"/>
      <c r="F12" s="407"/>
      <c r="G12" s="395"/>
      <c r="H12" s="633"/>
      <c r="I12" s="395">
        <f t="shared" si="4"/>
        <v>0</v>
      </c>
      <c r="J12" s="407"/>
      <c r="K12" s="635"/>
      <c r="L12" s="398">
        <f t="shared" si="2"/>
        <v>0</v>
      </c>
      <c r="M12" s="400">
        <v>0</v>
      </c>
      <c r="N12" s="398">
        <f t="shared" si="0"/>
        <v>0</v>
      </c>
      <c r="O12" s="398"/>
      <c r="P12" s="636" t="str">
        <f t="shared" si="3"/>
        <v/>
      </c>
    </row>
    <row r="13" spans="2:26" x14ac:dyDescent="0.15">
      <c r="B13" s="948"/>
      <c r="C13" s="398"/>
      <c r="D13" s="398"/>
      <c r="E13" s="398"/>
      <c r="F13" s="398"/>
      <c r="G13" s="398"/>
      <c r="H13" s="400"/>
      <c r="I13" s="398">
        <f t="shared" si="4"/>
        <v>0</v>
      </c>
      <c r="J13" s="398"/>
      <c r="K13" s="638"/>
      <c r="L13" s="398">
        <f t="shared" si="2"/>
        <v>0</v>
      </c>
      <c r="M13" s="400">
        <v>0</v>
      </c>
      <c r="N13" s="398">
        <f t="shared" si="0"/>
        <v>0</v>
      </c>
      <c r="O13" s="398"/>
      <c r="P13" s="636" t="str">
        <f t="shared" si="3"/>
        <v/>
      </c>
    </row>
    <row r="14" spans="2:26" x14ac:dyDescent="0.15">
      <c r="B14" s="948"/>
      <c r="C14" s="398"/>
      <c r="D14" s="398"/>
      <c r="E14" s="398"/>
      <c r="F14" s="398"/>
      <c r="G14" s="398"/>
      <c r="H14" s="400"/>
      <c r="I14" s="398">
        <f t="shared" si="4"/>
        <v>0</v>
      </c>
      <c r="J14" s="398"/>
      <c r="K14" s="638"/>
      <c r="L14" s="398">
        <f t="shared" si="2"/>
        <v>0</v>
      </c>
      <c r="M14" s="400">
        <v>0</v>
      </c>
      <c r="N14" s="398">
        <f t="shared" si="0"/>
        <v>0</v>
      </c>
      <c r="O14" s="398"/>
      <c r="P14" s="636" t="str">
        <f t="shared" si="3"/>
        <v/>
      </c>
    </row>
    <row r="15" spans="2:26" x14ac:dyDescent="0.15">
      <c r="B15" s="949"/>
      <c r="C15" s="399" t="s">
        <v>45</v>
      </c>
      <c r="D15" s="398"/>
      <c r="E15" s="398"/>
      <c r="F15" s="639"/>
      <c r="G15" s="398">
        <f>SUM(G5:G14)</f>
        <v>18393750</v>
      </c>
      <c r="H15" s="398"/>
      <c r="I15" s="398">
        <f>SUM(I5:I14)</f>
        <v>18393750</v>
      </c>
      <c r="J15" s="398"/>
      <c r="K15" s="640"/>
      <c r="L15" s="398">
        <f>SUM(L5:L14)</f>
        <v>642487.5</v>
      </c>
      <c r="M15" s="398"/>
      <c r="N15" s="398"/>
      <c r="O15" s="398"/>
      <c r="P15" s="636">
        <f>SUM(P5:P14)</f>
        <v>25699.5</v>
      </c>
      <c r="R15" s="398"/>
    </row>
    <row r="16" spans="2:26" ht="13.5" customHeight="1" x14ac:dyDescent="0.15">
      <c r="B16" s="960" t="s">
        <v>184</v>
      </c>
      <c r="C16" s="395" t="s">
        <v>54</v>
      </c>
      <c r="D16" s="396" t="s">
        <v>604</v>
      </c>
      <c r="E16" s="395">
        <v>1</v>
      </c>
      <c r="F16" s="395" t="s">
        <v>95</v>
      </c>
      <c r="G16" s="395">
        <f>5302000*1.08</f>
        <v>5726160</v>
      </c>
      <c r="H16" s="633">
        <v>0</v>
      </c>
      <c r="I16" s="395">
        <f>G16*(1-H16)*E16</f>
        <v>5726160</v>
      </c>
      <c r="J16" s="634">
        <f>'１　対象経営の概要，２　前提条件'!$N$7</f>
        <v>20</v>
      </c>
      <c r="K16" s="635">
        <f t="shared" ref="K16:K37" si="5">20/30/20</f>
        <v>3.3333333333333333E-2</v>
      </c>
      <c r="L16" s="395">
        <f>I16*K16</f>
        <v>190872</v>
      </c>
      <c r="M16" s="400">
        <v>0</v>
      </c>
      <c r="N16" s="398">
        <f>L16*M16</f>
        <v>0</v>
      </c>
      <c r="O16" s="398">
        <v>7</v>
      </c>
      <c r="P16" s="636">
        <f t="shared" ref="P16:P50" si="6">IF(O16="","",(L16-N16)/O16)</f>
        <v>27267.428571428572</v>
      </c>
    </row>
    <row r="17" spans="2:16" x14ac:dyDescent="0.15">
      <c r="B17" s="948"/>
      <c r="C17" s="396" t="s">
        <v>605</v>
      </c>
      <c r="D17" s="396" t="s">
        <v>606</v>
      </c>
      <c r="E17" s="395">
        <v>0</v>
      </c>
      <c r="F17" s="396" t="s">
        <v>95</v>
      </c>
      <c r="G17" s="395">
        <f>4284000*1.08</f>
        <v>4626720</v>
      </c>
      <c r="H17" s="633">
        <v>0</v>
      </c>
      <c r="I17" s="395">
        <f t="shared" ref="I17:I19" si="7">G17*(1-H17)*E17</f>
        <v>0</v>
      </c>
      <c r="J17" s="634">
        <f>'１　対象経営の概要，２　前提条件'!$N$7</f>
        <v>20</v>
      </c>
      <c r="K17" s="635">
        <f t="shared" si="5"/>
        <v>3.3333333333333333E-2</v>
      </c>
      <c r="L17" s="395">
        <f t="shared" ref="L17:L50" si="8">I17*K17</f>
        <v>0</v>
      </c>
      <c r="M17" s="400">
        <v>0</v>
      </c>
      <c r="N17" s="398">
        <f t="shared" ref="N17:N50" si="9">L17*M17</f>
        <v>0</v>
      </c>
      <c r="O17" s="398">
        <v>7</v>
      </c>
      <c r="P17" s="636">
        <f t="shared" si="6"/>
        <v>0</v>
      </c>
    </row>
    <row r="18" spans="2:16" x14ac:dyDescent="0.15">
      <c r="B18" s="948"/>
      <c r="C18" s="395" t="s">
        <v>55</v>
      </c>
      <c r="D18" s="396" t="s">
        <v>607</v>
      </c>
      <c r="E18" s="395">
        <v>1</v>
      </c>
      <c r="F18" s="395" t="s">
        <v>95</v>
      </c>
      <c r="G18" s="395">
        <f>715000*1.08</f>
        <v>772200</v>
      </c>
      <c r="H18" s="633">
        <v>0</v>
      </c>
      <c r="I18" s="395">
        <f t="shared" si="7"/>
        <v>772200</v>
      </c>
      <c r="J18" s="634">
        <f>'１　対象経営の概要，２　前提条件'!$N$7</f>
        <v>20</v>
      </c>
      <c r="K18" s="635">
        <f t="shared" si="5"/>
        <v>3.3333333333333333E-2</v>
      </c>
      <c r="L18" s="395">
        <f t="shared" si="8"/>
        <v>25740</v>
      </c>
      <c r="M18" s="400">
        <v>0</v>
      </c>
      <c r="N18" s="398">
        <f t="shared" si="9"/>
        <v>0</v>
      </c>
      <c r="O18" s="398">
        <v>7</v>
      </c>
      <c r="P18" s="636">
        <f t="shared" si="6"/>
        <v>3677.1428571428573</v>
      </c>
    </row>
    <row r="19" spans="2:16" x14ac:dyDescent="0.15">
      <c r="B19" s="948"/>
      <c r="C19" s="401" t="s">
        <v>55</v>
      </c>
      <c r="D19" s="402" t="s">
        <v>608</v>
      </c>
      <c r="E19" s="401">
        <v>0</v>
      </c>
      <c r="F19" s="395" t="s">
        <v>95</v>
      </c>
      <c r="G19" s="395">
        <f>540000*1.08</f>
        <v>583200</v>
      </c>
      <c r="H19" s="633">
        <v>0</v>
      </c>
      <c r="I19" s="395">
        <f t="shared" si="7"/>
        <v>0</v>
      </c>
      <c r="J19" s="634">
        <f>'１　対象経営の概要，２　前提条件'!$N$7</f>
        <v>20</v>
      </c>
      <c r="K19" s="635">
        <f>20/20/20</f>
        <v>0.05</v>
      </c>
      <c r="L19" s="395">
        <f t="shared" si="8"/>
        <v>0</v>
      </c>
      <c r="M19" s="400">
        <v>0</v>
      </c>
      <c r="N19" s="398">
        <f t="shared" si="9"/>
        <v>0</v>
      </c>
      <c r="O19" s="398">
        <v>7</v>
      </c>
      <c r="P19" s="636">
        <f t="shared" si="6"/>
        <v>0</v>
      </c>
    </row>
    <row r="20" spans="2:16" x14ac:dyDescent="0.15">
      <c r="B20" s="948"/>
      <c r="C20" s="396" t="s">
        <v>254</v>
      </c>
      <c r="D20" s="396" t="s">
        <v>427</v>
      </c>
      <c r="E20" s="395">
        <v>1</v>
      </c>
      <c r="F20" s="395" t="s">
        <v>95</v>
      </c>
      <c r="G20" s="395">
        <f>3850000*1.08</f>
        <v>4158000.0000000005</v>
      </c>
      <c r="H20" s="633">
        <v>0</v>
      </c>
      <c r="I20" s="395">
        <f t="shared" ref="I20:I34" si="10">G20*(1-H20)*E20</f>
        <v>4158000.0000000005</v>
      </c>
      <c r="J20" s="634">
        <f>'１　対象経営の概要，２　前提条件'!$N$7</f>
        <v>20</v>
      </c>
      <c r="K20" s="635">
        <f t="shared" ref="K20:K23" si="11">20/20/20</f>
        <v>0.05</v>
      </c>
      <c r="L20" s="395">
        <f t="shared" si="8"/>
        <v>207900.00000000003</v>
      </c>
      <c r="M20" s="400">
        <v>0</v>
      </c>
      <c r="N20" s="398">
        <f t="shared" si="9"/>
        <v>0</v>
      </c>
      <c r="O20" s="398">
        <v>7</v>
      </c>
      <c r="P20" s="636">
        <f t="shared" si="6"/>
        <v>29700.000000000004</v>
      </c>
    </row>
    <row r="21" spans="2:16" x14ac:dyDescent="0.15">
      <c r="B21" s="948"/>
      <c r="C21" s="396" t="s">
        <v>254</v>
      </c>
      <c r="D21" s="396" t="s">
        <v>255</v>
      </c>
      <c r="E21" s="395">
        <v>0</v>
      </c>
      <c r="F21" s="395" t="s">
        <v>95</v>
      </c>
      <c r="G21" s="395">
        <v>0</v>
      </c>
      <c r="H21" s="633">
        <v>0</v>
      </c>
      <c r="I21" s="395">
        <f t="shared" si="10"/>
        <v>0</v>
      </c>
      <c r="J21" s="634">
        <f>'１　対象経営の概要，２　前提条件'!$N$7</f>
        <v>20</v>
      </c>
      <c r="K21" s="635">
        <f t="shared" si="11"/>
        <v>0.05</v>
      </c>
      <c r="L21" s="395">
        <f t="shared" si="8"/>
        <v>0</v>
      </c>
      <c r="M21" s="400">
        <v>0</v>
      </c>
      <c r="N21" s="398">
        <f t="shared" si="9"/>
        <v>0</v>
      </c>
      <c r="O21" s="398">
        <v>7</v>
      </c>
      <c r="P21" s="636">
        <f t="shared" si="6"/>
        <v>0</v>
      </c>
    </row>
    <row r="22" spans="2:16" x14ac:dyDescent="0.15">
      <c r="B22" s="948"/>
      <c r="C22" s="395" t="s">
        <v>56</v>
      </c>
      <c r="D22" s="396" t="s">
        <v>428</v>
      </c>
      <c r="E22" s="395">
        <v>1</v>
      </c>
      <c r="F22" s="396" t="s">
        <v>95</v>
      </c>
      <c r="G22" s="395">
        <f>9850000*1.08</f>
        <v>10638000</v>
      </c>
      <c r="H22" s="633">
        <v>0</v>
      </c>
      <c r="I22" s="395">
        <f t="shared" si="10"/>
        <v>10638000</v>
      </c>
      <c r="J22" s="634">
        <f>'１　対象経営の概要，２　前提条件'!$N$7</f>
        <v>20</v>
      </c>
      <c r="K22" s="635">
        <f t="shared" si="11"/>
        <v>0.05</v>
      </c>
      <c r="L22" s="395">
        <f>I22*K22</f>
        <v>531900</v>
      </c>
      <c r="M22" s="400">
        <v>0</v>
      </c>
      <c r="N22" s="398">
        <f t="shared" si="9"/>
        <v>0</v>
      </c>
      <c r="O22" s="398">
        <v>7</v>
      </c>
      <c r="P22" s="636">
        <f>IF(O22="","",(L22-N22)/O22)</f>
        <v>75985.71428571429</v>
      </c>
    </row>
    <row r="23" spans="2:16" x14ac:dyDescent="0.15">
      <c r="B23" s="948"/>
      <c r="C23" s="395" t="s">
        <v>56</v>
      </c>
      <c r="D23" s="396" t="s">
        <v>317</v>
      </c>
      <c r="E23" s="395">
        <v>0</v>
      </c>
      <c r="F23" s="396" t="s">
        <v>95</v>
      </c>
      <c r="G23" s="395">
        <v>0</v>
      </c>
      <c r="H23" s="633">
        <v>0</v>
      </c>
      <c r="I23" s="395">
        <f t="shared" si="10"/>
        <v>0</v>
      </c>
      <c r="J23" s="634">
        <f>'１　対象経営の概要，２　前提条件'!$N$7</f>
        <v>20</v>
      </c>
      <c r="K23" s="635">
        <f t="shared" si="11"/>
        <v>0.05</v>
      </c>
      <c r="L23" s="395">
        <f t="shared" ref="L23:L24" si="12">I23*K23</f>
        <v>0</v>
      </c>
      <c r="M23" s="400">
        <v>0</v>
      </c>
      <c r="N23" s="398">
        <f t="shared" si="9"/>
        <v>0</v>
      </c>
      <c r="O23" s="398">
        <v>7</v>
      </c>
      <c r="P23" s="636">
        <f t="shared" ref="P23:P24" si="13">IF(O23="","",(L23-N23)/O23)</f>
        <v>0</v>
      </c>
    </row>
    <row r="24" spans="2:16" x14ac:dyDescent="0.15">
      <c r="B24" s="948"/>
      <c r="C24" s="396" t="s">
        <v>256</v>
      </c>
      <c r="D24" s="396" t="s">
        <v>263</v>
      </c>
      <c r="E24" s="395">
        <v>1</v>
      </c>
      <c r="F24" s="396" t="s">
        <v>95</v>
      </c>
      <c r="G24" s="395">
        <f>3500000*1.08</f>
        <v>3780000.0000000005</v>
      </c>
      <c r="H24" s="633">
        <v>0</v>
      </c>
      <c r="I24" s="395">
        <f t="shared" si="10"/>
        <v>3780000.0000000005</v>
      </c>
      <c r="J24" s="634">
        <f>'１　対象経営の概要，２　前提条件'!$N$7</f>
        <v>20</v>
      </c>
      <c r="K24" s="635">
        <f t="shared" si="5"/>
        <v>3.3333333333333333E-2</v>
      </c>
      <c r="L24" s="395">
        <f t="shared" si="12"/>
        <v>126000.00000000001</v>
      </c>
      <c r="M24" s="400">
        <v>0</v>
      </c>
      <c r="N24" s="398">
        <f t="shared" si="9"/>
        <v>0</v>
      </c>
      <c r="O24" s="398">
        <v>7</v>
      </c>
      <c r="P24" s="636">
        <f t="shared" si="13"/>
        <v>18000.000000000004</v>
      </c>
    </row>
    <row r="25" spans="2:16" x14ac:dyDescent="0.15">
      <c r="B25" s="948"/>
      <c r="C25" s="403" t="s">
        <v>609</v>
      </c>
      <c r="D25" s="404" t="s">
        <v>610</v>
      </c>
      <c r="E25" s="395">
        <v>1</v>
      </c>
      <c r="F25" s="396" t="s">
        <v>95</v>
      </c>
      <c r="G25" s="395">
        <f>281000*1.08</f>
        <v>303480</v>
      </c>
      <c r="H25" s="633">
        <v>0</v>
      </c>
      <c r="I25" s="395">
        <f t="shared" si="10"/>
        <v>303480</v>
      </c>
      <c r="J25" s="634">
        <f>'１　対象経営の概要，２　前提条件'!$N$7</f>
        <v>20</v>
      </c>
      <c r="K25" s="635">
        <f t="shared" si="5"/>
        <v>3.3333333333333333E-2</v>
      </c>
      <c r="L25" s="395">
        <f t="shared" si="8"/>
        <v>10116</v>
      </c>
      <c r="M25" s="400">
        <v>0</v>
      </c>
      <c r="N25" s="398">
        <f t="shared" si="9"/>
        <v>0</v>
      </c>
      <c r="O25" s="398">
        <v>7</v>
      </c>
      <c r="P25" s="636">
        <f t="shared" si="6"/>
        <v>1445.1428571428571</v>
      </c>
    </row>
    <row r="26" spans="2:16" x14ac:dyDescent="0.15">
      <c r="B26" s="948"/>
      <c r="C26" s="396" t="s">
        <v>258</v>
      </c>
      <c r="D26" s="403" t="s">
        <v>429</v>
      </c>
      <c r="E26" s="395">
        <v>1</v>
      </c>
      <c r="F26" s="396" t="s">
        <v>95</v>
      </c>
      <c r="G26" s="395">
        <f>273000*1.08</f>
        <v>294840</v>
      </c>
      <c r="H26" s="633">
        <v>0</v>
      </c>
      <c r="I26" s="395">
        <f t="shared" si="10"/>
        <v>294840</v>
      </c>
      <c r="J26" s="634">
        <f>'１　対象経営の概要，２　前提条件'!$N$7</f>
        <v>20</v>
      </c>
      <c r="K26" s="635">
        <f t="shared" ref="K26:K31" si="14">20/20/20</f>
        <v>0.05</v>
      </c>
      <c r="L26" s="395">
        <f t="shared" si="8"/>
        <v>14742</v>
      </c>
      <c r="M26" s="400">
        <v>0</v>
      </c>
      <c r="N26" s="398">
        <f t="shared" si="9"/>
        <v>0</v>
      </c>
      <c r="O26" s="398">
        <v>7</v>
      </c>
      <c r="P26" s="636">
        <f t="shared" si="6"/>
        <v>2106</v>
      </c>
    </row>
    <row r="27" spans="2:16" x14ac:dyDescent="0.15">
      <c r="B27" s="948"/>
      <c r="C27" s="396" t="s">
        <v>259</v>
      </c>
      <c r="D27" s="405" t="s">
        <v>430</v>
      </c>
      <c r="E27" s="395">
        <v>1</v>
      </c>
      <c r="F27" s="396" t="s">
        <v>95</v>
      </c>
      <c r="G27" s="395">
        <f>339000*1.08</f>
        <v>366120</v>
      </c>
      <c r="H27" s="633">
        <v>0</v>
      </c>
      <c r="I27" s="395">
        <f t="shared" si="10"/>
        <v>366120</v>
      </c>
      <c r="J27" s="634">
        <f>'１　対象経営の概要，２　前提条件'!$N$7</f>
        <v>20</v>
      </c>
      <c r="K27" s="635">
        <f t="shared" si="14"/>
        <v>0.05</v>
      </c>
      <c r="L27" s="395">
        <f t="shared" si="8"/>
        <v>18306</v>
      </c>
      <c r="M27" s="400">
        <v>0</v>
      </c>
      <c r="N27" s="398">
        <f t="shared" si="9"/>
        <v>0</v>
      </c>
      <c r="O27" s="398">
        <v>7</v>
      </c>
      <c r="P27" s="636">
        <f t="shared" si="6"/>
        <v>2615.1428571428573</v>
      </c>
    </row>
    <row r="28" spans="2:16" x14ac:dyDescent="0.15">
      <c r="B28" s="948"/>
      <c r="C28" s="396" t="s">
        <v>260</v>
      </c>
      <c r="D28" s="403" t="s">
        <v>611</v>
      </c>
      <c r="E28" s="395">
        <v>1</v>
      </c>
      <c r="F28" s="396" t="s">
        <v>95</v>
      </c>
      <c r="G28" s="395">
        <f>583000*1.08*E28</f>
        <v>629640</v>
      </c>
      <c r="H28" s="633">
        <v>0</v>
      </c>
      <c r="I28" s="395">
        <f t="shared" si="10"/>
        <v>629640</v>
      </c>
      <c r="J28" s="634">
        <f>'１　対象経営の概要，２　前提条件'!$N$7</f>
        <v>20</v>
      </c>
      <c r="K28" s="635">
        <f t="shared" si="14"/>
        <v>0.05</v>
      </c>
      <c r="L28" s="395">
        <f t="shared" si="8"/>
        <v>31482</v>
      </c>
      <c r="M28" s="400">
        <v>0</v>
      </c>
      <c r="N28" s="398">
        <f t="shared" si="9"/>
        <v>0</v>
      </c>
      <c r="O28" s="398">
        <v>7</v>
      </c>
      <c r="P28" s="636">
        <f t="shared" si="6"/>
        <v>4497.4285714285716</v>
      </c>
    </row>
    <row r="29" spans="2:16" x14ac:dyDescent="0.15">
      <c r="B29" s="948"/>
      <c r="C29" s="396" t="s">
        <v>261</v>
      </c>
      <c r="D29" s="395"/>
      <c r="E29" s="396">
        <v>0</v>
      </c>
      <c r="F29" s="396" t="s">
        <v>95</v>
      </c>
      <c r="G29" s="395">
        <v>224532</v>
      </c>
      <c r="H29" s="633">
        <v>0</v>
      </c>
      <c r="I29" s="395">
        <f t="shared" si="10"/>
        <v>0</v>
      </c>
      <c r="J29" s="634">
        <f>'１　対象経営の概要，２　前提条件'!$N$7</f>
        <v>20</v>
      </c>
      <c r="K29" s="635">
        <f t="shared" si="14"/>
        <v>0.05</v>
      </c>
      <c r="L29" s="395">
        <f t="shared" si="8"/>
        <v>0</v>
      </c>
      <c r="M29" s="400">
        <v>0</v>
      </c>
      <c r="N29" s="398">
        <f t="shared" si="9"/>
        <v>0</v>
      </c>
      <c r="O29" s="398">
        <v>7</v>
      </c>
      <c r="P29" s="636">
        <f t="shared" si="6"/>
        <v>0</v>
      </c>
    </row>
    <row r="30" spans="2:16" x14ac:dyDescent="0.15">
      <c r="B30" s="948"/>
      <c r="C30" s="396" t="s">
        <v>315</v>
      </c>
      <c r="D30" s="403" t="s">
        <v>431</v>
      </c>
      <c r="E30" s="395">
        <v>0</v>
      </c>
      <c r="F30" s="396" t="s">
        <v>95</v>
      </c>
      <c r="G30" s="395">
        <f>476000*1.08</f>
        <v>514080.00000000006</v>
      </c>
      <c r="H30" s="633">
        <v>0</v>
      </c>
      <c r="I30" s="395">
        <f t="shared" si="10"/>
        <v>0</v>
      </c>
      <c r="J30" s="634">
        <f>'１　対象経営の概要，２　前提条件'!$N$7</f>
        <v>20</v>
      </c>
      <c r="K30" s="635">
        <f t="shared" si="14"/>
        <v>0.05</v>
      </c>
      <c r="L30" s="395">
        <f t="shared" si="8"/>
        <v>0</v>
      </c>
      <c r="M30" s="400">
        <v>0</v>
      </c>
      <c r="N30" s="398">
        <f t="shared" si="9"/>
        <v>0</v>
      </c>
      <c r="O30" s="398">
        <v>7</v>
      </c>
      <c r="P30" s="636">
        <f t="shared" si="6"/>
        <v>0</v>
      </c>
    </row>
    <row r="31" spans="2:16" x14ac:dyDescent="0.15">
      <c r="B31" s="948"/>
      <c r="C31" s="396" t="s">
        <v>432</v>
      </c>
      <c r="D31" s="396" t="s">
        <v>433</v>
      </c>
      <c r="E31" s="395">
        <v>2620</v>
      </c>
      <c r="F31" s="396" t="s">
        <v>434</v>
      </c>
      <c r="G31" s="395">
        <f>450*1.08*E31</f>
        <v>1273320.0000000002</v>
      </c>
      <c r="H31" s="633">
        <v>0</v>
      </c>
      <c r="I31" s="395">
        <f>G31*(1-H31)</f>
        <v>1273320.0000000002</v>
      </c>
      <c r="J31" s="634">
        <f>'１　対象経営の概要，２　前提条件'!$N$7</f>
        <v>20</v>
      </c>
      <c r="K31" s="635">
        <f t="shared" si="14"/>
        <v>0.05</v>
      </c>
      <c r="L31" s="395">
        <f t="shared" si="8"/>
        <v>63666.000000000015</v>
      </c>
      <c r="M31" s="400">
        <v>0</v>
      </c>
      <c r="N31" s="398">
        <f t="shared" si="9"/>
        <v>0</v>
      </c>
      <c r="O31" s="398">
        <v>7</v>
      </c>
      <c r="P31" s="636">
        <f t="shared" si="6"/>
        <v>9095.1428571428587</v>
      </c>
    </row>
    <row r="32" spans="2:16" x14ac:dyDescent="0.15">
      <c r="B32" s="948"/>
      <c r="C32" s="396" t="s">
        <v>314</v>
      </c>
      <c r="D32" s="396" t="s">
        <v>316</v>
      </c>
      <c r="E32" s="395">
        <v>1</v>
      </c>
      <c r="F32" s="396" t="s">
        <v>95</v>
      </c>
      <c r="G32" s="395">
        <f>13888889*1.08</f>
        <v>15000000.120000001</v>
      </c>
      <c r="H32" s="633">
        <v>0</v>
      </c>
      <c r="I32" s="395">
        <f t="shared" si="10"/>
        <v>15000000.120000001</v>
      </c>
      <c r="J32" s="634">
        <f>'１　対象経営の概要，２　前提条件'!$N$7</f>
        <v>20</v>
      </c>
      <c r="K32" s="635">
        <f t="shared" si="5"/>
        <v>3.3333333333333333E-2</v>
      </c>
      <c r="L32" s="395">
        <f t="shared" si="8"/>
        <v>500000.00400000002</v>
      </c>
      <c r="M32" s="400">
        <v>0</v>
      </c>
      <c r="N32" s="398">
        <f t="shared" si="9"/>
        <v>0</v>
      </c>
      <c r="O32" s="398">
        <v>7</v>
      </c>
      <c r="P32" s="636">
        <f t="shared" si="6"/>
        <v>71428.572</v>
      </c>
    </row>
    <row r="33" spans="2:16" x14ac:dyDescent="0.15">
      <c r="B33" s="948"/>
      <c r="C33" s="404" t="s">
        <v>99</v>
      </c>
      <c r="D33" s="395"/>
      <c r="E33" s="395">
        <v>0</v>
      </c>
      <c r="F33" s="396" t="s">
        <v>95</v>
      </c>
      <c r="G33" s="395">
        <f>268000*1.08</f>
        <v>289440</v>
      </c>
      <c r="H33" s="633">
        <v>0</v>
      </c>
      <c r="I33" s="395">
        <f t="shared" si="10"/>
        <v>0</v>
      </c>
      <c r="J33" s="634">
        <f>'１　対象経営の概要，２　前提条件'!$N$7</f>
        <v>20</v>
      </c>
      <c r="K33" s="635">
        <f t="shared" si="5"/>
        <v>3.3333333333333333E-2</v>
      </c>
      <c r="L33" s="395">
        <f t="shared" si="8"/>
        <v>0</v>
      </c>
      <c r="M33" s="400">
        <v>0</v>
      </c>
      <c r="N33" s="398">
        <f t="shared" si="9"/>
        <v>0</v>
      </c>
      <c r="O33" s="398">
        <v>7</v>
      </c>
      <c r="P33" s="636">
        <f t="shared" si="6"/>
        <v>0</v>
      </c>
    </row>
    <row r="34" spans="2:16" x14ac:dyDescent="0.15">
      <c r="B34" s="948"/>
      <c r="C34" s="395" t="s">
        <v>278</v>
      </c>
      <c r="D34" s="404" t="s">
        <v>435</v>
      </c>
      <c r="E34" s="406">
        <v>0</v>
      </c>
      <c r="F34" s="396" t="s">
        <v>95</v>
      </c>
      <c r="G34" s="395">
        <f>913000*1.08</f>
        <v>986040.00000000012</v>
      </c>
      <c r="H34" s="633">
        <v>0</v>
      </c>
      <c r="I34" s="395">
        <f t="shared" si="10"/>
        <v>0</v>
      </c>
      <c r="J34" s="634">
        <f>'１　対象経営の概要，２　前提条件'!$N$7</f>
        <v>20</v>
      </c>
      <c r="K34" s="635">
        <f t="shared" si="5"/>
        <v>3.3333333333333333E-2</v>
      </c>
      <c r="L34" s="395">
        <f t="shared" si="8"/>
        <v>0</v>
      </c>
      <c r="M34" s="400">
        <v>0</v>
      </c>
      <c r="N34" s="398">
        <f t="shared" si="9"/>
        <v>0</v>
      </c>
      <c r="O34" s="398">
        <v>7</v>
      </c>
      <c r="P34" s="636">
        <f t="shared" si="6"/>
        <v>0</v>
      </c>
    </row>
    <row r="35" spans="2:16" x14ac:dyDescent="0.15">
      <c r="B35" s="948"/>
      <c r="C35" s="396" t="s">
        <v>277</v>
      </c>
      <c r="D35" s="395"/>
      <c r="E35" s="406">
        <v>1</v>
      </c>
      <c r="F35" s="396" t="s">
        <v>95</v>
      </c>
      <c r="G35" s="395">
        <v>500000</v>
      </c>
      <c r="H35" s="633">
        <v>0</v>
      </c>
      <c r="I35" s="395">
        <f>G35*(1-H35)*E35</f>
        <v>500000</v>
      </c>
      <c r="J35" s="634">
        <f>'１　対象経営の概要，２　前提条件'!$N$7</f>
        <v>20</v>
      </c>
      <c r="K35" s="635">
        <f t="shared" si="5"/>
        <v>3.3333333333333333E-2</v>
      </c>
      <c r="L35" s="395">
        <f t="shared" si="8"/>
        <v>16666.666666666668</v>
      </c>
      <c r="M35" s="400">
        <v>0</v>
      </c>
      <c r="N35" s="398">
        <f t="shared" si="9"/>
        <v>0</v>
      </c>
      <c r="O35" s="398">
        <v>7</v>
      </c>
      <c r="P35" s="636">
        <f t="shared" si="6"/>
        <v>2380.9523809523812</v>
      </c>
    </row>
    <row r="36" spans="2:16" x14ac:dyDescent="0.15">
      <c r="B36" s="948"/>
      <c r="C36" s="396" t="s">
        <v>234</v>
      </c>
      <c r="D36" s="396" t="s">
        <v>612</v>
      </c>
      <c r="E36" s="395">
        <v>1</v>
      </c>
      <c r="F36" s="396" t="s">
        <v>95</v>
      </c>
      <c r="G36" s="395">
        <v>1500000</v>
      </c>
      <c r="H36" s="633">
        <v>0</v>
      </c>
      <c r="I36" s="395">
        <f>G36*(1-H36)*E36</f>
        <v>1500000</v>
      </c>
      <c r="J36" s="634">
        <f>'１　対象経営の概要，２　前提条件'!$N$7</f>
        <v>20</v>
      </c>
      <c r="K36" s="635">
        <f t="shared" si="5"/>
        <v>3.3333333333333333E-2</v>
      </c>
      <c r="L36" s="395">
        <f t="shared" si="8"/>
        <v>50000</v>
      </c>
      <c r="M36" s="400">
        <v>0</v>
      </c>
      <c r="N36" s="398">
        <f t="shared" si="9"/>
        <v>0</v>
      </c>
      <c r="O36" s="398">
        <v>7</v>
      </c>
      <c r="P36" s="636">
        <f t="shared" si="6"/>
        <v>7142.8571428571431</v>
      </c>
    </row>
    <row r="37" spans="2:16" x14ac:dyDescent="0.15">
      <c r="B37" s="948"/>
      <c r="C37" s="396" t="s">
        <v>230</v>
      </c>
      <c r="D37" s="407"/>
      <c r="E37" s="395">
        <v>1</v>
      </c>
      <c r="F37" s="396" t="s">
        <v>95</v>
      </c>
      <c r="G37" s="395">
        <v>920000</v>
      </c>
      <c r="H37" s="633">
        <v>0</v>
      </c>
      <c r="I37" s="395">
        <f t="shared" ref="I37:I47" si="15">G37*(1-H37)</f>
        <v>920000</v>
      </c>
      <c r="J37" s="634">
        <f>'１　対象経営の概要，２　前提条件'!$N$7</f>
        <v>20</v>
      </c>
      <c r="K37" s="635">
        <f t="shared" si="5"/>
        <v>3.3333333333333333E-2</v>
      </c>
      <c r="L37" s="395">
        <f t="shared" si="8"/>
        <v>30666.666666666668</v>
      </c>
      <c r="M37" s="400">
        <v>0</v>
      </c>
      <c r="N37" s="398">
        <f t="shared" si="9"/>
        <v>0</v>
      </c>
      <c r="O37" s="398">
        <v>7</v>
      </c>
      <c r="P37" s="636">
        <f t="shared" si="6"/>
        <v>4380.9523809523807</v>
      </c>
    </row>
    <row r="38" spans="2:16" x14ac:dyDescent="0.15">
      <c r="B38" s="948"/>
      <c r="C38" s="396"/>
      <c r="D38" s="395"/>
      <c r="E38" s="395"/>
      <c r="F38" s="396" t="s">
        <v>95</v>
      </c>
      <c r="G38" s="395"/>
      <c r="H38" s="633">
        <v>0</v>
      </c>
      <c r="I38" s="395">
        <f t="shared" si="15"/>
        <v>0</v>
      </c>
      <c r="J38" s="634"/>
      <c r="K38" s="635"/>
      <c r="L38" s="395">
        <f t="shared" si="8"/>
        <v>0</v>
      </c>
      <c r="M38" s="400">
        <v>0</v>
      </c>
      <c r="N38" s="398">
        <f t="shared" si="9"/>
        <v>0</v>
      </c>
      <c r="O38" s="398">
        <v>7</v>
      </c>
      <c r="P38" s="636">
        <f t="shared" si="6"/>
        <v>0</v>
      </c>
    </row>
    <row r="39" spans="2:16" x14ac:dyDescent="0.15">
      <c r="B39" s="948"/>
      <c r="C39" s="396"/>
      <c r="D39" s="395"/>
      <c r="E39" s="395"/>
      <c r="F39" s="396" t="s">
        <v>95</v>
      </c>
      <c r="G39" s="395"/>
      <c r="H39" s="633">
        <v>0</v>
      </c>
      <c r="I39" s="395">
        <f t="shared" si="15"/>
        <v>0</v>
      </c>
      <c r="J39" s="396"/>
      <c r="K39" s="635"/>
      <c r="L39" s="395">
        <f t="shared" si="8"/>
        <v>0</v>
      </c>
      <c r="M39" s="400">
        <v>0</v>
      </c>
      <c r="N39" s="398">
        <f t="shared" si="9"/>
        <v>0</v>
      </c>
      <c r="O39" s="398">
        <v>7</v>
      </c>
      <c r="P39" s="636">
        <f t="shared" si="6"/>
        <v>0</v>
      </c>
    </row>
    <row r="40" spans="2:16" x14ac:dyDescent="0.15">
      <c r="B40" s="948"/>
      <c r="C40" s="396"/>
      <c r="D40" s="395"/>
      <c r="E40" s="395"/>
      <c r="F40" s="395"/>
      <c r="G40" s="395"/>
      <c r="H40" s="633">
        <v>0</v>
      </c>
      <c r="I40" s="395">
        <f t="shared" si="15"/>
        <v>0</v>
      </c>
      <c r="J40" s="396"/>
      <c r="K40" s="635"/>
      <c r="L40" s="395">
        <f t="shared" si="8"/>
        <v>0</v>
      </c>
      <c r="M40" s="400">
        <v>0</v>
      </c>
      <c r="N40" s="398">
        <f t="shared" si="9"/>
        <v>0</v>
      </c>
      <c r="O40" s="398">
        <v>7</v>
      </c>
      <c r="P40" s="636">
        <f t="shared" si="6"/>
        <v>0</v>
      </c>
    </row>
    <row r="41" spans="2:16" x14ac:dyDescent="0.15">
      <c r="B41" s="948"/>
      <c r="C41" s="396"/>
      <c r="D41" s="395"/>
      <c r="E41" s="395"/>
      <c r="F41" s="396"/>
      <c r="G41" s="395"/>
      <c r="H41" s="633">
        <v>0</v>
      </c>
      <c r="I41" s="395">
        <f t="shared" si="15"/>
        <v>0</v>
      </c>
      <c r="J41" s="396"/>
      <c r="K41" s="635"/>
      <c r="L41" s="395">
        <f t="shared" si="8"/>
        <v>0</v>
      </c>
      <c r="M41" s="400">
        <v>0</v>
      </c>
      <c r="N41" s="398">
        <f t="shared" si="9"/>
        <v>0</v>
      </c>
      <c r="O41" s="398">
        <v>7</v>
      </c>
      <c r="P41" s="636">
        <f t="shared" si="6"/>
        <v>0</v>
      </c>
    </row>
    <row r="42" spans="2:16" x14ac:dyDescent="0.15">
      <c r="B42" s="948"/>
      <c r="C42" s="396"/>
      <c r="D42" s="395"/>
      <c r="E42" s="395"/>
      <c r="F42" s="396"/>
      <c r="G42" s="395"/>
      <c r="H42" s="633">
        <v>0</v>
      </c>
      <c r="I42" s="395">
        <f t="shared" si="15"/>
        <v>0</v>
      </c>
      <c r="J42" s="396"/>
      <c r="K42" s="635"/>
      <c r="L42" s="395">
        <f t="shared" si="8"/>
        <v>0</v>
      </c>
      <c r="M42" s="400">
        <v>0</v>
      </c>
      <c r="N42" s="398">
        <f t="shared" si="9"/>
        <v>0</v>
      </c>
      <c r="O42" s="398">
        <v>7</v>
      </c>
      <c r="P42" s="636">
        <f t="shared" si="6"/>
        <v>0</v>
      </c>
    </row>
    <row r="43" spans="2:16" x14ac:dyDescent="0.15">
      <c r="B43" s="948"/>
      <c r="C43" s="395"/>
      <c r="D43" s="395"/>
      <c r="E43" s="395"/>
      <c r="F43" s="396"/>
      <c r="G43" s="395"/>
      <c r="H43" s="633">
        <v>0</v>
      </c>
      <c r="I43" s="395">
        <f t="shared" si="15"/>
        <v>0</v>
      </c>
      <c r="J43" s="396"/>
      <c r="K43" s="635"/>
      <c r="L43" s="395">
        <f t="shared" si="8"/>
        <v>0</v>
      </c>
      <c r="M43" s="400">
        <v>0</v>
      </c>
      <c r="N43" s="398">
        <f t="shared" si="9"/>
        <v>0</v>
      </c>
      <c r="O43" s="398">
        <v>7</v>
      </c>
      <c r="P43" s="636">
        <f t="shared" si="6"/>
        <v>0</v>
      </c>
    </row>
    <row r="44" spans="2:16" x14ac:dyDescent="0.15">
      <c r="B44" s="948"/>
      <c r="C44" s="396"/>
      <c r="D44" s="395"/>
      <c r="E44" s="395"/>
      <c r="F44" s="396"/>
      <c r="G44" s="395"/>
      <c r="H44" s="633">
        <v>0</v>
      </c>
      <c r="I44" s="395">
        <f t="shared" si="15"/>
        <v>0</v>
      </c>
      <c r="J44" s="396"/>
      <c r="K44" s="635"/>
      <c r="L44" s="395">
        <f t="shared" si="8"/>
        <v>0</v>
      </c>
      <c r="M44" s="400">
        <v>0</v>
      </c>
      <c r="N44" s="398">
        <f t="shared" si="9"/>
        <v>0</v>
      </c>
      <c r="O44" s="398">
        <v>7</v>
      </c>
      <c r="P44" s="636">
        <f t="shared" si="6"/>
        <v>0</v>
      </c>
    </row>
    <row r="45" spans="2:16" x14ac:dyDescent="0.15">
      <c r="B45" s="948"/>
      <c r="C45" s="396"/>
      <c r="D45" s="395"/>
      <c r="E45" s="395"/>
      <c r="F45" s="396"/>
      <c r="G45" s="395"/>
      <c r="H45" s="633">
        <v>0</v>
      </c>
      <c r="I45" s="395">
        <f t="shared" si="15"/>
        <v>0</v>
      </c>
      <c r="J45" s="396"/>
      <c r="K45" s="635"/>
      <c r="L45" s="395">
        <f t="shared" si="8"/>
        <v>0</v>
      </c>
      <c r="M45" s="400">
        <v>0</v>
      </c>
      <c r="N45" s="398">
        <f t="shared" si="9"/>
        <v>0</v>
      </c>
      <c r="O45" s="398">
        <v>7</v>
      </c>
      <c r="P45" s="636">
        <f t="shared" si="6"/>
        <v>0</v>
      </c>
    </row>
    <row r="46" spans="2:16" x14ac:dyDescent="0.15">
      <c r="B46" s="948"/>
      <c r="C46" s="641"/>
      <c r="D46" s="396"/>
      <c r="E46" s="641"/>
      <c r="F46" s="396"/>
      <c r="G46" s="395"/>
      <c r="H46" s="633">
        <v>0</v>
      </c>
      <c r="I46" s="395">
        <f t="shared" si="15"/>
        <v>0</v>
      </c>
      <c r="J46" s="396"/>
      <c r="K46" s="635"/>
      <c r="L46" s="395">
        <f t="shared" si="8"/>
        <v>0</v>
      </c>
      <c r="M46" s="400">
        <v>0</v>
      </c>
      <c r="N46" s="398">
        <f t="shared" si="9"/>
        <v>0</v>
      </c>
      <c r="O46" s="398">
        <v>7</v>
      </c>
      <c r="P46" s="636">
        <f t="shared" si="6"/>
        <v>0</v>
      </c>
    </row>
    <row r="47" spans="2:16" x14ac:dyDescent="0.15">
      <c r="B47" s="948"/>
      <c r="C47" s="641"/>
      <c r="D47" s="407"/>
      <c r="E47" s="641"/>
      <c r="F47" s="396"/>
      <c r="G47" s="395"/>
      <c r="H47" s="633">
        <v>0</v>
      </c>
      <c r="I47" s="395">
        <f t="shared" si="15"/>
        <v>0</v>
      </c>
      <c r="J47" s="396"/>
      <c r="K47" s="635"/>
      <c r="L47" s="395">
        <f t="shared" si="8"/>
        <v>0</v>
      </c>
      <c r="M47" s="400">
        <v>0</v>
      </c>
      <c r="N47" s="398">
        <f t="shared" si="9"/>
        <v>0</v>
      </c>
      <c r="O47" s="398">
        <v>7</v>
      </c>
      <c r="P47" s="636">
        <f t="shared" si="6"/>
        <v>0</v>
      </c>
    </row>
    <row r="48" spans="2:16" x14ac:dyDescent="0.15">
      <c r="B48" s="948"/>
      <c r="C48" s="641"/>
      <c r="D48" s="407"/>
      <c r="E48" s="641"/>
      <c r="F48" s="396"/>
      <c r="G48" s="395"/>
      <c r="H48" s="633"/>
      <c r="I48" s="395"/>
      <c r="J48" s="396"/>
      <c r="K48" s="635"/>
      <c r="L48" s="395"/>
      <c r="M48" s="400"/>
      <c r="N48" s="398"/>
      <c r="O48" s="398"/>
      <c r="P48" s="636"/>
    </row>
    <row r="49" spans="2:18" x14ac:dyDescent="0.15">
      <c r="B49" s="948"/>
      <c r="C49" s="395"/>
      <c r="D49" s="407"/>
      <c r="E49" s="395"/>
      <c r="F49" s="395"/>
      <c r="G49" s="395"/>
      <c r="H49" s="633">
        <v>0</v>
      </c>
      <c r="I49" s="395">
        <f t="shared" ref="I49:I50" si="16">G49*(1-H49)</f>
        <v>0</v>
      </c>
      <c r="J49" s="407"/>
      <c r="K49" s="635"/>
      <c r="L49" s="395">
        <f t="shared" si="8"/>
        <v>0</v>
      </c>
      <c r="M49" s="400">
        <v>0</v>
      </c>
      <c r="N49" s="398">
        <f t="shared" si="9"/>
        <v>0</v>
      </c>
      <c r="O49" s="398">
        <v>7</v>
      </c>
      <c r="P49" s="636">
        <f t="shared" si="6"/>
        <v>0</v>
      </c>
    </row>
    <row r="50" spans="2:18" x14ac:dyDescent="0.15">
      <c r="B50" s="948"/>
      <c r="C50" s="395"/>
      <c r="D50" s="407"/>
      <c r="E50" s="395"/>
      <c r="F50" s="395"/>
      <c r="G50" s="395"/>
      <c r="H50" s="633">
        <v>0</v>
      </c>
      <c r="I50" s="395">
        <f t="shared" si="16"/>
        <v>0</v>
      </c>
      <c r="J50" s="407"/>
      <c r="K50" s="635"/>
      <c r="L50" s="395">
        <f t="shared" si="8"/>
        <v>0</v>
      </c>
      <c r="M50" s="400">
        <v>0</v>
      </c>
      <c r="N50" s="398">
        <f t="shared" si="9"/>
        <v>0</v>
      </c>
      <c r="O50" s="398">
        <v>7</v>
      </c>
      <c r="P50" s="636">
        <f t="shared" si="6"/>
        <v>0</v>
      </c>
    </row>
    <row r="51" spans="2:18" x14ac:dyDescent="0.15">
      <c r="B51" s="949"/>
      <c r="C51" s="395" t="s">
        <v>46</v>
      </c>
      <c r="D51" s="395"/>
      <c r="E51" s="395"/>
      <c r="F51" s="637"/>
      <c r="G51" s="395">
        <f>SUM(G16:G47)</f>
        <v>53085772.120000005</v>
      </c>
      <c r="H51" s="395"/>
      <c r="I51" s="395">
        <f>SUM(I16:I47)</f>
        <v>45861760.120000005</v>
      </c>
      <c r="J51" s="395"/>
      <c r="K51" s="642"/>
      <c r="L51" s="395">
        <f>SUM(L16:L47)</f>
        <v>1818057.3373333334</v>
      </c>
      <c r="M51" s="398"/>
      <c r="N51" s="398"/>
      <c r="O51" s="398"/>
      <c r="P51" s="636">
        <f>SUM(P16:P47)</f>
        <v>259722.47676190481</v>
      </c>
      <c r="R51" s="398"/>
    </row>
    <row r="52" spans="2:18" ht="13.5" customHeight="1" x14ac:dyDescent="0.15">
      <c r="B52" s="947" t="s">
        <v>131</v>
      </c>
      <c r="C52" s="395"/>
      <c r="D52" s="395"/>
      <c r="E52" s="395"/>
      <c r="F52" s="407"/>
      <c r="G52" s="395"/>
      <c r="H52" s="643"/>
      <c r="I52" s="395">
        <f t="shared" ref="I52:I55" si="17">G52*(1-H52)</f>
        <v>0</v>
      </c>
      <c r="J52" s="407"/>
      <c r="K52" s="635"/>
      <c r="L52" s="395">
        <f>I52*K52</f>
        <v>0</v>
      </c>
      <c r="M52" s="644"/>
      <c r="N52" s="398">
        <f>L52*M52</f>
        <v>0</v>
      </c>
      <c r="O52" s="398"/>
      <c r="P52" s="636" t="str">
        <f>IF(O52="","",(L52-N52)/O52)</f>
        <v/>
      </c>
    </row>
    <row r="53" spans="2:18" x14ac:dyDescent="0.15">
      <c r="B53" s="948"/>
      <c r="C53" s="395"/>
      <c r="D53" s="395"/>
      <c r="E53" s="395"/>
      <c r="F53" s="407"/>
      <c r="G53" s="395"/>
      <c r="H53" s="643"/>
      <c r="I53" s="395">
        <f t="shared" si="17"/>
        <v>0</v>
      </c>
      <c r="J53" s="395"/>
      <c r="K53" s="635"/>
      <c r="L53" s="395">
        <f>I53*K53</f>
        <v>0</v>
      </c>
      <c r="M53" s="644"/>
      <c r="N53" s="398">
        <f>L53*M53</f>
        <v>0</v>
      </c>
      <c r="O53" s="398"/>
      <c r="P53" s="636" t="str">
        <f>IF(O53="","",(L53-N53)/O53)</f>
        <v/>
      </c>
    </row>
    <row r="54" spans="2:18" ht="13.5" customHeight="1" x14ac:dyDescent="0.15">
      <c r="B54" s="948"/>
      <c r="C54" s="398"/>
      <c r="D54" s="398"/>
      <c r="E54" s="398"/>
      <c r="F54" s="645"/>
      <c r="G54" s="398"/>
      <c r="H54" s="644"/>
      <c r="I54" s="398">
        <f t="shared" si="17"/>
        <v>0</v>
      </c>
      <c r="J54" s="398"/>
      <c r="K54" s="638"/>
      <c r="L54" s="398">
        <f>I54*K54</f>
        <v>0</v>
      </c>
      <c r="M54" s="644"/>
      <c r="N54" s="398">
        <f>L54*M54</f>
        <v>0</v>
      </c>
      <c r="O54" s="398"/>
      <c r="P54" s="636" t="str">
        <f>IF(O54="","",(L54-N54)/O54)</f>
        <v/>
      </c>
    </row>
    <row r="55" spans="2:18" x14ac:dyDescent="0.15">
      <c r="B55" s="948"/>
      <c r="C55" s="398"/>
      <c r="D55" s="398"/>
      <c r="E55" s="398"/>
      <c r="F55" s="645"/>
      <c r="G55" s="398"/>
      <c r="H55" s="644"/>
      <c r="I55" s="398">
        <f t="shared" si="17"/>
        <v>0</v>
      </c>
      <c r="J55" s="398"/>
      <c r="K55" s="638"/>
      <c r="L55" s="398">
        <f>I55*K55</f>
        <v>0</v>
      </c>
      <c r="M55" s="644"/>
      <c r="N55" s="398">
        <f>L55*M55</f>
        <v>0</v>
      </c>
      <c r="O55" s="398"/>
      <c r="P55" s="636" t="str">
        <f>IF(O55="","",(L55-N55)/O55)</f>
        <v/>
      </c>
    </row>
    <row r="56" spans="2:18" x14ac:dyDescent="0.15">
      <c r="B56" s="949"/>
      <c r="C56" s="646" t="s">
        <v>46</v>
      </c>
      <c r="D56" s="398"/>
      <c r="E56" s="398"/>
      <c r="F56" s="639"/>
      <c r="G56" s="398">
        <f>SUM(G52:G55)</f>
        <v>0</v>
      </c>
      <c r="H56" s="398"/>
      <c r="I56" s="398">
        <f>SUM(I52:I55)</f>
        <v>0</v>
      </c>
      <c r="J56" s="398"/>
      <c r="K56" s="640"/>
      <c r="L56" s="398">
        <f>SUM(L52:L55)</f>
        <v>0</v>
      </c>
      <c r="M56" s="398"/>
      <c r="N56" s="398"/>
      <c r="O56" s="398"/>
      <c r="P56" s="636">
        <f>SUM(P52:P55)</f>
        <v>0</v>
      </c>
      <c r="R56" s="398"/>
    </row>
    <row r="57" spans="2:18" ht="14.25" thickBot="1" x14ac:dyDescent="0.2">
      <c r="B57" s="647"/>
      <c r="C57" s="408" t="s">
        <v>613</v>
      </c>
      <c r="D57" s="409"/>
      <c r="E57" s="409"/>
      <c r="F57" s="410"/>
      <c r="G57" s="409">
        <f>G15+G51+G56</f>
        <v>71479522.120000005</v>
      </c>
      <c r="H57" s="409"/>
      <c r="I57" s="409">
        <f>I15+I51+I56</f>
        <v>64255510.120000005</v>
      </c>
      <c r="J57" s="409"/>
      <c r="K57" s="411"/>
      <c r="L57" s="409">
        <f>L15+L51+L56</f>
        <v>2460544.8373333337</v>
      </c>
      <c r="M57" s="409"/>
      <c r="N57" s="409"/>
      <c r="O57" s="409"/>
      <c r="P57" s="412">
        <f>P15+P51+P56</f>
        <v>285421.97676190478</v>
      </c>
      <c r="R57" s="398"/>
    </row>
    <row r="60" spans="2:18" ht="11.25" customHeight="1" x14ac:dyDescent="0.15"/>
  </sheetData>
  <mergeCells count="9">
    <mergeCell ref="B52:B56"/>
    <mergeCell ref="J3:J4"/>
    <mergeCell ref="B5:B15"/>
    <mergeCell ref="F2:G2"/>
    <mergeCell ref="B3:B4"/>
    <mergeCell ref="C3:C4"/>
    <mergeCell ref="D3:D4"/>
    <mergeCell ref="E3:F3"/>
    <mergeCell ref="B16:B51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>
    <oddHeader>&amp;R&amp;A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B1:P65"/>
  <sheetViews>
    <sheetView zoomScale="75" zoomScaleNormal="75" workbookViewId="0"/>
  </sheetViews>
  <sheetFormatPr defaultColWidth="9" defaultRowHeight="13.5" x14ac:dyDescent="0.15"/>
  <cols>
    <col min="1" max="1" width="1.625" style="655" customWidth="1"/>
    <col min="2" max="2" width="5" style="655" customWidth="1"/>
    <col min="3" max="3" width="22.5" style="655" bestFit="1" customWidth="1"/>
    <col min="4" max="4" width="30" style="655" bestFit="1" customWidth="1"/>
    <col min="5" max="6" width="6" style="655" bestFit="1" customWidth="1"/>
    <col min="7" max="7" width="17.625" style="655" customWidth="1"/>
    <col min="8" max="8" width="10.625" style="655" customWidth="1"/>
    <col min="9" max="9" width="17.625" style="655" customWidth="1"/>
    <col min="10" max="10" width="10.625" style="655" customWidth="1"/>
    <col min="11" max="11" width="15.125" style="682" bestFit="1" customWidth="1"/>
    <col min="12" max="12" width="17.625" style="655" customWidth="1"/>
    <col min="13" max="13" width="10.625" style="655" customWidth="1"/>
    <col min="14" max="14" width="17.625" style="655" customWidth="1"/>
    <col min="15" max="15" width="10.625" style="655" customWidth="1"/>
    <col min="16" max="16" width="19.75" style="655" bestFit="1" customWidth="1"/>
    <col min="17" max="16384" width="9" style="655"/>
  </cols>
  <sheetData>
    <row r="1" spans="2:16" s="618" customFormat="1" ht="9.9499999999999993" customHeight="1" x14ac:dyDescent="0.15">
      <c r="K1" s="619"/>
    </row>
    <row r="2" spans="2:16" s="618" customFormat="1" ht="24.95" customHeight="1" thickBot="1" x14ac:dyDescent="0.2">
      <c r="B2" s="620" t="s">
        <v>483</v>
      </c>
      <c r="C2" s="621"/>
      <c r="D2" s="621"/>
      <c r="E2" s="622"/>
      <c r="F2" s="952"/>
      <c r="G2" s="953"/>
      <c r="H2" s="623" t="s">
        <v>237</v>
      </c>
      <c r="I2" s="624" t="s">
        <v>310</v>
      </c>
      <c r="J2" s="110"/>
      <c r="K2" s="623" t="s">
        <v>238</v>
      </c>
      <c r="L2" s="624" t="s">
        <v>239</v>
      </c>
      <c r="M2" s="625"/>
      <c r="P2" s="626"/>
    </row>
    <row r="3" spans="2:16" s="618" customFormat="1" x14ac:dyDescent="0.15">
      <c r="B3" s="964" t="s">
        <v>122</v>
      </c>
      <c r="C3" s="961" t="s">
        <v>38</v>
      </c>
      <c r="D3" s="966" t="s">
        <v>121</v>
      </c>
      <c r="E3" s="968" t="s">
        <v>39</v>
      </c>
      <c r="F3" s="969"/>
      <c r="G3" s="648" t="s">
        <v>40</v>
      </c>
      <c r="H3" s="649" t="s">
        <v>124</v>
      </c>
      <c r="I3" s="649" t="s">
        <v>123</v>
      </c>
      <c r="J3" s="961" t="s">
        <v>91</v>
      </c>
      <c r="K3" s="650" t="s">
        <v>92</v>
      </c>
      <c r="L3" s="648" t="s">
        <v>41</v>
      </c>
      <c r="M3" s="649" t="s">
        <v>128</v>
      </c>
      <c r="N3" s="648" t="s">
        <v>42</v>
      </c>
      <c r="O3" s="648" t="s">
        <v>43</v>
      </c>
      <c r="P3" s="628" t="s">
        <v>44</v>
      </c>
    </row>
    <row r="4" spans="2:16" x14ac:dyDescent="0.15">
      <c r="B4" s="965"/>
      <c r="C4" s="962"/>
      <c r="D4" s="967"/>
      <c r="E4" s="651" t="s">
        <v>93</v>
      </c>
      <c r="F4" s="651" t="s">
        <v>9</v>
      </c>
      <c r="G4" s="652" t="s">
        <v>126</v>
      </c>
      <c r="H4" s="652" t="s">
        <v>125</v>
      </c>
      <c r="I4" s="652" t="s">
        <v>132</v>
      </c>
      <c r="J4" s="962"/>
      <c r="K4" s="653" t="s">
        <v>127</v>
      </c>
      <c r="L4" s="652" t="s">
        <v>133</v>
      </c>
      <c r="M4" s="652" t="s">
        <v>129</v>
      </c>
      <c r="N4" s="652" t="s">
        <v>134</v>
      </c>
      <c r="O4" s="652" t="s">
        <v>130</v>
      </c>
      <c r="P4" s="654" t="s">
        <v>135</v>
      </c>
    </row>
    <row r="5" spans="2:16" x14ac:dyDescent="0.15">
      <c r="B5" s="947" t="s">
        <v>185</v>
      </c>
      <c r="C5" s="656" t="s">
        <v>280</v>
      </c>
      <c r="D5" s="657" t="s">
        <v>97</v>
      </c>
      <c r="E5" s="657">
        <v>100</v>
      </c>
      <c r="F5" s="657" t="s">
        <v>98</v>
      </c>
      <c r="G5" s="657">
        <f>59400*E5</f>
        <v>5940000</v>
      </c>
      <c r="H5" s="658">
        <v>0</v>
      </c>
      <c r="I5" s="657">
        <f>G5*(1-H5)</f>
        <v>5940000</v>
      </c>
      <c r="J5" s="659">
        <f>'１　対象経営の概要，２　前提条件'!$F$16</f>
        <v>10</v>
      </c>
      <c r="K5" s="660">
        <f>J5/30/10</f>
        <v>3.3333333333333333E-2</v>
      </c>
      <c r="L5" s="8">
        <f>I5*K5</f>
        <v>198000</v>
      </c>
      <c r="M5" s="13">
        <v>0</v>
      </c>
      <c r="N5" s="8">
        <f t="shared" ref="N5:N6" si="0">L5*M5/100</f>
        <v>0</v>
      </c>
      <c r="O5" s="8">
        <v>25</v>
      </c>
      <c r="P5" s="661">
        <f>IF(O5="","",(L5-N5)/O5)</f>
        <v>7920</v>
      </c>
    </row>
    <row r="6" spans="2:16" x14ac:dyDescent="0.15">
      <c r="B6" s="948"/>
      <c r="C6" s="657" t="s">
        <v>279</v>
      </c>
      <c r="D6" s="657" t="s">
        <v>97</v>
      </c>
      <c r="E6" s="657">
        <v>180</v>
      </c>
      <c r="F6" s="657" t="s">
        <v>98</v>
      </c>
      <c r="G6" s="657">
        <f>59400*E6</f>
        <v>10692000</v>
      </c>
      <c r="H6" s="658">
        <v>0</v>
      </c>
      <c r="I6" s="657">
        <f>G6*(1-H6)</f>
        <v>10692000</v>
      </c>
      <c r="J6" s="659">
        <f>'１　対象経営の概要，２　前提条件'!$F$16</f>
        <v>10</v>
      </c>
      <c r="K6" s="660">
        <f>J6/30/10</f>
        <v>3.3333333333333333E-2</v>
      </c>
      <c r="L6" s="8">
        <f>I6*K6</f>
        <v>356400</v>
      </c>
      <c r="M6" s="13">
        <v>0</v>
      </c>
      <c r="N6" s="8">
        <f t="shared" si="0"/>
        <v>0</v>
      </c>
      <c r="O6" s="8">
        <v>25</v>
      </c>
      <c r="P6" s="661">
        <f t="shared" ref="P6" si="1">IF(O6="","",(L6-N6)/O6)</f>
        <v>14256</v>
      </c>
    </row>
    <row r="7" spans="2:16" x14ac:dyDescent="0.15">
      <c r="B7" s="948"/>
      <c r="C7" s="656"/>
      <c r="D7" s="657"/>
      <c r="E7" s="662"/>
      <c r="F7" s="663"/>
      <c r="G7" s="657"/>
      <c r="H7" s="658"/>
      <c r="I7" s="657"/>
      <c r="J7" s="664"/>
      <c r="K7" s="665"/>
      <c r="L7" s="8"/>
      <c r="M7" s="13"/>
      <c r="N7" s="8"/>
      <c r="O7" s="8"/>
      <c r="P7" s="661"/>
    </row>
    <row r="8" spans="2:16" x14ac:dyDescent="0.15">
      <c r="B8" s="948"/>
      <c r="C8" s="657"/>
      <c r="D8" s="657"/>
      <c r="E8" s="662"/>
      <c r="F8" s="663"/>
      <c r="G8" s="657"/>
      <c r="H8" s="658"/>
      <c r="I8" s="657">
        <f t="shared" ref="I8:I14" si="2">G8*(1-H8)</f>
        <v>0</v>
      </c>
      <c r="J8" s="657"/>
      <c r="K8" s="665"/>
      <c r="L8" s="8">
        <f t="shared" ref="L8:L14" si="3">I8*K8</f>
        <v>0</v>
      </c>
      <c r="M8" s="13"/>
      <c r="N8" s="8">
        <f t="shared" ref="N8:N14" si="4">L8*M8/100</f>
        <v>0</v>
      </c>
      <c r="O8" s="8"/>
      <c r="P8" s="661" t="str">
        <f t="shared" ref="P8:P14" si="5">IF(O8="","",(L8-N8)/O8)</f>
        <v/>
      </c>
    </row>
    <row r="9" spans="2:16" x14ac:dyDescent="0.15">
      <c r="B9" s="948"/>
      <c r="C9" s="657"/>
      <c r="D9" s="657"/>
      <c r="E9" s="662"/>
      <c r="F9" s="663"/>
      <c r="G9" s="657"/>
      <c r="H9" s="658"/>
      <c r="I9" s="657">
        <f t="shared" si="2"/>
        <v>0</v>
      </c>
      <c r="J9" s="657"/>
      <c r="K9" s="665"/>
      <c r="L9" s="8">
        <f t="shared" si="3"/>
        <v>0</v>
      </c>
      <c r="M9" s="13"/>
      <c r="N9" s="8">
        <f t="shared" si="4"/>
        <v>0</v>
      </c>
      <c r="O9" s="8"/>
      <c r="P9" s="661" t="str">
        <f t="shared" si="5"/>
        <v/>
      </c>
    </row>
    <row r="10" spans="2:16" x14ac:dyDescent="0.15">
      <c r="B10" s="948"/>
      <c r="C10" s="657"/>
      <c r="D10" s="657"/>
      <c r="E10" s="657"/>
      <c r="F10" s="666"/>
      <c r="G10" s="657"/>
      <c r="H10" s="658"/>
      <c r="I10" s="657">
        <f t="shared" si="2"/>
        <v>0</v>
      </c>
      <c r="J10" s="657"/>
      <c r="K10" s="665"/>
      <c r="L10" s="8">
        <f t="shared" si="3"/>
        <v>0</v>
      </c>
      <c r="M10" s="13"/>
      <c r="N10" s="8">
        <f t="shared" si="4"/>
        <v>0</v>
      </c>
      <c r="O10" s="8"/>
      <c r="P10" s="661" t="str">
        <f t="shared" si="5"/>
        <v/>
      </c>
    </row>
    <row r="11" spans="2:16" x14ac:dyDescent="0.15">
      <c r="B11" s="948"/>
      <c r="C11" s="657"/>
      <c r="D11" s="657"/>
      <c r="E11" s="657"/>
      <c r="F11" s="657"/>
      <c r="G11" s="657"/>
      <c r="H11" s="658"/>
      <c r="I11" s="657">
        <f t="shared" si="2"/>
        <v>0</v>
      </c>
      <c r="J11" s="657"/>
      <c r="K11" s="665"/>
      <c r="L11" s="8">
        <f t="shared" si="3"/>
        <v>0</v>
      </c>
      <c r="M11" s="13"/>
      <c r="N11" s="8">
        <f t="shared" si="4"/>
        <v>0</v>
      </c>
      <c r="O11" s="8"/>
      <c r="P11" s="661" t="str">
        <f t="shared" si="5"/>
        <v/>
      </c>
    </row>
    <row r="12" spans="2:16" x14ac:dyDescent="0.15">
      <c r="B12" s="948"/>
      <c r="C12" s="657"/>
      <c r="D12" s="657"/>
      <c r="E12" s="657"/>
      <c r="F12" s="666"/>
      <c r="G12" s="657"/>
      <c r="H12" s="658"/>
      <c r="I12" s="657">
        <f t="shared" si="2"/>
        <v>0</v>
      </c>
      <c r="J12" s="666"/>
      <c r="K12" s="665"/>
      <c r="L12" s="8">
        <f t="shared" si="3"/>
        <v>0</v>
      </c>
      <c r="M12" s="13"/>
      <c r="N12" s="8">
        <f t="shared" si="4"/>
        <v>0</v>
      </c>
      <c r="O12" s="8"/>
      <c r="P12" s="661" t="str">
        <f t="shared" si="5"/>
        <v/>
      </c>
    </row>
    <row r="13" spans="2:16" x14ac:dyDescent="0.15">
      <c r="B13" s="948"/>
      <c r="C13" s="8"/>
      <c r="D13" s="8"/>
      <c r="E13" s="8"/>
      <c r="F13" s="8" t="s">
        <v>61</v>
      </c>
      <c r="G13" s="8"/>
      <c r="H13" s="13"/>
      <c r="I13" s="8">
        <f t="shared" si="2"/>
        <v>0</v>
      </c>
      <c r="J13" s="8"/>
      <c r="K13" s="667"/>
      <c r="L13" s="8">
        <f t="shared" si="3"/>
        <v>0</v>
      </c>
      <c r="M13" s="13"/>
      <c r="N13" s="8">
        <f t="shared" si="4"/>
        <v>0</v>
      </c>
      <c r="O13" s="8"/>
      <c r="P13" s="661" t="str">
        <f t="shared" si="5"/>
        <v/>
      </c>
    </row>
    <row r="14" spans="2:16" x14ac:dyDescent="0.15">
      <c r="B14" s="948"/>
      <c r="C14" s="8"/>
      <c r="D14" s="8"/>
      <c r="E14" s="8"/>
      <c r="F14" s="8" t="s">
        <v>61</v>
      </c>
      <c r="G14" s="8"/>
      <c r="H14" s="13"/>
      <c r="I14" s="8">
        <f t="shared" si="2"/>
        <v>0</v>
      </c>
      <c r="J14" s="8"/>
      <c r="K14" s="667"/>
      <c r="L14" s="8">
        <f t="shared" si="3"/>
        <v>0</v>
      </c>
      <c r="M14" s="13"/>
      <c r="N14" s="8">
        <f t="shared" si="4"/>
        <v>0</v>
      </c>
      <c r="O14" s="8"/>
      <c r="P14" s="661" t="str">
        <f t="shared" si="5"/>
        <v/>
      </c>
    </row>
    <row r="15" spans="2:16" x14ac:dyDescent="0.15">
      <c r="B15" s="963"/>
      <c r="C15" s="668" t="s">
        <v>45</v>
      </c>
      <c r="D15" s="8"/>
      <c r="E15" s="8"/>
      <c r="F15" s="669"/>
      <c r="G15" s="670">
        <f>SUM(G5:G14)</f>
        <v>16632000</v>
      </c>
      <c r="H15" s="8"/>
      <c r="I15" s="8">
        <f>SUM(I5:I14)</f>
        <v>16632000</v>
      </c>
      <c r="J15" s="8"/>
      <c r="K15" s="671"/>
      <c r="L15" s="8">
        <f>SUM(L5:L14)</f>
        <v>554400</v>
      </c>
      <c r="M15" s="8"/>
      <c r="N15" s="8"/>
      <c r="O15" s="8"/>
      <c r="P15" s="661">
        <f>SUM(P5:P14)</f>
        <v>22176</v>
      </c>
    </row>
    <row r="16" spans="2:16" x14ac:dyDescent="0.15">
      <c r="B16" s="947" t="s">
        <v>186</v>
      </c>
      <c r="C16" s="404" t="s">
        <v>54</v>
      </c>
      <c r="D16" s="444" t="s">
        <v>521</v>
      </c>
      <c r="E16" s="672">
        <v>1</v>
      </c>
      <c r="F16" s="673" t="s">
        <v>58</v>
      </c>
      <c r="G16" s="538">
        <f>5302000*1.08</f>
        <v>5726160</v>
      </c>
      <c r="H16" s="674">
        <v>0</v>
      </c>
      <c r="I16" s="657">
        <f>G16*(1-H16)</f>
        <v>5726160</v>
      </c>
      <c r="J16" s="659">
        <f>'１　対象経営の概要，２　前提条件'!$F$16</f>
        <v>10</v>
      </c>
      <c r="K16" s="665">
        <f>J16/30/10</f>
        <v>3.3333333333333333E-2</v>
      </c>
      <c r="L16" s="657">
        <f>I16*K16</f>
        <v>190872</v>
      </c>
      <c r="M16" s="13"/>
      <c r="N16" s="8">
        <f>L16*M16</f>
        <v>0</v>
      </c>
      <c r="O16" s="8">
        <v>7</v>
      </c>
      <c r="P16" s="661">
        <f t="shared" ref="P16:P57" si="6">IF(O16="","",(L16-N16)/O16)</f>
        <v>27267.428571428572</v>
      </c>
    </row>
    <row r="17" spans="2:16" x14ac:dyDescent="0.15">
      <c r="B17" s="948"/>
      <c r="C17" s="404" t="s">
        <v>54</v>
      </c>
      <c r="D17" s="444" t="s">
        <v>522</v>
      </c>
      <c r="E17" s="672">
        <v>1</v>
      </c>
      <c r="F17" s="673" t="s">
        <v>58</v>
      </c>
      <c r="G17" s="539">
        <f>4284000*1.08</f>
        <v>4626720</v>
      </c>
      <c r="H17" s="674">
        <v>0</v>
      </c>
      <c r="I17" s="657">
        <f>G17*(1-H17)</f>
        <v>4626720</v>
      </c>
      <c r="J17" s="659">
        <f>'１　対象経営の概要，２　前提条件'!$F$16</f>
        <v>10</v>
      </c>
      <c r="K17" s="665">
        <f>J17/30/10</f>
        <v>3.3333333333333333E-2</v>
      </c>
      <c r="L17" s="657">
        <f t="shared" ref="L17:L57" si="7">I17*K17</f>
        <v>154224</v>
      </c>
      <c r="M17" s="13">
        <v>0</v>
      </c>
      <c r="N17" s="8">
        <f t="shared" ref="N17:N57" si="8">L17*M17</f>
        <v>0</v>
      </c>
      <c r="O17" s="8">
        <v>7</v>
      </c>
      <c r="P17" s="661">
        <f t="shared" si="6"/>
        <v>22032</v>
      </c>
    </row>
    <row r="18" spans="2:16" x14ac:dyDescent="0.15">
      <c r="B18" s="948"/>
      <c r="C18" s="404"/>
      <c r="D18" s="398"/>
      <c r="E18" s="672">
        <v>1</v>
      </c>
      <c r="F18" s="673" t="s">
        <v>58</v>
      </c>
      <c r="G18" s="540"/>
      <c r="H18" s="674">
        <v>0</v>
      </c>
      <c r="I18" s="657">
        <f t="shared" ref="I18:I62" si="9">G18*(1-H18)</f>
        <v>0</v>
      </c>
      <c r="J18" s="659">
        <f>'１　対象経営の概要，２　前提条件'!$F$16</f>
        <v>10</v>
      </c>
      <c r="K18" s="665">
        <f t="shared" ref="K18:K29" si="10">J18/30/10</f>
        <v>3.3333333333333333E-2</v>
      </c>
      <c r="L18" s="657">
        <f t="shared" si="7"/>
        <v>0</v>
      </c>
      <c r="M18" s="13"/>
      <c r="N18" s="8">
        <f t="shared" si="8"/>
        <v>0</v>
      </c>
      <c r="O18" s="8">
        <v>7</v>
      </c>
      <c r="P18" s="661">
        <f t="shared" si="6"/>
        <v>0</v>
      </c>
    </row>
    <row r="19" spans="2:16" x14ac:dyDescent="0.15">
      <c r="B19" s="948"/>
      <c r="C19" s="404"/>
      <c r="D19" s="398"/>
      <c r="E19" s="672">
        <v>1</v>
      </c>
      <c r="F19" s="673" t="s">
        <v>58</v>
      </c>
      <c r="G19" s="541"/>
      <c r="H19" s="674">
        <v>0</v>
      </c>
      <c r="I19" s="657">
        <f t="shared" si="9"/>
        <v>0</v>
      </c>
      <c r="J19" s="659">
        <f>'１　対象経営の概要，２　前提条件'!$F$16</f>
        <v>10</v>
      </c>
      <c r="K19" s="665">
        <f t="shared" si="10"/>
        <v>3.3333333333333333E-2</v>
      </c>
      <c r="L19" s="657">
        <f t="shared" si="7"/>
        <v>0</v>
      </c>
      <c r="M19" s="13"/>
      <c r="N19" s="8">
        <f t="shared" si="8"/>
        <v>0</v>
      </c>
      <c r="O19" s="8">
        <v>7</v>
      </c>
      <c r="P19" s="661">
        <f t="shared" si="6"/>
        <v>0</v>
      </c>
    </row>
    <row r="20" spans="2:16" x14ac:dyDescent="0.15">
      <c r="B20" s="948"/>
      <c r="C20" s="404" t="s">
        <v>55</v>
      </c>
      <c r="D20" s="444" t="s">
        <v>520</v>
      </c>
      <c r="E20" s="672">
        <v>1</v>
      </c>
      <c r="F20" s="673" t="s">
        <v>95</v>
      </c>
      <c r="G20" s="539">
        <f>715000*1.08</f>
        <v>772200</v>
      </c>
      <c r="H20" s="674">
        <v>0</v>
      </c>
      <c r="I20" s="657">
        <f t="shared" si="9"/>
        <v>772200</v>
      </c>
      <c r="J20" s="659">
        <f>'１　対象経営の概要，２　前提条件'!$F$16</f>
        <v>10</v>
      </c>
      <c r="K20" s="665">
        <f t="shared" si="10"/>
        <v>3.3333333333333333E-2</v>
      </c>
      <c r="L20" s="657">
        <f t="shared" si="7"/>
        <v>25740</v>
      </c>
      <c r="M20" s="13"/>
      <c r="N20" s="8">
        <f t="shared" si="8"/>
        <v>0</v>
      </c>
      <c r="O20" s="8">
        <v>7</v>
      </c>
      <c r="P20" s="661">
        <f t="shared" si="6"/>
        <v>3677.1428571428573</v>
      </c>
    </row>
    <row r="21" spans="2:16" x14ac:dyDescent="0.15">
      <c r="B21" s="948"/>
      <c r="C21" s="403" t="s">
        <v>523</v>
      </c>
      <c r="D21" s="444" t="s">
        <v>524</v>
      </c>
      <c r="E21" s="672">
        <v>1</v>
      </c>
      <c r="F21" s="673" t="s">
        <v>58</v>
      </c>
      <c r="G21" s="542">
        <f>6650000*1.08</f>
        <v>7182000.0000000009</v>
      </c>
      <c r="H21" s="674">
        <v>0</v>
      </c>
      <c r="I21" s="657">
        <f t="shared" si="9"/>
        <v>7182000.0000000009</v>
      </c>
      <c r="J21" s="659">
        <f>'１　対象経営の概要，２　前提条件'!$F$16</f>
        <v>10</v>
      </c>
      <c r="K21" s="665">
        <f t="shared" ref="K21:K23" si="11">J21/20/10</f>
        <v>0.05</v>
      </c>
      <c r="L21" s="657">
        <f t="shared" si="7"/>
        <v>359100.00000000006</v>
      </c>
      <c r="M21" s="13">
        <v>0</v>
      </c>
      <c r="N21" s="8">
        <f t="shared" si="8"/>
        <v>0</v>
      </c>
      <c r="O21" s="8">
        <v>7</v>
      </c>
      <c r="P21" s="661">
        <f t="shared" si="6"/>
        <v>51300.000000000007</v>
      </c>
    </row>
    <row r="22" spans="2:16" x14ac:dyDescent="0.15">
      <c r="B22" s="948"/>
      <c r="C22" s="404" t="s">
        <v>489</v>
      </c>
      <c r="D22" s="398" t="s">
        <v>490</v>
      </c>
      <c r="E22" s="672">
        <v>1</v>
      </c>
      <c r="F22" s="673" t="s">
        <v>58</v>
      </c>
      <c r="G22" s="541">
        <v>524880</v>
      </c>
      <c r="H22" s="674">
        <v>0</v>
      </c>
      <c r="I22" s="657">
        <f t="shared" si="9"/>
        <v>524880</v>
      </c>
      <c r="J22" s="659">
        <f>'１　対象経営の概要，２　前提条件'!$F$16</f>
        <v>10</v>
      </c>
      <c r="K22" s="665">
        <f t="shared" si="11"/>
        <v>0.05</v>
      </c>
      <c r="L22" s="657">
        <f t="shared" si="7"/>
        <v>26244</v>
      </c>
      <c r="M22" s="13"/>
      <c r="N22" s="8">
        <f t="shared" si="8"/>
        <v>0</v>
      </c>
      <c r="O22" s="8">
        <v>7</v>
      </c>
      <c r="P22" s="661">
        <f t="shared" si="6"/>
        <v>3749.1428571428573</v>
      </c>
    </row>
    <row r="23" spans="2:16" x14ac:dyDescent="0.15">
      <c r="B23" s="948"/>
      <c r="C23" s="404" t="s">
        <v>497</v>
      </c>
      <c r="D23" s="398" t="s">
        <v>492</v>
      </c>
      <c r="E23" s="672">
        <v>1</v>
      </c>
      <c r="F23" s="673" t="s">
        <v>58</v>
      </c>
      <c r="G23" s="541">
        <v>184680</v>
      </c>
      <c r="H23" s="674">
        <v>0</v>
      </c>
      <c r="I23" s="657">
        <f t="shared" si="9"/>
        <v>184680</v>
      </c>
      <c r="J23" s="659">
        <f>'１　対象経営の概要，２　前提条件'!$F$16</f>
        <v>10</v>
      </c>
      <c r="K23" s="665">
        <f t="shared" si="11"/>
        <v>0.05</v>
      </c>
      <c r="L23" s="657">
        <f t="shared" si="7"/>
        <v>9234</v>
      </c>
      <c r="M23" s="13"/>
      <c r="N23" s="8">
        <f t="shared" si="8"/>
        <v>0</v>
      </c>
      <c r="O23" s="8">
        <v>7</v>
      </c>
      <c r="P23" s="661">
        <f t="shared" si="6"/>
        <v>1319.1428571428571</v>
      </c>
    </row>
    <row r="24" spans="2:16" x14ac:dyDescent="0.15">
      <c r="B24" s="948"/>
      <c r="C24" s="404" t="s">
        <v>485</v>
      </c>
      <c r="D24" s="398" t="s">
        <v>486</v>
      </c>
      <c r="E24" s="672">
        <v>1</v>
      </c>
      <c r="F24" s="673" t="s">
        <v>58</v>
      </c>
      <c r="G24" s="542">
        <f>281000*1.08</f>
        <v>303480</v>
      </c>
      <c r="H24" s="674">
        <v>0</v>
      </c>
      <c r="I24" s="657">
        <f t="shared" si="9"/>
        <v>303480</v>
      </c>
      <c r="J24" s="659">
        <f>'１　対象経営の概要，２　前提条件'!$F$16</f>
        <v>10</v>
      </c>
      <c r="K24" s="665">
        <f t="shared" si="10"/>
        <v>3.3333333333333333E-2</v>
      </c>
      <c r="L24" s="657">
        <f t="shared" si="7"/>
        <v>10116</v>
      </c>
      <c r="M24" s="13"/>
      <c r="N24" s="8">
        <f t="shared" si="8"/>
        <v>0</v>
      </c>
      <c r="O24" s="8">
        <v>7</v>
      </c>
      <c r="P24" s="661">
        <f t="shared" si="6"/>
        <v>1445.1428571428571</v>
      </c>
    </row>
    <row r="25" spans="2:16" x14ac:dyDescent="0.15">
      <c r="B25" s="948"/>
      <c r="C25" s="404" t="s">
        <v>493</v>
      </c>
      <c r="D25" s="403" t="s">
        <v>526</v>
      </c>
      <c r="E25" s="672">
        <v>1</v>
      </c>
      <c r="F25" s="673" t="s">
        <v>95</v>
      </c>
      <c r="G25" s="542">
        <f>3500000*1.08</f>
        <v>3780000.0000000005</v>
      </c>
      <c r="H25" s="674">
        <v>0</v>
      </c>
      <c r="I25" s="657">
        <f t="shared" si="9"/>
        <v>3780000.0000000005</v>
      </c>
      <c r="J25" s="659">
        <f>'１　対象経営の概要，２　前提条件'!$F$16</f>
        <v>10</v>
      </c>
      <c r="K25" s="665">
        <f t="shared" si="10"/>
        <v>3.3333333333333333E-2</v>
      </c>
      <c r="L25" s="657">
        <f t="shared" si="7"/>
        <v>126000.00000000001</v>
      </c>
      <c r="M25" s="13"/>
      <c r="N25" s="8">
        <f t="shared" si="8"/>
        <v>0</v>
      </c>
      <c r="O25" s="8">
        <v>7</v>
      </c>
      <c r="P25" s="661">
        <f t="shared" si="6"/>
        <v>18000.000000000004</v>
      </c>
    </row>
    <row r="26" spans="2:16" x14ac:dyDescent="0.15">
      <c r="B26" s="948"/>
      <c r="C26" s="404" t="s">
        <v>487</v>
      </c>
      <c r="D26" s="398"/>
      <c r="E26" s="672">
        <v>1</v>
      </c>
      <c r="F26" s="673" t="s">
        <v>58</v>
      </c>
      <c r="G26" s="539">
        <v>500000</v>
      </c>
      <c r="H26" s="674">
        <v>0</v>
      </c>
      <c r="I26" s="657">
        <f t="shared" si="9"/>
        <v>500000</v>
      </c>
      <c r="J26" s="659">
        <f>'１　対象経営の概要，２　前提条件'!$F$16</f>
        <v>10</v>
      </c>
      <c r="K26" s="665">
        <f t="shared" si="10"/>
        <v>3.3333333333333333E-2</v>
      </c>
      <c r="L26" s="657">
        <f t="shared" si="7"/>
        <v>16666.666666666668</v>
      </c>
      <c r="M26" s="13">
        <v>0</v>
      </c>
      <c r="N26" s="8">
        <f t="shared" si="8"/>
        <v>0</v>
      </c>
      <c r="O26" s="8">
        <v>7</v>
      </c>
      <c r="P26" s="661">
        <f t="shared" si="6"/>
        <v>2380.9523809523812</v>
      </c>
    </row>
    <row r="27" spans="2:16" x14ac:dyDescent="0.15">
      <c r="B27" s="948"/>
      <c r="C27" s="404" t="s">
        <v>488</v>
      </c>
      <c r="D27" s="398"/>
      <c r="E27" s="672">
        <v>1</v>
      </c>
      <c r="F27" s="673" t="s">
        <v>58</v>
      </c>
      <c r="G27" s="542">
        <f>268000*1.08</f>
        <v>289440</v>
      </c>
      <c r="H27" s="674">
        <v>0</v>
      </c>
      <c r="I27" s="657">
        <f t="shared" si="9"/>
        <v>289440</v>
      </c>
      <c r="J27" s="659">
        <f>'１　対象経営の概要，２　前提条件'!$F$16</f>
        <v>10</v>
      </c>
      <c r="K27" s="665">
        <f t="shared" si="10"/>
        <v>3.3333333333333333E-2</v>
      </c>
      <c r="L27" s="657">
        <f t="shared" si="7"/>
        <v>9648</v>
      </c>
      <c r="M27" s="13"/>
      <c r="N27" s="8">
        <f t="shared" si="8"/>
        <v>0</v>
      </c>
      <c r="O27" s="8">
        <v>7</v>
      </c>
      <c r="P27" s="661">
        <f t="shared" si="6"/>
        <v>1378.2857142857142</v>
      </c>
    </row>
    <row r="28" spans="2:16" x14ac:dyDescent="0.15">
      <c r="B28" s="948"/>
      <c r="C28" s="404" t="s">
        <v>60</v>
      </c>
      <c r="D28" s="444" t="s">
        <v>525</v>
      </c>
      <c r="E28" s="672">
        <v>6</v>
      </c>
      <c r="F28" s="673" t="s">
        <v>96</v>
      </c>
      <c r="G28" s="541">
        <f>(450000+150000)*1.08</f>
        <v>648000</v>
      </c>
      <c r="H28" s="674">
        <v>0</v>
      </c>
      <c r="I28" s="657">
        <f t="shared" si="9"/>
        <v>648000</v>
      </c>
      <c r="J28" s="659">
        <f>'１　対象経営の概要，２　前提条件'!$F$16</f>
        <v>10</v>
      </c>
      <c r="K28" s="665">
        <f>J28/20/10</f>
        <v>0.05</v>
      </c>
      <c r="L28" s="657">
        <f t="shared" si="7"/>
        <v>32400</v>
      </c>
      <c r="M28" s="13"/>
      <c r="N28" s="8">
        <f t="shared" si="8"/>
        <v>0</v>
      </c>
      <c r="O28" s="8">
        <v>7</v>
      </c>
      <c r="P28" s="661">
        <f t="shared" si="6"/>
        <v>4628.5714285714284</v>
      </c>
    </row>
    <row r="29" spans="2:16" x14ac:dyDescent="0.15">
      <c r="B29" s="948"/>
      <c r="C29" s="404" t="s">
        <v>234</v>
      </c>
      <c r="D29" s="398" t="s">
        <v>498</v>
      </c>
      <c r="E29" s="672">
        <v>1</v>
      </c>
      <c r="F29" s="673" t="s">
        <v>95</v>
      </c>
      <c r="G29" s="539">
        <v>2000000</v>
      </c>
      <c r="H29" s="674">
        <v>0</v>
      </c>
      <c r="I29" s="657">
        <f t="shared" si="9"/>
        <v>2000000</v>
      </c>
      <c r="J29" s="659">
        <f>'１　対象経営の概要，２　前提条件'!$F$16</f>
        <v>10</v>
      </c>
      <c r="K29" s="665">
        <f t="shared" si="10"/>
        <v>3.3333333333333333E-2</v>
      </c>
      <c r="L29" s="657">
        <f t="shared" si="7"/>
        <v>66666.666666666672</v>
      </c>
      <c r="M29" s="13"/>
      <c r="N29" s="8">
        <f t="shared" si="8"/>
        <v>0</v>
      </c>
      <c r="O29" s="8">
        <v>7</v>
      </c>
      <c r="P29" s="661">
        <f t="shared" si="6"/>
        <v>9523.8095238095248</v>
      </c>
    </row>
    <row r="30" spans="2:16" x14ac:dyDescent="0.15">
      <c r="B30" s="948"/>
      <c r="C30" s="404" t="s">
        <v>499</v>
      </c>
      <c r="D30" s="398" t="s">
        <v>500</v>
      </c>
      <c r="E30" s="672">
        <v>2</v>
      </c>
      <c r="F30" s="673" t="s">
        <v>95</v>
      </c>
      <c r="G30" s="543">
        <v>179280</v>
      </c>
      <c r="H30" s="674">
        <v>0</v>
      </c>
      <c r="I30" s="657">
        <f t="shared" si="9"/>
        <v>179280</v>
      </c>
      <c r="J30" s="659">
        <f>'１　対象経営の概要，２　前提条件'!$F$16</f>
        <v>10</v>
      </c>
      <c r="K30" s="665">
        <f>J30/20/10</f>
        <v>0.05</v>
      </c>
      <c r="L30" s="657">
        <f t="shared" si="7"/>
        <v>8964</v>
      </c>
      <c r="M30" s="13"/>
      <c r="N30" s="8">
        <f t="shared" si="8"/>
        <v>0</v>
      </c>
      <c r="O30" s="8">
        <v>7</v>
      </c>
      <c r="P30" s="661">
        <f t="shared" si="6"/>
        <v>1280.5714285714287</v>
      </c>
    </row>
    <row r="31" spans="2:16" x14ac:dyDescent="0.15">
      <c r="B31" s="948"/>
      <c r="C31" s="657" t="s">
        <v>502</v>
      </c>
      <c r="D31" s="657" t="s">
        <v>504</v>
      </c>
      <c r="E31" s="657">
        <v>1</v>
      </c>
      <c r="F31" s="657" t="s">
        <v>95</v>
      </c>
      <c r="G31" s="675">
        <v>518400.00000000006</v>
      </c>
      <c r="H31" s="658"/>
      <c r="I31" s="657">
        <v>518400.00000000006</v>
      </c>
      <c r="J31" s="659">
        <f>'１　対象経営の概要，２　前提条件'!$F$16</f>
        <v>10</v>
      </c>
      <c r="K31" s="665">
        <f>J31/20/10</f>
        <v>0.05</v>
      </c>
      <c r="L31" s="657">
        <v>51840.000000000007</v>
      </c>
      <c r="M31" s="13"/>
      <c r="N31" s="8">
        <v>0</v>
      </c>
      <c r="O31" s="8">
        <v>7</v>
      </c>
      <c r="P31" s="661">
        <v>7405.7142857142871</v>
      </c>
    </row>
    <row r="32" spans="2:16" x14ac:dyDescent="0.15">
      <c r="B32" s="948"/>
      <c r="C32" s="396"/>
      <c r="D32" s="395"/>
      <c r="E32" s="406"/>
      <c r="F32" s="396"/>
      <c r="G32" s="395"/>
      <c r="H32" s="658"/>
      <c r="I32" s="657">
        <f t="shared" si="9"/>
        <v>0</v>
      </c>
      <c r="J32" s="657"/>
      <c r="K32" s="665"/>
      <c r="L32" s="657">
        <f t="shared" si="7"/>
        <v>0</v>
      </c>
      <c r="M32" s="13"/>
      <c r="N32" s="8">
        <f t="shared" si="8"/>
        <v>0</v>
      </c>
      <c r="O32" s="8"/>
      <c r="P32" s="661" t="str">
        <f t="shared" si="6"/>
        <v/>
      </c>
    </row>
    <row r="33" spans="2:16" x14ac:dyDescent="0.15">
      <c r="B33" s="948"/>
      <c r="C33" s="396"/>
      <c r="D33" s="396"/>
      <c r="E33" s="395"/>
      <c r="F33" s="396"/>
      <c r="G33" s="395"/>
      <c r="H33" s="658"/>
      <c r="I33" s="657">
        <f t="shared" si="9"/>
        <v>0</v>
      </c>
      <c r="J33" s="657"/>
      <c r="K33" s="665"/>
      <c r="L33" s="657">
        <f t="shared" si="7"/>
        <v>0</v>
      </c>
      <c r="M33" s="13"/>
      <c r="N33" s="8">
        <f t="shared" si="8"/>
        <v>0</v>
      </c>
      <c r="O33" s="8"/>
      <c r="P33" s="661" t="str">
        <f t="shared" si="6"/>
        <v/>
      </c>
    </row>
    <row r="34" spans="2:16" x14ac:dyDescent="0.15">
      <c r="B34" s="948"/>
      <c r="C34" s="396"/>
      <c r="D34" s="407"/>
      <c r="E34" s="395"/>
      <c r="F34" s="396"/>
      <c r="G34" s="395"/>
      <c r="H34" s="658"/>
      <c r="I34" s="657">
        <f t="shared" si="9"/>
        <v>0</v>
      </c>
      <c r="J34" s="657"/>
      <c r="K34" s="665"/>
      <c r="L34" s="657">
        <f t="shared" si="7"/>
        <v>0</v>
      </c>
      <c r="M34" s="13"/>
      <c r="N34" s="8">
        <f t="shared" si="8"/>
        <v>0</v>
      </c>
      <c r="O34" s="8"/>
      <c r="P34" s="661" t="str">
        <f t="shared" si="6"/>
        <v/>
      </c>
    </row>
    <row r="35" spans="2:16" x14ac:dyDescent="0.15">
      <c r="B35" s="948"/>
      <c r="C35" s="657"/>
      <c r="D35" s="657"/>
      <c r="E35" s="657"/>
      <c r="F35" s="657"/>
      <c r="G35" s="657"/>
      <c r="H35" s="658"/>
      <c r="I35" s="657">
        <f t="shared" si="9"/>
        <v>0</v>
      </c>
      <c r="J35" s="657"/>
      <c r="K35" s="665"/>
      <c r="L35" s="657">
        <f t="shared" si="7"/>
        <v>0</v>
      </c>
      <c r="M35" s="13"/>
      <c r="N35" s="8">
        <f t="shared" si="8"/>
        <v>0</v>
      </c>
      <c r="O35" s="8"/>
      <c r="P35" s="661" t="str">
        <f t="shared" si="6"/>
        <v/>
      </c>
    </row>
    <row r="36" spans="2:16" x14ac:dyDescent="0.15">
      <c r="B36" s="948"/>
      <c r="C36" s="657"/>
      <c r="D36" s="657"/>
      <c r="E36" s="657"/>
      <c r="F36" s="657"/>
      <c r="G36" s="657"/>
      <c r="H36" s="658"/>
      <c r="I36" s="657">
        <f t="shared" si="9"/>
        <v>0</v>
      </c>
      <c r="J36" s="657"/>
      <c r="K36" s="665"/>
      <c r="L36" s="657">
        <f t="shared" si="7"/>
        <v>0</v>
      </c>
      <c r="M36" s="13"/>
      <c r="N36" s="8">
        <f t="shared" si="8"/>
        <v>0</v>
      </c>
      <c r="O36" s="8"/>
      <c r="P36" s="661" t="str">
        <f t="shared" si="6"/>
        <v/>
      </c>
    </row>
    <row r="37" spans="2:16" x14ac:dyDescent="0.15">
      <c r="B37" s="948"/>
      <c r="C37" s="657"/>
      <c r="D37" s="657"/>
      <c r="E37" s="676"/>
      <c r="F37" s="657"/>
      <c r="G37" s="657"/>
      <c r="H37" s="658"/>
      <c r="I37" s="657">
        <f t="shared" si="9"/>
        <v>0</v>
      </c>
      <c r="J37" s="666"/>
      <c r="K37" s="665"/>
      <c r="L37" s="657">
        <f t="shared" si="7"/>
        <v>0</v>
      </c>
      <c r="M37" s="13"/>
      <c r="N37" s="8">
        <f t="shared" si="8"/>
        <v>0</v>
      </c>
      <c r="O37" s="8"/>
      <c r="P37" s="661"/>
    </row>
    <row r="38" spans="2:16" x14ac:dyDescent="0.15">
      <c r="B38" s="948"/>
      <c r="C38" s="657"/>
      <c r="D38" s="657"/>
      <c r="E38" s="676"/>
      <c r="F38" s="657"/>
      <c r="G38" s="657"/>
      <c r="H38" s="658"/>
      <c r="I38" s="657">
        <f t="shared" si="9"/>
        <v>0</v>
      </c>
      <c r="J38" s="657"/>
      <c r="K38" s="665"/>
      <c r="L38" s="657">
        <f t="shared" si="7"/>
        <v>0</v>
      </c>
      <c r="M38" s="13"/>
      <c r="N38" s="8">
        <f t="shared" si="8"/>
        <v>0</v>
      </c>
      <c r="O38" s="8"/>
      <c r="P38" s="661"/>
    </row>
    <row r="39" spans="2:16" x14ac:dyDescent="0.15">
      <c r="B39" s="948"/>
      <c r="C39" s="657"/>
      <c r="D39" s="657"/>
      <c r="E39" s="676"/>
      <c r="F39" s="657"/>
      <c r="G39" s="657"/>
      <c r="H39" s="658"/>
      <c r="I39" s="657">
        <f t="shared" si="9"/>
        <v>0</v>
      </c>
      <c r="J39" s="657"/>
      <c r="K39" s="665"/>
      <c r="L39" s="657">
        <f t="shared" si="7"/>
        <v>0</v>
      </c>
      <c r="M39" s="13"/>
      <c r="N39" s="8">
        <f t="shared" si="8"/>
        <v>0</v>
      </c>
      <c r="O39" s="8"/>
      <c r="P39" s="661"/>
    </row>
    <row r="40" spans="2:16" x14ac:dyDescent="0.15">
      <c r="B40" s="948"/>
      <c r="C40" s="657"/>
      <c r="D40" s="657"/>
      <c r="E40" s="657"/>
      <c r="F40" s="657"/>
      <c r="G40" s="657"/>
      <c r="H40" s="658"/>
      <c r="I40" s="657">
        <f t="shared" si="9"/>
        <v>0</v>
      </c>
      <c r="J40" s="666"/>
      <c r="K40" s="665"/>
      <c r="L40" s="657">
        <f t="shared" si="7"/>
        <v>0</v>
      </c>
      <c r="M40" s="13"/>
      <c r="N40" s="8">
        <f t="shared" si="8"/>
        <v>0</v>
      </c>
      <c r="O40" s="8"/>
      <c r="P40" s="661"/>
    </row>
    <row r="41" spans="2:16" x14ac:dyDescent="0.15">
      <c r="B41" s="948"/>
      <c r="C41" s="657"/>
      <c r="D41" s="657"/>
      <c r="E41" s="657"/>
      <c r="F41" s="657"/>
      <c r="G41" s="657"/>
      <c r="H41" s="658"/>
      <c r="I41" s="657">
        <f t="shared" si="9"/>
        <v>0</v>
      </c>
      <c r="J41" s="666"/>
      <c r="K41" s="665"/>
      <c r="L41" s="657">
        <f t="shared" si="7"/>
        <v>0</v>
      </c>
      <c r="M41" s="13"/>
      <c r="N41" s="8">
        <f t="shared" si="8"/>
        <v>0</v>
      </c>
      <c r="O41" s="8"/>
      <c r="P41" s="661"/>
    </row>
    <row r="42" spans="2:16" x14ac:dyDescent="0.15">
      <c r="B42" s="948"/>
      <c r="C42" s="657"/>
      <c r="D42" s="657"/>
      <c r="E42" s="657"/>
      <c r="F42" s="657"/>
      <c r="G42" s="657"/>
      <c r="H42" s="658"/>
      <c r="I42" s="657">
        <f t="shared" si="9"/>
        <v>0</v>
      </c>
      <c r="J42" s="657"/>
      <c r="K42" s="665"/>
      <c r="L42" s="657">
        <f t="shared" si="7"/>
        <v>0</v>
      </c>
      <c r="M42" s="13"/>
      <c r="N42" s="8">
        <f t="shared" si="8"/>
        <v>0</v>
      </c>
      <c r="O42" s="8"/>
      <c r="P42" s="661"/>
    </row>
    <row r="43" spans="2:16" x14ac:dyDescent="0.15">
      <c r="B43" s="948"/>
      <c r="C43" s="657"/>
      <c r="D43" s="657"/>
      <c r="E43" s="657"/>
      <c r="F43" s="657"/>
      <c r="G43" s="657"/>
      <c r="H43" s="658"/>
      <c r="I43" s="657">
        <f t="shared" si="9"/>
        <v>0</v>
      </c>
      <c r="J43" s="657"/>
      <c r="K43" s="665"/>
      <c r="L43" s="657">
        <f t="shared" si="7"/>
        <v>0</v>
      </c>
      <c r="M43" s="13"/>
      <c r="N43" s="8">
        <f t="shared" si="8"/>
        <v>0</v>
      </c>
      <c r="O43" s="8"/>
      <c r="P43" s="661"/>
    </row>
    <row r="44" spans="2:16" x14ac:dyDescent="0.15">
      <c r="B44" s="948"/>
      <c r="C44" s="657"/>
      <c r="D44" s="657"/>
      <c r="E44" s="657"/>
      <c r="F44" s="657"/>
      <c r="G44" s="657"/>
      <c r="H44" s="658"/>
      <c r="I44" s="657">
        <f t="shared" si="9"/>
        <v>0</v>
      </c>
      <c r="J44" s="657"/>
      <c r="K44" s="665"/>
      <c r="L44" s="657">
        <f t="shared" si="7"/>
        <v>0</v>
      </c>
      <c r="M44" s="13"/>
      <c r="N44" s="8">
        <f t="shared" si="8"/>
        <v>0</v>
      </c>
      <c r="O44" s="8"/>
      <c r="P44" s="661"/>
    </row>
    <row r="45" spans="2:16" x14ac:dyDescent="0.15">
      <c r="B45" s="948"/>
      <c r="C45" s="657"/>
      <c r="D45" s="657"/>
      <c r="E45" s="657"/>
      <c r="F45" s="657"/>
      <c r="G45" s="657"/>
      <c r="H45" s="658"/>
      <c r="I45" s="657">
        <f t="shared" si="9"/>
        <v>0</v>
      </c>
      <c r="J45" s="657"/>
      <c r="K45" s="665"/>
      <c r="L45" s="657">
        <f t="shared" si="7"/>
        <v>0</v>
      </c>
      <c r="M45" s="13"/>
      <c r="N45" s="8">
        <f t="shared" si="8"/>
        <v>0</v>
      </c>
      <c r="O45" s="8"/>
      <c r="P45" s="661"/>
    </row>
    <row r="46" spans="2:16" x14ac:dyDescent="0.15">
      <c r="B46" s="948"/>
      <c r="C46" s="657"/>
      <c r="D46" s="657"/>
      <c r="E46" s="657"/>
      <c r="F46" s="657"/>
      <c r="G46" s="657"/>
      <c r="H46" s="658"/>
      <c r="I46" s="657">
        <f t="shared" si="9"/>
        <v>0</v>
      </c>
      <c r="J46" s="657"/>
      <c r="K46" s="665"/>
      <c r="L46" s="657">
        <f t="shared" si="7"/>
        <v>0</v>
      </c>
      <c r="M46" s="13"/>
      <c r="N46" s="8">
        <f t="shared" si="8"/>
        <v>0</v>
      </c>
      <c r="O46" s="8"/>
      <c r="P46" s="661"/>
    </row>
    <row r="47" spans="2:16" x14ac:dyDescent="0.15">
      <c r="B47" s="948"/>
      <c r="C47" s="657"/>
      <c r="D47" s="657"/>
      <c r="E47" s="657"/>
      <c r="F47" s="657"/>
      <c r="G47" s="657"/>
      <c r="H47" s="658"/>
      <c r="I47" s="657">
        <f t="shared" si="9"/>
        <v>0</v>
      </c>
      <c r="J47" s="657"/>
      <c r="K47" s="665"/>
      <c r="L47" s="657">
        <f t="shared" si="7"/>
        <v>0</v>
      </c>
      <c r="M47" s="13"/>
      <c r="N47" s="8">
        <f t="shared" si="8"/>
        <v>0</v>
      </c>
      <c r="O47" s="8"/>
      <c r="P47" s="661"/>
    </row>
    <row r="48" spans="2:16" x14ac:dyDescent="0.15">
      <c r="B48" s="948"/>
      <c r="C48" s="657"/>
      <c r="D48" s="657"/>
      <c r="E48" s="657"/>
      <c r="F48" s="657"/>
      <c r="G48" s="657"/>
      <c r="H48" s="658"/>
      <c r="I48" s="657">
        <f t="shared" si="9"/>
        <v>0</v>
      </c>
      <c r="J48" s="657"/>
      <c r="K48" s="665"/>
      <c r="L48" s="657">
        <f t="shared" si="7"/>
        <v>0</v>
      </c>
      <c r="M48" s="13"/>
      <c r="N48" s="8">
        <f t="shared" si="8"/>
        <v>0</v>
      </c>
      <c r="O48" s="8"/>
      <c r="P48" s="661"/>
    </row>
    <row r="49" spans="2:16" x14ac:dyDescent="0.15">
      <c r="B49" s="948"/>
      <c r="C49" s="657"/>
      <c r="D49" s="657"/>
      <c r="E49" s="657"/>
      <c r="F49" s="657"/>
      <c r="G49" s="657"/>
      <c r="H49" s="658"/>
      <c r="I49" s="657">
        <f t="shared" si="9"/>
        <v>0</v>
      </c>
      <c r="J49" s="657"/>
      <c r="K49" s="665"/>
      <c r="L49" s="657">
        <f t="shared" si="7"/>
        <v>0</v>
      </c>
      <c r="M49" s="13"/>
      <c r="N49" s="8">
        <f t="shared" si="8"/>
        <v>0</v>
      </c>
      <c r="O49" s="8"/>
      <c r="P49" s="661"/>
    </row>
    <row r="50" spans="2:16" x14ac:dyDescent="0.15">
      <c r="B50" s="948"/>
      <c r="C50" s="657"/>
      <c r="D50" s="657"/>
      <c r="E50" s="657"/>
      <c r="F50" s="657"/>
      <c r="G50" s="657"/>
      <c r="H50" s="658"/>
      <c r="I50" s="657">
        <f t="shared" si="9"/>
        <v>0</v>
      </c>
      <c r="J50" s="657"/>
      <c r="K50" s="665"/>
      <c r="L50" s="657">
        <f t="shared" si="7"/>
        <v>0</v>
      </c>
      <c r="M50" s="13"/>
      <c r="N50" s="8">
        <f t="shared" si="8"/>
        <v>0</v>
      </c>
      <c r="O50" s="8"/>
      <c r="P50" s="661"/>
    </row>
    <row r="51" spans="2:16" x14ac:dyDescent="0.15">
      <c r="B51" s="948"/>
      <c r="C51" s="657"/>
      <c r="D51" s="657"/>
      <c r="E51" s="657"/>
      <c r="F51" s="657"/>
      <c r="G51" s="657"/>
      <c r="H51" s="658"/>
      <c r="I51" s="657">
        <f t="shared" si="9"/>
        <v>0</v>
      </c>
      <c r="J51" s="657"/>
      <c r="K51" s="665"/>
      <c r="L51" s="657">
        <f t="shared" si="7"/>
        <v>0</v>
      </c>
      <c r="M51" s="13"/>
      <c r="N51" s="8">
        <f t="shared" si="8"/>
        <v>0</v>
      </c>
      <c r="O51" s="8"/>
      <c r="P51" s="661"/>
    </row>
    <row r="52" spans="2:16" x14ac:dyDescent="0.15">
      <c r="B52" s="948"/>
      <c r="C52" s="657"/>
      <c r="D52" s="657"/>
      <c r="E52" s="657"/>
      <c r="F52" s="657"/>
      <c r="G52" s="657"/>
      <c r="H52" s="658"/>
      <c r="I52" s="657">
        <f t="shared" si="9"/>
        <v>0</v>
      </c>
      <c r="J52" s="657"/>
      <c r="K52" s="665"/>
      <c r="L52" s="657">
        <f t="shared" si="7"/>
        <v>0</v>
      </c>
      <c r="M52" s="13"/>
      <c r="N52" s="8">
        <f t="shared" si="8"/>
        <v>0</v>
      </c>
      <c r="O52" s="8"/>
      <c r="P52" s="661"/>
    </row>
    <row r="53" spans="2:16" x14ac:dyDescent="0.15">
      <c r="B53" s="948"/>
      <c r="C53" s="657"/>
      <c r="D53" s="657"/>
      <c r="E53" s="657"/>
      <c r="F53" s="657"/>
      <c r="G53" s="657"/>
      <c r="H53" s="658"/>
      <c r="I53" s="657">
        <f t="shared" si="9"/>
        <v>0</v>
      </c>
      <c r="J53" s="657"/>
      <c r="K53" s="665"/>
      <c r="L53" s="657">
        <f t="shared" si="7"/>
        <v>0</v>
      </c>
      <c r="M53" s="13"/>
      <c r="N53" s="8">
        <f t="shared" si="8"/>
        <v>0</v>
      </c>
      <c r="O53" s="8"/>
      <c r="P53" s="661"/>
    </row>
    <row r="54" spans="2:16" x14ac:dyDescent="0.15">
      <c r="B54" s="948"/>
      <c r="C54" s="657"/>
      <c r="D54" s="657"/>
      <c r="E54" s="657"/>
      <c r="F54" s="657"/>
      <c r="G54" s="657"/>
      <c r="H54" s="658"/>
      <c r="I54" s="657">
        <f t="shared" si="9"/>
        <v>0</v>
      </c>
      <c r="J54" s="657"/>
      <c r="K54" s="665"/>
      <c r="L54" s="657">
        <f t="shared" si="7"/>
        <v>0</v>
      </c>
      <c r="M54" s="13"/>
      <c r="N54" s="8">
        <f t="shared" si="8"/>
        <v>0</v>
      </c>
      <c r="O54" s="8"/>
      <c r="P54" s="661"/>
    </row>
    <row r="55" spans="2:16" x14ac:dyDescent="0.15">
      <c r="B55" s="948"/>
      <c r="C55" s="657"/>
      <c r="D55" s="666"/>
      <c r="E55" s="657"/>
      <c r="F55" s="657"/>
      <c r="G55" s="657"/>
      <c r="H55" s="658"/>
      <c r="I55" s="657">
        <f t="shared" si="9"/>
        <v>0</v>
      </c>
      <c r="J55" s="657"/>
      <c r="K55" s="665"/>
      <c r="L55" s="657">
        <f t="shared" si="7"/>
        <v>0</v>
      </c>
      <c r="M55" s="13"/>
      <c r="N55" s="8">
        <f t="shared" si="8"/>
        <v>0</v>
      </c>
      <c r="O55" s="8"/>
      <c r="P55" s="661"/>
    </row>
    <row r="56" spans="2:16" x14ac:dyDescent="0.15">
      <c r="B56" s="948"/>
      <c r="C56" s="657"/>
      <c r="D56" s="666"/>
      <c r="E56" s="657"/>
      <c r="F56" s="657"/>
      <c r="G56" s="657"/>
      <c r="H56" s="658"/>
      <c r="I56" s="657">
        <f t="shared" si="9"/>
        <v>0</v>
      </c>
      <c r="J56" s="666"/>
      <c r="K56" s="665"/>
      <c r="L56" s="657">
        <f t="shared" si="7"/>
        <v>0</v>
      </c>
      <c r="M56" s="13"/>
      <c r="N56" s="8">
        <f t="shared" si="8"/>
        <v>0</v>
      </c>
      <c r="O56" s="8"/>
      <c r="P56" s="661"/>
    </row>
    <row r="57" spans="2:16" x14ac:dyDescent="0.15">
      <c r="B57" s="948"/>
      <c r="C57" s="657"/>
      <c r="D57" s="666"/>
      <c r="E57" s="657"/>
      <c r="F57" s="657"/>
      <c r="G57" s="657"/>
      <c r="H57" s="658"/>
      <c r="I57" s="657">
        <f t="shared" si="9"/>
        <v>0</v>
      </c>
      <c r="J57" s="666"/>
      <c r="K57" s="665"/>
      <c r="L57" s="657">
        <f t="shared" si="7"/>
        <v>0</v>
      </c>
      <c r="M57" s="13"/>
      <c r="N57" s="8">
        <f t="shared" si="8"/>
        <v>0</v>
      </c>
      <c r="O57" s="8"/>
      <c r="P57" s="661" t="str">
        <f t="shared" si="6"/>
        <v/>
      </c>
    </row>
    <row r="58" spans="2:16" x14ac:dyDescent="0.15">
      <c r="B58" s="963"/>
      <c r="C58" s="657" t="s">
        <v>46</v>
      </c>
      <c r="D58" s="657"/>
      <c r="E58" s="657"/>
      <c r="F58" s="663"/>
      <c r="G58" s="657">
        <f>SUM(G16:G55)</f>
        <v>27235240</v>
      </c>
      <c r="H58" s="657"/>
      <c r="I58" s="657">
        <f>SUM(I16:I55)</f>
        <v>27235240</v>
      </c>
      <c r="J58" s="657"/>
      <c r="K58" s="677"/>
      <c r="L58" s="657">
        <f>SUM(L16:L55)</f>
        <v>1087715.3333333333</v>
      </c>
      <c r="M58" s="8"/>
      <c r="N58" s="8"/>
      <c r="O58" s="8"/>
      <c r="P58" s="661">
        <f>SUM(P16:P55)</f>
        <v>155387.90476190473</v>
      </c>
    </row>
    <row r="59" spans="2:16" x14ac:dyDescent="0.15">
      <c r="B59" s="947" t="s">
        <v>131</v>
      </c>
      <c r="C59" s="657"/>
      <c r="D59" s="657"/>
      <c r="E59" s="657"/>
      <c r="F59" s="666"/>
      <c r="G59" s="657"/>
      <c r="H59" s="678"/>
      <c r="I59" s="657">
        <f t="shared" si="9"/>
        <v>0</v>
      </c>
      <c r="J59" s="666"/>
      <c r="K59" s="665"/>
      <c r="L59" s="657">
        <f>I59*K59</f>
        <v>0</v>
      </c>
      <c r="M59" s="679"/>
      <c r="N59" s="8">
        <f>L59*M59</f>
        <v>0</v>
      </c>
      <c r="O59" s="8"/>
      <c r="P59" s="661" t="str">
        <f>IF(O59="","",(L59-N59)/O59)</f>
        <v/>
      </c>
    </row>
    <row r="60" spans="2:16" x14ac:dyDescent="0.15">
      <c r="B60" s="948"/>
      <c r="C60" s="657"/>
      <c r="D60" s="657"/>
      <c r="E60" s="657"/>
      <c r="F60" s="666"/>
      <c r="G60" s="657"/>
      <c r="H60" s="678"/>
      <c r="I60" s="657">
        <f t="shared" si="9"/>
        <v>0</v>
      </c>
      <c r="J60" s="657"/>
      <c r="K60" s="665"/>
      <c r="L60" s="657">
        <f>I60*K60</f>
        <v>0</v>
      </c>
      <c r="M60" s="679"/>
      <c r="N60" s="8">
        <f>L60*M60</f>
        <v>0</v>
      </c>
      <c r="O60" s="8"/>
      <c r="P60" s="661" t="str">
        <f>IF(O60="","",(L60-N60)/O60)</f>
        <v/>
      </c>
    </row>
    <row r="61" spans="2:16" x14ac:dyDescent="0.15">
      <c r="B61" s="948"/>
      <c r="C61" s="8"/>
      <c r="D61" s="8"/>
      <c r="E61" s="8"/>
      <c r="F61" s="680"/>
      <c r="G61" s="8"/>
      <c r="H61" s="679"/>
      <c r="I61" s="8">
        <f t="shared" si="9"/>
        <v>0</v>
      </c>
      <c r="J61" s="8"/>
      <c r="K61" s="667"/>
      <c r="L61" s="8">
        <f>I61*K61</f>
        <v>0</v>
      </c>
      <c r="M61" s="679"/>
      <c r="N61" s="8">
        <f>L61*M61</f>
        <v>0</v>
      </c>
      <c r="O61" s="8"/>
      <c r="P61" s="661" t="str">
        <f>IF(O61="","",(L61-N61)/O61)</f>
        <v/>
      </c>
    </row>
    <row r="62" spans="2:16" x14ac:dyDescent="0.15">
      <c r="B62" s="948"/>
      <c r="C62" s="8"/>
      <c r="D62" s="8"/>
      <c r="E62" s="8"/>
      <c r="F62" s="680"/>
      <c r="G62" s="8"/>
      <c r="H62" s="679"/>
      <c r="I62" s="8">
        <f t="shared" si="9"/>
        <v>0</v>
      </c>
      <c r="J62" s="8"/>
      <c r="K62" s="667"/>
      <c r="L62" s="8">
        <f>I62*K62</f>
        <v>0</v>
      </c>
      <c r="M62" s="679"/>
      <c r="N62" s="8">
        <f>L62*M62</f>
        <v>0</v>
      </c>
      <c r="O62" s="8"/>
      <c r="P62" s="661" t="str">
        <f>IF(O62="","",(L62-N62)/O62)</f>
        <v/>
      </c>
    </row>
    <row r="63" spans="2:16" x14ac:dyDescent="0.15">
      <c r="B63" s="963"/>
      <c r="C63" s="670" t="s">
        <v>46</v>
      </c>
      <c r="D63" s="8"/>
      <c r="E63" s="8"/>
      <c r="F63" s="669"/>
      <c r="G63" s="8">
        <f>SUM(G59:G62)</f>
        <v>0</v>
      </c>
      <c r="H63" s="8"/>
      <c r="I63" s="8">
        <f>SUM(I59:I62)</f>
        <v>0</v>
      </c>
      <c r="J63" s="8"/>
      <c r="K63" s="671"/>
      <c r="L63" s="8">
        <f>SUM(L59:L62)</f>
        <v>0</v>
      </c>
      <c r="M63" s="8"/>
      <c r="N63" s="8"/>
      <c r="O63" s="8"/>
      <c r="P63" s="661">
        <f>SUM(P59:P62)</f>
        <v>0</v>
      </c>
    </row>
    <row r="64" spans="2:16" ht="14.25" thickBot="1" x14ac:dyDescent="0.2">
      <c r="B64" s="681"/>
      <c r="C64" s="9" t="s">
        <v>94</v>
      </c>
      <c r="D64" s="10"/>
      <c r="E64" s="10"/>
      <c r="F64" s="11"/>
      <c r="G64" s="10">
        <f>G15+G58+G63</f>
        <v>43867240</v>
      </c>
      <c r="H64" s="10"/>
      <c r="I64" s="10">
        <f>I15+I58+I63</f>
        <v>43867240</v>
      </c>
      <c r="J64" s="10"/>
      <c r="K64" s="12"/>
      <c r="L64" s="10">
        <f>L15+L58+L63</f>
        <v>1642115.3333333333</v>
      </c>
      <c r="M64" s="10"/>
      <c r="N64" s="10"/>
      <c r="O64" s="10"/>
      <c r="P64" s="270">
        <f>P15+P58+P63</f>
        <v>177563.90476190473</v>
      </c>
    </row>
    <row r="65" ht="11.25" customHeight="1" x14ac:dyDescent="0.15"/>
  </sheetData>
  <mergeCells count="9">
    <mergeCell ref="J3:J4"/>
    <mergeCell ref="B5:B15"/>
    <mergeCell ref="B16:B58"/>
    <mergeCell ref="B59:B63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1:P65"/>
  <sheetViews>
    <sheetView zoomScale="75" zoomScaleNormal="75" workbookViewId="0"/>
  </sheetViews>
  <sheetFormatPr defaultColWidth="9" defaultRowHeight="13.5" x14ac:dyDescent="0.15"/>
  <cols>
    <col min="1" max="1" width="1.625" style="655" customWidth="1"/>
    <col min="2" max="2" width="5" style="655" customWidth="1"/>
    <col min="3" max="3" width="22.5" style="655" bestFit="1" customWidth="1"/>
    <col min="4" max="4" width="30" style="655" bestFit="1" customWidth="1"/>
    <col min="5" max="6" width="6" style="655" bestFit="1" customWidth="1"/>
    <col min="7" max="7" width="17.625" style="655" customWidth="1"/>
    <col min="8" max="8" width="10.625" style="655" customWidth="1"/>
    <col min="9" max="9" width="17.625" style="655" customWidth="1"/>
    <col min="10" max="10" width="10.625" style="655" customWidth="1"/>
    <col min="11" max="11" width="15.125" style="682" bestFit="1" customWidth="1"/>
    <col min="12" max="12" width="17.625" style="655" customWidth="1"/>
    <col min="13" max="13" width="10.625" style="655" customWidth="1"/>
    <col min="14" max="14" width="17.625" style="655" customWidth="1"/>
    <col min="15" max="15" width="10.625" style="655" customWidth="1"/>
    <col min="16" max="16" width="19.75" style="655" bestFit="1" customWidth="1"/>
    <col min="17" max="16384" width="9" style="655"/>
  </cols>
  <sheetData>
    <row r="1" spans="2:16" s="618" customFormat="1" ht="9.9499999999999993" customHeight="1" x14ac:dyDescent="0.15">
      <c r="K1" s="619"/>
    </row>
    <row r="2" spans="2:16" s="618" customFormat="1" ht="24.95" customHeight="1" thickBot="1" x14ac:dyDescent="0.2">
      <c r="B2" s="620" t="s">
        <v>484</v>
      </c>
      <c r="C2" s="621"/>
      <c r="D2" s="621"/>
      <c r="E2" s="622"/>
      <c r="F2" s="952"/>
      <c r="G2" s="953"/>
      <c r="H2" s="623" t="s">
        <v>237</v>
      </c>
      <c r="I2" s="624" t="s">
        <v>336</v>
      </c>
      <c r="J2" s="110"/>
      <c r="K2" s="623" t="s">
        <v>238</v>
      </c>
      <c r="L2" s="624" t="s">
        <v>240</v>
      </c>
      <c r="M2" s="625"/>
      <c r="P2" s="626"/>
    </row>
    <row r="3" spans="2:16" s="618" customFormat="1" x14ac:dyDescent="0.15">
      <c r="B3" s="964" t="s">
        <v>122</v>
      </c>
      <c r="C3" s="961" t="s">
        <v>38</v>
      </c>
      <c r="D3" s="966" t="s">
        <v>121</v>
      </c>
      <c r="E3" s="968" t="s">
        <v>39</v>
      </c>
      <c r="F3" s="969"/>
      <c r="G3" s="648" t="s">
        <v>40</v>
      </c>
      <c r="H3" s="649" t="s">
        <v>124</v>
      </c>
      <c r="I3" s="649" t="s">
        <v>123</v>
      </c>
      <c r="J3" s="961" t="s">
        <v>91</v>
      </c>
      <c r="K3" s="650" t="s">
        <v>92</v>
      </c>
      <c r="L3" s="648" t="s">
        <v>41</v>
      </c>
      <c r="M3" s="649" t="s">
        <v>128</v>
      </c>
      <c r="N3" s="648" t="s">
        <v>42</v>
      </c>
      <c r="O3" s="648" t="s">
        <v>43</v>
      </c>
      <c r="P3" s="628" t="s">
        <v>44</v>
      </c>
    </row>
    <row r="4" spans="2:16" x14ac:dyDescent="0.15">
      <c r="B4" s="965"/>
      <c r="C4" s="962"/>
      <c r="D4" s="967"/>
      <c r="E4" s="651" t="s">
        <v>93</v>
      </c>
      <c r="F4" s="651" t="s">
        <v>9</v>
      </c>
      <c r="G4" s="652" t="s">
        <v>126</v>
      </c>
      <c r="H4" s="652" t="s">
        <v>125</v>
      </c>
      <c r="I4" s="652" t="s">
        <v>132</v>
      </c>
      <c r="J4" s="962"/>
      <c r="K4" s="653" t="s">
        <v>127</v>
      </c>
      <c r="L4" s="652" t="s">
        <v>133</v>
      </c>
      <c r="M4" s="652" t="s">
        <v>129</v>
      </c>
      <c r="N4" s="652" t="s">
        <v>134</v>
      </c>
      <c r="O4" s="652" t="s">
        <v>130</v>
      </c>
      <c r="P4" s="654" t="s">
        <v>135</v>
      </c>
    </row>
    <row r="5" spans="2:16" x14ac:dyDescent="0.15">
      <c r="B5" s="947" t="s">
        <v>185</v>
      </c>
      <c r="C5" s="656" t="s">
        <v>280</v>
      </c>
      <c r="D5" s="657" t="s">
        <v>97</v>
      </c>
      <c r="E5" s="657">
        <v>100</v>
      </c>
      <c r="F5" s="657" t="s">
        <v>98</v>
      </c>
      <c r="G5" s="657">
        <f>59400*E5</f>
        <v>5940000</v>
      </c>
      <c r="H5" s="658">
        <v>0</v>
      </c>
      <c r="I5" s="657">
        <f>G5*(1-H5)</f>
        <v>5940000</v>
      </c>
      <c r="J5" s="683">
        <f>'１　対象経営の概要，２　前提条件'!$F$17</f>
        <v>10</v>
      </c>
      <c r="K5" s="660">
        <f t="shared" ref="K5:K6" si="0">10/30/10</f>
        <v>3.3333333333333333E-2</v>
      </c>
      <c r="L5" s="8">
        <f>I5*K5</f>
        <v>198000</v>
      </c>
      <c r="M5" s="13">
        <v>0</v>
      </c>
      <c r="N5" s="8">
        <f t="shared" ref="N5:N6" si="1">L5*M5/100</f>
        <v>0</v>
      </c>
      <c r="O5" s="8">
        <v>25</v>
      </c>
      <c r="P5" s="661">
        <f>IF(O5="","",(L5-N5)/O5)</f>
        <v>7920</v>
      </c>
    </row>
    <row r="6" spans="2:16" x14ac:dyDescent="0.15">
      <c r="B6" s="948"/>
      <c r="C6" s="657" t="s">
        <v>279</v>
      </c>
      <c r="D6" s="657" t="s">
        <v>97</v>
      </c>
      <c r="E6" s="657">
        <v>180</v>
      </c>
      <c r="F6" s="657" t="s">
        <v>98</v>
      </c>
      <c r="G6" s="657">
        <f>59400*E6</f>
        <v>10692000</v>
      </c>
      <c r="H6" s="658">
        <v>0</v>
      </c>
      <c r="I6" s="657">
        <f>G6*(1-H6)</f>
        <v>10692000</v>
      </c>
      <c r="J6" s="683">
        <f>'１　対象経営の概要，２　前提条件'!$F$17</f>
        <v>10</v>
      </c>
      <c r="K6" s="660">
        <f t="shared" si="0"/>
        <v>3.3333333333333333E-2</v>
      </c>
      <c r="L6" s="8">
        <f t="shared" ref="L6" si="2">I6*K6</f>
        <v>356400</v>
      </c>
      <c r="M6" s="13">
        <v>0</v>
      </c>
      <c r="N6" s="8">
        <f t="shared" si="1"/>
        <v>0</v>
      </c>
      <c r="O6" s="8">
        <v>25</v>
      </c>
      <c r="P6" s="661">
        <f t="shared" ref="P6" si="3">IF(O6="","",(L6-N6)/O6)</f>
        <v>14256</v>
      </c>
    </row>
    <row r="7" spans="2:16" x14ac:dyDescent="0.15">
      <c r="B7" s="948"/>
      <c r="C7" s="657"/>
      <c r="D7" s="657"/>
      <c r="E7" s="657"/>
      <c r="F7" s="657" t="s">
        <v>98</v>
      </c>
      <c r="G7" s="657"/>
      <c r="H7" s="658">
        <v>0</v>
      </c>
      <c r="I7" s="657">
        <f>G7*(1-H7)</f>
        <v>0</v>
      </c>
      <c r="J7" s="666"/>
      <c r="K7" s="665"/>
      <c r="L7" s="8">
        <f t="shared" ref="L7:L14" si="4">I7*K7</f>
        <v>0</v>
      </c>
      <c r="M7" s="13"/>
      <c r="N7" s="8">
        <f t="shared" ref="N7:N14" si="5">L7*M7/100</f>
        <v>0</v>
      </c>
      <c r="O7" s="8"/>
      <c r="P7" s="661" t="str">
        <f t="shared" ref="P7:P14" si="6">IF(O7="","",(L7-N7)/O7)</f>
        <v/>
      </c>
    </row>
    <row r="8" spans="2:16" x14ac:dyDescent="0.15">
      <c r="B8" s="948"/>
      <c r="C8" s="657"/>
      <c r="D8" s="657"/>
      <c r="E8" s="662"/>
      <c r="F8" s="663"/>
      <c r="G8" s="657"/>
      <c r="H8" s="658"/>
      <c r="I8" s="657">
        <f t="shared" ref="I8:I14" si="7">G8*(1-H8)</f>
        <v>0</v>
      </c>
      <c r="J8" s="657"/>
      <c r="K8" s="665"/>
      <c r="L8" s="8">
        <f t="shared" si="4"/>
        <v>0</v>
      </c>
      <c r="M8" s="13"/>
      <c r="N8" s="8">
        <f t="shared" si="5"/>
        <v>0</v>
      </c>
      <c r="O8" s="8"/>
      <c r="P8" s="661" t="str">
        <f t="shared" si="6"/>
        <v/>
      </c>
    </row>
    <row r="9" spans="2:16" x14ac:dyDescent="0.15">
      <c r="B9" s="948"/>
      <c r="C9" s="657"/>
      <c r="D9" s="657"/>
      <c r="E9" s="662"/>
      <c r="F9" s="663"/>
      <c r="G9" s="657"/>
      <c r="H9" s="658"/>
      <c r="I9" s="657">
        <f t="shared" si="7"/>
        <v>0</v>
      </c>
      <c r="J9" s="657"/>
      <c r="K9" s="665"/>
      <c r="L9" s="8">
        <f t="shared" si="4"/>
        <v>0</v>
      </c>
      <c r="M9" s="13"/>
      <c r="N9" s="8">
        <f t="shared" si="5"/>
        <v>0</v>
      </c>
      <c r="O9" s="8"/>
      <c r="P9" s="661" t="str">
        <f t="shared" si="6"/>
        <v/>
      </c>
    </row>
    <row r="10" spans="2:16" x14ac:dyDescent="0.15">
      <c r="B10" s="948"/>
      <c r="C10" s="657"/>
      <c r="D10" s="657"/>
      <c r="E10" s="657"/>
      <c r="F10" s="666"/>
      <c r="G10" s="657"/>
      <c r="H10" s="658"/>
      <c r="I10" s="657">
        <f t="shared" si="7"/>
        <v>0</v>
      </c>
      <c r="J10" s="657"/>
      <c r="K10" s="665"/>
      <c r="L10" s="8">
        <f t="shared" si="4"/>
        <v>0</v>
      </c>
      <c r="M10" s="13"/>
      <c r="N10" s="8">
        <f t="shared" si="5"/>
        <v>0</v>
      </c>
      <c r="O10" s="8"/>
      <c r="P10" s="661" t="str">
        <f t="shared" si="6"/>
        <v/>
      </c>
    </row>
    <row r="11" spans="2:16" x14ac:dyDescent="0.15">
      <c r="B11" s="948"/>
      <c r="C11" s="657"/>
      <c r="D11" s="657"/>
      <c r="E11" s="657"/>
      <c r="F11" s="657"/>
      <c r="G11" s="657"/>
      <c r="H11" s="658"/>
      <c r="I11" s="657">
        <f t="shared" si="7"/>
        <v>0</v>
      </c>
      <c r="J11" s="657"/>
      <c r="K11" s="665"/>
      <c r="L11" s="8">
        <f t="shared" si="4"/>
        <v>0</v>
      </c>
      <c r="M11" s="13"/>
      <c r="N11" s="8">
        <f t="shared" si="5"/>
        <v>0</v>
      </c>
      <c r="O11" s="8"/>
      <c r="P11" s="661" t="str">
        <f t="shared" si="6"/>
        <v/>
      </c>
    </row>
    <row r="12" spans="2:16" x14ac:dyDescent="0.15">
      <c r="B12" s="948"/>
      <c r="C12" s="657"/>
      <c r="D12" s="657"/>
      <c r="E12" s="657"/>
      <c r="F12" s="666" t="s">
        <v>120</v>
      </c>
      <c r="G12" s="657"/>
      <c r="H12" s="658">
        <v>0</v>
      </c>
      <c r="I12" s="657">
        <f t="shared" si="7"/>
        <v>0</v>
      </c>
      <c r="J12" s="666"/>
      <c r="K12" s="665"/>
      <c r="L12" s="8">
        <f t="shared" si="4"/>
        <v>0</v>
      </c>
      <c r="M12" s="13">
        <v>0</v>
      </c>
      <c r="N12" s="8">
        <f t="shared" si="5"/>
        <v>0</v>
      </c>
      <c r="O12" s="8"/>
      <c r="P12" s="661" t="str">
        <f t="shared" si="6"/>
        <v/>
      </c>
    </row>
    <row r="13" spans="2:16" x14ac:dyDescent="0.15">
      <c r="B13" s="948"/>
      <c r="C13" s="8"/>
      <c r="D13" s="8"/>
      <c r="E13" s="8"/>
      <c r="F13" s="8" t="s">
        <v>61</v>
      </c>
      <c r="G13" s="8"/>
      <c r="H13" s="13"/>
      <c r="I13" s="8">
        <f t="shared" si="7"/>
        <v>0</v>
      </c>
      <c r="J13" s="8"/>
      <c r="K13" s="667"/>
      <c r="L13" s="8">
        <f t="shared" si="4"/>
        <v>0</v>
      </c>
      <c r="M13" s="13"/>
      <c r="N13" s="8">
        <f t="shared" si="5"/>
        <v>0</v>
      </c>
      <c r="O13" s="8"/>
      <c r="P13" s="661" t="str">
        <f t="shared" si="6"/>
        <v/>
      </c>
    </row>
    <row r="14" spans="2:16" x14ac:dyDescent="0.15">
      <c r="B14" s="948"/>
      <c r="C14" s="8"/>
      <c r="D14" s="8"/>
      <c r="E14" s="8"/>
      <c r="F14" s="8" t="s">
        <v>61</v>
      </c>
      <c r="G14" s="8"/>
      <c r="H14" s="13"/>
      <c r="I14" s="8">
        <f t="shared" si="7"/>
        <v>0</v>
      </c>
      <c r="J14" s="8"/>
      <c r="K14" s="667"/>
      <c r="L14" s="8">
        <f t="shared" si="4"/>
        <v>0</v>
      </c>
      <c r="M14" s="13"/>
      <c r="N14" s="8">
        <f t="shared" si="5"/>
        <v>0</v>
      </c>
      <c r="O14" s="8"/>
      <c r="P14" s="661" t="str">
        <f t="shared" si="6"/>
        <v/>
      </c>
    </row>
    <row r="15" spans="2:16" x14ac:dyDescent="0.15">
      <c r="B15" s="963"/>
      <c r="C15" s="668" t="s">
        <v>45</v>
      </c>
      <c r="D15" s="8"/>
      <c r="E15" s="8"/>
      <c r="F15" s="669"/>
      <c r="G15" s="670">
        <f>SUM(G5:G14)</f>
        <v>16632000</v>
      </c>
      <c r="H15" s="8"/>
      <c r="I15" s="8">
        <f>SUM(I5:I14)</f>
        <v>16632000</v>
      </c>
      <c r="J15" s="8"/>
      <c r="K15" s="671"/>
      <c r="L15" s="8">
        <f>SUM(L5:L14)</f>
        <v>554400</v>
      </c>
      <c r="M15" s="8"/>
      <c r="N15" s="8"/>
      <c r="O15" s="8"/>
      <c r="P15" s="661">
        <f>SUM(P5:P14)</f>
        <v>22176</v>
      </c>
    </row>
    <row r="16" spans="2:16" x14ac:dyDescent="0.15">
      <c r="B16" s="947" t="s">
        <v>186</v>
      </c>
      <c r="C16" s="404" t="s">
        <v>54</v>
      </c>
      <c r="D16" s="444" t="s">
        <v>521</v>
      </c>
      <c r="E16" s="672">
        <v>1</v>
      </c>
      <c r="F16" s="673" t="s">
        <v>58</v>
      </c>
      <c r="G16" s="538">
        <f>5302000*1.08</f>
        <v>5726160</v>
      </c>
      <c r="H16" s="674"/>
      <c r="I16" s="657">
        <f>G16*(1-H16)</f>
        <v>5726160</v>
      </c>
      <c r="J16" s="683">
        <f>'１　対象経営の概要，２　前提条件'!$F$17</f>
        <v>10</v>
      </c>
      <c r="K16" s="665">
        <f>10/30/10</f>
        <v>3.3333333333333333E-2</v>
      </c>
      <c r="L16" s="657">
        <f>I16*K16</f>
        <v>190872</v>
      </c>
      <c r="M16" s="13"/>
      <c r="N16" s="8">
        <f>L16*M16</f>
        <v>0</v>
      </c>
      <c r="O16" s="8">
        <v>7</v>
      </c>
      <c r="P16" s="661">
        <f t="shared" ref="P16:P40" si="8">IF(O16="","",(L16-N16)/O16)</f>
        <v>27267.428571428572</v>
      </c>
    </row>
    <row r="17" spans="2:16" x14ac:dyDescent="0.15">
      <c r="B17" s="948"/>
      <c r="C17" s="404" t="s">
        <v>54</v>
      </c>
      <c r="D17" s="444" t="s">
        <v>522</v>
      </c>
      <c r="E17" s="672">
        <v>1</v>
      </c>
      <c r="F17" s="673" t="s">
        <v>58</v>
      </c>
      <c r="G17" s="539">
        <f>4284000*1.08</f>
        <v>4626720</v>
      </c>
      <c r="H17" s="674"/>
      <c r="I17" s="657">
        <f>G17*(1-H17)</f>
        <v>4626720</v>
      </c>
      <c r="J17" s="683">
        <f>'１　対象経営の概要，２　前提条件'!$F$17</f>
        <v>10</v>
      </c>
      <c r="K17" s="665">
        <f t="shared" ref="K17:K31" si="9">10/30/10</f>
        <v>3.3333333333333333E-2</v>
      </c>
      <c r="L17" s="657">
        <f t="shared" ref="L17:L57" si="10">I17*K17</f>
        <v>154224</v>
      </c>
      <c r="M17" s="13"/>
      <c r="N17" s="8">
        <f t="shared" ref="N17:N57" si="11">L17*M17</f>
        <v>0</v>
      </c>
      <c r="O17" s="8">
        <v>7</v>
      </c>
      <c r="P17" s="661">
        <f t="shared" si="8"/>
        <v>22032</v>
      </c>
    </row>
    <row r="18" spans="2:16" x14ac:dyDescent="0.15">
      <c r="B18" s="948"/>
      <c r="C18" s="404"/>
      <c r="D18" s="398"/>
      <c r="E18" s="672">
        <v>1</v>
      </c>
      <c r="F18" s="673" t="s">
        <v>58</v>
      </c>
      <c r="G18" s="540"/>
      <c r="H18" s="674"/>
      <c r="I18" s="657">
        <f t="shared" ref="I18:I62" si="12">G18*(1-H18)</f>
        <v>0</v>
      </c>
      <c r="J18" s="683">
        <f>'１　対象経営の概要，２　前提条件'!$F$17</f>
        <v>10</v>
      </c>
      <c r="K18" s="665">
        <f t="shared" si="9"/>
        <v>3.3333333333333333E-2</v>
      </c>
      <c r="L18" s="657">
        <f t="shared" si="10"/>
        <v>0</v>
      </c>
      <c r="M18" s="13"/>
      <c r="N18" s="8">
        <f t="shared" si="11"/>
        <v>0</v>
      </c>
      <c r="O18" s="8">
        <v>7</v>
      </c>
      <c r="P18" s="661">
        <f t="shared" si="8"/>
        <v>0</v>
      </c>
    </row>
    <row r="19" spans="2:16" x14ac:dyDescent="0.15">
      <c r="B19" s="948"/>
      <c r="C19" s="404"/>
      <c r="D19" s="398"/>
      <c r="E19" s="672">
        <v>1</v>
      </c>
      <c r="F19" s="673" t="s">
        <v>58</v>
      </c>
      <c r="G19" s="540"/>
      <c r="H19" s="674"/>
      <c r="I19" s="657">
        <f t="shared" si="12"/>
        <v>0</v>
      </c>
      <c r="J19" s="683">
        <f>'１　対象経営の概要，２　前提条件'!$F$17</f>
        <v>10</v>
      </c>
      <c r="K19" s="665">
        <f t="shared" si="9"/>
        <v>3.3333333333333333E-2</v>
      </c>
      <c r="L19" s="657">
        <f t="shared" si="10"/>
        <v>0</v>
      </c>
      <c r="M19" s="13"/>
      <c r="N19" s="8">
        <f t="shared" si="11"/>
        <v>0</v>
      </c>
      <c r="O19" s="8">
        <v>7</v>
      </c>
      <c r="P19" s="661">
        <f t="shared" si="8"/>
        <v>0</v>
      </c>
    </row>
    <row r="20" spans="2:16" x14ac:dyDescent="0.15">
      <c r="B20" s="948"/>
      <c r="C20" s="404" t="s">
        <v>55</v>
      </c>
      <c r="D20" s="444" t="s">
        <v>520</v>
      </c>
      <c r="E20" s="672">
        <v>1</v>
      </c>
      <c r="F20" s="673" t="s">
        <v>95</v>
      </c>
      <c r="G20" s="539">
        <f>715000*1.08</f>
        <v>772200</v>
      </c>
      <c r="H20" s="674"/>
      <c r="I20" s="657">
        <f t="shared" si="12"/>
        <v>772200</v>
      </c>
      <c r="J20" s="683">
        <f>'１　対象経営の概要，２　前提条件'!$F$17</f>
        <v>10</v>
      </c>
      <c r="K20" s="665">
        <f t="shared" si="9"/>
        <v>3.3333333333333333E-2</v>
      </c>
      <c r="L20" s="657">
        <f t="shared" si="10"/>
        <v>25740</v>
      </c>
      <c r="M20" s="13"/>
      <c r="N20" s="8">
        <f t="shared" si="11"/>
        <v>0</v>
      </c>
      <c r="O20" s="8">
        <v>7</v>
      </c>
      <c r="P20" s="661">
        <f t="shared" si="8"/>
        <v>3677.1428571428573</v>
      </c>
    </row>
    <row r="21" spans="2:16" x14ac:dyDescent="0.15">
      <c r="B21" s="948"/>
      <c r="C21" s="403" t="s">
        <v>523</v>
      </c>
      <c r="D21" s="444" t="s">
        <v>524</v>
      </c>
      <c r="E21" s="672">
        <v>1</v>
      </c>
      <c r="F21" s="673" t="s">
        <v>58</v>
      </c>
      <c r="G21" s="542">
        <f>6650000*1.08</f>
        <v>7182000.0000000009</v>
      </c>
      <c r="H21" s="674"/>
      <c r="I21" s="657">
        <f t="shared" si="12"/>
        <v>7182000.0000000009</v>
      </c>
      <c r="J21" s="683">
        <f>'１　対象経営の概要，２　前提条件'!$F$17</f>
        <v>10</v>
      </c>
      <c r="K21" s="665">
        <f t="shared" ref="K21:K23" si="13">J21/20/10</f>
        <v>0.05</v>
      </c>
      <c r="L21" s="657">
        <f t="shared" si="10"/>
        <v>359100.00000000006</v>
      </c>
      <c r="M21" s="13"/>
      <c r="N21" s="8">
        <f t="shared" si="11"/>
        <v>0</v>
      </c>
      <c r="O21" s="8">
        <v>7</v>
      </c>
      <c r="P21" s="661">
        <f t="shared" si="8"/>
        <v>51300.000000000007</v>
      </c>
    </row>
    <row r="22" spans="2:16" x14ac:dyDescent="0.15">
      <c r="B22" s="948"/>
      <c r="C22" s="404" t="s">
        <v>489</v>
      </c>
      <c r="D22" s="398" t="s">
        <v>490</v>
      </c>
      <c r="E22" s="672">
        <v>1</v>
      </c>
      <c r="F22" s="673" t="s">
        <v>58</v>
      </c>
      <c r="G22" s="541">
        <v>524880</v>
      </c>
      <c r="H22" s="674"/>
      <c r="I22" s="657">
        <f t="shared" si="12"/>
        <v>524880</v>
      </c>
      <c r="J22" s="683">
        <f>'１　対象経営の概要，２　前提条件'!$F$17</f>
        <v>10</v>
      </c>
      <c r="K22" s="665">
        <f t="shared" si="13"/>
        <v>0.05</v>
      </c>
      <c r="L22" s="657">
        <f t="shared" si="10"/>
        <v>26244</v>
      </c>
      <c r="M22" s="13"/>
      <c r="N22" s="8">
        <f t="shared" si="11"/>
        <v>0</v>
      </c>
      <c r="O22" s="8">
        <v>7</v>
      </c>
      <c r="P22" s="661">
        <f t="shared" si="8"/>
        <v>3749.1428571428573</v>
      </c>
    </row>
    <row r="23" spans="2:16" x14ac:dyDescent="0.15">
      <c r="B23" s="948"/>
      <c r="C23" s="404" t="s">
        <v>491</v>
      </c>
      <c r="D23" s="398" t="s">
        <v>492</v>
      </c>
      <c r="E23" s="672">
        <v>1</v>
      </c>
      <c r="F23" s="673" t="s">
        <v>58</v>
      </c>
      <c r="G23" s="541">
        <v>184680</v>
      </c>
      <c r="H23" s="674"/>
      <c r="I23" s="657">
        <f t="shared" si="12"/>
        <v>184680</v>
      </c>
      <c r="J23" s="683">
        <f>'１　対象経営の概要，２　前提条件'!$F$17</f>
        <v>10</v>
      </c>
      <c r="K23" s="665">
        <f t="shared" si="13"/>
        <v>0.05</v>
      </c>
      <c r="L23" s="657">
        <f t="shared" si="10"/>
        <v>9234</v>
      </c>
      <c r="M23" s="13"/>
      <c r="N23" s="8">
        <f t="shared" si="11"/>
        <v>0</v>
      </c>
      <c r="O23" s="8">
        <v>7</v>
      </c>
      <c r="P23" s="661">
        <f t="shared" si="8"/>
        <v>1319.1428571428571</v>
      </c>
    </row>
    <row r="24" spans="2:16" x14ac:dyDescent="0.15">
      <c r="B24" s="948"/>
      <c r="C24" s="404" t="s">
        <v>485</v>
      </c>
      <c r="D24" s="398" t="s">
        <v>486</v>
      </c>
      <c r="E24" s="672">
        <v>1</v>
      </c>
      <c r="F24" s="673" t="s">
        <v>58</v>
      </c>
      <c r="G24" s="542">
        <f>281000*1.08</f>
        <v>303480</v>
      </c>
      <c r="H24" s="674"/>
      <c r="I24" s="657">
        <f t="shared" si="12"/>
        <v>303480</v>
      </c>
      <c r="J24" s="683">
        <f>'１　対象経営の概要，２　前提条件'!$F$17</f>
        <v>10</v>
      </c>
      <c r="K24" s="665">
        <f t="shared" si="9"/>
        <v>3.3333333333333333E-2</v>
      </c>
      <c r="L24" s="657">
        <f t="shared" si="10"/>
        <v>10116</v>
      </c>
      <c r="M24" s="13"/>
      <c r="N24" s="8">
        <f t="shared" si="11"/>
        <v>0</v>
      </c>
      <c r="O24" s="8">
        <v>7</v>
      </c>
      <c r="P24" s="661">
        <f t="shared" si="8"/>
        <v>1445.1428571428571</v>
      </c>
    </row>
    <row r="25" spans="2:16" x14ac:dyDescent="0.15">
      <c r="B25" s="948"/>
      <c r="C25" s="404" t="s">
        <v>493</v>
      </c>
      <c r="D25" s="403" t="s">
        <v>526</v>
      </c>
      <c r="E25" s="672">
        <v>1</v>
      </c>
      <c r="F25" s="673" t="s">
        <v>95</v>
      </c>
      <c r="G25" s="542">
        <f>3500000*1.08</f>
        <v>3780000.0000000005</v>
      </c>
      <c r="H25" s="674"/>
      <c r="I25" s="657">
        <f t="shared" si="12"/>
        <v>3780000.0000000005</v>
      </c>
      <c r="J25" s="683">
        <f>'１　対象経営の概要，２　前提条件'!$F$17</f>
        <v>10</v>
      </c>
      <c r="K25" s="665">
        <f t="shared" si="9"/>
        <v>3.3333333333333333E-2</v>
      </c>
      <c r="L25" s="657">
        <f t="shared" si="10"/>
        <v>126000.00000000001</v>
      </c>
      <c r="M25" s="13"/>
      <c r="N25" s="8">
        <f t="shared" si="11"/>
        <v>0</v>
      </c>
      <c r="O25" s="8">
        <v>7</v>
      </c>
      <c r="P25" s="661">
        <f t="shared" si="8"/>
        <v>18000.000000000004</v>
      </c>
    </row>
    <row r="26" spans="2:16" x14ac:dyDescent="0.15">
      <c r="B26" s="948"/>
      <c r="C26" s="404" t="s">
        <v>487</v>
      </c>
      <c r="D26" s="398"/>
      <c r="E26" s="672">
        <v>1</v>
      </c>
      <c r="F26" s="673" t="s">
        <v>58</v>
      </c>
      <c r="G26" s="541">
        <v>500000</v>
      </c>
      <c r="H26" s="674"/>
      <c r="I26" s="657">
        <f t="shared" si="12"/>
        <v>500000</v>
      </c>
      <c r="J26" s="683">
        <f>'１　対象経営の概要，２　前提条件'!$F$17</f>
        <v>10</v>
      </c>
      <c r="K26" s="665">
        <f t="shared" si="9"/>
        <v>3.3333333333333333E-2</v>
      </c>
      <c r="L26" s="657">
        <f t="shared" si="10"/>
        <v>16666.666666666668</v>
      </c>
      <c r="M26" s="13"/>
      <c r="N26" s="8">
        <f t="shared" si="11"/>
        <v>0</v>
      </c>
      <c r="O26" s="8">
        <v>7</v>
      </c>
      <c r="P26" s="661">
        <f t="shared" si="8"/>
        <v>2380.9523809523812</v>
      </c>
    </row>
    <row r="27" spans="2:16" x14ac:dyDescent="0.15">
      <c r="B27" s="948"/>
      <c r="C27" s="404" t="s">
        <v>488</v>
      </c>
      <c r="D27" s="398"/>
      <c r="E27" s="672">
        <v>1</v>
      </c>
      <c r="F27" s="673" t="s">
        <v>58</v>
      </c>
      <c r="G27" s="542">
        <f>268000*1.08</f>
        <v>289440</v>
      </c>
      <c r="H27" s="674"/>
      <c r="I27" s="657">
        <f t="shared" si="12"/>
        <v>289440</v>
      </c>
      <c r="J27" s="683">
        <f>'１　対象経営の概要，２　前提条件'!$F$17</f>
        <v>10</v>
      </c>
      <c r="K27" s="665">
        <f t="shared" si="9"/>
        <v>3.3333333333333333E-2</v>
      </c>
      <c r="L27" s="657">
        <f t="shared" si="10"/>
        <v>9648</v>
      </c>
      <c r="M27" s="13"/>
      <c r="N27" s="8">
        <f t="shared" si="11"/>
        <v>0</v>
      </c>
      <c r="O27" s="8">
        <v>7</v>
      </c>
      <c r="P27" s="661">
        <f t="shared" si="8"/>
        <v>1378.2857142857142</v>
      </c>
    </row>
    <row r="28" spans="2:16" x14ac:dyDescent="0.15">
      <c r="B28" s="948"/>
      <c r="C28" s="404" t="s">
        <v>60</v>
      </c>
      <c r="D28" s="444" t="s">
        <v>525</v>
      </c>
      <c r="E28" s="672">
        <v>6</v>
      </c>
      <c r="F28" s="673" t="s">
        <v>96</v>
      </c>
      <c r="G28" s="541">
        <f>(450000+150000)*1.08</f>
        <v>648000</v>
      </c>
      <c r="H28" s="674"/>
      <c r="I28" s="657">
        <f t="shared" si="12"/>
        <v>648000</v>
      </c>
      <c r="J28" s="683">
        <f>'１　対象経営の概要，２　前提条件'!$F$17</f>
        <v>10</v>
      </c>
      <c r="K28" s="665">
        <f t="shared" ref="K28" si="14">J28/20/10</f>
        <v>0.05</v>
      </c>
      <c r="L28" s="657">
        <f t="shared" si="10"/>
        <v>32400</v>
      </c>
      <c r="M28" s="13"/>
      <c r="N28" s="8">
        <f t="shared" si="11"/>
        <v>0</v>
      </c>
      <c r="O28" s="8">
        <v>7</v>
      </c>
      <c r="P28" s="661">
        <f t="shared" si="8"/>
        <v>4628.5714285714284</v>
      </c>
    </row>
    <row r="29" spans="2:16" x14ac:dyDescent="0.15">
      <c r="B29" s="948"/>
      <c r="C29" s="404" t="s">
        <v>234</v>
      </c>
      <c r="D29" s="398" t="s">
        <v>494</v>
      </c>
      <c r="E29" s="672">
        <v>1</v>
      </c>
      <c r="F29" s="673" t="s">
        <v>95</v>
      </c>
      <c r="G29" s="541">
        <v>2000000</v>
      </c>
      <c r="H29" s="674"/>
      <c r="I29" s="657">
        <f t="shared" si="12"/>
        <v>2000000</v>
      </c>
      <c r="J29" s="683">
        <f>'１　対象経営の概要，２　前提条件'!$F$17</f>
        <v>10</v>
      </c>
      <c r="K29" s="665">
        <f t="shared" si="9"/>
        <v>3.3333333333333333E-2</v>
      </c>
      <c r="L29" s="657">
        <f t="shared" si="10"/>
        <v>66666.666666666672</v>
      </c>
      <c r="M29" s="13"/>
      <c r="N29" s="8">
        <f t="shared" si="11"/>
        <v>0</v>
      </c>
      <c r="O29" s="8">
        <v>7</v>
      </c>
      <c r="P29" s="661">
        <f t="shared" si="8"/>
        <v>9523.8095238095248</v>
      </c>
    </row>
    <row r="30" spans="2:16" x14ac:dyDescent="0.15">
      <c r="B30" s="948"/>
      <c r="C30" s="404" t="s">
        <v>495</v>
      </c>
      <c r="D30" s="398" t="s">
        <v>496</v>
      </c>
      <c r="E30" s="672">
        <v>2</v>
      </c>
      <c r="F30" s="673" t="s">
        <v>95</v>
      </c>
      <c r="G30" s="541">
        <v>179280</v>
      </c>
      <c r="H30" s="674"/>
      <c r="I30" s="657">
        <f t="shared" si="12"/>
        <v>179280</v>
      </c>
      <c r="J30" s="683">
        <f>'１　対象経営の概要，２　前提条件'!$F$17</f>
        <v>10</v>
      </c>
      <c r="K30" s="665">
        <f t="shared" ref="K30" si="15">J30/20/10</f>
        <v>0.05</v>
      </c>
      <c r="L30" s="657">
        <f t="shared" si="10"/>
        <v>8964</v>
      </c>
      <c r="M30" s="13"/>
      <c r="N30" s="8">
        <f t="shared" si="11"/>
        <v>0</v>
      </c>
      <c r="O30" s="8">
        <v>7</v>
      </c>
      <c r="P30" s="661">
        <f t="shared" si="8"/>
        <v>1280.5714285714287</v>
      </c>
    </row>
    <row r="31" spans="2:16" x14ac:dyDescent="0.15">
      <c r="B31" s="948"/>
      <c r="C31" s="656" t="s">
        <v>501</v>
      </c>
      <c r="D31" s="404" t="s">
        <v>503</v>
      </c>
      <c r="E31" s="672">
        <v>3</v>
      </c>
      <c r="F31" s="673" t="s">
        <v>95</v>
      </c>
      <c r="G31" s="541">
        <f>2150000*1.08</f>
        <v>2322000</v>
      </c>
      <c r="H31" s="674"/>
      <c r="I31" s="657">
        <f>G31*(1-H31)</f>
        <v>2322000</v>
      </c>
      <c r="J31" s="683">
        <f>'１　対象経営の概要，２　前提条件'!$F$17</f>
        <v>10</v>
      </c>
      <c r="K31" s="665">
        <f t="shared" si="9"/>
        <v>3.3333333333333333E-2</v>
      </c>
      <c r="L31" s="657">
        <f t="shared" si="10"/>
        <v>77400</v>
      </c>
      <c r="M31" s="13"/>
      <c r="N31" s="8">
        <f t="shared" si="11"/>
        <v>0</v>
      </c>
      <c r="O31" s="8">
        <v>7</v>
      </c>
      <c r="P31" s="661">
        <f t="shared" si="8"/>
        <v>11057.142857142857</v>
      </c>
    </row>
    <row r="32" spans="2:16" x14ac:dyDescent="0.15">
      <c r="B32" s="948"/>
      <c r="C32" s="656" t="s">
        <v>502</v>
      </c>
      <c r="D32" s="404" t="s">
        <v>504</v>
      </c>
      <c r="E32" s="672">
        <v>1</v>
      </c>
      <c r="F32" s="673" t="s">
        <v>95</v>
      </c>
      <c r="G32" s="543">
        <f>480000*1.08</f>
        <v>518400.00000000006</v>
      </c>
      <c r="H32" s="674"/>
      <c r="I32" s="657">
        <f t="shared" si="12"/>
        <v>518400.00000000006</v>
      </c>
      <c r="J32" s="683">
        <f>'１　対象経営の概要，２　前提条件'!$F$17</f>
        <v>10</v>
      </c>
      <c r="K32" s="665">
        <f>J32/20/10</f>
        <v>0.05</v>
      </c>
      <c r="L32" s="657">
        <f t="shared" si="10"/>
        <v>25920.000000000004</v>
      </c>
      <c r="M32" s="13"/>
      <c r="N32" s="8">
        <f t="shared" si="11"/>
        <v>0</v>
      </c>
      <c r="O32" s="8">
        <v>7</v>
      </c>
      <c r="P32" s="661">
        <f t="shared" si="8"/>
        <v>3702.8571428571436</v>
      </c>
    </row>
    <row r="33" spans="2:16" x14ac:dyDescent="0.15">
      <c r="B33" s="948"/>
      <c r="C33" s="657"/>
      <c r="D33" s="657"/>
      <c r="E33" s="657"/>
      <c r="F33" s="657"/>
      <c r="G33" s="675"/>
      <c r="H33" s="658"/>
      <c r="I33" s="657">
        <f t="shared" si="12"/>
        <v>0</v>
      </c>
      <c r="J33" s="657"/>
      <c r="K33" s="665"/>
      <c r="L33" s="657">
        <f t="shared" si="10"/>
        <v>0</v>
      </c>
      <c r="M33" s="13"/>
      <c r="N33" s="8">
        <f t="shared" si="11"/>
        <v>0</v>
      </c>
      <c r="O33" s="8"/>
      <c r="P33" s="661" t="str">
        <f t="shared" si="8"/>
        <v/>
      </c>
    </row>
    <row r="34" spans="2:16" x14ac:dyDescent="0.15">
      <c r="B34" s="948"/>
      <c r="C34" s="657"/>
      <c r="D34" s="657"/>
      <c r="E34" s="657"/>
      <c r="F34" s="657"/>
      <c r="G34" s="657"/>
      <c r="H34" s="658"/>
      <c r="I34" s="657">
        <f t="shared" si="12"/>
        <v>0</v>
      </c>
      <c r="J34" s="657"/>
      <c r="K34" s="665"/>
      <c r="L34" s="657">
        <f t="shared" si="10"/>
        <v>0</v>
      </c>
      <c r="M34" s="13"/>
      <c r="N34" s="8">
        <f t="shared" si="11"/>
        <v>0</v>
      </c>
      <c r="O34" s="8"/>
      <c r="P34" s="661" t="str">
        <f t="shared" si="8"/>
        <v/>
      </c>
    </row>
    <row r="35" spans="2:16" x14ac:dyDescent="0.15">
      <c r="B35" s="948"/>
      <c r="C35" s="657"/>
      <c r="D35" s="657"/>
      <c r="E35" s="657"/>
      <c r="F35" s="657"/>
      <c r="G35" s="657"/>
      <c r="H35" s="658"/>
      <c r="I35" s="657">
        <f>G35*(1-H35)</f>
        <v>0</v>
      </c>
      <c r="J35" s="657"/>
      <c r="K35" s="665"/>
      <c r="L35" s="657">
        <f t="shared" si="10"/>
        <v>0</v>
      </c>
      <c r="M35" s="13"/>
      <c r="N35" s="8">
        <f t="shared" si="11"/>
        <v>0</v>
      </c>
      <c r="O35" s="8"/>
      <c r="P35" s="661" t="str">
        <f t="shared" si="8"/>
        <v/>
      </c>
    </row>
    <row r="36" spans="2:16" x14ac:dyDescent="0.15">
      <c r="B36" s="948"/>
      <c r="C36" s="657"/>
      <c r="D36" s="657"/>
      <c r="E36" s="657"/>
      <c r="F36" s="657"/>
      <c r="G36" s="657"/>
      <c r="H36" s="658"/>
      <c r="I36" s="657">
        <f t="shared" si="12"/>
        <v>0</v>
      </c>
      <c r="J36" s="657"/>
      <c r="K36" s="665"/>
      <c r="L36" s="657">
        <f t="shared" si="10"/>
        <v>0</v>
      </c>
      <c r="M36" s="13"/>
      <c r="N36" s="8">
        <f t="shared" si="11"/>
        <v>0</v>
      </c>
      <c r="O36" s="8"/>
      <c r="P36" s="661" t="str">
        <f t="shared" si="8"/>
        <v/>
      </c>
    </row>
    <row r="37" spans="2:16" x14ac:dyDescent="0.15">
      <c r="B37" s="948"/>
      <c r="C37" s="657"/>
      <c r="D37" s="657"/>
      <c r="E37" s="657"/>
      <c r="F37" s="657"/>
      <c r="G37" s="657"/>
      <c r="H37" s="658"/>
      <c r="I37" s="657">
        <f t="shared" si="12"/>
        <v>0</v>
      </c>
      <c r="J37" s="666"/>
      <c r="K37" s="665"/>
      <c r="L37" s="657">
        <f t="shared" si="10"/>
        <v>0</v>
      </c>
      <c r="M37" s="13"/>
      <c r="N37" s="8">
        <f t="shared" si="11"/>
        <v>0</v>
      </c>
      <c r="O37" s="8"/>
      <c r="P37" s="661" t="str">
        <f t="shared" si="8"/>
        <v/>
      </c>
    </row>
    <row r="38" spans="2:16" x14ac:dyDescent="0.15">
      <c r="B38" s="948"/>
      <c r="C38" s="657"/>
      <c r="D38" s="657"/>
      <c r="E38" s="676"/>
      <c r="F38" s="657"/>
      <c r="G38" s="657"/>
      <c r="H38" s="658"/>
      <c r="I38" s="657">
        <f t="shared" si="12"/>
        <v>0</v>
      </c>
      <c r="J38" s="657"/>
      <c r="K38" s="665"/>
      <c r="L38" s="657">
        <f t="shared" si="10"/>
        <v>0</v>
      </c>
      <c r="M38" s="13"/>
      <c r="N38" s="8">
        <f t="shared" si="11"/>
        <v>0</v>
      </c>
      <c r="O38" s="8"/>
      <c r="P38" s="661" t="str">
        <f t="shared" si="8"/>
        <v/>
      </c>
    </row>
    <row r="39" spans="2:16" x14ac:dyDescent="0.15">
      <c r="B39" s="948"/>
      <c r="C39" s="657"/>
      <c r="D39" s="657"/>
      <c r="E39" s="676"/>
      <c r="F39" s="657"/>
      <c r="G39" s="657"/>
      <c r="H39" s="658"/>
      <c r="I39" s="657">
        <f t="shared" si="12"/>
        <v>0</v>
      </c>
      <c r="J39" s="657"/>
      <c r="K39" s="665"/>
      <c r="L39" s="657">
        <f t="shared" si="10"/>
        <v>0</v>
      </c>
      <c r="M39" s="13"/>
      <c r="N39" s="8">
        <f t="shared" si="11"/>
        <v>0</v>
      </c>
      <c r="O39" s="8"/>
      <c r="P39" s="661" t="str">
        <f t="shared" si="8"/>
        <v/>
      </c>
    </row>
    <row r="40" spans="2:16" x14ac:dyDescent="0.15">
      <c r="B40" s="948"/>
      <c r="C40" s="657"/>
      <c r="D40" s="657"/>
      <c r="E40" s="657"/>
      <c r="F40" s="657"/>
      <c r="G40" s="657"/>
      <c r="H40" s="658"/>
      <c r="I40" s="657">
        <f t="shared" si="12"/>
        <v>0</v>
      </c>
      <c r="J40" s="666"/>
      <c r="K40" s="665"/>
      <c r="L40" s="657">
        <f t="shared" si="10"/>
        <v>0</v>
      </c>
      <c r="M40" s="13"/>
      <c r="N40" s="8">
        <f t="shared" si="11"/>
        <v>0</v>
      </c>
      <c r="O40" s="8"/>
      <c r="P40" s="661" t="str">
        <f t="shared" si="8"/>
        <v/>
      </c>
    </row>
    <row r="41" spans="2:16" x14ac:dyDescent="0.15">
      <c r="B41" s="948"/>
      <c r="C41" s="657"/>
      <c r="D41" s="657"/>
      <c r="E41" s="657"/>
      <c r="F41" s="657"/>
      <c r="G41" s="657"/>
      <c r="H41" s="658"/>
      <c r="I41" s="657">
        <f t="shared" si="12"/>
        <v>0</v>
      </c>
      <c r="J41" s="666"/>
      <c r="K41" s="665"/>
      <c r="L41" s="657">
        <f t="shared" si="10"/>
        <v>0</v>
      </c>
      <c r="M41" s="13"/>
      <c r="N41" s="8">
        <f t="shared" si="11"/>
        <v>0</v>
      </c>
      <c r="O41" s="8"/>
      <c r="P41" s="661"/>
    </row>
    <row r="42" spans="2:16" x14ac:dyDescent="0.15">
      <c r="B42" s="948"/>
      <c r="C42" s="657"/>
      <c r="D42" s="657"/>
      <c r="E42" s="657"/>
      <c r="F42" s="657"/>
      <c r="G42" s="657"/>
      <c r="H42" s="658"/>
      <c r="I42" s="657">
        <f t="shared" si="12"/>
        <v>0</v>
      </c>
      <c r="J42" s="657"/>
      <c r="K42" s="665"/>
      <c r="L42" s="657">
        <f t="shared" si="10"/>
        <v>0</v>
      </c>
      <c r="M42" s="13"/>
      <c r="N42" s="8">
        <f t="shared" si="11"/>
        <v>0</v>
      </c>
      <c r="O42" s="8"/>
      <c r="P42" s="661"/>
    </row>
    <row r="43" spans="2:16" x14ac:dyDescent="0.15">
      <c r="B43" s="948"/>
      <c r="C43" s="657"/>
      <c r="D43" s="657"/>
      <c r="E43" s="657"/>
      <c r="F43" s="657"/>
      <c r="G43" s="657"/>
      <c r="H43" s="658"/>
      <c r="I43" s="657">
        <f t="shared" si="12"/>
        <v>0</v>
      </c>
      <c r="J43" s="657"/>
      <c r="K43" s="665"/>
      <c r="L43" s="657">
        <f t="shared" si="10"/>
        <v>0</v>
      </c>
      <c r="M43" s="13"/>
      <c r="N43" s="8">
        <f t="shared" si="11"/>
        <v>0</v>
      </c>
      <c r="O43" s="8"/>
      <c r="P43" s="661"/>
    </row>
    <row r="44" spans="2:16" x14ac:dyDescent="0.15">
      <c r="B44" s="948"/>
      <c r="C44" s="657"/>
      <c r="D44" s="657"/>
      <c r="E44" s="657"/>
      <c r="F44" s="657"/>
      <c r="G44" s="657"/>
      <c r="H44" s="658"/>
      <c r="I44" s="657">
        <f t="shared" si="12"/>
        <v>0</v>
      </c>
      <c r="J44" s="657"/>
      <c r="K44" s="665"/>
      <c r="L44" s="657">
        <f t="shared" si="10"/>
        <v>0</v>
      </c>
      <c r="M44" s="13"/>
      <c r="N44" s="8">
        <f t="shared" si="11"/>
        <v>0</v>
      </c>
      <c r="O44" s="8"/>
      <c r="P44" s="661"/>
    </row>
    <row r="45" spans="2:16" x14ac:dyDescent="0.15">
      <c r="B45" s="948"/>
      <c r="C45" s="657"/>
      <c r="D45" s="657"/>
      <c r="E45" s="657"/>
      <c r="F45" s="657"/>
      <c r="G45" s="657"/>
      <c r="H45" s="658"/>
      <c r="I45" s="657">
        <f t="shared" si="12"/>
        <v>0</v>
      </c>
      <c r="J45" s="657"/>
      <c r="K45" s="665"/>
      <c r="L45" s="657">
        <f t="shared" si="10"/>
        <v>0</v>
      </c>
      <c r="M45" s="13"/>
      <c r="N45" s="8">
        <f t="shared" si="11"/>
        <v>0</v>
      </c>
      <c r="O45" s="8"/>
      <c r="P45" s="661"/>
    </row>
    <row r="46" spans="2:16" x14ac:dyDescent="0.15">
      <c r="B46" s="948"/>
      <c r="C46" s="657"/>
      <c r="D46" s="657"/>
      <c r="E46" s="657"/>
      <c r="F46" s="657"/>
      <c r="G46" s="657"/>
      <c r="H46" s="658"/>
      <c r="I46" s="657">
        <f t="shared" si="12"/>
        <v>0</v>
      </c>
      <c r="J46" s="657"/>
      <c r="K46" s="665"/>
      <c r="L46" s="657">
        <f t="shared" si="10"/>
        <v>0</v>
      </c>
      <c r="M46" s="13"/>
      <c r="N46" s="8">
        <f t="shared" si="11"/>
        <v>0</v>
      </c>
      <c r="O46" s="8"/>
      <c r="P46" s="661"/>
    </row>
    <row r="47" spans="2:16" x14ac:dyDescent="0.15">
      <c r="B47" s="948"/>
      <c r="C47" s="657"/>
      <c r="D47" s="657"/>
      <c r="E47" s="657"/>
      <c r="F47" s="657"/>
      <c r="G47" s="657"/>
      <c r="H47" s="658"/>
      <c r="I47" s="657">
        <f t="shared" si="12"/>
        <v>0</v>
      </c>
      <c r="J47" s="657"/>
      <c r="K47" s="665"/>
      <c r="L47" s="657">
        <f t="shared" si="10"/>
        <v>0</v>
      </c>
      <c r="M47" s="13"/>
      <c r="N47" s="8">
        <f t="shared" si="11"/>
        <v>0</v>
      </c>
      <c r="O47" s="8"/>
      <c r="P47" s="661"/>
    </row>
    <row r="48" spans="2:16" x14ac:dyDescent="0.15">
      <c r="B48" s="948"/>
      <c r="C48" s="657"/>
      <c r="D48" s="657"/>
      <c r="E48" s="657"/>
      <c r="F48" s="657"/>
      <c r="G48" s="657"/>
      <c r="H48" s="658"/>
      <c r="I48" s="657">
        <f t="shared" si="12"/>
        <v>0</v>
      </c>
      <c r="J48" s="657"/>
      <c r="K48" s="665"/>
      <c r="L48" s="657">
        <f t="shared" si="10"/>
        <v>0</v>
      </c>
      <c r="M48" s="13"/>
      <c r="N48" s="8">
        <f t="shared" si="11"/>
        <v>0</v>
      </c>
      <c r="O48" s="8"/>
      <c r="P48" s="661"/>
    </row>
    <row r="49" spans="2:16" x14ac:dyDescent="0.15">
      <c r="B49" s="948"/>
      <c r="C49" s="657"/>
      <c r="D49" s="657"/>
      <c r="E49" s="657"/>
      <c r="F49" s="657"/>
      <c r="G49" s="657"/>
      <c r="H49" s="658"/>
      <c r="I49" s="657">
        <f t="shared" si="12"/>
        <v>0</v>
      </c>
      <c r="J49" s="657"/>
      <c r="K49" s="665"/>
      <c r="L49" s="657">
        <f t="shared" si="10"/>
        <v>0</v>
      </c>
      <c r="M49" s="13"/>
      <c r="N49" s="8">
        <f t="shared" si="11"/>
        <v>0</v>
      </c>
      <c r="O49" s="8"/>
      <c r="P49" s="661"/>
    </row>
    <row r="50" spans="2:16" x14ac:dyDescent="0.15">
      <c r="B50" s="948"/>
      <c r="C50" s="657"/>
      <c r="D50" s="657"/>
      <c r="E50" s="657"/>
      <c r="F50" s="657"/>
      <c r="G50" s="657"/>
      <c r="H50" s="658"/>
      <c r="I50" s="657">
        <f t="shared" si="12"/>
        <v>0</v>
      </c>
      <c r="J50" s="657"/>
      <c r="K50" s="665"/>
      <c r="L50" s="657">
        <f t="shared" si="10"/>
        <v>0</v>
      </c>
      <c r="M50" s="13"/>
      <c r="N50" s="8">
        <f t="shared" si="11"/>
        <v>0</v>
      </c>
      <c r="O50" s="8"/>
      <c r="P50" s="661"/>
    </row>
    <row r="51" spans="2:16" x14ac:dyDescent="0.15">
      <c r="B51" s="948"/>
      <c r="C51" s="657"/>
      <c r="D51" s="657"/>
      <c r="E51" s="657"/>
      <c r="F51" s="657"/>
      <c r="G51" s="657"/>
      <c r="H51" s="658"/>
      <c r="I51" s="657">
        <f t="shared" si="12"/>
        <v>0</v>
      </c>
      <c r="J51" s="657"/>
      <c r="K51" s="665"/>
      <c r="L51" s="657">
        <f t="shared" si="10"/>
        <v>0</v>
      </c>
      <c r="M51" s="13"/>
      <c r="N51" s="8">
        <f t="shared" si="11"/>
        <v>0</v>
      </c>
      <c r="O51" s="8"/>
      <c r="P51" s="661"/>
    </row>
    <row r="52" spans="2:16" x14ac:dyDescent="0.15">
      <c r="B52" s="948"/>
      <c r="C52" s="657"/>
      <c r="D52" s="657"/>
      <c r="E52" s="657"/>
      <c r="F52" s="657"/>
      <c r="G52" s="657"/>
      <c r="H52" s="658"/>
      <c r="I52" s="657">
        <f t="shared" si="12"/>
        <v>0</v>
      </c>
      <c r="J52" s="657"/>
      <c r="K52" s="665"/>
      <c r="L52" s="657">
        <f t="shared" si="10"/>
        <v>0</v>
      </c>
      <c r="M52" s="13"/>
      <c r="N52" s="8">
        <f t="shared" si="11"/>
        <v>0</v>
      </c>
      <c r="O52" s="8"/>
      <c r="P52" s="661"/>
    </row>
    <row r="53" spans="2:16" x14ac:dyDescent="0.15">
      <c r="B53" s="948"/>
      <c r="C53" s="657"/>
      <c r="D53" s="657"/>
      <c r="E53" s="657"/>
      <c r="F53" s="657"/>
      <c r="G53" s="657"/>
      <c r="H53" s="658"/>
      <c r="I53" s="657">
        <f t="shared" si="12"/>
        <v>0</v>
      </c>
      <c r="J53" s="657"/>
      <c r="K53" s="665"/>
      <c r="L53" s="657">
        <f t="shared" si="10"/>
        <v>0</v>
      </c>
      <c r="M53" s="13"/>
      <c r="N53" s="8">
        <f t="shared" si="11"/>
        <v>0</v>
      </c>
      <c r="O53" s="8"/>
      <c r="P53" s="661"/>
    </row>
    <row r="54" spans="2:16" x14ac:dyDescent="0.15">
      <c r="B54" s="948"/>
      <c r="C54" s="657"/>
      <c r="D54" s="657"/>
      <c r="E54" s="657"/>
      <c r="F54" s="657"/>
      <c r="G54" s="657"/>
      <c r="H54" s="658"/>
      <c r="I54" s="657">
        <f t="shared" si="12"/>
        <v>0</v>
      </c>
      <c r="J54" s="657"/>
      <c r="K54" s="665"/>
      <c r="L54" s="657">
        <f t="shared" si="10"/>
        <v>0</v>
      </c>
      <c r="M54" s="13"/>
      <c r="N54" s="8">
        <f t="shared" si="11"/>
        <v>0</v>
      </c>
      <c r="O54" s="8"/>
      <c r="P54" s="661"/>
    </row>
    <row r="55" spans="2:16" x14ac:dyDescent="0.15">
      <c r="B55" s="948"/>
      <c r="C55" s="657"/>
      <c r="D55" s="666"/>
      <c r="E55" s="657"/>
      <c r="F55" s="657"/>
      <c r="G55" s="657"/>
      <c r="H55" s="658"/>
      <c r="I55" s="657">
        <f t="shared" si="12"/>
        <v>0</v>
      </c>
      <c r="J55" s="657"/>
      <c r="K55" s="665"/>
      <c r="L55" s="657">
        <f t="shared" si="10"/>
        <v>0</v>
      </c>
      <c r="M55" s="13"/>
      <c r="N55" s="8">
        <f t="shared" si="11"/>
        <v>0</v>
      </c>
      <c r="O55" s="8"/>
      <c r="P55" s="661"/>
    </row>
    <row r="56" spans="2:16" x14ac:dyDescent="0.15">
      <c r="B56" s="948"/>
      <c r="C56" s="657"/>
      <c r="D56" s="666"/>
      <c r="E56" s="657"/>
      <c r="F56" s="657"/>
      <c r="G56" s="657"/>
      <c r="H56" s="658"/>
      <c r="I56" s="657">
        <f t="shared" si="12"/>
        <v>0</v>
      </c>
      <c r="J56" s="666"/>
      <c r="K56" s="665"/>
      <c r="L56" s="657">
        <f t="shared" si="10"/>
        <v>0</v>
      </c>
      <c r="M56" s="13"/>
      <c r="N56" s="8">
        <f t="shared" si="11"/>
        <v>0</v>
      </c>
      <c r="O56" s="8"/>
      <c r="P56" s="661"/>
    </row>
    <row r="57" spans="2:16" x14ac:dyDescent="0.15">
      <c r="B57" s="948"/>
      <c r="C57" s="657"/>
      <c r="D57" s="666"/>
      <c r="E57" s="657"/>
      <c r="F57" s="657"/>
      <c r="G57" s="657"/>
      <c r="H57" s="658">
        <v>0</v>
      </c>
      <c r="I57" s="657">
        <f t="shared" si="12"/>
        <v>0</v>
      </c>
      <c r="J57" s="666"/>
      <c r="K57" s="665"/>
      <c r="L57" s="657">
        <f t="shared" si="10"/>
        <v>0</v>
      </c>
      <c r="M57" s="13">
        <v>0</v>
      </c>
      <c r="N57" s="8">
        <f t="shared" si="11"/>
        <v>0</v>
      </c>
      <c r="O57" s="8"/>
      <c r="P57" s="661"/>
    </row>
    <row r="58" spans="2:16" x14ac:dyDescent="0.15">
      <c r="B58" s="963"/>
      <c r="C58" s="657" t="s">
        <v>46</v>
      </c>
      <c r="D58" s="657"/>
      <c r="E58" s="657"/>
      <c r="F58" s="663"/>
      <c r="G58" s="657">
        <f>SUM(G16:G55)</f>
        <v>29557240</v>
      </c>
      <c r="H58" s="657"/>
      <c r="I58" s="657">
        <f>SUM(I16:I55)</f>
        <v>29557240</v>
      </c>
      <c r="J58" s="657"/>
      <c r="K58" s="677"/>
      <c r="L58" s="657">
        <f>SUM(L16:L55)</f>
        <v>1139195.3333333333</v>
      </c>
      <c r="M58" s="8"/>
      <c r="N58" s="8"/>
      <c r="O58" s="8"/>
      <c r="P58" s="661">
        <f>SUM(P16:P55)</f>
        <v>162742.19047619044</v>
      </c>
    </row>
    <row r="59" spans="2:16" x14ac:dyDescent="0.15">
      <c r="B59" s="947" t="s">
        <v>131</v>
      </c>
      <c r="C59" s="657"/>
      <c r="D59" s="657"/>
      <c r="E59" s="657"/>
      <c r="F59" s="666"/>
      <c r="G59" s="657"/>
      <c r="H59" s="678"/>
      <c r="I59" s="657"/>
      <c r="J59" s="666"/>
      <c r="K59" s="665"/>
      <c r="L59" s="657"/>
      <c r="M59" s="679"/>
      <c r="N59" s="8"/>
      <c r="O59" s="8"/>
      <c r="P59" s="661"/>
    </row>
    <row r="60" spans="2:16" x14ac:dyDescent="0.15">
      <c r="B60" s="948"/>
      <c r="C60" s="657"/>
      <c r="D60" s="657"/>
      <c r="E60" s="657"/>
      <c r="F60" s="666"/>
      <c r="G60" s="657"/>
      <c r="H60" s="678"/>
      <c r="I60" s="657">
        <f t="shared" si="12"/>
        <v>0</v>
      </c>
      <c r="J60" s="657"/>
      <c r="K60" s="665"/>
      <c r="L60" s="657">
        <f>I60*K60</f>
        <v>0</v>
      </c>
      <c r="M60" s="679"/>
      <c r="N60" s="8">
        <f>L60*M60</f>
        <v>0</v>
      </c>
      <c r="O60" s="8"/>
      <c r="P60" s="661" t="str">
        <f>IF(O60="","",(L60-N60)/O60)</f>
        <v/>
      </c>
    </row>
    <row r="61" spans="2:16" x14ac:dyDescent="0.15">
      <c r="B61" s="948"/>
      <c r="C61" s="8"/>
      <c r="D61" s="8"/>
      <c r="E61" s="8"/>
      <c r="F61" s="680"/>
      <c r="G61" s="8"/>
      <c r="H61" s="679"/>
      <c r="I61" s="8">
        <f t="shared" si="12"/>
        <v>0</v>
      </c>
      <c r="J61" s="8"/>
      <c r="K61" s="667"/>
      <c r="L61" s="8">
        <f>I61*K61</f>
        <v>0</v>
      </c>
      <c r="M61" s="679"/>
      <c r="N61" s="8">
        <f>L61*M61</f>
        <v>0</v>
      </c>
      <c r="O61" s="8"/>
      <c r="P61" s="661" t="str">
        <f>IF(O61="","",(L61-N61)/O61)</f>
        <v/>
      </c>
    </row>
    <row r="62" spans="2:16" x14ac:dyDescent="0.15">
      <c r="B62" s="948"/>
      <c r="C62" s="8"/>
      <c r="D62" s="8"/>
      <c r="E62" s="8"/>
      <c r="F62" s="680"/>
      <c r="G62" s="8"/>
      <c r="H62" s="679"/>
      <c r="I62" s="8">
        <f t="shared" si="12"/>
        <v>0</v>
      </c>
      <c r="J62" s="8"/>
      <c r="K62" s="667"/>
      <c r="L62" s="8">
        <f>I62*K62</f>
        <v>0</v>
      </c>
      <c r="M62" s="679"/>
      <c r="N62" s="8">
        <f>L62*M62</f>
        <v>0</v>
      </c>
      <c r="O62" s="8"/>
      <c r="P62" s="661" t="str">
        <f>IF(O62="","",(L62-N62)/O62)</f>
        <v/>
      </c>
    </row>
    <row r="63" spans="2:16" x14ac:dyDescent="0.15">
      <c r="B63" s="963"/>
      <c r="C63" s="670" t="s">
        <v>46</v>
      </c>
      <c r="D63" s="8"/>
      <c r="E63" s="8"/>
      <c r="F63" s="669"/>
      <c r="G63" s="8">
        <f>SUM(G59:G62)</f>
        <v>0</v>
      </c>
      <c r="H63" s="8"/>
      <c r="I63" s="8">
        <f>SUM(I59:I62)</f>
        <v>0</v>
      </c>
      <c r="J63" s="8"/>
      <c r="K63" s="671"/>
      <c r="L63" s="8">
        <f>SUM(L59:L62)</f>
        <v>0</v>
      </c>
      <c r="M63" s="8"/>
      <c r="N63" s="8"/>
      <c r="O63" s="8"/>
      <c r="P63" s="661">
        <f>SUM(P59:P62)</f>
        <v>0</v>
      </c>
    </row>
    <row r="64" spans="2:16" ht="14.25" thickBot="1" x14ac:dyDescent="0.2">
      <c r="B64" s="681"/>
      <c r="C64" s="9" t="s">
        <v>94</v>
      </c>
      <c r="D64" s="10"/>
      <c r="E64" s="10"/>
      <c r="F64" s="11"/>
      <c r="G64" s="10">
        <f>G15+G58+G63</f>
        <v>46189240</v>
      </c>
      <c r="H64" s="10"/>
      <c r="I64" s="10">
        <f>I15+I58+I63</f>
        <v>46189240</v>
      </c>
      <c r="J64" s="10"/>
      <c r="K64" s="12"/>
      <c r="L64" s="10">
        <f>L15+L58+L63</f>
        <v>1693595.3333333333</v>
      </c>
      <c r="M64" s="10"/>
      <c r="N64" s="10"/>
      <c r="O64" s="10"/>
      <c r="P64" s="270">
        <f>P15+P58+P63</f>
        <v>184918.19047619044</v>
      </c>
    </row>
    <row r="65" ht="11.25" customHeight="1" x14ac:dyDescent="0.15"/>
  </sheetData>
  <mergeCells count="9">
    <mergeCell ref="J3:J4"/>
    <mergeCell ref="B5:B15"/>
    <mergeCell ref="B16:B58"/>
    <mergeCell ref="B59:B63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3" tint="0.79998168889431442"/>
    <pageSetUpPr fitToPage="1"/>
  </sheetPr>
  <dimension ref="A1:W45"/>
  <sheetViews>
    <sheetView zoomScale="75" zoomScaleNormal="75" workbookViewId="0">
      <selection activeCell="J22" sqref="J22"/>
    </sheetView>
  </sheetViews>
  <sheetFormatPr defaultColWidth="10.875" defaultRowHeight="13.5" x14ac:dyDescent="0.15"/>
  <cols>
    <col min="1" max="1" width="1.625" style="99" customWidth="1"/>
    <col min="2" max="2" width="5.875" style="99" customWidth="1"/>
    <col min="3" max="3" width="10.625" style="99" customWidth="1"/>
    <col min="4" max="4" width="12.375" style="99" customWidth="1"/>
    <col min="5" max="5" width="14.625" style="99" customWidth="1"/>
    <col min="6" max="7" width="15.875" style="99" customWidth="1"/>
    <col min="8" max="8" width="10.875" style="99"/>
    <col min="9" max="9" width="11.375" style="99" bestFit="1" customWidth="1"/>
    <col min="10" max="10" width="13.375" style="99" customWidth="1"/>
    <col min="11" max="11" width="7.125" style="99" customWidth="1"/>
    <col min="12" max="12" width="15.375" style="99" customWidth="1"/>
    <col min="13" max="13" width="9.375" style="99" bestFit="1" customWidth="1"/>
    <col min="14" max="14" width="10.875" style="99"/>
    <col min="15" max="15" width="7.25" style="99" customWidth="1"/>
    <col min="16" max="16" width="9.625" style="99" customWidth="1"/>
    <col min="17" max="17" width="10.875" style="99" customWidth="1"/>
    <col min="18" max="18" width="7.5" style="99" customWidth="1"/>
    <col min="19" max="19" width="3.75" style="99" customWidth="1"/>
    <col min="20" max="16384" width="10.875" style="99"/>
  </cols>
  <sheetData>
    <row r="1" spans="2:19" s="100" customFormat="1" ht="9.9499999999999993" customHeight="1" x14ac:dyDescent="0.1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2:19" s="100" customFormat="1" ht="24.95" customHeight="1" thickBot="1" x14ac:dyDescent="0.2">
      <c r="B2" s="100" t="s">
        <v>101</v>
      </c>
      <c r="H2" s="101" t="s">
        <v>237</v>
      </c>
      <c r="I2" s="3" t="s">
        <v>391</v>
      </c>
      <c r="K2" s="101" t="s">
        <v>238</v>
      </c>
      <c r="L2" s="3" t="s">
        <v>239</v>
      </c>
      <c r="N2" s="99"/>
      <c r="O2" s="99"/>
      <c r="Q2" s="4"/>
      <c r="R2" s="4"/>
    </row>
    <row r="3" spans="2:19" s="100" customFormat="1" ht="18" customHeight="1" x14ac:dyDescent="0.15">
      <c r="B3" s="995" t="s">
        <v>20</v>
      </c>
      <c r="C3" s="996"/>
      <c r="D3" s="996"/>
      <c r="E3" s="997"/>
      <c r="F3" s="323" t="s">
        <v>21</v>
      </c>
      <c r="G3" s="103"/>
      <c r="H3" s="104" t="s">
        <v>22</v>
      </c>
      <c r="I3" s="102"/>
      <c r="J3" s="102"/>
      <c r="K3" s="1007" t="s">
        <v>436</v>
      </c>
      <c r="L3" s="1008"/>
      <c r="M3" s="1008"/>
      <c r="N3" s="1008"/>
      <c r="O3" s="1008"/>
      <c r="P3" s="1008"/>
      <c r="Q3" s="1008"/>
      <c r="R3" s="1008"/>
      <c r="S3" s="1009"/>
    </row>
    <row r="4" spans="2:19" s="100" customFormat="1" ht="18" customHeight="1" x14ac:dyDescent="0.15">
      <c r="B4" s="993" t="s">
        <v>23</v>
      </c>
      <c r="C4" s="994"/>
      <c r="D4" s="243" t="s">
        <v>203</v>
      </c>
      <c r="E4" s="195"/>
      <c r="F4" s="413">
        <f>+R11</f>
        <v>858000</v>
      </c>
      <c r="G4" s="554" t="s">
        <v>187</v>
      </c>
      <c r="H4" s="555"/>
      <c r="I4" s="555"/>
      <c r="J4" s="555"/>
      <c r="K4" s="188" t="s">
        <v>57</v>
      </c>
      <c r="L4" s="414" t="s">
        <v>437</v>
      </c>
      <c r="M4" s="415" t="s">
        <v>24</v>
      </c>
      <c r="N4" s="415" t="s">
        <v>23</v>
      </c>
      <c r="O4" s="415" t="s">
        <v>57</v>
      </c>
      <c r="P4" s="414" t="s">
        <v>438</v>
      </c>
      <c r="Q4" s="415" t="s">
        <v>24</v>
      </c>
      <c r="R4" s="1012" t="s">
        <v>23</v>
      </c>
      <c r="S4" s="1013"/>
    </row>
    <row r="5" spans="2:19" s="100" customFormat="1" ht="18" customHeight="1" x14ac:dyDescent="0.15">
      <c r="B5" s="993"/>
      <c r="C5" s="994"/>
      <c r="D5" s="243" t="s">
        <v>83</v>
      </c>
      <c r="E5" s="195"/>
      <c r="F5" s="413"/>
      <c r="G5" s="416"/>
      <c r="H5" s="556"/>
      <c r="I5" s="556"/>
      <c r="J5" s="556"/>
      <c r="K5" s="189" t="s">
        <v>439</v>
      </c>
      <c r="L5" s="413">
        <v>6000</v>
      </c>
      <c r="M5" s="413">
        <v>143</v>
      </c>
      <c r="N5" s="413">
        <f>L5*M5</f>
        <v>858000</v>
      </c>
      <c r="O5" s="413"/>
      <c r="P5" s="413"/>
      <c r="Q5" s="413"/>
      <c r="R5" s="1010">
        <f>P5*Q5</f>
        <v>0</v>
      </c>
      <c r="S5" s="1011"/>
    </row>
    <row r="6" spans="2:19" s="100" customFormat="1" ht="18" customHeight="1" x14ac:dyDescent="0.15">
      <c r="B6" s="1001" t="s">
        <v>208</v>
      </c>
      <c r="C6" s="998" t="s">
        <v>195</v>
      </c>
      <c r="D6" s="413" t="s">
        <v>63</v>
      </c>
      <c r="E6" s="191"/>
      <c r="F6" s="413">
        <f>+P13</f>
        <v>19250</v>
      </c>
      <c r="G6" s="416" t="s">
        <v>665</v>
      </c>
      <c r="H6" s="556"/>
      <c r="I6" s="556"/>
      <c r="J6" s="556"/>
      <c r="K6" s="194"/>
      <c r="L6" s="311">
        <v>0</v>
      </c>
      <c r="M6" s="413">
        <v>0</v>
      </c>
      <c r="N6" s="413">
        <f>L6*M6</f>
        <v>0</v>
      </c>
      <c r="O6" s="413"/>
      <c r="P6" s="413"/>
      <c r="Q6" s="413"/>
      <c r="R6" s="1010">
        <f t="shared" ref="R6:R9" si="0">P6*Q6</f>
        <v>0</v>
      </c>
      <c r="S6" s="1011"/>
    </row>
    <row r="7" spans="2:19" s="100" customFormat="1" ht="18" customHeight="1" x14ac:dyDescent="0.15">
      <c r="B7" s="1002"/>
      <c r="C7" s="999"/>
      <c r="D7" s="413" t="s">
        <v>64</v>
      </c>
      <c r="E7" s="191"/>
      <c r="F7" s="413">
        <f>P22</f>
        <v>132764.15</v>
      </c>
      <c r="G7" s="554" t="s">
        <v>666</v>
      </c>
      <c r="H7" s="555"/>
      <c r="I7" s="555"/>
      <c r="J7" s="557"/>
      <c r="K7" s="193"/>
      <c r="L7" s="312">
        <v>0</v>
      </c>
      <c r="M7" s="413">
        <v>0</v>
      </c>
      <c r="N7" s="413">
        <f t="shared" ref="N7:N11" si="1">L7*M7</f>
        <v>0</v>
      </c>
      <c r="O7" s="413"/>
      <c r="P7" s="413"/>
      <c r="Q7" s="413"/>
      <c r="R7" s="1010">
        <f t="shared" si="0"/>
        <v>0</v>
      </c>
      <c r="S7" s="1011"/>
    </row>
    <row r="8" spans="2:19" s="100" customFormat="1" ht="18" customHeight="1" x14ac:dyDescent="0.15">
      <c r="B8" s="1002"/>
      <c r="C8" s="999"/>
      <c r="D8" s="413" t="s">
        <v>65</v>
      </c>
      <c r="E8" s="191"/>
      <c r="F8" s="413">
        <f>P28</f>
        <v>62757.266666666663</v>
      </c>
      <c r="G8" s="416" t="s">
        <v>667</v>
      </c>
      <c r="H8" s="556"/>
      <c r="I8" s="556"/>
      <c r="J8" s="558"/>
      <c r="K8" s="191"/>
      <c r="L8" s="413"/>
      <c r="M8" s="413"/>
      <c r="N8" s="413">
        <f t="shared" si="1"/>
        <v>0</v>
      </c>
      <c r="O8" s="413"/>
      <c r="P8" s="413"/>
      <c r="Q8" s="413"/>
      <c r="R8" s="1010">
        <f t="shared" si="0"/>
        <v>0</v>
      </c>
      <c r="S8" s="1011"/>
    </row>
    <row r="9" spans="2:19" s="100" customFormat="1" ht="18" customHeight="1" x14ac:dyDescent="0.15">
      <c r="B9" s="1002"/>
      <c r="C9" s="999"/>
      <c r="D9" s="413" t="s">
        <v>84</v>
      </c>
      <c r="E9" s="191"/>
      <c r="F9" s="413">
        <f>P37</f>
        <v>62078.488400000002</v>
      </c>
      <c r="G9" s="416" t="s">
        <v>668</v>
      </c>
      <c r="H9" s="556"/>
      <c r="I9" s="556"/>
      <c r="J9" s="558"/>
      <c r="K9" s="191"/>
      <c r="L9" s="413"/>
      <c r="M9" s="413"/>
      <c r="N9" s="413">
        <f t="shared" si="1"/>
        <v>0</v>
      </c>
      <c r="O9" s="413"/>
      <c r="P9" s="413"/>
      <c r="Q9" s="413"/>
      <c r="R9" s="1010">
        <f t="shared" si="0"/>
        <v>0</v>
      </c>
      <c r="S9" s="1011"/>
    </row>
    <row r="10" spans="2:19" s="100" customFormat="1" ht="18" customHeight="1" x14ac:dyDescent="0.15">
      <c r="B10" s="1002"/>
      <c r="C10" s="999"/>
      <c r="D10" s="413" t="s">
        <v>66</v>
      </c>
      <c r="E10" s="191"/>
      <c r="F10" s="413">
        <f>'８－１　水稲算出基礎（こいもみじ）'!V21</f>
        <v>5806.666666666667</v>
      </c>
      <c r="G10" s="1035"/>
      <c r="H10" s="1036"/>
      <c r="I10" s="1036"/>
      <c r="J10" s="1037"/>
      <c r="K10" s="191"/>
      <c r="L10" s="413"/>
      <c r="M10" s="413"/>
      <c r="N10" s="413">
        <f t="shared" si="1"/>
        <v>0</v>
      </c>
      <c r="O10" s="413"/>
      <c r="P10" s="413"/>
      <c r="Q10" s="413"/>
      <c r="R10" s="1010"/>
      <c r="S10" s="1011"/>
    </row>
    <row r="11" spans="2:19" s="100" customFormat="1" ht="18" customHeight="1" thickBot="1" x14ac:dyDescent="0.2">
      <c r="B11" s="1002"/>
      <c r="C11" s="999"/>
      <c r="D11" s="413" t="s">
        <v>6</v>
      </c>
      <c r="E11" s="191"/>
      <c r="F11" s="413">
        <f>'８－１　水稲算出基礎（こいもみじ）'!V34</f>
        <v>83.333333333333329</v>
      </c>
      <c r="G11" s="1035"/>
      <c r="H11" s="1036"/>
      <c r="I11" s="1036"/>
      <c r="J11" s="1037"/>
      <c r="K11" s="117"/>
      <c r="L11" s="106"/>
      <c r="M11" s="106"/>
      <c r="N11" s="417">
        <f t="shared" si="1"/>
        <v>0</v>
      </c>
      <c r="O11" s="107" t="s">
        <v>25</v>
      </c>
      <c r="P11" s="108">
        <f>SUM(L5:L11,P5:Q10)</f>
        <v>6000</v>
      </c>
      <c r="Q11" s="109">
        <f>R11/P11</f>
        <v>143</v>
      </c>
      <c r="R11" s="1017">
        <f>SUM(N5:N11,R5:S10)</f>
        <v>858000</v>
      </c>
      <c r="S11" s="1018"/>
    </row>
    <row r="12" spans="2:19" s="100" customFormat="1" ht="18" customHeight="1" thickTop="1" x14ac:dyDescent="0.15">
      <c r="B12" s="1002"/>
      <c r="C12" s="999"/>
      <c r="D12" s="413" t="s">
        <v>7</v>
      </c>
      <c r="E12" s="191"/>
      <c r="F12" s="413">
        <v>0</v>
      </c>
      <c r="G12" s="416"/>
      <c r="H12" s="556"/>
      <c r="I12" s="556"/>
      <c r="J12" s="558"/>
      <c r="K12" s="1040" t="s">
        <v>209</v>
      </c>
      <c r="L12" s="187" t="s">
        <v>158</v>
      </c>
      <c r="M12" s="322" t="s">
        <v>9</v>
      </c>
      <c r="N12" s="252" t="s">
        <v>440</v>
      </c>
      <c r="O12" s="321" t="s">
        <v>24</v>
      </c>
      <c r="P12" s="321" t="s">
        <v>27</v>
      </c>
      <c r="Q12" s="1019" t="s">
        <v>28</v>
      </c>
      <c r="R12" s="1020"/>
      <c r="S12" s="1021"/>
    </row>
    <row r="13" spans="2:19" s="100" customFormat="1" ht="18" customHeight="1" x14ac:dyDescent="0.15">
      <c r="B13" s="1002"/>
      <c r="C13" s="999"/>
      <c r="D13" s="990" t="s">
        <v>67</v>
      </c>
      <c r="E13" s="418" t="s">
        <v>183</v>
      </c>
      <c r="F13" s="419">
        <f>'６　固定資本装備と減価償却費'!L94*'７－１　水稲部門（こいもみじ）収支'!H13</f>
        <v>5038.875</v>
      </c>
      <c r="G13" s="416" t="s">
        <v>669</v>
      </c>
      <c r="H13" s="559">
        <v>0.01</v>
      </c>
      <c r="I13" s="1038" t="s">
        <v>191</v>
      </c>
      <c r="J13" s="1039"/>
      <c r="K13" s="1041"/>
      <c r="L13" s="420" t="s">
        <v>441</v>
      </c>
      <c r="M13" s="186" t="s">
        <v>442</v>
      </c>
      <c r="N13" s="421">
        <v>35</v>
      </c>
      <c r="O13" s="421">
        <v>550</v>
      </c>
      <c r="P13" s="421">
        <f>N13*O13</f>
        <v>19250</v>
      </c>
      <c r="Q13" s="1031" t="s">
        <v>236</v>
      </c>
      <c r="R13" s="1032"/>
      <c r="S13" s="1033"/>
    </row>
    <row r="14" spans="2:19" s="100" customFormat="1" ht="18" customHeight="1" x14ac:dyDescent="0.15">
      <c r="B14" s="1002"/>
      <c r="C14" s="999"/>
      <c r="D14" s="991"/>
      <c r="E14" s="418" t="s">
        <v>184</v>
      </c>
      <c r="F14" s="419">
        <f>'６　固定資本装備と減価償却費'!L95*'７－１　水稲部門（こいもみじ）収支'!H14</f>
        <v>83013.830150000009</v>
      </c>
      <c r="G14" s="416" t="s">
        <v>669</v>
      </c>
      <c r="H14" s="559">
        <v>0.05</v>
      </c>
      <c r="I14" s="1038" t="s">
        <v>191</v>
      </c>
      <c r="J14" s="1039"/>
      <c r="K14" s="1041"/>
      <c r="L14" s="420"/>
      <c r="M14" s="186" t="s">
        <v>442</v>
      </c>
      <c r="N14" s="421"/>
      <c r="O14" s="421"/>
      <c r="P14" s="421">
        <f>N14*O14</f>
        <v>0</v>
      </c>
      <c r="Q14" s="1031" t="s">
        <v>236</v>
      </c>
      <c r="R14" s="1032"/>
      <c r="S14" s="1033"/>
    </row>
    <row r="15" spans="2:19" s="100" customFormat="1" ht="18" customHeight="1" thickBot="1" x14ac:dyDescent="0.2">
      <c r="B15" s="1002"/>
      <c r="C15" s="999"/>
      <c r="D15" s="990" t="s">
        <v>85</v>
      </c>
      <c r="E15" s="418" t="s">
        <v>183</v>
      </c>
      <c r="F15" s="413">
        <f>'６　固定資本装備と減価償却費'!P94</f>
        <v>25440.75</v>
      </c>
      <c r="G15" s="416" t="s">
        <v>191</v>
      </c>
      <c r="H15" s="556"/>
      <c r="I15" s="556"/>
      <c r="J15" s="558"/>
      <c r="K15" s="1041"/>
      <c r="L15" s="112" t="s">
        <v>29</v>
      </c>
      <c r="M15" s="111"/>
      <c r="N15" s="112"/>
      <c r="O15" s="112"/>
      <c r="P15" s="112">
        <f>SUM(P13:P14)</f>
        <v>19250</v>
      </c>
      <c r="Q15" s="1004"/>
      <c r="R15" s="1005"/>
      <c r="S15" s="1006"/>
    </row>
    <row r="16" spans="2:19" s="100" customFormat="1" ht="18" customHeight="1" thickTop="1" x14ac:dyDescent="0.15">
      <c r="B16" s="1002"/>
      <c r="C16" s="999"/>
      <c r="D16" s="992"/>
      <c r="E16" s="418" t="s">
        <v>184</v>
      </c>
      <c r="F16" s="413">
        <f>'６　固定資本装備と減価償却費'!P95</f>
        <v>236542.08614285692</v>
      </c>
      <c r="G16" s="416" t="s">
        <v>191</v>
      </c>
      <c r="H16" s="556"/>
      <c r="I16" s="556"/>
      <c r="J16" s="558"/>
      <c r="K16" s="1041"/>
      <c r="L16" s="182" t="s">
        <v>443</v>
      </c>
      <c r="M16" s="183"/>
      <c r="N16" s="251" t="s">
        <v>440</v>
      </c>
      <c r="O16" s="320" t="s">
        <v>24</v>
      </c>
      <c r="P16" s="184" t="s">
        <v>27</v>
      </c>
      <c r="Q16" s="1014" t="s">
        <v>28</v>
      </c>
      <c r="R16" s="1015"/>
      <c r="S16" s="1016"/>
    </row>
    <row r="17" spans="1:19" s="100" customFormat="1" ht="18" customHeight="1" x14ac:dyDescent="0.15">
      <c r="B17" s="1002"/>
      <c r="C17" s="999"/>
      <c r="D17" s="991"/>
      <c r="E17" s="413" t="s">
        <v>68</v>
      </c>
      <c r="F17" s="413">
        <f>'６（参考）水稲資本装備'!P56</f>
        <v>0</v>
      </c>
      <c r="G17" s="416" t="s">
        <v>191</v>
      </c>
      <c r="H17" s="556"/>
      <c r="I17" s="556"/>
      <c r="J17" s="558"/>
      <c r="K17" s="1041"/>
      <c r="L17" s="243" t="s">
        <v>165</v>
      </c>
      <c r="M17" s="186"/>
      <c r="N17" s="416" t="s">
        <v>292</v>
      </c>
      <c r="O17" s="422"/>
      <c r="P17" s="423">
        <f>'８－１　水稲算出基礎（こいもみじ）'!G7</f>
        <v>0</v>
      </c>
      <c r="Q17" s="1022"/>
      <c r="R17" s="1023"/>
      <c r="S17" s="1024"/>
    </row>
    <row r="18" spans="1:19" s="100" customFormat="1" ht="18" customHeight="1" x14ac:dyDescent="0.15">
      <c r="A18" s="99"/>
      <c r="B18" s="1002"/>
      <c r="C18" s="999"/>
      <c r="D18" s="981" t="s">
        <v>247</v>
      </c>
      <c r="E18" s="424" t="s">
        <v>115</v>
      </c>
      <c r="F18" s="413"/>
      <c r="G18" s="416"/>
      <c r="H18" s="556"/>
      <c r="I18" s="556"/>
      <c r="J18" s="558"/>
      <c r="K18" s="1041"/>
      <c r="L18" s="243" t="s">
        <v>163</v>
      </c>
      <c r="M18" s="186"/>
      <c r="N18" s="416" t="s">
        <v>444</v>
      </c>
      <c r="O18" s="422"/>
      <c r="P18" s="423">
        <f>'８－１　水稲算出基礎（こいもみじ）'!G11</f>
        <v>38400</v>
      </c>
      <c r="Q18" s="1022"/>
      <c r="R18" s="1023"/>
      <c r="S18" s="1024"/>
    </row>
    <row r="19" spans="1:19" s="100" customFormat="1" ht="18" customHeight="1" x14ac:dyDescent="0.15">
      <c r="A19" s="99"/>
      <c r="B19" s="1002"/>
      <c r="C19" s="999"/>
      <c r="D19" s="981"/>
      <c r="E19" s="424" t="s">
        <v>111</v>
      </c>
      <c r="F19" s="413">
        <f>J19*'５－１　水稲（こいもみじ）作業時間'!AO34</f>
        <v>37290.000000000007</v>
      </c>
      <c r="G19" s="416"/>
      <c r="H19" s="556"/>
      <c r="I19" s="560" t="s">
        <v>670</v>
      </c>
      <c r="J19" s="561">
        <v>1100</v>
      </c>
      <c r="K19" s="1041"/>
      <c r="L19" s="416" t="s">
        <v>164</v>
      </c>
      <c r="M19" s="176"/>
      <c r="N19" s="416" t="s">
        <v>444</v>
      </c>
      <c r="O19" s="422"/>
      <c r="P19" s="423">
        <f>'８－１　水稲算出基礎（こいもみじ）'!G16</f>
        <v>80000</v>
      </c>
      <c r="Q19" s="1022"/>
      <c r="R19" s="1023"/>
      <c r="S19" s="1024"/>
    </row>
    <row r="20" spans="1:19" s="100" customFormat="1" ht="18" customHeight="1" x14ac:dyDescent="0.15">
      <c r="A20" s="99"/>
      <c r="B20" s="1002"/>
      <c r="C20" s="999"/>
      <c r="D20" s="981"/>
      <c r="E20" s="424" t="s">
        <v>112</v>
      </c>
      <c r="F20" s="413">
        <f>J20*'５－１　水稲（こいもみじ）作業時間'!AP34</f>
        <v>55800</v>
      </c>
      <c r="G20" s="416"/>
      <c r="H20" s="556"/>
      <c r="I20" s="560" t="s">
        <v>671</v>
      </c>
      <c r="J20" s="561">
        <v>900</v>
      </c>
      <c r="K20" s="1041"/>
      <c r="L20" s="416"/>
      <c r="M20" s="176"/>
      <c r="N20" s="416"/>
      <c r="O20" s="422"/>
      <c r="P20" s="423">
        <f>'８－１　水稲算出基礎（こいもみじ）'!G20</f>
        <v>0</v>
      </c>
      <c r="Q20" s="1022"/>
      <c r="R20" s="1023"/>
      <c r="S20" s="1024"/>
    </row>
    <row r="21" spans="1:19" s="100" customFormat="1" ht="18" customHeight="1" x14ac:dyDescent="0.15">
      <c r="A21" s="99"/>
      <c r="B21" s="1002"/>
      <c r="C21" s="999"/>
      <c r="D21" s="981"/>
      <c r="E21" s="424" t="s">
        <v>113</v>
      </c>
      <c r="F21" s="413">
        <f>(F19+F20)*0.012</f>
        <v>1117.08</v>
      </c>
      <c r="G21" s="416"/>
      <c r="H21" s="556"/>
      <c r="I21" s="556"/>
      <c r="J21" s="558"/>
      <c r="K21" s="1041"/>
      <c r="L21" s="416" t="s">
        <v>167</v>
      </c>
      <c r="M21" s="176"/>
      <c r="N21" s="416" t="s">
        <v>292</v>
      </c>
      <c r="O21" s="423"/>
      <c r="P21" s="423">
        <f>'８－１　水稲算出基礎（こいもみじ）'!G24</f>
        <v>14364.15</v>
      </c>
      <c r="Q21" s="1022"/>
      <c r="R21" s="1023"/>
      <c r="S21" s="1024"/>
    </row>
    <row r="22" spans="1:19" s="100" customFormat="1" ht="18" customHeight="1" thickBot="1" x14ac:dyDescent="0.2">
      <c r="A22" s="99"/>
      <c r="B22" s="1002"/>
      <c r="C22" s="999"/>
      <c r="D22" s="981" t="s">
        <v>69</v>
      </c>
      <c r="E22" s="424" t="s">
        <v>70</v>
      </c>
      <c r="F22" s="413">
        <f t="shared" ref="F22:F23" si="2">I22*10</f>
        <v>20000</v>
      </c>
      <c r="G22" s="416"/>
      <c r="H22" s="556"/>
      <c r="I22" s="556">
        <v>2000</v>
      </c>
      <c r="J22" s="558" t="s">
        <v>299</v>
      </c>
      <c r="K22" s="1041"/>
      <c r="L22" s="112" t="s">
        <v>29</v>
      </c>
      <c r="M22" s="111"/>
      <c r="N22" s="112"/>
      <c r="O22" s="112"/>
      <c r="P22" s="112">
        <f>SUM(P17:P21)</f>
        <v>132764.15</v>
      </c>
      <c r="Q22" s="1004"/>
      <c r="R22" s="1005"/>
      <c r="S22" s="1006"/>
    </row>
    <row r="23" spans="1:19" s="100" customFormat="1" ht="18" customHeight="1" thickTop="1" x14ac:dyDescent="0.15">
      <c r="A23" s="99"/>
      <c r="B23" s="1002"/>
      <c r="C23" s="999"/>
      <c r="D23" s="981"/>
      <c r="E23" s="424" t="s">
        <v>86</v>
      </c>
      <c r="F23" s="413">
        <f t="shared" si="2"/>
        <v>50000</v>
      </c>
      <c r="G23" s="416"/>
      <c r="H23" s="556"/>
      <c r="I23" s="556">
        <v>5000</v>
      </c>
      <c r="J23" s="558" t="s">
        <v>299</v>
      </c>
      <c r="K23" s="1041"/>
      <c r="L23" s="416" t="s">
        <v>447</v>
      </c>
      <c r="M23" s="176"/>
      <c r="N23" s="425" t="s">
        <v>26</v>
      </c>
      <c r="O23" s="425" t="s">
        <v>24</v>
      </c>
      <c r="P23" s="425" t="s">
        <v>27</v>
      </c>
      <c r="Q23" s="1014" t="s">
        <v>28</v>
      </c>
      <c r="R23" s="1015"/>
      <c r="S23" s="1016"/>
    </row>
    <row r="24" spans="1:19" s="100" customFormat="1" ht="18" customHeight="1" x14ac:dyDescent="0.15">
      <c r="A24" s="99"/>
      <c r="B24" s="1002"/>
      <c r="C24" s="999"/>
      <c r="D24" s="413" t="s">
        <v>71</v>
      </c>
      <c r="E24" s="191"/>
      <c r="F24" s="413">
        <f>I24*10</f>
        <v>30000</v>
      </c>
      <c r="G24" s="416"/>
      <c r="H24" s="556"/>
      <c r="I24" s="562">
        <v>3000</v>
      </c>
      <c r="J24" s="558" t="s">
        <v>299</v>
      </c>
      <c r="K24" s="1041"/>
      <c r="L24" s="423" t="s">
        <v>30</v>
      </c>
      <c r="M24" s="176"/>
      <c r="N24" s="416" t="s">
        <v>448</v>
      </c>
      <c r="O24" s="423"/>
      <c r="P24" s="423">
        <f>'８－１　水稲算出基礎（こいもみじ）'!G38</f>
        <v>5512.1</v>
      </c>
      <c r="Q24" s="1022"/>
      <c r="R24" s="1023"/>
      <c r="S24" s="1024"/>
    </row>
    <row r="25" spans="1:19" s="100" customFormat="1" ht="18" customHeight="1" x14ac:dyDescent="0.15">
      <c r="A25" s="99"/>
      <c r="B25" s="1002"/>
      <c r="C25" s="999"/>
      <c r="D25" s="413" t="s">
        <v>162</v>
      </c>
      <c r="E25" s="191"/>
      <c r="F25" s="413">
        <f>SUM(F6:F24)/99</f>
        <v>8353.3588521164002</v>
      </c>
      <c r="G25" s="427" t="s">
        <v>212</v>
      </c>
      <c r="H25" s="563">
        <v>0.01</v>
      </c>
      <c r="I25" s="555"/>
      <c r="J25" s="564"/>
      <c r="K25" s="1041"/>
      <c r="L25" s="423" t="s">
        <v>294</v>
      </c>
      <c r="M25" s="176"/>
      <c r="N25" s="416" t="s">
        <v>449</v>
      </c>
      <c r="O25" s="423"/>
      <c r="P25" s="423">
        <f>'８－１　水稲算出基礎（こいもみじ）'!G49</f>
        <v>4975</v>
      </c>
      <c r="Q25" s="1022"/>
      <c r="R25" s="1023"/>
      <c r="S25" s="1024"/>
    </row>
    <row r="26" spans="1:19" s="100" customFormat="1" ht="18" customHeight="1" x14ac:dyDescent="0.15">
      <c r="A26" s="99"/>
      <c r="B26" s="1002"/>
      <c r="C26" s="1000"/>
      <c r="D26" s="988" t="s">
        <v>450</v>
      </c>
      <c r="E26" s="989"/>
      <c r="F26" s="428">
        <f>SUM(F6:F25)</f>
        <v>835335.88521163992</v>
      </c>
      <c r="G26" s="429"/>
      <c r="H26" s="555"/>
      <c r="I26" s="555"/>
      <c r="J26" s="557"/>
      <c r="K26" s="1041"/>
      <c r="L26" s="423" t="s">
        <v>32</v>
      </c>
      <c r="M26" s="176"/>
      <c r="N26" s="416" t="s">
        <v>292</v>
      </c>
      <c r="O26" s="423"/>
      <c r="P26" s="423">
        <f>'８－１　水稲算出基礎（こいもみじ）'!G53</f>
        <v>24330</v>
      </c>
      <c r="Q26" s="1022"/>
      <c r="R26" s="1023"/>
      <c r="S26" s="1024"/>
    </row>
    <row r="27" spans="1:19" s="100" customFormat="1" ht="18" customHeight="1" x14ac:dyDescent="0.15">
      <c r="A27" s="99"/>
      <c r="B27" s="1002"/>
      <c r="C27" s="982" t="s">
        <v>190</v>
      </c>
      <c r="D27" s="882" t="s">
        <v>72</v>
      </c>
      <c r="E27" s="24" t="s">
        <v>3</v>
      </c>
      <c r="F27" s="417">
        <f>P11/30*J27</f>
        <v>16000</v>
      </c>
      <c r="G27" s="554"/>
      <c r="H27" s="556"/>
      <c r="I27" s="110" t="s">
        <v>303</v>
      </c>
      <c r="J27" s="565">
        <v>80</v>
      </c>
      <c r="K27" s="1041"/>
      <c r="L27" s="423" t="s">
        <v>293</v>
      </c>
      <c r="M27" s="176"/>
      <c r="N27" s="416" t="s">
        <v>449</v>
      </c>
      <c r="O27" s="423"/>
      <c r="P27" s="423">
        <f>'８－１　水稲算出基礎（こいもみじ）'!G57</f>
        <v>27940.166666666664</v>
      </c>
      <c r="Q27" s="1022"/>
      <c r="R27" s="1023"/>
      <c r="S27" s="1024"/>
    </row>
    <row r="28" spans="1:19" s="100" customFormat="1" ht="18" customHeight="1" thickBot="1" x14ac:dyDescent="0.2">
      <c r="A28" s="99"/>
      <c r="B28" s="1002"/>
      <c r="C28" s="983"/>
      <c r="D28" s="885"/>
      <c r="E28" s="24" t="s">
        <v>4</v>
      </c>
      <c r="F28" s="430"/>
      <c r="G28" s="554"/>
      <c r="H28" s="566"/>
      <c r="I28" s="566"/>
      <c r="J28" s="567"/>
      <c r="K28" s="1041"/>
      <c r="L28" s="112" t="s">
        <v>29</v>
      </c>
      <c r="M28" s="111"/>
      <c r="N28" s="112"/>
      <c r="O28" s="112"/>
      <c r="P28" s="112">
        <f>SUM(P24:P27)</f>
        <v>62757.266666666663</v>
      </c>
      <c r="Q28" s="1004"/>
      <c r="R28" s="1005"/>
      <c r="S28" s="1006"/>
    </row>
    <row r="29" spans="1:19" s="100" customFormat="1" ht="18" customHeight="1" thickTop="1" x14ac:dyDescent="0.15">
      <c r="A29" s="99"/>
      <c r="B29" s="1002"/>
      <c r="C29" s="983"/>
      <c r="D29" s="985"/>
      <c r="E29" s="24" t="s">
        <v>8</v>
      </c>
      <c r="F29" s="417">
        <f>P11/30*J29</f>
        <v>5000</v>
      </c>
      <c r="G29" s="554"/>
      <c r="H29" s="555"/>
      <c r="I29" s="566" t="s">
        <v>304</v>
      </c>
      <c r="J29" s="568">
        <v>25</v>
      </c>
      <c r="K29" s="1041"/>
      <c r="L29" s="416" t="s">
        <v>451</v>
      </c>
      <c r="M29" s="176"/>
      <c r="N29" s="425" t="s">
        <v>26</v>
      </c>
      <c r="O29" s="425" t="s">
        <v>24</v>
      </c>
      <c r="P29" s="425" t="s">
        <v>27</v>
      </c>
      <c r="Q29" s="1014" t="s">
        <v>28</v>
      </c>
      <c r="R29" s="1015"/>
      <c r="S29" s="1016"/>
    </row>
    <row r="30" spans="1:19" s="100" customFormat="1" ht="18" customHeight="1" x14ac:dyDescent="0.15">
      <c r="A30" s="99"/>
      <c r="B30" s="1002"/>
      <c r="C30" s="983"/>
      <c r="D30" s="24" t="s">
        <v>73</v>
      </c>
      <c r="E30" s="25"/>
      <c r="F30" s="417"/>
      <c r="G30" s="554"/>
      <c r="H30" s="555"/>
      <c r="I30" s="566"/>
      <c r="J30" s="569"/>
      <c r="K30" s="1041"/>
      <c r="L30" s="423" t="s">
        <v>452</v>
      </c>
      <c r="M30" s="179"/>
      <c r="N30" s="416" t="s">
        <v>295</v>
      </c>
      <c r="O30" s="422"/>
      <c r="P30" s="423">
        <f>'８－１　水稲算出基礎（こいもみじ）'!N12</f>
        <v>28089.600000000002</v>
      </c>
      <c r="Q30" s="1028"/>
      <c r="R30" s="1029"/>
      <c r="S30" s="1030"/>
    </row>
    <row r="31" spans="1:19" s="100" customFormat="1" ht="18" customHeight="1" x14ac:dyDescent="0.15">
      <c r="A31" s="99"/>
      <c r="B31" s="1002"/>
      <c r="C31" s="983"/>
      <c r="D31" s="895" t="s">
        <v>248</v>
      </c>
      <c r="E31" s="319" t="s">
        <v>115</v>
      </c>
      <c r="F31" s="430"/>
      <c r="G31" s="554"/>
      <c r="H31" s="570"/>
      <c r="I31" s="570"/>
      <c r="J31" s="571"/>
      <c r="K31" s="1041"/>
      <c r="L31" s="423" t="s">
        <v>453</v>
      </c>
      <c r="M31" s="179"/>
      <c r="N31" s="416" t="s">
        <v>296</v>
      </c>
      <c r="O31" s="422"/>
      <c r="P31" s="423">
        <f>'８－１　水稲算出基礎（こいもみじ）'!N16</f>
        <v>2466.9479999999999</v>
      </c>
      <c r="Q31" s="1028"/>
      <c r="R31" s="1029"/>
      <c r="S31" s="1030"/>
    </row>
    <row r="32" spans="1:19" s="100" customFormat="1" ht="18" customHeight="1" x14ac:dyDescent="0.15">
      <c r="A32" s="99"/>
      <c r="B32" s="1002"/>
      <c r="C32" s="983"/>
      <c r="D32" s="895"/>
      <c r="E32" s="319" t="s">
        <v>454</v>
      </c>
      <c r="F32" s="430"/>
      <c r="G32" s="554"/>
      <c r="H32" s="572"/>
      <c r="I32" s="572"/>
      <c r="J32" s="573"/>
      <c r="K32" s="1041"/>
      <c r="L32" s="423" t="s">
        <v>455</v>
      </c>
      <c r="M32" s="176"/>
      <c r="N32" s="422"/>
      <c r="O32" s="422"/>
      <c r="P32" s="423">
        <f>SUM(P30:P31)*R32</f>
        <v>9166.9644000000008</v>
      </c>
      <c r="Q32" s="433" t="s">
        <v>456</v>
      </c>
      <c r="R32" s="434">
        <v>0.3</v>
      </c>
      <c r="S32" s="435"/>
    </row>
    <row r="33" spans="1:23" ht="18" customHeight="1" x14ac:dyDescent="0.15">
      <c r="B33" s="1002"/>
      <c r="C33" s="983"/>
      <c r="D33" s="24" t="s">
        <v>74</v>
      </c>
      <c r="E33" s="33"/>
      <c r="F33" s="430"/>
      <c r="G33" s="554"/>
      <c r="H33" s="574"/>
      <c r="I33" s="560"/>
      <c r="J33" s="569"/>
      <c r="K33" s="1041"/>
      <c r="L33" s="423" t="s">
        <v>457</v>
      </c>
      <c r="M33" s="179"/>
      <c r="N33" s="416"/>
      <c r="O33" s="422"/>
      <c r="P33" s="423">
        <f>'８－１　水稲算出基礎（こいもみじ）'!N20</f>
        <v>0</v>
      </c>
      <c r="Q33" s="1022"/>
      <c r="R33" s="1023"/>
      <c r="S33" s="1024"/>
    </row>
    <row r="34" spans="1:23" ht="18" customHeight="1" x14ac:dyDescent="0.15">
      <c r="B34" s="1002"/>
      <c r="C34" s="983"/>
      <c r="D34" s="24" t="s">
        <v>87</v>
      </c>
      <c r="E34" s="33"/>
      <c r="F34" s="430"/>
      <c r="G34" s="554"/>
      <c r="H34" s="575"/>
      <c r="I34" s="576"/>
      <c r="J34" s="577"/>
      <c r="K34" s="1041"/>
      <c r="L34" s="423" t="s">
        <v>458</v>
      </c>
      <c r="M34" s="179"/>
      <c r="N34" s="416" t="s">
        <v>296</v>
      </c>
      <c r="O34" s="422"/>
      <c r="P34" s="423">
        <f>'８－１　水稲算出基礎（こいもみじ）'!N24</f>
        <v>18543.755999999998</v>
      </c>
      <c r="Q34" s="1022"/>
      <c r="R34" s="1023"/>
      <c r="S34" s="1024"/>
    </row>
    <row r="35" spans="1:23" ht="18" customHeight="1" x14ac:dyDescent="0.15">
      <c r="B35" s="1002"/>
      <c r="C35" s="983"/>
      <c r="D35" s="24" t="s">
        <v>118</v>
      </c>
      <c r="E35" s="25"/>
      <c r="F35" s="430">
        <f>'８－１　水稲算出基礎（こいもみじ）'!V57</f>
        <v>8425</v>
      </c>
      <c r="G35" s="554"/>
      <c r="H35" s="578"/>
      <c r="I35" s="578"/>
      <c r="J35" s="579"/>
      <c r="K35" s="1041"/>
      <c r="L35" s="423" t="s">
        <v>246</v>
      </c>
      <c r="M35" s="179"/>
      <c r="N35" s="416"/>
      <c r="O35" s="422"/>
      <c r="P35" s="423">
        <f>'８－１　水稲算出基礎（こいもみじ）'!N28</f>
        <v>0</v>
      </c>
      <c r="Q35" s="1022"/>
      <c r="R35" s="1023"/>
      <c r="S35" s="1024"/>
    </row>
    <row r="36" spans="1:23" ht="18" customHeight="1" x14ac:dyDescent="0.15">
      <c r="B36" s="1002"/>
      <c r="C36" s="983"/>
      <c r="D36" s="41" t="s">
        <v>88</v>
      </c>
      <c r="E36" s="42"/>
      <c r="F36" s="436"/>
      <c r="G36" s="416"/>
      <c r="H36" s="575"/>
      <c r="I36" s="576"/>
      <c r="J36" s="569"/>
      <c r="K36" s="1041"/>
      <c r="L36" s="423" t="s">
        <v>459</v>
      </c>
      <c r="M36" s="176"/>
      <c r="N36" s="416" t="s">
        <v>297</v>
      </c>
      <c r="O36" s="422"/>
      <c r="P36" s="423">
        <f>'８－１　水稲算出基礎（こいもみじ）'!N32</f>
        <v>3811.2200000000003</v>
      </c>
      <c r="Q36" s="1022"/>
      <c r="R36" s="1023"/>
      <c r="S36" s="1024"/>
    </row>
    <row r="37" spans="1:23" ht="18" customHeight="1" thickBot="1" x14ac:dyDescent="0.2">
      <c r="B37" s="1002"/>
      <c r="C37" s="983"/>
      <c r="D37" s="24" t="s">
        <v>75</v>
      </c>
      <c r="E37" s="25"/>
      <c r="F37" s="430">
        <f>'８－１　水稲算出基礎（こいもみじ）'!N57</f>
        <v>5287.6875</v>
      </c>
      <c r="G37" s="554"/>
      <c r="H37" s="578"/>
      <c r="I37" s="578"/>
      <c r="J37" s="579"/>
      <c r="K37" s="1042"/>
      <c r="L37" s="120" t="s">
        <v>29</v>
      </c>
      <c r="M37" s="119"/>
      <c r="N37" s="120"/>
      <c r="O37" s="120"/>
      <c r="P37" s="120">
        <f>SUM(P30:P36)</f>
        <v>62078.488400000002</v>
      </c>
      <c r="Q37" s="1025"/>
      <c r="R37" s="1026"/>
      <c r="S37" s="1027"/>
    </row>
    <row r="38" spans="1:23" s="114" customFormat="1" ht="18" customHeight="1" x14ac:dyDescent="0.15">
      <c r="A38" s="99"/>
      <c r="B38" s="1002"/>
      <c r="C38" s="983"/>
      <c r="D38" s="24" t="s">
        <v>0</v>
      </c>
      <c r="E38" s="33"/>
      <c r="F38" s="430"/>
      <c r="G38" s="580"/>
      <c r="H38" s="575"/>
      <c r="I38" s="576"/>
      <c r="J38" s="569"/>
    </row>
    <row r="39" spans="1:23" s="114" customFormat="1" ht="18" customHeight="1" thickBot="1" x14ac:dyDescent="0.2">
      <c r="A39" s="99"/>
      <c r="B39" s="1003"/>
      <c r="C39" s="984"/>
      <c r="D39" s="986" t="s">
        <v>201</v>
      </c>
      <c r="E39" s="987"/>
      <c r="F39" s="163">
        <f>SUM(F27:F38)</f>
        <v>34712.6875</v>
      </c>
      <c r="G39" s="164"/>
      <c r="H39" s="581"/>
      <c r="I39" s="582"/>
      <c r="J39" s="583"/>
      <c r="T39" s="115"/>
    </row>
    <row r="40" spans="1:23" s="114" customFormat="1" ht="18" customHeight="1" x14ac:dyDescent="0.15">
      <c r="A40" s="99"/>
      <c r="B40" s="970" t="s">
        <v>205</v>
      </c>
      <c r="C40" s="973" t="s">
        <v>77</v>
      </c>
      <c r="D40" s="159" t="s">
        <v>117</v>
      </c>
      <c r="E40" s="437"/>
      <c r="F40" s="438">
        <f>J40*10</f>
        <v>75000</v>
      </c>
      <c r="G40" s="416"/>
      <c r="H40" s="1034" t="s">
        <v>672</v>
      </c>
      <c r="I40" s="1034"/>
      <c r="J40" s="584">
        <v>7500</v>
      </c>
      <c r="T40" s="100"/>
      <c r="U40" s="100"/>
      <c r="V40" s="100"/>
      <c r="W40" s="100"/>
    </row>
    <row r="41" spans="1:23" s="114" customFormat="1" ht="18" customHeight="1" x14ac:dyDescent="0.15">
      <c r="A41" s="99"/>
      <c r="B41" s="971"/>
      <c r="C41" s="974"/>
      <c r="D41" s="24" t="s">
        <v>116</v>
      </c>
      <c r="E41" s="25"/>
      <c r="F41" s="153"/>
      <c r="G41" s="416"/>
      <c r="H41" s="121"/>
      <c r="I41" s="121"/>
      <c r="J41" s="174"/>
      <c r="T41" s="116"/>
      <c r="U41" s="117"/>
      <c r="V41" s="118"/>
      <c r="W41" s="116"/>
    </row>
    <row r="42" spans="1:23" s="114" customFormat="1" ht="18" customHeight="1" x14ac:dyDescent="0.15">
      <c r="A42" s="99"/>
      <c r="B42" s="971"/>
      <c r="C42" s="975"/>
      <c r="D42" s="41" t="s">
        <v>76</v>
      </c>
      <c r="E42" s="25"/>
      <c r="F42" s="154"/>
      <c r="G42" s="416"/>
      <c r="H42" s="121"/>
      <c r="I42" s="121"/>
      <c r="J42" s="174"/>
      <c r="T42" s="100"/>
      <c r="U42" s="100"/>
      <c r="V42" s="100"/>
      <c r="W42" s="100"/>
    </row>
    <row r="43" spans="1:23" s="114" customFormat="1" ht="18" customHeight="1" x14ac:dyDescent="0.15">
      <c r="B43" s="971"/>
      <c r="C43" s="976" t="s">
        <v>460</v>
      </c>
      <c r="D43" s="41" t="s">
        <v>249</v>
      </c>
      <c r="E43" s="42"/>
      <c r="F43" s="154"/>
      <c r="G43" s="416"/>
      <c r="H43" s="121"/>
      <c r="I43" s="121"/>
      <c r="J43" s="174"/>
      <c r="T43" s="101"/>
      <c r="U43" s="115"/>
      <c r="V43" s="100"/>
      <c r="W43" s="116"/>
    </row>
    <row r="44" spans="1:23" s="114" customFormat="1" ht="18" customHeight="1" x14ac:dyDescent="0.15">
      <c r="B44" s="971"/>
      <c r="C44" s="977"/>
      <c r="D44" s="441" t="s">
        <v>1</v>
      </c>
      <c r="E44" s="442"/>
      <c r="F44" s="154"/>
      <c r="G44" s="416"/>
      <c r="H44" s="121"/>
      <c r="I44" s="121"/>
      <c r="J44" s="174"/>
      <c r="T44" s="101"/>
      <c r="U44" s="115"/>
      <c r="V44" s="100"/>
      <c r="W44" s="116"/>
    </row>
    <row r="45" spans="1:23" s="114" customFormat="1" ht="18" customHeight="1" thickBot="1" x14ac:dyDescent="0.2">
      <c r="B45" s="972"/>
      <c r="C45" s="978" t="s">
        <v>90</v>
      </c>
      <c r="D45" s="979"/>
      <c r="E45" s="980"/>
      <c r="F45" s="155">
        <f>SUM(F40:F42)-SUM(F43:F44)</f>
        <v>75000</v>
      </c>
      <c r="G45" s="585"/>
      <c r="H45" s="123"/>
      <c r="I45" s="123"/>
      <c r="J45" s="175"/>
      <c r="T45" s="100"/>
      <c r="U45" s="100"/>
      <c r="V45" s="117"/>
      <c r="W45" s="100"/>
    </row>
  </sheetData>
  <mergeCells count="57">
    <mergeCell ref="H40:I40"/>
    <mergeCell ref="G10:J10"/>
    <mergeCell ref="Q13:S13"/>
    <mergeCell ref="Q17:S17"/>
    <mergeCell ref="Q18:S18"/>
    <mergeCell ref="Q19:S19"/>
    <mergeCell ref="R10:S10"/>
    <mergeCell ref="I13:J13"/>
    <mergeCell ref="I14:J14"/>
    <mergeCell ref="K12:K37"/>
    <mergeCell ref="Q20:S20"/>
    <mergeCell ref="Q21:S21"/>
    <mergeCell ref="G11:J11"/>
    <mergeCell ref="Q33:S33"/>
    <mergeCell ref="Q34:S34"/>
    <mergeCell ref="Q22:S22"/>
    <mergeCell ref="Q23:S23"/>
    <mergeCell ref="R11:S11"/>
    <mergeCell ref="Q12:S12"/>
    <mergeCell ref="Q36:S36"/>
    <mergeCell ref="Q37:S37"/>
    <mergeCell ref="Q27:S27"/>
    <mergeCell ref="Q28:S28"/>
    <mergeCell ref="Q29:S29"/>
    <mergeCell ref="Q30:S30"/>
    <mergeCell ref="Q31:S31"/>
    <mergeCell ref="Q35:S35"/>
    <mergeCell ref="Q24:S24"/>
    <mergeCell ref="Q25:S25"/>
    <mergeCell ref="Q26:S26"/>
    <mergeCell ref="Q16:S16"/>
    <mergeCell ref="Q14:S14"/>
    <mergeCell ref="Q15:S15"/>
    <mergeCell ref="K3:S3"/>
    <mergeCell ref="R6:S6"/>
    <mergeCell ref="R7:S7"/>
    <mergeCell ref="R8:S8"/>
    <mergeCell ref="R9:S9"/>
    <mergeCell ref="R4:S4"/>
    <mergeCell ref="R5:S5"/>
    <mergeCell ref="D13:D14"/>
    <mergeCell ref="D15:D17"/>
    <mergeCell ref="B4:C5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D26:E26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3" tint="0.79998168889431442"/>
    <pageSetUpPr fitToPage="1"/>
  </sheetPr>
  <dimension ref="A1:W45"/>
  <sheetViews>
    <sheetView zoomScale="75" zoomScaleNormal="75" workbookViewId="0">
      <selection activeCell="J22" sqref="J22"/>
    </sheetView>
  </sheetViews>
  <sheetFormatPr defaultColWidth="10.875" defaultRowHeight="13.5" x14ac:dyDescent="0.15"/>
  <cols>
    <col min="1" max="1" width="1.625" style="99" customWidth="1"/>
    <col min="2" max="2" width="5.875" style="99" customWidth="1"/>
    <col min="3" max="3" width="10.625" style="99" customWidth="1"/>
    <col min="4" max="4" width="12.375" style="99" customWidth="1"/>
    <col min="5" max="5" width="14.625" style="99" customWidth="1"/>
    <col min="6" max="7" width="15.875" style="99" customWidth="1"/>
    <col min="8" max="8" width="10.875" style="99"/>
    <col min="9" max="9" width="11.375" style="99" bestFit="1" customWidth="1"/>
    <col min="10" max="10" width="13.375" style="99" customWidth="1"/>
    <col min="11" max="11" width="7.125" style="99" customWidth="1"/>
    <col min="12" max="12" width="15.375" style="99" customWidth="1"/>
    <col min="13" max="13" width="9.375" style="99" bestFit="1" customWidth="1"/>
    <col min="14" max="14" width="10.875" style="99"/>
    <col min="15" max="15" width="7.25" style="99" customWidth="1"/>
    <col min="16" max="16" width="9.625" style="99" customWidth="1"/>
    <col min="17" max="17" width="10.875" style="99" customWidth="1"/>
    <col min="18" max="18" width="7.5" style="99" customWidth="1"/>
    <col min="19" max="19" width="3.75" style="99" customWidth="1"/>
    <col min="20" max="16384" width="10.875" style="99"/>
  </cols>
  <sheetData>
    <row r="1" spans="2:19" s="100" customFormat="1" ht="9.9499999999999993" customHeight="1" x14ac:dyDescent="0.1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2:19" s="100" customFormat="1" ht="24.95" customHeight="1" thickBot="1" x14ac:dyDescent="0.2">
      <c r="B2" s="100" t="s">
        <v>461</v>
      </c>
      <c r="H2" s="101" t="s">
        <v>237</v>
      </c>
      <c r="I2" s="3" t="s">
        <v>392</v>
      </c>
      <c r="K2" s="101" t="s">
        <v>238</v>
      </c>
      <c r="L2" s="3" t="s">
        <v>239</v>
      </c>
      <c r="N2" s="99"/>
      <c r="O2" s="99"/>
      <c r="Q2" s="4"/>
      <c r="R2" s="4"/>
    </row>
    <row r="3" spans="2:19" s="100" customFormat="1" ht="18" customHeight="1" x14ac:dyDescent="0.15">
      <c r="B3" s="995" t="s">
        <v>20</v>
      </c>
      <c r="C3" s="996"/>
      <c r="D3" s="996"/>
      <c r="E3" s="997"/>
      <c r="F3" s="323" t="s">
        <v>21</v>
      </c>
      <c r="G3" s="103"/>
      <c r="H3" s="104" t="s">
        <v>22</v>
      </c>
      <c r="I3" s="102"/>
      <c r="J3" s="102"/>
      <c r="K3" s="1007" t="s">
        <v>436</v>
      </c>
      <c r="L3" s="1008"/>
      <c r="M3" s="1008"/>
      <c r="N3" s="1008"/>
      <c r="O3" s="1008"/>
      <c r="P3" s="1008"/>
      <c r="Q3" s="1008"/>
      <c r="R3" s="1008"/>
      <c r="S3" s="1009"/>
    </row>
    <row r="4" spans="2:19" s="100" customFormat="1" ht="18" customHeight="1" x14ac:dyDescent="0.15">
      <c r="B4" s="993" t="s">
        <v>23</v>
      </c>
      <c r="C4" s="994"/>
      <c r="D4" s="243" t="s">
        <v>203</v>
      </c>
      <c r="E4" s="195"/>
      <c r="F4" s="413">
        <f>+R11</f>
        <v>918000</v>
      </c>
      <c r="G4" s="554" t="s">
        <v>187</v>
      </c>
      <c r="H4" s="555"/>
      <c r="I4" s="555"/>
      <c r="J4" s="555"/>
      <c r="K4" s="188" t="s">
        <v>57</v>
      </c>
      <c r="L4" s="414" t="s">
        <v>437</v>
      </c>
      <c r="M4" s="415" t="s">
        <v>24</v>
      </c>
      <c r="N4" s="415" t="s">
        <v>23</v>
      </c>
      <c r="O4" s="415" t="s">
        <v>57</v>
      </c>
      <c r="P4" s="414" t="s">
        <v>437</v>
      </c>
      <c r="Q4" s="415" t="s">
        <v>24</v>
      </c>
      <c r="R4" s="1012" t="s">
        <v>23</v>
      </c>
      <c r="S4" s="1013"/>
    </row>
    <row r="5" spans="2:19" s="100" customFormat="1" ht="18" customHeight="1" x14ac:dyDescent="0.15">
      <c r="B5" s="993"/>
      <c r="C5" s="994"/>
      <c r="D5" s="243" t="s">
        <v>83</v>
      </c>
      <c r="E5" s="195"/>
      <c r="F5" s="413"/>
      <c r="G5" s="416"/>
      <c r="H5" s="556"/>
      <c r="I5" s="556"/>
      <c r="J5" s="556"/>
      <c r="K5" s="189" t="s">
        <v>462</v>
      </c>
      <c r="L5" s="413">
        <v>5100</v>
      </c>
      <c r="M5" s="413">
        <v>180</v>
      </c>
      <c r="N5" s="413">
        <f>L5*M5</f>
        <v>918000</v>
      </c>
      <c r="O5" s="413"/>
      <c r="P5" s="413"/>
      <c r="Q5" s="413"/>
      <c r="R5" s="1010">
        <f>P5*Q5</f>
        <v>0</v>
      </c>
      <c r="S5" s="1011"/>
    </row>
    <row r="6" spans="2:19" s="100" customFormat="1" ht="18" customHeight="1" x14ac:dyDescent="0.15">
      <c r="B6" s="1001" t="s">
        <v>208</v>
      </c>
      <c r="C6" s="998" t="s">
        <v>195</v>
      </c>
      <c r="D6" s="413" t="s">
        <v>63</v>
      </c>
      <c r="E6" s="191"/>
      <c r="F6" s="413">
        <f>P15</f>
        <v>20650</v>
      </c>
      <c r="G6" s="416" t="s">
        <v>665</v>
      </c>
      <c r="H6" s="556"/>
      <c r="I6" s="556"/>
      <c r="J6" s="556"/>
      <c r="K6" s="194"/>
      <c r="L6" s="192"/>
      <c r="M6" s="413"/>
      <c r="N6" s="413">
        <f>L6*M6</f>
        <v>0</v>
      </c>
      <c r="O6" s="413"/>
      <c r="P6" s="413"/>
      <c r="Q6" s="413"/>
      <c r="R6" s="1010">
        <f t="shared" ref="R6:R9" si="0">P6*Q6</f>
        <v>0</v>
      </c>
      <c r="S6" s="1011"/>
    </row>
    <row r="7" spans="2:19" s="100" customFormat="1" ht="18" customHeight="1" x14ac:dyDescent="0.15">
      <c r="B7" s="1002"/>
      <c r="C7" s="999"/>
      <c r="D7" s="413" t="s">
        <v>64</v>
      </c>
      <c r="E7" s="191"/>
      <c r="F7" s="413">
        <f>P22</f>
        <v>109114.15</v>
      </c>
      <c r="G7" s="554" t="s">
        <v>673</v>
      </c>
      <c r="H7" s="555"/>
      <c r="I7" s="555"/>
      <c r="J7" s="557"/>
      <c r="K7" s="193"/>
      <c r="L7" s="424"/>
      <c r="M7" s="413"/>
      <c r="N7" s="413">
        <f t="shared" ref="N7:N11" si="1">L7*M7</f>
        <v>0</v>
      </c>
      <c r="O7" s="413"/>
      <c r="P7" s="413"/>
      <c r="Q7" s="413"/>
      <c r="R7" s="1010">
        <f t="shared" si="0"/>
        <v>0</v>
      </c>
      <c r="S7" s="1011"/>
    </row>
    <row r="8" spans="2:19" s="100" customFormat="1" ht="18" customHeight="1" x14ac:dyDescent="0.15">
      <c r="B8" s="1002"/>
      <c r="C8" s="999"/>
      <c r="D8" s="413" t="s">
        <v>65</v>
      </c>
      <c r="E8" s="191"/>
      <c r="F8" s="413">
        <f>P28</f>
        <v>62757.266666666663</v>
      </c>
      <c r="G8" s="416" t="s">
        <v>667</v>
      </c>
      <c r="H8" s="556"/>
      <c r="I8" s="556"/>
      <c r="J8" s="558"/>
      <c r="K8" s="191"/>
      <c r="L8" s="413"/>
      <c r="M8" s="413"/>
      <c r="N8" s="413">
        <f t="shared" si="1"/>
        <v>0</v>
      </c>
      <c r="O8" s="413"/>
      <c r="P8" s="413"/>
      <c r="Q8" s="413"/>
      <c r="R8" s="1010">
        <f t="shared" si="0"/>
        <v>0</v>
      </c>
      <c r="S8" s="1011"/>
    </row>
    <row r="9" spans="2:19" s="100" customFormat="1" ht="18" customHeight="1" x14ac:dyDescent="0.15">
      <c r="B9" s="1002"/>
      <c r="C9" s="999"/>
      <c r="D9" s="413" t="s">
        <v>84</v>
      </c>
      <c r="E9" s="191"/>
      <c r="F9" s="413">
        <f>P37</f>
        <v>62078.488400000002</v>
      </c>
      <c r="G9" s="416" t="s">
        <v>668</v>
      </c>
      <c r="H9" s="556"/>
      <c r="I9" s="556"/>
      <c r="J9" s="558"/>
      <c r="K9" s="191"/>
      <c r="L9" s="413"/>
      <c r="M9" s="413"/>
      <c r="N9" s="413">
        <f t="shared" si="1"/>
        <v>0</v>
      </c>
      <c r="O9" s="413"/>
      <c r="P9" s="413"/>
      <c r="Q9" s="413"/>
      <c r="R9" s="1010">
        <f t="shared" si="0"/>
        <v>0</v>
      </c>
      <c r="S9" s="1011"/>
    </row>
    <row r="10" spans="2:19" s="100" customFormat="1" ht="18" customHeight="1" x14ac:dyDescent="0.15">
      <c r="B10" s="1002"/>
      <c r="C10" s="999"/>
      <c r="D10" s="413" t="s">
        <v>66</v>
      </c>
      <c r="E10" s="191"/>
      <c r="F10" s="413">
        <f>'８－２　水稲算出基礎（コシヒカリ） '!V21</f>
        <v>5806.666666666667</v>
      </c>
      <c r="G10" s="1035"/>
      <c r="H10" s="1036"/>
      <c r="I10" s="1036"/>
      <c r="J10" s="1037"/>
      <c r="K10" s="191"/>
      <c r="L10" s="413"/>
      <c r="M10" s="413"/>
      <c r="N10" s="413">
        <f t="shared" si="1"/>
        <v>0</v>
      </c>
      <c r="O10" s="413"/>
      <c r="P10" s="413"/>
      <c r="Q10" s="413"/>
      <c r="R10" s="1010"/>
      <c r="S10" s="1011"/>
    </row>
    <row r="11" spans="2:19" s="100" customFormat="1" ht="18" customHeight="1" thickBot="1" x14ac:dyDescent="0.2">
      <c r="B11" s="1002"/>
      <c r="C11" s="999"/>
      <c r="D11" s="413" t="s">
        <v>6</v>
      </c>
      <c r="E11" s="191"/>
      <c r="F11" s="413">
        <f>'８－２　水稲算出基礎（コシヒカリ） '!V34</f>
        <v>83.333333333333329</v>
      </c>
      <c r="G11" s="1035"/>
      <c r="H11" s="1036"/>
      <c r="I11" s="1036"/>
      <c r="J11" s="1037"/>
      <c r="K11" s="117"/>
      <c r="L11" s="106"/>
      <c r="M11" s="106"/>
      <c r="N11" s="417">
        <f t="shared" si="1"/>
        <v>0</v>
      </c>
      <c r="O11" s="107" t="s">
        <v>25</v>
      </c>
      <c r="P11" s="108">
        <f>SUM(L5:L11,P5:Q10)</f>
        <v>5100</v>
      </c>
      <c r="Q11" s="109">
        <f>R11/P11</f>
        <v>180</v>
      </c>
      <c r="R11" s="1017">
        <f>SUM(N5:N11,R5:S10)</f>
        <v>918000</v>
      </c>
      <c r="S11" s="1018"/>
    </row>
    <row r="12" spans="2:19" s="100" customFormat="1" ht="18" customHeight="1" thickTop="1" x14ac:dyDescent="0.15">
      <c r="B12" s="1002"/>
      <c r="C12" s="999"/>
      <c r="D12" s="413" t="s">
        <v>7</v>
      </c>
      <c r="E12" s="191"/>
      <c r="F12" s="413">
        <v>0</v>
      </c>
      <c r="G12" s="416"/>
      <c r="H12" s="556"/>
      <c r="I12" s="556"/>
      <c r="J12" s="558"/>
      <c r="K12" s="1040" t="s">
        <v>209</v>
      </c>
      <c r="L12" s="187" t="s">
        <v>158</v>
      </c>
      <c r="M12" s="322" t="s">
        <v>9</v>
      </c>
      <c r="N12" s="252" t="s">
        <v>440</v>
      </c>
      <c r="O12" s="321" t="s">
        <v>24</v>
      </c>
      <c r="P12" s="321" t="s">
        <v>27</v>
      </c>
      <c r="Q12" s="1019" t="s">
        <v>28</v>
      </c>
      <c r="R12" s="1020"/>
      <c r="S12" s="1021"/>
    </row>
    <row r="13" spans="2:19" s="100" customFormat="1" ht="18" customHeight="1" x14ac:dyDescent="0.15">
      <c r="B13" s="1002"/>
      <c r="C13" s="999"/>
      <c r="D13" s="990" t="s">
        <v>67</v>
      </c>
      <c r="E13" s="418" t="s">
        <v>183</v>
      </c>
      <c r="F13" s="419">
        <f>'６　固定資本装備と減価償却費'!L94*'７－１　水稲部門（こいもみじ）収支'!H13</f>
        <v>5038.875</v>
      </c>
      <c r="G13" s="416" t="s">
        <v>669</v>
      </c>
      <c r="H13" s="559">
        <v>0.01</v>
      </c>
      <c r="I13" s="1038" t="s">
        <v>191</v>
      </c>
      <c r="J13" s="1039"/>
      <c r="K13" s="1041"/>
      <c r="L13" s="420" t="s">
        <v>463</v>
      </c>
      <c r="M13" s="186" t="s">
        <v>442</v>
      </c>
      <c r="N13" s="421">
        <v>35</v>
      </c>
      <c r="O13" s="421">
        <v>590</v>
      </c>
      <c r="P13" s="421">
        <f>N13*O13</f>
        <v>20650</v>
      </c>
      <c r="Q13" s="1031" t="s">
        <v>236</v>
      </c>
      <c r="R13" s="1032"/>
      <c r="S13" s="1033"/>
    </row>
    <row r="14" spans="2:19" s="100" customFormat="1" ht="18" customHeight="1" x14ac:dyDescent="0.15">
      <c r="B14" s="1002"/>
      <c r="C14" s="999"/>
      <c r="D14" s="991"/>
      <c r="E14" s="418" t="s">
        <v>184</v>
      </c>
      <c r="F14" s="419">
        <f>'６　固定資本装備と減価償却費'!L95*'７－１　水稲部門（こいもみじ）収支'!H14</f>
        <v>83013.830150000009</v>
      </c>
      <c r="G14" s="416" t="s">
        <v>669</v>
      </c>
      <c r="H14" s="559">
        <v>0.05</v>
      </c>
      <c r="I14" s="1038" t="s">
        <v>191</v>
      </c>
      <c r="J14" s="1039"/>
      <c r="K14" s="1041"/>
      <c r="L14" s="420"/>
      <c r="M14" s="186" t="s">
        <v>442</v>
      </c>
      <c r="N14" s="421"/>
      <c r="O14" s="421"/>
      <c r="P14" s="421">
        <f>N14*O14</f>
        <v>0</v>
      </c>
      <c r="Q14" s="1031" t="s">
        <v>236</v>
      </c>
      <c r="R14" s="1032"/>
      <c r="S14" s="1033"/>
    </row>
    <row r="15" spans="2:19" s="100" customFormat="1" ht="18" customHeight="1" thickBot="1" x14ac:dyDescent="0.2">
      <c r="B15" s="1002"/>
      <c r="C15" s="999"/>
      <c r="D15" s="990" t="s">
        <v>85</v>
      </c>
      <c r="E15" s="418" t="s">
        <v>183</v>
      </c>
      <c r="F15" s="413">
        <f>'６　固定資本装備と減価償却費'!P94</f>
        <v>25440.75</v>
      </c>
      <c r="G15" s="416" t="s">
        <v>191</v>
      </c>
      <c r="H15" s="556"/>
      <c r="I15" s="556"/>
      <c r="J15" s="558"/>
      <c r="K15" s="1041"/>
      <c r="L15" s="112" t="s">
        <v>29</v>
      </c>
      <c r="M15" s="111"/>
      <c r="N15" s="112"/>
      <c r="O15" s="112"/>
      <c r="P15" s="112">
        <f>SUM(P13:P14)</f>
        <v>20650</v>
      </c>
      <c r="Q15" s="1004"/>
      <c r="R15" s="1005"/>
      <c r="S15" s="1006"/>
    </row>
    <row r="16" spans="2:19" s="100" customFormat="1" ht="18" customHeight="1" thickTop="1" x14ac:dyDescent="0.15">
      <c r="B16" s="1002"/>
      <c r="C16" s="999"/>
      <c r="D16" s="992"/>
      <c r="E16" s="418" t="s">
        <v>184</v>
      </c>
      <c r="F16" s="413">
        <f>'６　固定資本装備と減価償却費'!P95</f>
        <v>236542.08614285692</v>
      </c>
      <c r="G16" s="416" t="s">
        <v>191</v>
      </c>
      <c r="H16" s="556"/>
      <c r="I16" s="556"/>
      <c r="J16" s="558"/>
      <c r="K16" s="1041"/>
      <c r="L16" s="182" t="s">
        <v>443</v>
      </c>
      <c r="M16" s="183"/>
      <c r="N16" s="251" t="s">
        <v>440</v>
      </c>
      <c r="O16" s="320" t="s">
        <v>24</v>
      </c>
      <c r="P16" s="184" t="s">
        <v>27</v>
      </c>
      <c r="Q16" s="1014" t="s">
        <v>28</v>
      </c>
      <c r="R16" s="1015"/>
      <c r="S16" s="1016"/>
    </row>
    <row r="17" spans="1:19" s="100" customFormat="1" ht="18" customHeight="1" x14ac:dyDescent="0.15">
      <c r="B17" s="1002"/>
      <c r="C17" s="999"/>
      <c r="D17" s="991"/>
      <c r="E17" s="413" t="s">
        <v>68</v>
      </c>
      <c r="F17" s="413">
        <f>'６（参考）水稲資本装備'!P56</f>
        <v>0</v>
      </c>
      <c r="G17" s="416" t="s">
        <v>191</v>
      </c>
      <c r="H17" s="556"/>
      <c r="I17" s="556"/>
      <c r="J17" s="558"/>
      <c r="K17" s="1041"/>
      <c r="L17" s="243" t="s">
        <v>165</v>
      </c>
      <c r="M17" s="186"/>
      <c r="N17" s="416" t="s">
        <v>292</v>
      </c>
      <c r="O17" s="422"/>
      <c r="P17" s="423">
        <f>'８－２　水稲算出基礎（コシヒカリ） '!G7</f>
        <v>0</v>
      </c>
      <c r="Q17" s="1022"/>
      <c r="R17" s="1023"/>
      <c r="S17" s="1024"/>
    </row>
    <row r="18" spans="1:19" s="100" customFormat="1" ht="18" customHeight="1" x14ac:dyDescent="0.15">
      <c r="A18" s="99"/>
      <c r="B18" s="1002"/>
      <c r="C18" s="999"/>
      <c r="D18" s="981" t="s">
        <v>247</v>
      </c>
      <c r="E18" s="424" t="s">
        <v>115</v>
      </c>
      <c r="F18" s="413"/>
      <c r="G18" s="416"/>
      <c r="H18" s="556"/>
      <c r="I18" s="556"/>
      <c r="J18" s="558"/>
      <c r="K18" s="1041"/>
      <c r="L18" s="243" t="s">
        <v>163</v>
      </c>
      <c r="M18" s="186"/>
      <c r="N18" s="416" t="s">
        <v>444</v>
      </c>
      <c r="O18" s="422"/>
      <c r="P18" s="423">
        <f>'８－２　水稲算出基礎（コシヒカリ） '!G11</f>
        <v>38400</v>
      </c>
      <c r="Q18" s="1022"/>
      <c r="R18" s="1023"/>
      <c r="S18" s="1024"/>
    </row>
    <row r="19" spans="1:19" s="100" customFormat="1" ht="18" customHeight="1" x14ac:dyDescent="0.15">
      <c r="A19" s="99"/>
      <c r="B19" s="1002"/>
      <c r="C19" s="999"/>
      <c r="D19" s="981"/>
      <c r="E19" s="424" t="s">
        <v>111</v>
      </c>
      <c r="F19" s="413">
        <f>J19*'５－２　水稲（コシヒカリ）作業時間'!AO34</f>
        <v>37290.000000000007</v>
      </c>
      <c r="G19" s="416"/>
      <c r="H19" s="556"/>
      <c r="I19" s="560" t="s">
        <v>670</v>
      </c>
      <c r="J19" s="561">
        <v>1100</v>
      </c>
      <c r="K19" s="1041"/>
      <c r="L19" s="416" t="s">
        <v>164</v>
      </c>
      <c r="M19" s="176"/>
      <c r="N19" s="416" t="s">
        <v>444</v>
      </c>
      <c r="O19" s="422"/>
      <c r="P19" s="423">
        <f>'８－２　水稲算出基礎（コシヒカリ） '!G16</f>
        <v>56350</v>
      </c>
      <c r="Q19" s="1022"/>
      <c r="R19" s="1023"/>
      <c r="S19" s="1024"/>
    </row>
    <row r="20" spans="1:19" s="100" customFormat="1" ht="18" customHeight="1" x14ac:dyDescent="0.15">
      <c r="A20" s="99"/>
      <c r="B20" s="1002"/>
      <c r="C20" s="999"/>
      <c r="D20" s="981"/>
      <c r="E20" s="424" t="s">
        <v>112</v>
      </c>
      <c r="F20" s="413">
        <f>J20*'５－２　水稲（コシヒカリ）作業時間'!AP34</f>
        <v>55800</v>
      </c>
      <c r="G20" s="416"/>
      <c r="H20" s="556"/>
      <c r="I20" s="560" t="s">
        <v>674</v>
      </c>
      <c r="J20" s="561">
        <v>900</v>
      </c>
      <c r="K20" s="1041"/>
      <c r="L20" s="416"/>
      <c r="M20" s="176"/>
      <c r="N20" s="416"/>
      <c r="O20" s="422"/>
      <c r="P20" s="423">
        <f>'８－２　水稲算出基礎（コシヒカリ） '!G20</f>
        <v>0</v>
      </c>
      <c r="Q20" s="1022"/>
      <c r="R20" s="1023"/>
      <c r="S20" s="1024"/>
    </row>
    <row r="21" spans="1:19" s="100" customFormat="1" ht="18" customHeight="1" x14ac:dyDescent="0.15">
      <c r="A21" s="99"/>
      <c r="B21" s="1002"/>
      <c r="C21" s="999"/>
      <c r="D21" s="981"/>
      <c r="E21" s="424" t="s">
        <v>113</v>
      </c>
      <c r="F21" s="413">
        <f>(F19+F20)*0.012</f>
        <v>1117.08</v>
      </c>
      <c r="G21" s="416"/>
      <c r="H21" s="556"/>
      <c r="I21" s="556"/>
      <c r="J21" s="558"/>
      <c r="K21" s="1041"/>
      <c r="L21" s="416" t="s">
        <v>167</v>
      </c>
      <c r="M21" s="176"/>
      <c r="N21" s="416" t="s">
        <v>292</v>
      </c>
      <c r="O21" s="423"/>
      <c r="P21" s="423">
        <f>'８－２　水稲算出基礎（コシヒカリ） '!G24</f>
        <v>14364.15</v>
      </c>
      <c r="Q21" s="1022"/>
      <c r="R21" s="1023"/>
      <c r="S21" s="1024"/>
    </row>
    <row r="22" spans="1:19" s="100" customFormat="1" ht="18" customHeight="1" thickBot="1" x14ac:dyDescent="0.2">
      <c r="A22" s="99"/>
      <c r="B22" s="1002"/>
      <c r="C22" s="999"/>
      <c r="D22" s="981" t="s">
        <v>69</v>
      </c>
      <c r="E22" s="424" t="s">
        <v>70</v>
      </c>
      <c r="F22" s="413">
        <f t="shared" ref="F22:F23" si="2">I22*10</f>
        <v>20000</v>
      </c>
      <c r="G22" s="416"/>
      <c r="H22" s="556"/>
      <c r="I22" s="556">
        <v>2000</v>
      </c>
      <c r="J22" s="558" t="s">
        <v>299</v>
      </c>
      <c r="K22" s="1041"/>
      <c r="L22" s="112" t="s">
        <v>29</v>
      </c>
      <c r="M22" s="111"/>
      <c r="N22" s="112"/>
      <c r="O22" s="112"/>
      <c r="P22" s="112">
        <f>SUM(P17:P21)</f>
        <v>109114.15</v>
      </c>
      <c r="Q22" s="1004"/>
      <c r="R22" s="1005"/>
      <c r="S22" s="1006"/>
    </row>
    <row r="23" spans="1:19" s="100" customFormat="1" ht="18" customHeight="1" thickTop="1" x14ac:dyDescent="0.15">
      <c r="A23" s="99"/>
      <c r="B23" s="1002"/>
      <c r="C23" s="999"/>
      <c r="D23" s="981"/>
      <c r="E23" s="424" t="s">
        <v>86</v>
      </c>
      <c r="F23" s="413">
        <f t="shared" si="2"/>
        <v>50000</v>
      </c>
      <c r="G23" s="416"/>
      <c r="H23" s="556"/>
      <c r="I23" s="556">
        <v>5000</v>
      </c>
      <c r="J23" s="558" t="s">
        <v>299</v>
      </c>
      <c r="K23" s="1041"/>
      <c r="L23" s="416" t="s">
        <v>447</v>
      </c>
      <c r="M23" s="176"/>
      <c r="N23" s="425" t="s">
        <v>26</v>
      </c>
      <c r="O23" s="425" t="s">
        <v>24</v>
      </c>
      <c r="P23" s="425" t="s">
        <v>27</v>
      </c>
      <c r="Q23" s="1014" t="s">
        <v>28</v>
      </c>
      <c r="R23" s="1015"/>
      <c r="S23" s="1016"/>
    </row>
    <row r="24" spans="1:19" s="100" customFormat="1" ht="18" customHeight="1" x14ac:dyDescent="0.15">
      <c r="A24" s="99"/>
      <c r="B24" s="1002"/>
      <c r="C24" s="999"/>
      <c r="D24" s="413" t="s">
        <v>71</v>
      </c>
      <c r="E24" s="191"/>
      <c r="F24" s="413">
        <f>I24*10</f>
        <v>30000</v>
      </c>
      <c r="G24" s="416"/>
      <c r="H24" s="556"/>
      <c r="I24" s="562">
        <v>3000</v>
      </c>
      <c r="J24" s="558" t="s">
        <v>299</v>
      </c>
      <c r="K24" s="1041"/>
      <c r="L24" s="423" t="s">
        <v>30</v>
      </c>
      <c r="M24" s="176"/>
      <c r="N24" s="416" t="s">
        <v>448</v>
      </c>
      <c r="O24" s="423"/>
      <c r="P24" s="423">
        <f>'８－２　水稲算出基礎（コシヒカリ） '!G38</f>
        <v>5512.1</v>
      </c>
      <c r="Q24" s="1022"/>
      <c r="R24" s="1023"/>
      <c r="S24" s="1024"/>
    </row>
    <row r="25" spans="1:19" s="100" customFormat="1" ht="18" customHeight="1" x14ac:dyDescent="0.15">
      <c r="A25" s="99"/>
      <c r="B25" s="1002"/>
      <c r="C25" s="999"/>
      <c r="D25" s="413" t="s">
        <v>162</v>
      </c>
      <c r="E25" s="191"/>
      <c r="F25" s="413">
        <f>SUM(F6:F24)/99</f>
        <v>8128.6113773689249</v>
      </c>
      <c r="G25" s="427" t="s">
        <v>212</v>
      </c>
      <c r="H25" s="563">
        <v>0.01</v>
      </c>
      <c r="I25" s="555"/>
      <c r="J25" s="564"/>
      <c r="K25" s="1041"/>
      <c r="L25" s="423" t="s">
        <v>31</v>
      </c>
      <c r="M25" s="176"/>
      <c r="N25" s="416" t="s">
        <v>449</v>
      </c>
      <c r="O25" s="423"/>
      <c r="P25" s="423">
        <f>'８－２　水稲算出基礎（コシヒカリ） '!G49</f>
        <v>4975</v>
      </c>
      <c r="Q25" s="1022"/>
      <c r="R25" s="1023"/>
      <c r="S25" s="1024"/>
    </row>
    <row r="26" spans="1:19" s="100" customFormat="1" ht="18" customHeight="1" x14ac:dyDescent="0.15">
      <c r="A26" s="99"/>
      <c r="B26" s="1002"/>
      <c r="C26" s="1000"/>
      <c r="D26" s="988" t="s">
        <v>450</v>
      </c>
      <c r="E26" s="989"/>
      <c r="F26" s="428">
        <f>SUM(F6:F25)</f>
        <v>812861.13773689244</v>
      </c>
      <c r="G26" s="429"/>
      <c r="H26" s="555"/>
      <c r="I26" s="555"/>
      <c r="J26" s="557"/>
      <c r="K26" s="1041"/>
      <c r="L26" s="423" t="s">
        <v>32</v>
      </c>
      <c r="M26" s="176"/>
      <c r="N26" s="416" t="s">
        <v>292</v>
      </c>
      <c r="O26" s="423"/>
      <c r="P26" s="423">
        <f>'８－２　水稲算出基礎（コシヒカリ） '!G53</f>
        <v>24330</v>
      </c>
      <c r="Q26" s="1022"/>
      <c r="R26" s="1023"/>
      <c r="S26" s="1024"/>
    </row>
    <row r="27" spans="1:19" s="100" customFormat="1" ht="18" customHeight="1" x14ac:dyDescent="0.15">
      <c r="A27" s="99"/>
      <c r="B27" s="1002"/>
      <c r="C27" s="982" t="s">
        <v>190</v>
      </c>
      <c r="D27" s="882" t="s">
        <v>72</v>
      </c>
      <c r="E27" s="24" t="s">
        <v>3</v>
      </c>
      <c r="F27" s="417">
        <f>P11/30*J27</f>
        <v>13600</v>
      </c>
      <c r="G27" s="554"/>
      <c r="H27" s="556"/>
      <c r="I27" s="110" t="s">
        <v>303</v>
      </c>
      <c r="J27" s="565">
        <v>80</v>
      </c>
      <c r="K27" s="1041"/>
      <c r="L27" s="423" t="s">
        <v>293</v>
      </c>
      <c r="M27" s="176"/>
      <c r="N27" s="416" t="s">
        <v>449</v>
      </c>
      <c r="O27" s="423"/>
      <c r="P27" s="423">
        <f>'８－２　水稲算出基礎（コシヒカリ） '!G57</f>
        <v>27940.166666666664</v>
      </c>
      <c r="Q27" s="1022"/>
      <c r="R27" s="1023"/>
      <c r="S27" s="1024"/>
    </row>
    <row r="28" spans="1:19" s="100" customFormat="1" ht="18" customHeight="1" thickBot="1" x14ac:dyDescent="0.2">
      <c r="A28" s="99"/>
      <c r="B28" s="1002"/>
      <c r="C28" s="983"/>
      <c r="D28" s="885"/>
      <c r="E28" s="24" t="s">
        <v>4</v>
      </c>
      <c r="F28" s="430"/>
      <c r="G28" s="554"/>
      <c r="H28" s="566"/>
      <c r="I28" s="566"/>
      <c r="J28" s="567"/>
      <c r="K28" s="1041"/>
      <c r="L28" s="112" t="s">
        <v>29</v>
      </c>
      <c r="M28" s="111"/>
      <c r="N28" s="112"/>
      <c r="O28" s="112"/>
      <c r="P28" s="112">
        <f>SUM(P24:P27)</f>
        <v>62757.266666666663</v>
      </c>
      <c r="Q28" s="1004"/>
      <c r="R28" s="1005"/>
      <c r="S28" s="1006"/>
    </row>
    <row r="29" spans="1:19" s="100" customFormat="1" ht="18" customHeight="1" thickTop="1" x14ac:dyDescent="0.15">
      <c r="A29" s="99"/>
      <c r="B29" s="1002"/>
      <c r="C29" s="983"/>
      <c r="D29" s="985"/>
      <c r="E29" s="24" t="s">
        <v>8</v>
      </c>
      <c r="F29" s="417">
        <f>P11/30*J29</f>
        <v>21250</v>
      </c>
      <c r="G29" s="554"/>
      <c r="H29" s="555"/>
      <c r="I29" s="566" t="s">
        <v>304</v>
      </c>
      <c r="J29" s="568">
        <v>125</v>
      </c>
      <c r="K29" s="1041"/>
      <c r="L29" s="416" t="s">
        <v>451</v>
      </c>
      <c r="M29" s="176"/>
      <c r="N29" s="425" t="s">
        <v>26</v>
      </c>
      <c r="O29" s="425" t="s">
        <v>24</v>
      </c>
      <c r="P29" s="425" t="s">
        <v>27</v>
      </c>
      <c r="Q29" s="1014" t="s">
        <v>28</v>
      </c>
      <c r="R29" s="1015"/>
      <c r="S29" s="1016"/>
    </row>
    <row r="30" spans="1:19" s="100" customFormat="1" ht="18" customHeight="1" x14ac:dyDescent="0.15">
      <c r="A30" s="99"/>
      <c r="B30" s="1002"/>
      <c r="C30" s="983"/>
      <c r="D30" s="24" t="s">
        <v>73</v>
      </c>
      <c r="E30" s="25"/>
      <c r="F30" s="417"/>
      <c r="G30" s="554"/>
      <c r="H30" s="555"/>
      <c r="I30" s="566"/>
      <c r="J30" s="569"/>
      <c r="K30" s="1041"/>
      <c r="L30" s="423" t="s">
        <v>452</v>
      </c>
      <c r="M30" s="179"/>
      <c r="N30" s="416" t="s">
        <v>295</v>
      </c>
      <c r="O30" s="422"/>
      <c r="P30" s="423">
        <f>'８－２　水稲算出基礎（コシヒカリ） '!N12</f>
        <v>28089.600000000002</v>
      </c>
      <c r="Q30" s="1028"/>
      <c r="R30" s="1029"/>
      <c r="S30" s="1030"/>
    </row>
    <row r="31" spans="1:19" s="100" customFormat="1" ht="18" customHeight="1" x14ac:dyDescent="0.15">
      <c r="A31" s="99"/>
      <c r="B31" s="1002"/>
      <c r="C31" s="983"/>
      <c r="D31" s="895" t="s">
        <v>248</v>
      </c>
      <c r="E31" s="319" t="s">
        <v>115</v>
      </c>
      <c r="F31" s="430"/>
      <c r="G31" s="554"/>
      <c r="H31" s="570"/>
      <c r="I31" s="570"/>
      <c r="J31" s="571"/>
      <c r="K31" s="1041"/>
      <c r="L31" s="423" t="s">
        <v>453</v>
      </c>
      <c r="M31" s="179"/>
      <c r="N31" s="416" t="s">
        <v>296</v>
      </c>
      <c r="O31" s="422"/>
      <c r="P31" s="423">
        <f>'８－２　水稲算出基礎（コシヒカリ） '!N16</f>
        <v>2466.9479999999999</v>
      </c>
      <c r="Q31" s="1028"/>
      <c r="R31" s="1029"/>
      <c r="S31" s="1030"/>
    </row>
    <row r="32" spans="1:19" s="100" customFormat="1" ht="18" customHeight="1" x14ac:dyDescent="0.15">
      <c r="A32" s="99"/>
      <c r="B32" s="1002"/>
      <c r="C32" s="983"/>
      <c r="D32" s="895"/>
      <c r="E32" s="319" t="s">
        <v>454</v>
      </c>
      <c r="F32" s="430"/>
      <c r="G32" s="554"/>
      <c r="H32" s="572"/>
      <c r="I32" s="572"/>
      <c r="J32" s="573"/>
      <c r="K32" s="1041"/>
      <c r="L32" s="423" t="s">
        <v>455</v>
      </c>
      <c r="M32" s="176"/>
      <c r="N32" s="422"/>
      <c r="O32" s="422"/>
      <c r="P32" s="423">
        <f>SUM(P30:P31)*R32</f>
        <v>9166.9644000000008</v>
      </c>
      <c r="Q32" s="433" t="s">
        <v>456</v>
      </c>
      <c r="R32" s="434">
        <v>0.3</v>
      </c>
      <c r="S32" s="435"/>
    </row>
    <row r="33" spans="1:23" ht="18" customHeight="1" x14ac:dyDescent="0.15">
      <c r="B33" s="1002"/>
      <c r="C33" s="983"/>
      <c r="D33" s="24" t="s">
        <v>74</v>
      </c>
      <c r="E33" s="33"/>
      <c r="F33" s="430"/>
      <c r="G33" s="554"/>
      <c r="H33" s="574"/>
      <c r="I33" s="560"/>
      <c r="J33" s="569"/>
      <c r="K33" s="1041"/>
      <c r="L33" s="423" t="s">
        <v>457</v>
      </c>
      <c r="M33" s="179"/>
      <c r="N33" s="416"/>
      <c r="O33" s="422"/>
      <c r="P33" s="423">
        <f>'８－２　水稲算出基礎（コシヒカリ） '!N20</f>
        <v>0</v>
      </c>
      <c r="Q33" s="1022"/>
      <c r="R33" s="1023"/>
      <c r="S33" s="1024"/>
    </row>
    <row r="34" spans="1:23" ht="18" customHeight="1" x14ac:dyDescent="0.15">
      <c r="B34" s="1002"/>
      <c r="C34" s="983"/>
      <c r="D34" s="24" t="s">
        <v>87</v>
      </c>
      <c r="E34" s="33"/>
      <c r="F34" s="430"/>
      <c r="G34" s="554"/>
      <c r="H34" s="575"/>
      <c r="I34" s="576"/>
      <c r="J34" s="577"/>
      <c r="K34" s="1041"/>
      <c r="L34" s="423" t="s">
        <v>458</v>
      </c>
      <c r="M34" s="179"/>
      <c r="N34" s="416" t="s">
        <v>296</v>
      </c>
      <c r="O34" s="422"/>
      <c r="P34" s="423">
        <f>'８－２　水稲算出基礎（コシヒカリ） '!N24</f>
        <v>18543.755999999998</v>
      </c>
      <c r="Q34" s="1022"/>
      <c r="R34" s="1023"/>
      <c r="S34" s="1024"/>
    </row>
    <row r="35" spans="1:23" ht="18" customHeight="1" x14ac:dyDescent="0.15">
      <c r="B35" s="1002"/>
      <c r="C35" s="983"/>
      <c r="D35" s="24" t="s">
        <v>118</v>
      </c>
      <c r="E35" s="25"/>
      <c r="F35" s="430">
        <f>'８－２　水稲算出基礎（コシヒカリ） '!V57</f>
        <v>8425</v>
      </c>
      <c r="G35" s="554"/>
      <c r="H35" s="578"/>
      <c r="I35" s="578"/>
      <c r="J35" s="579"/>
      <c r="K35" s="1041"/>
      <c r="L35" s="423" t="s">
        <v>246</v>
      </c>
      <c r="M35" s="179"/>
      <c r="N35" s="416"/>
      <c r="O35" s="422"/>
      <c r="P35" s="423">
        <f>'８－２　水稲算出基礎（コシヒカリ） '!N28</f>
        <v>0</v>
      </c>
      <c r="Q35" s="1022"/>
      <c r="R35" s="1023"/>
      <c r="S35" s="1024"/>
    </row>
    <row r="36" spans="1:23" ht="18" customHeight="1" x14ac:dyDescent="0.15">
      <c r="B36" s="1002"/>
      <c r="C36" s="983"/>
      <c r="D36" s="41" t="s">
        <v>88</v>
      </c>
      <c r="E36" s="42"/>
      <c r="F36" s="436"/>
      <c r="G36" s="416"/>
      <c r="H36" s="575"/>
      <c r="I36" s="576"/>
      <c r="J36" s="569"/>
      <c r="K36" s="1041"/>
      <c r="L36" s="423" t="s">
        <v>459</v>
      </c>
      <c r="M36" s="176"/>
      <c r="N36" s="416" t="s">
        <v>297</v>
      </c>
      <c r="O36" s="422"/>
      <c r="P36" s="423">
        <f>'８－２　水稲算出基礎（コシヒカリ） '!N32</f>
        <v>3811.2200000000003</v>
      </c>
      <c r="Q36" s="1022"/>
      <c r="R36" s="1023"/>
      <c r="S36" s="1024"/>
    </row>
    <row r="37" spans="1:23" ht="18" customHeight="1" thickBot="1" x14ac:dyDescent="0.2">
      <c r="B37" s="1002"/>
      <c r="C37" s="983"/>
      <c r="D37" s="24" t="s">
        <v>75</v>
      </c>
      <c r="E37" s="25"/>
      <c r="F37" s="430">
        <f>'８－２　水稲算出基礎（コシヒカリ） '!N57</f>
        <v>5287.6875</v>
      </c>
      <c r="G37" s="554"/>
      <c r="H37" s="578"/>
      <c r="I37" s="578"/>
      <c r="J37" s="579"/>
      <c r="K37" s="1042"/>
      <c r="L37" s="120" t="s">
        <v>29</v>
      </c>
      <c r="M37" s="119"/>
      <c r="N37" s="120"/>
      <c r="O37" s="120"/>
      <c r="P37" s="120">
        <f>SUM(P30:P36)</f>
        <v>62078.488400000002</v>
      </c>
      <c r="Q37" s="1025"/>
      <c r="R37" s="1026"/>
      <c r="S37" s="1027"/>
    </row>
    <row r="38" spans="1:23" s="114" customFormat="1" ht="18" customHeight="1" x14ac:dyDescent="0.15">
      <c r="A38" s="99"/>
      <c r="B38" s="1002"/>
      <c r="C38" s="983"/>
      <c r="D38" s="24" t="s">
        <v>0</v>
      </c>
      <c r="E38" s="33"/>
      <c r="F38" s="430"/>
      <c r="G38" s="580"/>
      <c r="H38" s="586"/>
      <c r="I38" s="587"/>
      <c r="J38" s="588"/>
    </row>
    <row r="39" spans="1:23" s="114" customFormat="1" ht="18" customHeight="1" thickBot="1" x14ac:dyDescent="0.2">
      <c r="A39" s="99"/>
      <c r="B39" s="1003"/>
      <c r="C39" s="984"/>
      <c r="D39" s="986" t="s">
        <v>201</v>
      </c>
      <c r="E39" s="987"/>
      <c r="F39" s="163">
        <f>SUM(F27:F38)</f>
        <v>48562.6875</v>
      </c>
      <c r="G39" s="164"/>
      <c r="H39" s="165"/>
      <c r="I39" s="166"/>
      <c r="J39" s="589"/>
      <c r="T39" s="115"/>
    </row>
    <row r="40" spans="1:23" s="114" customFormat="1" ht="18" customHeight="1" x14ac:dyDescent="0.15">
      <c r="A40" s="99"/>
      <c r="B40" s="970" t="s">
        <v>205</v>
      </c>
      <c r="C40" s="973" t="s">
        <v>77</v>
      </c>
      <c r="D40" s="159" t="s">
        <v>117</v>
      </c>
      <c r="E40" s="437"/>
      <c r="F40" s="438">
        <f>J40*10</f>
        <v>75000</v>
      </c>
      <c r="G40" s="416"/>
      <c r="H40" s="1034" t="s">
        <v>672</v>
      </c>
      <c r="I40" s="1034"/>
      <c r="J40" s="440">
        <v>7500</v>
      </c>
      <c r="T40" s="100"/>
      <c r="U40" s="100"/>
      <c r="V40" s="100"/>
      <c r="W40" s="100"/>
    </row>
    <row r="41" spans="1:23" s="114" customFormat="1" ht="18" customHeight="1" x14ac:dyDescent="0.15">
      <c r="A41" s="99"/>
      <c r="B41" s="971"/>
      <c r="C41" s="974"/>
      <c r="D41" s="24" t="s">
        <v>116</v>
      </c>
      <c r="E41" s="25"/>
      <c r="F41" s="153"/>
      <c r="G41" s="416"/>
      <c r="H41" s="121"/>
      <c r="I41" s="121"/>
      <c r="J41" s="174"/>
      <c r="T41" s="116"/>
      <c r="U41" s="117"/>
      <c r="V41" s="118"/>
      <c r="W41" s="116"/>
    </row>
    <row r="42" spans="1:23" s="114" customFormat="1" ht="18" customHeight="1" x14ac:dyDescent="0.15">
      <c r="A42" s="99"/>
      <c r="B42" s="971"/>
      <c r="C42" s="975"/>
      <c r="D42" s="41" t="s">
        <v>76</v>
      </c>
      <c r="E42" s="25"/>
      <c r="F42" s="154"/>
      <c r="G42" s="416"/>
      <c r="H42" s="121"/>
      <c r="I42" s="121"/>
      <c r="J42" s="174"/>
      <c r="T42" s="100"/>
      <c r="U42" s="100"/>
      <c r="V42" s="100"/>
      <c r="W42" s="100"/>
    </row>
    <row r="43" spans="1:23" s="114" customFormat="1" ht="18" customHeight="1" x14ac:dyDescent="0.15">
      <c r="B43" s="971"/>
      <c r="C43" s="976" t="s">
        <v>460</v>
      </c>
      <c r="D43" s="41" t="s">
        <v>249</v>
      </c>
      <c r="E43" s="42"/>
      <c r="F43" s="154"/>
      <c r="G43" s="416"/>
      <c r="H43" s="121"/>
      <c r="I43" s="121"/>
      <c r="J43" s="174"/>
      <c r="T43" s="101"/>
      <c r="U43" s="115"/>
      <c r="V43" s="100"/>
      <c r="W43" s="116"/>
    </row>
    <row r="44" spans="1:23" s="114" customFormat="1" ht="18" customHeight="1" x14ac:dyDescent="0.15">
      <c r="B44" s="971"/>
      <c r="C44" s="977"/>
      <c r="D44" s="441" t="s">
        <v>1</v>
      </c>
      <c r="E44" s="442"/>
      <c r="F44" s="154"/>
      <c r="G44" s="416"/>
      <c r="H44" s="121"/>
      <c r="I44" s="121"/>
      <c r="J44" s="174"/>
      <c r="T44" s="101"/>
      <c r="U44" s="115"/>
      <c r="V44" s="100"/>
      <c r="W44" s="116"/>
    </row>
    <row r="45" spans="1:23" s="114" customFormat="1" ht="18" customHeight="1" thickBot="1" x14ac:dyDescent="0.2">
      <c r="B45" s="972"/>
      <c r="C45" s="978" t="s">
        <v>90</v>
      </c>
      <c r="D45" s="979"/>
      <c r="E45" s="980"/>
      <c r="F45" s="155">
        <f>SUM(F40:F42)-SUM(F43:F44)</f>
        <v>75000</v>
      </c>
      <c r="G45" s="585"/>
      <c r="H45" s="123"/>
      <c r="I45" s="123"/>
      <c r="J45" s="175"/>
      <c r="T45" s="100"/>
      <c r="U45" s="100"/>
      <c r="V45" s="117"/>
      <c r="W45" s="100"/>
    </row>
  </sheetData>
  <mergeCells count="57"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D15:D17"/>
    <mergeCell ref="Q15:S15"/>
    <mergeCell ref="Q16:S16"/>
    <mergeCell ref="Q17:S17"/>
    <mergeCell ref="K12:K37"/>
    <mergeCell ref="Q12:S12"/>
    <mergeCell ref="Q24:S24"/>
    <mergeCell ref="Q25:S25"/>
    <mergeCell ref="D13:D14"/>
    <mergeCell ref="I13:J13"/>
    <mergeCell ref="Q13:S13"/>
    <mergeCell ref="I14:J14"/>
    <mergeCell ref="Q14:S14"/>
    <mergeCell ref="Q34:S34"/>
    <mergeCell ref="Q35:S35"/>
    <mergeCell ref="D18:D21"/>
    <mergeCell ref="Q18:S18"/>
    <mergeCell ref="Q19:S19"/>
    <mergeCell ref="Q20:S20"/>
    <mergeCell ref="Q21:S21"/>
    <mergeCell ref="D22:D23"/>
    <mergeCell ref="Q22:S22"/>
    <mergeCell ref="Q23:S23"/>
    <mergeCell ref="D26:E26"/>
    <mergeCell ref="B6:B39"/>
    <mergeCell ref="Q26:S26"/>
    <mergeCell ref="C27:C39"/>
    <mergeCell ref="D27:D29"/>
    <mergeCell ref="Q27:S27"/>
    <mergeCell ref="Q28:S28"/>
    <mergeCell ref="Q29:S29"/>
    <mergeCell ref="Q30:S30"/>
    <mergeCell ref="D31:D32"/>
    <mergeCell ref="Q31:S31"/>
    <mergeCell ref="Q33:S33"/>
    <mergeCell ref="C6:C26"/>
    <mergeCell ref="R6:S6"/>
    <mergeCell ref="R7:S7"/>
    <mergeCell ref="R8:S8"/>
    <mergeCell ref="Q36:S36"/>
    <mergeCell ref="Q37:S37"/>
    <mergeCell ref="D39:E39"/>
    <mergeCell ref="B40:B45"/>
    <mergeCell ref="C40:C42"/>
    <mergeCell ref="C43:C44"/>
    <mergeCell ref="C45:E45"/>
    <mergeCell ref="H40:I40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3" tint="0.79998168889431442"/>
    <pageSetUpPr fitToPage="1"/>
  </sheetPr>
  <dimension ref="A1:W45"/>
  <sheetViews>
    <sheetView zoomScale="75" zoomScaleNormal="75" workbookViewId="0">
      <selection activeCell="J22" sqref="J22"/>
    </sheetView>
  </sheetViews>
  <sheetFormatPr defaultColWidth="10.875" defaultRowHeight="13.5" x14ac:dyDescent="0.15"/>
  <cols>
    <col min="1" max="1" width="1.625" style="99" customWidth="1"/>
    <col min="2" max="2" width="5.875" style="99" customWidth="1"/>
    <col min="3" max="3" width="10.625" style="99" customWidth="1"/>
    <col min="4" max="4" width="12.375" style="99" customWidth="1"/>
    <col min="5" max="5" width="14.625" style="99" customWidth="1"/>
    <col min="6" max="7" width="15.875" style="99" customWidth="1"/>
    <col min="8" max="8" width="10.875" style="99"/>
    <col min="9" max="9" width="11.375" style="99" bestFit="1" customWidth="1"/>
    <col min="10" max="10" width="13.375" style="99" customWidth="1"/>
    <col min="11" max="11" width="7.125" style="99" customWidth="1"/>
    <col min="12" max="12" width="15.375" style="99" customWidth="1"/>
    <col min="13" max="13" width="9.375" style="99" bestFit="1" customWidth="1"/>
    <col min="14" max="14" width="10.875" style="99"/>
    <col min="15" max="15" width="7.25" style="99" customWidth="1"/>
    <col min="16" max="16" width="9.625" style="99" customWidth="1"/>
    <col min="17" max="17" width="10.875" style="99" customWidth="1"/>
    <col min="18" max="18" width="7.5" style="99" customWidth="1"/>
    <col min="19" max="19" width="3.75" style="99" customWidth="1"/>
    <col min="20" max="16384" width="10.875" style="99"/>
  </cols>
  <sheetData>
    <row r="1" spans="2:19" s="100" customFormat="1" ht="9.9499999999999993" customHeight="1" x14ac:dyDescent="0.1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2:19" s="100" customFormat="1" ht="24.95" customHeight="1" thickBot="1" x14ac:dyDescent="0.2">
      <c r="B2" s="3" t="s">
        <v>464</v>
      </c>
      <c r="H2" s="101" t="s">
        <v>237</v>
      </c>
      <c r="I2" s="3" t="s">
        <v>393</v>
      </c>
      <c r="K2" s="101" t="s">
        <v>238</v>
      </c>
      <c r="L2" s="3" t="s">
        <v>239</v>
      </c>
      <c r="N2" s="99"/>
      <c r="O2" s="99"/>
      <c r="Q2" s="4"/>
      <c r="R2" s="4"/>
    </row>
    <row r="3" spans="2:19" s="100" customFormat="1" ht="18" customHeight="1" x14ac:dyDescent="0.15">
      <c r="B3" s="995" t="s">
        <v>20</v>
      </c>
      <c r="C3" s="996"/>
      <c r="D3" s="996"/>
      <c r="E3" s="997"/>
      <c r="F3" s="323" t="s">
        <v>21</v>
      </c>
      <c r="G3" s="103"/>
      <c r="H3" s="104" t="s">
        <v>22</v>
      </c>
      <c r="I3" s="102"/>
      <c r="J3" s="102"/>
      <c r="K3" s="1007" t="s">
        <v>465</v>
      </c>
      <c r="L3" s="1008"/>
      <c r="M3" s="1008"/>
      <c r="N3" s="1008"/>
      <c r="O3" s="1008"/>
      <c r="P3" s="1008"/>
      <c r="Q3" s="1008"/>
      <c r="R3" s="1008"/>
      <c r="S3" s="1009"/>
    </row>
    <row r="4" spans="2:19" s="100" customFormat="1" ht="18" customHeight="1" x14ac:dyDescent="0.15">
      <c r="B4" s="993" t="s">
        <v>23</v>
      </c>
      <c r="C4" s="994"/>
      <c r="D4" s="243" t="s">
        <v>203</v>
      </c>
      <c r="E4" s="195"/>
      <c r="F4" s="413">
        <f>+R11</f>
        <v>858000</v>
      </c>
      <c r="G4" s="554" t="s">
        <v>187</v>
      </c>
      <c r="H4" s="555"/>
      <c r="I4" s="555"/>
      <c r="J4" s="555"/>
      <c r="K4" s="188" t="s">
        <v>57</v>
      </c>
      <c r="L4" s="414" t="s">
        <v>466</v>
      </c>
      <c r="M4" s="415" t="s">
        <v>24</v>
      </c>
      <c r="N4" s="415" t="s">
        <v>23</v>
      </c>
      <c r="O4" s="415" t="s">
        <v>57</v>
      </c>
      <c r="P4" s="414" t="s">
        <v>466</v>
      </c>
      <c r="Q4" s="415" t="s">
        <v>24</v>
      </c>
      <c r="R4" s="1012" t="s">
        <v>23</v>
      </c>
      <c r="S4" s="1013"/>
    </row>
    <row r="5" spans="2:19" s="100" customFormat="1" ht="18" customHeight="1" x14ac:dyDescent="0.15">
      <c r="B5" s="993"/>
      <c r="C5" s="994"/>
      <c r="D5" s="243" t="s">
        <v>83</v>
      </c>
      <c r="E5" s="195"/>
      <c r="F5" s="413"/>
      <c r="G5" s="416"/>
      <c r="H5" s="556"/>
      <c r="I5" s="556"/>
      <c r="J5" s="556"/>
      <c r="K5" s="246" t="s">
        <v>313</v>
      </c>
      <c r="L5" s="413">
        <v>6000</v>
      </c>
      <c r="M5" s="413">
        <v>143</v>
      </c>
      <c r="N5" s="413">
        <f>L5*M5</f>
        <v>858000</v>
      </c>
      <c r="O5" s="413"/>
      <c r="P5" s="413"/>
      <c r="Q5" s="413"/>
      <c r="R5" s="1010">
        <f>P5*Q5</f>
        <v>0</v>
      </c>
      <c r="S5" s="1011"/>
    </row>
    <row r="6" spans="2:19" s="100" customFormat="1" ht="18" customHeight="1" x14ac:dyDescent="0.15">
      <c r="B6" s="1001" t="s">
        <v>208</v>
      </c>
      <c r="C6" s="998" t="s">
        <v>195</v>
      </c>
      <c r="D6" s="413" t="s">
        <v>63</v>
      </c>
      <c r="E6" s="191"/>
      <c r="F6" s="413">
        <f>P15</f>
        <v>19250</v>
      </c>
      <c r="G6" s="416" t="s">
        <v>665</v>
      </c>
      <c r="H6" s="556"/>
      <c r="I6" s="556"/>
      <c r="J6" s="556"/>
      <c r="K6" s="194"/>
      <c r="L6" s="192"/>
      <c r="M6" s="413"/>
      <c r="N6" s="413">
        <f>L6*M6</f>
        <v>0</v>
      </c>
      <c r="O6" s="413"/>
      <c r="P6" s="413"/>
      <c r="Q6" s="413"/>
      <c r="R6" s="1010">
        <f t="shared" ref="R6:R9" si="0">P6*Q6</f>
        <v>0</v>
      </c>
      <c r="S6" s="1011"/>
    </row>
    <row r="7" spans="2:19" s="100" customFormat="1" ht="18" customHeight="1" x14ac:dyDescent="0.15">
      <c r="B7" s="1002"/>
      <c r="C7" s="999"/>
      <c r="D7" s="413" t="s">
        <v>64</v>
      </c>
      <c r="E7" s="191"/>
      <c r="F7" s="413">
        <f>P22</f>
        <v>161148.85</v>
      </c>
      <c r="G7" s="554" t="s">
        <v>673</v>
      </c>
      <c r="H7" s="555"/>
      <c r="I7" s="555"/>
      <c r="J7" s="557"/>
      <c r="K7" s="193"/>
      <c r="L7" s="424"/>
      <c r="M7" s="413"/>
      <c r="N7" s="413">
        <f t="shared" ref="N7:N11" si="1">L7*M7</f>
        <v>0</v>
      </c>
      <c r="O7" s="413"/>
      <c r="P7" s="413"/>
      <c r="Q7" s="413"/>
      <c r="R7" s="1010">
        <f t="shared" si="0"/>
        <v>0</v>
      </c>
      <c r="S7" s="1011"/>
    </row>
    <row r="8" spans="2:19" s="100" customFormat="1" ht="18" customHeight="1" x14ac:dyDescent="0.15">
      <c r="B8" s="1002"/>
      <c r="C8" s="999"/>
      <c r="D8" s="413" t="s">
        <v>65</v>
      </c>
      <c r="E8" s="191"/>
      <c r="F8" s="413">
        <f>P28</f>
        <v>62757.266666666663</v>
      </c>
      <c r="G8" s="416" t="s">
        <v>667</v>
      </c>
      <c r="H8" s="556"/>
      <c r="I8" s="556"/>
      <c r="J8" s="558"/>
      <c r="K8" s="191"/>
      <c r="L8" s="413"/>
      <c r="M8" s="413"/>
      <c r="N8" s="413">
        <f t="shared" si="1"/>
        <v>0</v>
      </c>
      <c r="O8" s="413"/>
      <c r="P8" s="413"/>
      <c r="Q8" s="413"/>
      <c r="R8" s="1010">
        <f t="shared" si="0"/>
        <v>0</v>
      </c>
      <c r="S8" s="1011"/>
    </row>
    <row r="9" spans="2:19" s="100" customFormat="1" ht="18" customHeight="1" x14ac:dyDescent="0.15">
      <c r="B9" s="1002"/>
      <c r="C9" s="999"/>
      <c r="D9" s="413" t="s">
        <v>84</v>
      </c>
      <c r="E9" s="191"/>
      <c r="F9" s="413">
        <f>P37</f>
        <v>62078.488400000002</v>
      </c>
      <c r="G9" s="416" t="s">
        <v>668</v>
      </c>
      <c r="H9" s="556"/>
      <c r="I9" s="556"/>
      <c r="J9" s="558"/>
      <c r="K9" s="191"/>
      <c r="L9" s="413"/>
      <c r="M9" s="413"/>
      <c r="N9" s="413">
        <f t="shared" si="1"/>
        <v>0</v>
      </c>
      <c r="O9" s="413"/>
      <c r="P9" s="413"/>
      <c r="Q9" s="413"/>
      <c r="R9" s="1010">
        <f t="shared" si="0"/>
        <v>0</v>
      </c>
      <c r="S9" s="1011"/>
    </row>
    <row r="10" spans="2:19" s="100" customFormat="1" ht="18" customHeight="1" x14ac:dyDescent="0.15">
      <c r="B10" s="1002"/>
      <c r="C10" s="999"/>
      <c r="D10" s="413" t="s">
        <v>66</v>
      </c>
      <c r="E10" s="191"/>
      <c r="F10" s="413">
        <f>'８－３　水稲算出基礎（あきろまん）'!V21</f>
        <v>5806.666666666667</v>
      </c>
      <c r="G10" s="1035"/>
      <c r="H10" s="1036"/>
      <c r="I10" s="1036"/>
      <c r="J10" s="1037"/>
      <c r="K10" s="191"/>
      <c r="L10" s="413"/>
      <c r="M10" s="413"/>
      <c r="N10" s="413">
        <f t="shared" si="1"/>
        <v>0</v>
      </c>
      <c r="O10" s="413"/>
      <c r="P10" s="413"/>
      <c r="Q10" s="413"/>
      <c r="R10" s="1010"/>
      <c r="S10" s="1011"/>
    </row>
    <row r="11" spans="2:19" s="100" customFormat="1" ht="18" customHeight="1" thickBot="1" x14ac:dyDescent="0.2">
      <c r="B11" s="1002"/>
      <c r="C11" s="999"/>
      <c r="D11" s="413" t="s">
        <v>6</v>
      </c>
      <c r="E11" s="191"/>
      <c r="F11" s="413">
        <f>'８－３　水稲算出基礎（あきろまん）'!V34</f>
        <v>83.333333333333329</v>
      </c>
      <c r="G11" s="1035"/>
      <c r="H11" s="1036"/>
      <c r="I11" s="1036"/>
      <c r="J11" s="1037"/>
      <c r="K11" s="117"/>
      <c r="L11" s="106"/>
      <c r="M11" s="106"/>
      <c r="N11" s="417">
        <f t="shared" si="1"/>
        <v>0</v>
      </c>
      <c r="O11" s="107" t="s">
        <v>25</v>
      </c>
      <c r="P11" s="108">
        <f>SUM(L5:L11,P5:Q10)</f>
        <v>6000</v>
      </c>
      <c r="Q11" s="109">
        <f>R11/P11</f>
        <v>143</v>
      </c>
      <c r="R11" s="1017">
        <f>SUM(N5:N11,R5:S10)</f>
        <v>858000</v>
      </c>
      <c r="S11" s="1018"/>
    </row>
    <row r="12" spans="2:19" s="100" customFormat="1" ht="18" customHeight="1" thickTop="1" x14ac:dyDescent="0.15">
      <c r="B12" s="1002"/>
      <c r="C12" s="999"/>
      <c r="D12" s="413" t="s">
        <v>7</v>
      </c>
      <c r="E12" s="191"/>
      <c r="F12" s="413">
        <v>0</v>
      </c>
      <c r="G12" s="416"/>
      <c r="H12" s="556"/>
      <c r="I12" s="556"/>
      <c r="J12" s="558"/>
      <c r="K12" s="1040" t="s">
        <v>209</v>
      </c>
      <c r="L12" s="187" t="s">
        <v>158</v>
      </c>
      <c r="M12" s="322" t="s">
        <v>9</v>
      </c>
      <c r="N12" s="252" t="s">
        <v>440</v>
      </c>
      <c r="O12" s="321" t="s">
        <v>24</v>
      </c>
      <c r="P12" s="321" t="s">
        <v>27</v>
      </c>
      <c r="Q12" s="1019" t="s">
        <v>28</v>
      </c>
      <c r="R12" s="1020"/>
      <c r="S12" s="1021"/>
    </row>
    <row r="13" spans="2:19" s="100" customFormat="1" ht="18" customHeight="1" x14ac:dyDescent="0.15">
      <c r="B13" s="1002"/>
      <c r="C13" s="999"/>
      <c r="D13" s="990" t="s">
        <v>67</v>
      </c>
      <c r="E13" s="418" t="s">
        <v>183</v>
      </c>
      <c r="F13" s="419">
        <f>'６　固定資本装備と減価償却費'!L94*'７－１　水稲部門（こいもみじ）収支'!H13</f>
        <v>5038.875</v>
      </c>
      <c r="G13" s="416" t="s">
        <v>669</v>
      </c>
      <c r="H13" s="559">
        <v>0.01</v>
      </c>
      <c r="I13" s="1038" t="s">
        <v>191</v>
      </c>
      <c r="J13" s="1039"/>
      <c r="K13" s="1002"/>
      <c r="L13" s="313" t="s">
        <v>313</v>
      </c>
      <c r="M13" s="186" t="s">
        <v>442</v>
      </c>
      <c r="N13" s="421">
        <v>35</v>
      </c>
      <c r="O13" s="421">
        <v>550</v>
      </c>
      <c r="P13" s="421">
        <f>N13*O13</f>
        <v>19250</v>
      </c>
      <c r="Q13" s="1031" t="s">
        <v>236</v>
      </c>
      <c r="R13" s="1032"/>
      <c r="S13" s="1033"/>
    </row>
    <row r="14" spans="2:19" s="100" customFormat="1" ht="18" customHeight="1" x14ac:dyDescent="0.15">
      <c r="B14" s="1002"/>
      <c r="C14" s="999"/>
      <c r="D14" s="991"/>
      <c r="E14" s="418" t="s">
        <v>184</v>
      </c>
      <c r="F14" s="419">
        <f>'６　固定資本装備と減価償却費'!L95*'７－１　水稲部門（こいもみじ）収支'!H14</f>
        <v>83013.830150000009</v>
      </c>
      <c r="G14" s="416" t="s">
        <v>669</v>
      </c>
      <c r="H14" s="559">
        <v>0.05</v>
      </c>
      <c r="I14" s="1038" t="s">
        <v>191</v>
      </c>
      <c r="J14" s="1039"/>
      <c r="K14" s="1041"/>
      <c r="L14" s="420"/>
      <c r="M14" s="186" t="s">
        <v>442</v>
      </c>
      <c r="N14" s="421"/>
      <c r="O14" s="421"/>
      <c r="P14" s="421">
        <f>N14*O14</f>
        <v>0</v>
      </c>
      <c r="Q14" s="1043"/>
      <c r="R14" s="1032"/>
      <c r="S14" s="1033"/>
    </row>
    <row r="15" spans="2:19" s="100" customFormat="1" ht="18" customHeight="1" thickBot="1" x14ac:dyDescent="0.2">
      <c r="B15" s="1002"/>
      <c r="C15" s="999"/>
      <c r="D15" s="990" t="s">
        <v>85</v>
      </c>
      <c r="E15" s="418" t="s">
        <v>183</v>
      </c>
      <c r="F15" s="413">
        <f>'６　固定資本装備と減価償却費'!P94</f>
        <v>25440.75</v>
      </c>
      <c r="G15" s="416" t="s">
        <v>191</v>
      </c>
      <c r="H15" s="556"/>
      <c r="I15" s="590"/>
      <c r="J15" s="591"/>
      <c r="K15" s="1041"/>
      <c r="L15" s="112" t="s">
        <v>29</v>
      </c>
      <c r="M15" s="111"/>
      <c r="N15" s="112"/>
      <c r="O15" s="112"/>
      <c r="P15" s="112">
        <f>SUM(P13:P14)</f>
        <v>19250</v>
      </c>
      <c r="Q15" s="1004"/>
      <c r="R15" s="1005"/>
      <c r="S15" s="1006"/>
    </row>
    <row r="16" spans="2:19" s="100" customFormat="1" ht="18" customHeight="1" thickTop="1" x14ac:dyDescent="0.15">
      <c r="B16" s="1002"/>
      <c r="C16" s="999"/>
      <c r="D16" s="992"/>
      <c r="E16" s="418" t="s">
        <v>184</v>
      </c>
      <c r="F16" s="413">
        <f>'６　固定資本装備と減価償却費'!P95</f>
        <v>236542.08614285692</v>
      </c>
      <c r="G16" s="416" t="s">
        <v>191</v>
      </c>
      <c r="H16" s="556"/>
      <c r="I16" s="590"/>
      <c r="J16" s="591"/>
      <c r="K16" s="1041"/>
      <c r="L16" s="182" t="s">
        <v>443</v>
      </c>
      <c r="M16" s="183"/>
      <c r="N16" s="251" t="s">
        <v>440</v>
      </c>
      <c r="O16" s="320" t="s">
        <v>24</v>
      </c>
      <c r="P16" s="184" t="s">
        <v>27</v>
      </c>
      <c r="Q16" s="1014" t="s">
        <v>28</v>
      </c>
      <c r="R16" s="1015"/>
      <c r="S16" s="1016"/>
    </row>
    <row r="17" spans="1:19" s="100" customFormat="1" ht="18" customHeight="1" x14ac:dyDescent="0.15">
      <c r="B17" s="1002"/>
      <c r="C17" s="999"/>
      <c r="D17" s="991"/>
      <c r="E17" s="413" t="s">
        <v>68</v>
      </c>
      <c r="F17" s="413">
        <f>'６（参考）水稲資本装備'!P56</f>
        <v>0</v>
      </c>
      <c r="G17" s="416" t="s">
        <v>191</v>
      </c>
      <c r="H17" s="556"/>
      <c r="I17" s="590"/>
      <c r="J17" s="591"/>
      <c r="K17" s="1041"/>
      <c r="L17" s="243" t="s">
        <v>165</v>
      </c>
      <c r="M17" s="186"/>
      <c r="N17" s="416" t="s">
        <v>292</v>
      </c>
      <c r="O17" s="422"/>
      <c r="P17" s="423">
        <f>'８－３　水稲算出基礎（あきろまん）'!G7</f>
        <v>0</v>
      </c>
      <c r="Q17" s="1022"/>
      <c r="R17" s="1023"/>
      <c r="S17" s="1024"/>
    </row>
    <row r="18" spans="1:19" s="100" customFormat="1" ht="18" customHeight="1" x14ac:dyDescent="0.15">
      <c r="A18" s="99"/>
      <c r="B18" s="1002"/>
      <c r="C18" s="999"/>
      <c r="D18" s="981" t="s">
        <v>247</v>
      </c>
      <c r="E18" s="424" t="s">
        <v>115</v>
      </c>
      <c r="F18" s="413"/>
      <c r="G18" s="416"/>
      <c r="H18" s="590"/>
      <c r="I18" s="590"/>
      <c r="J18" s="591"/>
      <c r="K18" s="1041"/>
      <c r="L18" s="243" t="s">
        <v>163</v>
      </c>
      <c r="M18" s="186"/>
      <c r="N18" s="416" t="s">
        <v>444</v>
      </c>
      <c r="O18" s="422"/>
      <c r="P18" s="423">
        <f>'８－３　水稲算出基礎（あきろまん）'!G11</f>
        <v>38400</v>
      </c>
      <c r="Q18" s="1022"/>
      <c r="R18" s="1023"/>
      <c r="S18" s="1024"/>
    </row>
    <row r="19" spans="1:19" s="100" customFormat="1" ht="18" customHeight="1" x14ac:dyDescent="0.15">
      <c r="A19" s="99"/>
      <c r="B19" s="1002"/>
      <c r="C19" s="999"/>
      <c r="D19" s="981"/>
      <c r="E19" s="424" t="s">
        <v>111</v>
      </c>
      <c r="F19" s="413">
        <f>J19*'５－３　水稲（あきろまん）作業時間'!AO34</f>
        <v>37290.000000000007</v>
      </c>
      <c r="G19" s="416"/>
      <c r="H19" s="590"/>
      <c r="I19" s="592" t="s">
        <v>670</v>
      </c>
      <c r="J19" s="593">
        <v>1100</v>
      </c>
      <c r="K19" s="1041"/>
      <c r="L19" s="416" t="s">
        <v>164</v>
      </c>
      <c r="M19" s="176"/>
      <c r="N19" s="416" t="s">
        <v>444</v>
      </c>
      <c r="O19" s="422"/>
      <c r="P19" s="423">
        <f>'８－３　水稲算出基礎（あきろまん）'!G16</f>
        <v>102025</v>
      </c>
      <c r="Q19" s="1022"/>
      <c r="R19" s="1023"/>
      <c r="S19" s="1024"/>
    </row>
    <row r="20" spans="1:19" s="100" customFormat="1" ht="18" customHeight="1" x14ac:dyDescent="0.15">
      <c r="A20" s="99"/>
      <c r="B20" s="1002"/>
      <c r="C20" s="999"/>
      <c r="D20" s="981"/>
      <c r="E20" s="424" t="s">
        <v>112</v>
      </c>
      <c r="F20" s="413">
        <f>J20*'５－３　水稲（あきろまん）作業時間'!AP34</f>
        <v>55800</v>
      </c>
      <c r="G20" s="416"/>
      <c r="H20" s="590"/>
      <c r="I20" s="592" t="s">
        <v>674</v>
      </c>
      <c r="J20" s="593">
        <v>900</v>
      </c>
      <c r="K20" s="1041"/>
      <c r="L20" s="416" t="s">
        <v>166</v>
      </c>
      <c r="M20" s="176"/>
      <c r="N20" s="416"/>
      <c r="O20" s="422"/>
      <c r="P20" s="423">
        <f>'８－３　水稲算出基礎（あきろまん）'!G20</f>
        <v>0</v>
      </c>
      <c r="Q20" s="1022"/>
      <c r="R20" s="1023"/>
      <c r="S20" s="1024"/>
    </row>
    <row r="21" spans="1:19" s="100" customFormat="1" ht="18" customHeight="1" x14ac:dyDescent="0.15">
      <c r="A21" s="99"/>
      <c r="B21" s="1002"/>
      <c r="C21" s="999"/>
      <c r="D21" s="981"/>
      <c r="E21" s="424" t="s">
        <v>113</v>
      </c>
      <c r="F21" s="413">
        <f>(F19+F20)*0.012</f>
        <v>1117.08</v>
      </c>
      <c r="G21" s="416"/>
      <c r="H21" s="590"/>
      <c r="I21" s="590"/>
      <c r="J21" s="591"/>
      <c r="K21" s="1041"/>
      <c r="L21" s="416" t="s">
        <v>167</v>
      </c>
      <c r="M21" s="176"/>
      <c r="N21" s="416" t="s">
        <v>292</v>
      </c>
      <c r="O21" s="423"/>
      <c r="P21" s="423">
        <f>'８－３　水稲算出基礎（あきろまん）'!G24</f>
        <v>20723.849999999999</v>
      </c>
      <c r="Q21" s="1022"/>
      <c r="R21" s="1023"/>
      <c r="S21" s="1024"/>
    </row>
    <row r="22" spans="1:19" s="100" customFormat="1" ht="18" customHeight="1" thickBot="1" x14ac:dyDescent="0.2">
      <c r="A22" s="99"/>
      <c r="B22" s="1002"/>
      <c r="C22" s="999"/>
      <c r="D22" s="981" t="s">
        <v>69</v>
      </c>
      <c r="E22" s="424" t="s">
        <v>70</v>
      </c>
      <c r="F22" s="413">
        <f t="shared" ref="F22:F23" si="2">I22*10</f>
        <v>20000</v>
      </c>
      <c r="G22" s="416"/>
      <c r="H22" s="590"/>
      <c r="I22" s="556">
        <v>2000</v>
      </c>
      <c r="J22" s="591" t="s">
        <v>299</v>
      </c>
      <c r="K22" s="1041"/>
      <c r="L22" s="112" t="s">
        <v>29</v>
      </c>
      <c r="M22" s="111"/>
      <c r="N22" s="112"/>
      <c r="O22" s="112"/>
      <c r="P22" s="112">
        <f>SUM(P17:P21)</f>
        <v>161148.85</v>
      </c>
      <c r="Q22" s="1004"/>
      <c r="R22" s="1005"/>
      <c r="S22" s="1006"/>
    </row>
    <row r="23" spans="1:19" s="100" customFormat="1" ht="18" customHeight="1" thickTop="1" x14ac:dyDescent="0.15">
      <c r="A23" s="99"/>
      <c r="B23" s="1002"/>
      <c r="C23" s="999"/>
      <c r="D23" s="981"/>
      <c r="E23" s="424" t="s">
        <v>86</v>
      </c>
      <c r="F23" s="413">
        <f t="shared" si="2"/>
        <v>50000</v>
      </c>
      <c r="G23" s="416"/>
      <c r="H23" s="590"/>
      <c r="I23" s="556">
        <v>5000</v>
      </c>
      <c r="J23" s="591" t="s">
        <v>299</v>
      </c>
      <c r="K23" s="1041"/>
      <c r="L23" s="416" t="s">
        <v>447</v>
      </c>
      <c r="M23" s="176"/>
      <c r="N23" s="425" t="s">
        <v>26</v>
      </c>
      <c r="O23" s="425" t="s">
        <v>24</v>
      </c>
      <c r="P23" s="425" t="s">
        <v>27</v>
      </c>
      <c r="Q23" s="1014" t="s">
        <v>28</v>
      </c>
      <c r="R23" s="1015"/>
      <c r="S23" s="1016"/>
    </row>
    <row r="24" spans="1:19" s="100" customFormat="1" ht="18" customHeight="1" x14ac:dyDescent="0.15">
      <c r="A24" s="99"/>
      <c r="B24" s="1002"/>
      <c r="C24" s="999"/>
      <c r="D24" s="413" t="s">
        <v>71</v>
      </c>
      <c r="E24" s="191"/>
      <c r="F24" s="413">
        <f>I24*10</f>
        <v>30000</v>
      </c>
      <c r="G24" s="416"/>
      <c r="H24" s="590"/>
      <c r="I24" s="562">
        <v>3000</v>
      </c>
      <c r="J24" s="591" t="s">
        <v>299</v>
      </c>
      <c r="K24" s="1041"/>
      <c r="L24" s="423" t="s">
        <v>30</v>
      </c>
      <c r="M24" s="176"/>
      <c r="N24" s="416" t="s">
        <v>448</v>
      </c>
      <c r="O24" s="423"/>
      <c r="P24" s="423">
        <f>'８－３　水稲算出基礎（あきろまん）'!G38</f>
        <v>5512.1</v>
      </c>
      <c r="Q24" s="1022"/>
      <c r="R24" s="1023"/>
      <c r="S24" s="1024"/>
    </row>
    <row r="25" spans="1:19" s="100" customFormat="1" ht="18" customHeight="1" x14ac:dyDescent="0.15">
      <c r="A25" s="99"/>
      <c r="B25" s="1002"/>
      <c r="C25" s="999"/>
      <c r="D25" s="413" t="s">
        <v>162</v>
      </c>
      <c r="E25" s="191"/>
      <c r="F25" s="413">
        <f>SUM(F6:F24)/99</f>
        <v>8640.0729935305408</v>
      </c>
      <c r="G25" s="427" t="s">
        <v>212</v>
      </c>
      <c r="H25" s="563">
        <v>0.01</v>
      </c>
      <c r="I25" s="594"/>
      <c r="J25" s="595"/>
      <c r="K25" s="1041"/>
      <c r="L25" s="423" t="s">
        <v>31</v>
      </c>
      <c r="M25" s="176"/>
      <c r="N25" s="416" t="s">
        <v>449</v>
      </c>
      <c r="O25" s="423"/>
      <c r="P25" s="423">
        <f>'８－３　水稲算出基礎（あきろまん）'!G49</f>
        <v>4975</v>
      </c>
      <c r="Q25" s="1022"/>
      <c r="R25" s="1023"/>
      <c r="S25" s="1024"/>
    </row>
    <row r="26" spans="1:19" s="100" customFormat="1" ht="18" customHeight="1" x14ac:dyDescent="0.15">
      <c r="A26" s="99"/>
      <c r="B26" s="1002"/>
      <c r="C26" s="1000"/>
      <c r="D26" s="988" t="s">
        <v>450</v>
      </c>
      <c r="E26" s="989"/>
      <c r="F26" s="428">
        <f>SUM(F6:F25)</f>
        <v>864007.29935305403</v>
      </c>
      <c r="G26" s="429"/>
      <c r="H26" s="594"/>
      <c r="I26" s="594"/>
      <c r="J26" s="596"/>
      <c r="K26" s="1041"/>
      <c r="L26" s="423" t="s">
        <v>32</v>
      </c>
      <c r="M26" s="176"/>
      <c r="N26" s="416" t="s">
        <v>292</v>
      </c>
      <c r="O26" s="423"/>
      <c r="P26" s="423">
        <f>'８－３　水稲算出基礎（あきろまん）'!G53</f>
        <v>24330</v>
      </c>
      <c r="Q26" s="1022"/>
      <c r="R26" s="1023"/>
      <c r="S26" s="1024"/>
    </row>
    <row r="27" spans="1:19" s="100" customFormat="1" ht="18" customHeight="1" x14ac:dyDescent="0.15">
      <c r="A27" s="99"/>
      <c r="B27" s="1002"/>
      <c r="C27" s="982" t="s">
        <v>190</v>
      </c>
      <c r="D27" s="882" t="s">
        <v>72</v>
      </c>
      <c r="E27" s="24" t="s">
        <v>3</v>
      </c>
      <c r="F27" s="417">
        <f>P11/30*J27</f>
        <v>16000</v>
      </c>
      <c r="G27" s="554"/>
      <c r="H27" s="556"/>
      <c r="I27" s="110" t="s">
        <v>303</v>
      </c>
      <c r="J27" s="565">
        <v>80</v>
      </c>
      <c r="K27" s="1041"/>
      <c r="L27" s="423" t="s">
        <v>293</v>
      </c>
      <c r="M27" s="176"/>
      <c r="N27" s="416" t="s">
        <v>449</v>
      </c>
      <c r="O27" s="423"/>
      <c r="P27" s="423">
        <f>'８－３　水稲算出基礎（あきろまん）'!G57</f>
        <v>27940.166666666664</v>
      </c>
      <c r="Q27" s="1022"/>
      <c r="R27" s="1023"/>
      <c r="S27" s="1024"/>
    </row>
    <row r="28" spans="1:19" s="100" customFormat="1" ht="18" customHeight="1" thickBot="1" x14ac:dyDescent="0.2">
      <c r="A28" s="99"/>
      <c r="B28" s="1002"/>
      <c r="C28" s="983"/>
      <c r="D28" s="885"/>
      <c r="E28" s="24" t="s">
        <v>4</v>
      </c>
      <c r="F28" s="430"/>
      <c r="G28" s="554"/>
      <c r="H28" s="566"/>
      <c r="I28" s="566"/>
      <c r="J28" s="567"/>
      <c r="K28" s="1041"/>
      <c r="L28" s="112" t="s">
        <v>29</v>
      </c>
      <c r="M28" s="111"/>
      <c r="N28" s="112"/>
      <c r="O28" s="112"/>
      <c r="P28" s="112">
        <f>SUM(P24:P27)</f>
        <v>62757.266666666663</v>
      </c>
      <c r="Q28" s="1004"/>
      <c r="R28" s="1005"/>
      <c r="S28" s="1006"/>
    </row>
    <row r="29" spans="1:19" s="100" customFormat="1" ht="18" customHeight="1" thickTop="1" x14ac:dyDescent="0.15">
      <c r="A29" s="99"/>
      <c r="B29" s="1002"/>
      <c r="C29" s="983"/>
      <c r="D29" s="985"/>
      <c r="E29" s="24" t="s">
        <v>8</v>
      </c>
      <c r="F29" s="417">
        <f>P11/30*J29</f>
        <v>5000</v>
      </c>
      <c r="G29" s="554"/>
      <c r="H29" s="555"/>
      <c r="I29" s="566" t="s">
        <v>304</v>
      </c>
      <c r="J29" s="568">
        <v>25</v>
      </c>
      <c r="K29" s="1041"/>
      <c r="L29" s="416" t="s">
        <v>451</v>
      </c>
      <c r="M29" s="176"/>
      <c r="N29" s="425" t="s">
        <v>26</v>
      </c>
      <c r="O29" s="425" t="s">
        <v>24</v>
      </c>
      <c r="P29" s="425" t="s">
        <v>27</v>
      </c>
      <c r="Q29" s="1014" t="s">
        <v>28</v>
      </c>
      <c r="R29" s="1015"/>
      <c r="S29" s="1016"/>
    </row>
    <row r="30" spans="1:19" s="100" customFormat="1" ht="18" customHeight="1" x14ac:dyDescent="0.15">
      <c r="A30" s="99"/>
      <c r="B30" s="1002"/>
      <c r="C30" s="983"/>
      <c r="D30" s="24" t="s">
        <v>73</v>
      </c>
      <c r="E30" s="25"/>
      <c r="F30" s="417"/>
      <c r="G30" s="554"/>
      <c r="H30" s="555"/>
      <c r="I30" s="566"/>
      <c r="J30" s="569"/>
      <c r="K30" s="1041"/>
      <c r="L30" s="423" t="s">
        <v>452</v>
      </c>
      <c r="M30" s="179"/>
      <c r="N30" s="416" t="s">
        <v>295</v>
      </c>
      <c r="O30" s="422"/>
      <c r="P30" s="423">
        <f>'８－３　水稲算出基礎（あきろまん）'!N12</f>
        <v>28089.600000000002</v>
      </c>
      <c r="Q30" s="1028"/>
      <c r="R30" s="1029"/>
      <c r="S30" s="1030"/>
    </row>
    <row r="31" spans="1:19" s="100" customFormat="1" ht="18" customHeight="1" x14ac:dyDescent="0.15">
      <c r="A31" s="99"/>
      <c r="B31" s="1002"/>
      <c r="C31" s="983"/>
      <c r="D31" s="895" t="s">
        <v>248</v>
      </c>
      <c r="E31" s="319" t="s">
        <v>115</v>
      </c>
      <c r="F31" s="430"/>
      <c r="G31" s="554"/>
      <c r="H31" s="570"/>
      <c r="I31" s="570"/>
      <c r="J31" s="571"/>
      <c r="K31" s="1041"/>
      <c r="L31" s="423" t="s">
        <v>453</v>
      </c>
      <c r="M31" s="179"/>
      <c r="N31" s="416" t="s">
        <v>296</v>
      </c>
      <c r="O31" s="422"/>
      <c r="P31" s="423">
        <f>'８－３　水稲算出基礎（あきろまん）'!N16</f>
        <v>2466.9479999999999</v>
      </c>
      <c r="Q31" s="1028"/>
      <c r="R31" s="1029"/>
      <c r="S31" s="1030"/>
    </row>
    <row r="32" spans="1:19" s="100" customFormat="1" ht="18" customHeight="1" x14ac:dyDescent="0.15">
      <c r="A32" s="99"/>
      <c r="B32" s="1002"/>
      <c r="C32" s="983"/>
      <c r="D32" s="895"/>
      <c r="E32" s="319" t="s">
        <v>454</v>
      </c>
      <c r="F32" s="430"/>
      <c r="G32" s="554"/>
      <c r="H32" s="572"/>
      <c r="I32" s="572"/>
      <c r="J32" s="573"/>
      <c r="K32" s="1041"/>
      <c r="L32" s="423" t="s">
        <v>455</v>
      </c>
      <c r="M32" s="176"/>
      <c r="N32" s="422"/>
      <c r="O32" s="422"/>
      <c r="P32" s="423">
        <f>SUM(P30:P31)*R32</f>
        <v>9166.9644000000008</v>
      </c>
      <c r="Q32" s="433" t="s">
        <v>456</v>
      </c>
      <c r="R32" s="434">
        <v>0.3</v>
      </c>
      <c r="S32" s="435"/>
    </row>
    <row r="33" spans="1:23" ht="18" customHeight="1" x14ac:dyDescent="0.15">
      <c r="B33" s="1002"/>
      <c r="C33" s="983"/>
      <c r="D33" s="24" t="s">
        <v>74</v>
      </c>
      <c r="E33" s="33"/>
      <c r="F33" s="430"/>
      <c r="G33" s="554"/>
      <c r="H33" s="574"/>
      <c r="I33" s="560"/>
      <c r="J33" s="569"/>
      <c r="K33" s="1041"/>
      <c r="L33" s="423" t="s">
        <v>457</v>
      </c>
      <c r="M33" s="179"/>
      <c r="N33" s="416"/>
      <c r="O33" s="422"/>
      <c r="P33" s="423">
        <f>'８－３　水稲算出基礎（あきろまん）'!N20</f>
        <v>0</v>
      </c>
      <c r="Q33" s="1022"/>
      <c r="R33" s="1023"/>
      <c r="S33" s="1024"/>
    </row>
    <row r="34" spans="1:23" ht="18" customHeight="1" x14ac:dyDescent="0.15">
      <c r="B34" s="1002"/>
      <c r="C34" s="983"/>
      <c r="D34" s="24" t="s">
        <v>87</v>
      </c>
      <c r="E34" s="33"/>
      <c r="F34" s="430"/>
      <c r="G34" s="554"/>
      <c r="H34" s="575"/>
      <c r="I34" s="576"/>
      <c r="J34" s="577"/>
      <c r="K34" s="1041"/>
      <c r="L34" s="423" t="s">
        <v>458</v>
      </c>
      <c r="M34" s="179"/>
      <c r="N34" s="416" t="s">
        <v>296</v>
      </c>
      <c r="O34" s="422"/>
      <c r="P34" s="423">
        <f>'８－３　水稲算出基礎（あきろまん）'!N24</f>
        <v>18543.755999999998</v>
      </c>
      <c r="Q34" s="1022"/>
      <c r="R34" s="1023"/>
      <c r="S34" s="1024"/>
    </row>
    <row r="35" spans="1:23" ht="18" customHeight="1" x14ac:dyDescent="0.15">
      <c r="B35" s="1002"/>
      <c r="C35" s="983"/>
      <c r="D35" s="24" t="s">
        <v>118</v>
      </c>
      <c r="E35" s="25"/>
      <c r="F35" s="430">
        <f>'８－３　水稲算出基礎（あきろまん）'!V57</f>
        <v>8425</v>
      </c>
      <c r="G35" s="1035"/>
      <c r="H35" s="1036"/>
      <c r="I35" s="1036"/>
      <c r="J35" s="1037"/>
      <c r="K35" s="1041"/>
      <c r="L35" s="423" t="s">
        <v>246</v>
      </c>
      <c r="M35" s="179"/>
      <c r="N35" s="416"/>
      <c r="O35" s="422"/>
      <c r="P35" s="423">
        <f>'８－３　水稲算出基礎（あきろまん）'!N28</f>
        <v>0</v>
      </c>
      <c r="Q35" s="1022"/>
      <c r="R35" s="1023"/>
      <c r="S35" s="1024"/>
    </row>
    <row r="36" spans="1:23" ht="18" customHeight="1" x14ac:dyDescent="0.15">
      <c r="B36" s="1002"/>
      <c r="C36" s="983"/>
      <c r="D36" s="41" t="s">
        <v>88</v>
      </c>
      <c r="E36" s="42"/>
      <c r="F36" s="436"/>
      <c r="G36" s="416"/>
      <c r="H36" s="575"/>
      <c r="I36" s="576"/>
      <c r="J36" s="569"/>
      <c r="K36" s="1041"/>
      <c r="L36" s="423" t="s">
        <v>459</v>
      </c>
      <c r="M36" s="176"/>
      <c r="N36" s="416" t="s">
        <v>297</v>
      </c>
      <c r="O36" s="422"/>
      <c r="P36" s="423">
        <f>'８－３　水稲算出基礎（あきろまん）'!N32</f>
        <v>3811.2200000000003</v>
      </c>
      <c r="Q36" s="1022"/>
      <c r="R36" s="1023"/>
      <c r="S36" s="1024"/>
    </row>
    <row r="37" spans="1:23" ht="18" customHeight="1" thickBot="1" x14ac:dyDescent="0.2">
      <c r="B37" s="1002"/>
      <c r="C37" s="983"/>
      <c r="D37" s="24" t="s">
        <v>75</v>
      </c>
      <c r="E37" s="25"/>
      <c r="F37" s="430">
        <f>'８－３　水稲算出基礎（あきろまん）'!N57</f>
        <v>5287.6875</v>
      </c>
      <c r="G37" s="1035"/>
      <c r="H37" s="1036"/>
      <c r="I37" s="1036"/>
      <c r="J37" s="1037"/>
      <c r="K37" s="1042"/>
      <c r="L37" s="120" t="s">
        <v>29</v>
      </c>
      <c r="M37" s="119"/>
      <c r="N37" s="120"/>
      <c r="O37" s="120"/>
      <c r="P37" s="120">
        <f>SUM(P30:P36)</f>
        <v>62078.488400000002</v>
      </c>
      <c r="Q37" s="1025"/>
      <c r="R37" s="1026"/>
      <c r="S37" s="1027"/>
    </row>
    <row r="38" spans="1:23" s="114" customFormat="1" ht="18" customHeight="1" x14ac:dyDescent="0.15">
      <c r="A38" s="99"/>
      <c r="B38" s="1002"/>
      <c r="C38" s="983"/>
      <c r="D38" s="24" t="s">
        <v>0</v>
      </c>
      <c r="E38" s="33"/>
      <c r="F38" s="430"/>
      <c r="G38" s="580"/>
      <c r="H38" s="586"/>
      <c r="I38" s="587"/>
      <c r="J38" s="588"/>
    </row>
    <row r="39" spans="1:23" s="114" customFormat="1" ht="18" customHeight="1" thickBot="1" x14ac:dyDescent="0.2">
      <c r="A39" s="99"/>
      <c r="B39" s="1003"/>
      <c r="C39" s="984"/>
      <c r="D39" s="986" t="s">
        <v>201</v>
      </c>
      <c r="E39" s="987"/>
      <c r="F39" s="163">
        <f>SUM(F27:F38)</f>
        <v>34712.6875</v>
      </c>
      <c r="G39" s="164"/>
      <c r="H39" s="165"/>
      <c r="I39" s="166"/>
      <c r="J39" s="589"/>
      <c r="T39" s="115"/>
    </row>
    <row r="40" spans="1:23" s="114" customFormat="1" ht="18" customHeight="1" x14ac:dyDescent="0.15">
      <c r="A40" s="99"/>
      <c r="B40" s="970" t="s">
        <v>205</v>
      </c>
      <c r="C40" s="973" t="s">
        <v>77</v>
      </c>
      <c r="D40" s="159" t="s">
        <v>117</v>
      </c>
      <c r="E40" s="437"/>
      <c r="F40" s="438">
        <f>J40*10</f>
        <v>75000</v>
      </c>
      <c r="G40" s="416"/>
      <c r="H40" s="1034" t="s">
        <v>672</v>
      </c>
      <c r="I40" s="1034"/>
      <c r="J40" s="440">
        <v>7500</v>
      </c>
      <c r="T40" s="100"/>
      <c r="U40" s="100"/>
      <c r="V40" s="100"/>
      <c r="W40" s="100"/>
    </row>
    <row r="41" spans="1:23" s="114" customFormat="1" ht="18" customHeight="1" x14ac:dyDescent="0.15">
      <c r="A41" s="99"/>
      <c r="B41" s="971"/>
      <c r="C41" s="974"/>
      <c r="D41" s="24" t="s">
        <v>116</v>
      </c>
      <c r="E41" s="25"/>
      <c r="F41" s="153"/>
      <c r="G41" s="416"/>
      <c r="H41" s="121"/>
      <c r="I41" s="121"/>
      <c r="J41" s="174"/>
      <c r="T41" s="116"/>
      <c r="U41" s="117"/>
      <c r="V41" s="118"/>
      <c r="W41" s="116"/>
    </row>
    <row r="42" spans="1:23" s="114" customFormat="1" ht="18" customHeight="1" x14ac:dyDescent="0.15">
      <c r="A42" s="99"/>
      <c r="B42" s="971"/>
      <c r="C42" s="975"/>
      <c r="D42" s="41" t="s">
        <v>76</v>
      </c>
      <c r="E42" s="25"/>
      <c r="F42" s="154"/>
      <c r="G42" s="416"/>
      <c r="H42" s="121"/>
      <c r="I42" s="121"/>
      <c r="J42" s="174"/>
      <c r="T42" s="100"/>
      <c r="U42" s="100"/>
      <c r="V42" s="100"/>
      <c r="W42" s="100"/>
    </row>
    <row r="43" spans="1:23" s="114" customFormat="1" ht="18" customHeight="1" x14ac:dyDescent="0.15">
      <c r="B43" s="971"/>
      <c r="C43" s="976" t="s">
        <v>460</v>
      </c>
      <c r="D43" s="41" t="s">
        <v>249</v>
      </c>
      <c r="E43" s="42"/>
      <c r="F43" s="154"/>
      <c r="G43" s="416"/>
      <c r="H43" s="121"/>
      <c r="I43" s="121"/>
      <c r="J43" s="174"/>
      <c r="T43" s="101"/>
      <c r="U43" s="115"/>
      <c r="V43" s="100"/>
      <c r="W43" s="116"/>
    </row>
    <row r="44" spans="1:23" s="114" customFormat="1" ht="18" customHeight="1" x14ac:dyDescent="0.15">
      <c r="B44" s="971"/>
      <c r="C44" s="977"/>
      <c r="D44" s="441" t="s">
        <v>1</v>
      </c>
      <c r="E44" s="442"/>
      <c r="F44" s="154"/>
      <c r="G44" s="416"/>
      <c r="H44" s="121"/>
      <c r="I44" s="121"/>
      <c r="J44" s="174"/>
      <c r="T44" s="101"/>
      <c r="U44" s="115"/>
      <c r="V44" s="100"/>
      <c r="W44" s="116"/>
    </row>
    <row r="45" spans="1:23" s="114" customFormat="1" ht="18" customHeight="1" thickBot="1" x14ac:dyDescent="0.2">
      <c r="B45" s="972"/>
      <c r="C45" s="978" t="s">
        <v>90</v>
      </c>
      <c r="D45" s="979"/>
      <c r="E45" s="980"/>
      <c r="F45" s="155">
        <f>SUM(F40:F42)-SUM(F43:F44)</f>
        <v>75000</v>
      </c>
      <c r="G45" s="122"/>
      <c r="H45" s="123"/>
      <c r="I45" s="123"/>
      <c r="J45" s="175"/>
      <c r="T45" s="100"/>
      <c r="U45" s="100"/>
      <c r="V45" s="117"/>
      <c r="W45" s="100"/>
    </row>
  </sheetData>
  <mergeCells count="59">
    <mergeCell ref="Q33:S33"/>
    <mergeCell ref="G37:J37"/>
    <mergeCell ref="B6:B39"/>
    <mergeCell ref="D26:E26"/>
    <mergeCell ref="Q26:S26"/>
    <mergeCell ref="C27:C39"/>
    <mergeCell ref="D27:D29"/>
    <mergeCell ref="Q27:S27"/>
    <mergeCell ref="Q28:S28"/>
    <mergeCell ref="Q37:S37"/>
    <mergeCell ref="D39:E39"/>
    <mergeCell ref="R6:S6"/>
    <mergeCell ref="R7:S7"/>
    <mergeCell ref="R8:S8"/>
    <mergeCell ref="Q34:S34"/>
    <mergeCell ref="Q18:S18"/>
    <mergeCell ref="D22:D23"/>
    <mergeCell ref="D31:D32"/>
    <mergeCell ref="Q31:S31"/>
    <mergeCell ref="Q15:S15"/>
    <mergeCell ref="Q16:S16"/>
    <mergeCell ref="Q17:S17"/>
    <mergeCell ref="B40:B45"/>
    <mergeCell ref="C40:C42"/>
    <mergeCell ref="C43:C44"/>
    <mergeCell ref="C45:E45"/>
    <mergeCell ref="H40:I40"/>
    <mergeCell ref="Q36:S36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Q22:S22"/>
    <mergeCell ref="Q23:S23"/>
    <mergeCell ref="G35:J35"/>
    <mergeCell ref="K12:K37"/>
    <mergeCell ref="Q25:S25"/>
    <mergeCell ref="Q24:S24"/>
    <mergeCell ref="Q35:S35"/>
    <mergeCell ref="B3:E3"/>
    <mergeCell ref="K3:S3"/>
    <mergeCell ref="B4:C5"/>
    <mergeCell ref="R4:S4"/>
    <mergeCell ref="R5:S5"/>
    <mergeCell ref="Q30:S30"/>
    <mergeCell ref="Q19:S19"/>
    <mergeCell ref="Q20:S20"/>
    <mergeCell ref="Q21:S21"/>
    <mergeCell ref="Q29:S29"/>
    <mergeCell ref="Q12:S12"/>
    <mergeCell ref="C6:C26"/>
    <mergeCell ref="D18:D21"/>
    <mergeCell ref="D13:D14"/>
    <mergeCell ref="D15:D17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80" customWidth="1"/>
    <col min="2" max="2" width="7.625" style="80" customWidth="1"/>
    <col min="3" max="3" width="25.625" style="80" customWidth="1"/>
    <col min="4" max="13" width="15.625" style="80" customWidth="1"/>
    <col min="14" max="16384" width="9" style="80"/>
  </cols>
  <sheetData>
    <row r="1" spans="2:13" ht="9.9499999999999993" customHeight="1" x14ac:dyDescent="0.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3" ht="24.95" customHeight="1" thickBot="1" x14ac:dyDescent="0.2">
      <c r="B2" s="80" t="s">
        <v>102</v>
      </c>
      <c r="F2" s="249" t="s">
        <v>237</v>
      </c>
      <c r="G2" s="248" t="s">
        <v>416</v>
      </c>
      <c r="I2" s="249" t="s">
        <v>238</v>
      </c>
      <c r="J2" s="248" t="s">
        <v>394</v>
      </c>
    </row>
    <row r="3" spans="2:13" ht="20.100000000000001" customHeight="1" x14ac:dyDescent="0.15">
      <c r="B3" s="835" t="s">
        <v>109</v>
      </c>
      <c r="C3" s="836"/>
      <c r="D3" s="551" t="s">
        <v>395</v>
      </c>
      <c r="E3" s="551" t="s">
        <v>396</v>
      </c>
      <c r="F3" s="551" t="s">
        <v>284</v>
      </c>
      <c r="G3" s="551" t="s">
        <v>397</v>
      </c>
      <c r="H3" s="551" t="s">
        <v>70</v>
      </c>
      <c r="I3" s="551" t="s">
        <v>287</v>
      </c>
      <c r="J3" s="551" t="s">
        <v>325</v>
      </c>
      <c r="K3" s="551" t="s">
        <v>398</v>
      </c>
      <c r="L3" s="551" t="s">
        <v>399</v>
      </c>
      <c r="M3" s="371"/>
    </row>
    <row r="4" spans="2:13" ht="173.25" customHeight="1" x14ac:dyDescent="0.15">
      <c r="B4" s="832" t="s">
        <v>103</v>
      </c>
      <c r="C4" s="372" t="s">
        <v>104</v>
      </c>
      <c r="D4" s="553" t="s">
        <v>400</v>
      </c>
      <c r="E4" s="553" t="s">
        <v>629</v>
      </c>
      <c r="F4" s="553" t="s">
        <v>630</v>
      </c>
      <c r="G4" s="553" t="s">
        <v>631</v>
      </c>
      <c r="H4" s="553" t="s">
        <v>401</v>
      </c>
      <c r="I4" s="553" t="s">
        <v>402</v>
      </c>
      <c r="J4" s="553" t="s">
        <v>403</v>
      </c>
      <c r="K4" s="553" t="s">
        <v>632</v>
      </c>
      <c r="L4" s="373"/>
      <c r="M4" s="374"/>
    </row>
    <row r="5" spans="2:13" ht="20.100000000000001" customHeight="1" x14ac:dyDescent="0.15">
      <c r="B5" s="833"/>
      <c r="C5" s="372" t="s">
        <v>105</v>
      </c>
      <c r="D5" s="375" t="s">
        <v>417</v>
      </c>
      <c r="E5" s="375" t="s">
        <v>404</v>
      </c>
      <c r="F5" s="375" t="s">
        <v>418</v>
      </c>
      <c r="G5" s="376"/>
      <c r="H5" s="375" t="s">
        <v>405</v>
      </c>
      <c r="I5" s="375" t="s">
        <v>419</v>
      </c>
      <c r="J5" s="375" t="s">
        <v>420</v>
      </c>
      <c r="K5" s="375" t="s">
        <v>406</v>
      </c>
      <c r="L5" s="376"/>
      <c r="M5" s="377"/>
    </row>
    <row r="6" spans="2:13" ht="129" customHeight="1" x14ac:dyDescent="0.15">
      <c r="B6" s="833"/>
      <c r="C6" s="372" t="s">
        <v>108</v>
      </c>
      <c r="D6" s="378" t="s">
        <v>260</v>
      </c>
      <c r="E6" s="378" t="s">
        <v>580</v>
      </c>
      <c r="F6" s="378" t="s">
        <v>407</v>
      </c>
      <c r="G6" s="378" t="s">
        <v>256</v>
      </c>
      <c r="H6" s="373"/>
      <c r="I6" s="373" t="s">
        <v>256</v>
      </c>
      <c r="J6" s="373" t="s">
        <v>408</v>
      </c>
      <c r="K6" s="373" t="s">
        <v>623</v>
      </c>
      <c r="L6" s="373"/>
      <c r="M6" s="374"/>
    </row>
    <row r="7" spans="2:13" ht="20.100000000000001" customHeight="1" x14ac:dyDescent="0.15">
      <c r="B7" s="833"/>
      <c r="C7" s="379" t="s">
        <v>409</v>
      </c>
      <c r="D7" s="380"/>
      <c r="E7" s="380">
        <v>16</v>
      </c>
      <c r="F7" s="380">
        <v>6</v>
      </c>
      <c r="G7" s="381">
        <v>-1</v>
      </c>
      <c r="H7" s="372"/>
      <c r="I7" s="372">
        <v>2</v>
      </c>
      <c r="J7" s="372">
        <v>6.9</v>
      </c>
      <c r="K7" s="372">
        <v>12.1</v>
      </c>
      <c r="L7" s="372"/>
      <c r="M7" s="382"/>
    </row>
    <row r="8" spans="2:13" ht="20.100000000000001" customHeight="1" x14ac:dyDescent="0.15">
      <c r="B8" s="833"/>
      <c r="C8" s="383" t="s">
        <v>410</v>
      </c>
      <c r="D8" s="380">
        <v>17.2</v>
      </c>
      <c r="E8" s="380"/>
      <c r="F8" s="380">
        <v>18</v>
      </c>
      <c r="G8" s="381">
        <v>-1</v>
      </c>
      <c r="H8" s="372"/>
      <c r="I8" s="372">
        <v>5.0999999999999996</v>
      </c>
      <c r="J8" s="372">
        <v>23.3</v>
      </c>
      <c r="K8" s="372">
        <v>3.7</v>
      </c>
      <c r="L8" s="372">
        <v>2</v>
      </c>
      <c r="M8" s="382"/>
    </row>
    <row r="9" spans="2:13" ht="20.100000000000001" customHeight="1" x14ac:dyDescent="0.15">
      <c r="B9" s="834"/>
      <c r="C9" s="372" t="s">
        <v>107</v>
      </c>
      <c r="D9" s="372">
        <v>6</v>
      </c>
      <c r="E9" s="372"/>
      <c r="F9" s="372">
        <v>3</v>
      </c>
      <c r="G9" s="372"/>
      <c r="H9" s="372"/>
      <c r="I9" s="372">
        <v>3</v>
      </c>
      <c r="J9" s="372">
        <v>3</v>
      </c>
      <c r="K9" s="372">
        <v>2</v>
      </c>
      <c r="L9" s="372"/>
      <c r="M9" s="382"/>
    </row>
    <row r="10" spans="2:13" ht="150" customHeight="1" x14ac:dyDescent="0.15">
      <c r="B10" s="839" t="s">
        <v>411</v>
      </c>
      <c r="C10" s="840"/>
      <c r="D10" s="384" t="s">
        <v>412</v>
      </c>
      <c r="E10" s="384"/>
      <c r="F10" s="384" t="s">
        <v>633</v>
      </c>
      <c r="G10" s="385"/>
      <c r="H10" s="385"/>
      <c r="I10" s="386" t="s">
        <v>415</v>
      </c>
      <c r="J10" s="386" t="s">
        <v>303</v>
      </c>
      <c r="K10" s="384" t="s">
        <v>413</v>
      </c>
      <c r="L10" s="380"/>
      <c r="M10" s="387"/>
    </row>
    <row r="11" spans="2:13" ht="150" customHeight="1" thickBot="1" x14ac:dyDescent="0.2">
      <c r="B11" s="837" t="s">
        <v>106</v>
      </c>
      <c r="C11" s="838"/>
      <c r="D11" s="325" t="s">
        <v>634</v>
      </c>
      <c r="E11" s="325" t="s">
        <v>635</v>
      </c>
      <c r="F11" s="325" t="s">
        <v>636</v>
      </c>
      <c r="G11" s="326" t="s">
        <v>637</v>
      </c>
      <c r="H11" s="326" t="s">
        <v>638</v>
      </c>
      <c r="I11" s="326" t="s">
        <v>335</v>
      </c>
      <c r="J11" s="326" t="s">
        <v>639</v>
      </c>
      <c r="K11" s="326" t="s">
        <v>640</v>
      </c>
      <c r="L11" s="388"/>
      <c r="M11" s="389"/>
    </row>
    <row r="12" spans="2:13" ht="9.75" customHeight="1" x14ac:dyDescent="0.15">
      <c r="B12" s="84"/>
    </row>
  </sheetData>
  <mergeCells count="4">
    <mergeCell ref="B4:B9"/>
    <mergeCell ref="B3:C3"/>
    <mergeCell ref="B11:C11"/>
    <mergeCell ref="B10:C10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3" tint="0.79998168889431442"/>
    <pageSetUpPr fitToPage="1"/>
  </sheetPr>
  <dimension ref="A1:W45"/>
  <sheetViews>
    <sheetView topLeftCell="A19" zoomScale="75" zoomScaleNormal="75" zoomScaleSheetLayoutView="73" workbookViewId="0"/>
  </sheetViews>
  <sheetFormatPr defaultColWidth="10.875" defaultRowHeight="13.5" x14ac:dyDescent="0.15"/>
  <cols>
    <col min="1" max="1" width="1.625" style="99" customWidth="1"/>
    <col min="2" max="2" width="5.875" style="99" customWidth="1"/>
    <col min="3" max="3" width="10.625" style="99" customWidth="1"/>
    <col min="4" max="4" width="12.375" style="99" customWidth="1"/>
    <col min="5" max="5" width="14.625" style="99" customWidth="1"/>
    <col min="6" max="7" width="15.875" style="99" customWidth="1"/>
    <col min="8" max="8" width="10.875" style="99"/>
    <col min="9" max="9" width="11.375" style="99" bestFit="1" customWidth="1"/>
    <col min="10" max="10" width="13.375" style="99" customWidth="1"/>
    <col min="11" max="11" width="7.125" style="99" customWidth="1"/>
    <col min="12" max="12" width="15.375" style="99" customWidth="1"/>
    <col min="13" max="13" width="9.375" style="99" bestFit="1" customWidth="1"/>
    <col min="14" max="14" width="10.875" style="99"/>
    <col min="15" max="15" width="7.25" style="99" customWidth="1"/>
    <col min="16" max="16" width="9.625" style="99" customWidth="1"/>
    <col min="17" max="17" width="10.875" style="99" customWidth="1"/>
    <col min="18" max="18" width="7.5" style="99" customWidth="1"/>
    <col min="19" max="19" width="3.75" style="99" customWidth="1"/>
    <col min="20" max="16384" width="10.875" style="99"/>
  </cols>
  <sheetData>
    <row r="1" spans="2:19" s="100" customFormat="1" ht="9.9499999999999993" customHeight="1" x14ac:dyDescent="0.15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2:19" s="100" customFormat="1" ht="24.95" customHeight="1" thickBot="1" x14ac:dyDescent="0.2">
      <c r="B2" s="3" t="s">
        <v>578</v>
      </c>
      <c r="H2" s="101" t="s">
        <v>237</v>
      </c>
      <c r="I2" s="3" t="s">
        <v>310</v>
      </c>
      <c r="K2" s="101" t="s">
        <v>238</v>
      </c>
      <c r="L2" s="3"/>
      <c r="N2" s="99"/>
      <c r="O2" s="99"/>
      <c r="Q2" s="4"/>
      <c r="R2" s="4"/>
    </row>
    <row r="3" spans="2:19" s="100" customFormat="1" ht="18" customHeight="1" x14ac:dyDescent="0.15">
      <c r="B3" s="995" t="s">
        <v>20</v>
      </c>
      <c r="C3" s="996"/>
      <c r="D3" s="996"/>
      <c r="E3" s="997"/>
      <c r="F3" s="269" t="s">
        <v>21</v>
      </c>
      <c r="G3" s="103"/>
      <c r="H3" s="104" t="s">
        <v>22</v>
      </c>
      <c r="I3" s="102"/>
      <c r="J3" s="102"/>
      <c r="K3" s="1007" t="s">
        <v>210</v>
      </c>
      <c r="L3" s="1008"/>
      <c r="M3" s="1008"/>
      <c r="N3" s="1008"/>
      <c r="O3" s="1008"/>
      <c r="P3" s="1008"/>
      <c r="Q3" s="1008"/>
      <c r="R3" s="1008"/>
      <c r="S3" s="1009"/>
    </row>
    <row r="4" spans="2:19" s="100" customFormat="1" ht="18" customHeight="1" x14ac:dyDescent="0.15">
      <c r="B4" s="993" t="s">
        <v>23</v>
      </c>
      <c r="C4" s="1067"/>
      <c r="D4" s="185" t="s">
        <v>203</v>
      </c>
      <c r="E4" s="195"/>
      <c r="F4" s="190">
        <f>+R11</f>
        <v>204000</v>
      </c>
      <c r="G4" s="554" t="s">
        <v>187</v>
      </c>
      <c r="H4" s="555"/>
      <c r="I4" s="555"/>
      <c r="J4" s="555"/>
      <c r="K4" s="188" t="s">
        <v>245</v>
      </c>
      <c r="L4" s="250" t="s">
        <v>244</v>
      </c>
      <c r="M4" s="258" t="s">
        <v>24</v>
      </c>
      <c r="N4" s="258" t="s">
        <v>23</v>
      </c>
      <c r="O4" s="258" t="s">
        <v>245</v>
      </c>
      <c r="P4" s="250" t="s">
        <v>244</v>
      </c>
      <c r="Q4" s="258" t="s">
        <v>24</v>
      </c>
      <c r="R4" s="1068" t="s">
        <v>23</v>
      </c>
      <c r="S4" s="1069"/>
    </row>
    <row r="5" spans="2:19" s="100" customFormat="1" ht="18" customHeight="1" x14ac:dyDescent="0.15">
      <c r="B5" s="993"/>
      <c r="C5" s="1067"/>
      <c r="D5" s="185" t="s">
        <v>83</v>
      </c>
      <c r="E5" s="195"/>
      <c r="F5" s="190">
        <v>0</v>
      </c>
      <c r="G5" s="416"/>
      <c r="H5" s="556"/>
      <c r="I5" s="556"/>
      <c r="J5" s="556"/>
      <c r="K5" s="246">
        <v>9</v>
      </c>
      <c r="L5" s="190">
        <v>2400</v>
      </c>
      <c r="M5" s="190">
        <v>85</v>
      </c>
      <c r="N5" s="190">
        <f>L5*M5</f>
        <v>204000</v>
      </c>
      <c r="O5" s="190"/>
      <c r="P5" s="190"/>
      <c r="Q5" s="190"/>
      <c r="R5" s="1053">
        <f>P5*Q5</f>
        <v>0</v>
      </c>
      <c r="S5" s="1054"/>
    </row>
    <row r="6" spans="2:19" s="100" customFormat="1" ht="18" customHeight="1" x14ac:dyDescent="0.15">
      <c r="B6" s="1001" t="s">
        <v>208</v>
      </c>
      <c r="C6" s="1049" t="s">
        <v>195</v>
      </c>
      <c r="D6" s="190" t="s">
        <v>63</v>
      </c>
      <c r="E6" s="197"/>
      <c r="F6" s="190">
        <f>+P13</f>
        <v>24000</v>
      </c>
      <c r="G6" s="416" t="s">
        <v>665</v>
      </c>
      <c r="H6" s="556"/>
      <c r="I6" s="556"/>
      <c r="J6" s="556"/>
      <c r="K6" s="194"/>
      <c r="L6" s="192"/>
      <c r="M6" s="190"/>
      <c r="N6" s="190">
        <f>L6*M6</f>
        <v>0</v>
      </c>
      <c r="O6" s="190"/>
      <c r="P6" s="190"/>
      <c r="Q6" s="190"/>
      <c r="R6" s="1053">
        <f t="shared" ref="R6:R9" si="0">P6*Q6</f>
        <v>0</v>
      </c>
      <c r="S6" s="1054"/>
    </row>
    <row r="7" spans="2:19" s="100" customFormat="1" ht="18" customHeight="1" x14ac:dyDescent="0.15">
      <c r="B7" s="1002"/>
      <c r="C7" s="999"/>
      <c r="D7" s="190" t="s">
        <v>64</v>
      </c>
      <c r="E7" s="197"/>
      <c r="F7" s="190">
        <f>P22</f>
        <v>26700</v>
      </c>
      <c r="G7" s="554" t="s">
        <v>675</v>
      </c>
      <c r="H7" s="555"/>
      <c r="I7" s="555"/>
      <c r="J7" s="557"/>
      <c r="K7" s="193"/>
      <c r="L7" s="256"/>
      <c r="M7" s="190"/>
      <c r="N7" s="190">
        <f t="shared" ref="N7:N11" si="1">L7*M7</f>
        <v>0</v>
      </c>
      <c r="O7" s="190"/>
      <c r="P7" s="190"/>
      <c r="Q7" s="190"/>
      <c r="R7" s="1053">
        <f t="shared" si="0"/>
        <v>0</v>
      </c>
      <c r="S7" s="1054"/>
    </row>
    <row r="8" spans="2:19" s="100" customFormat="1" ht="18" customHeight="1" x14ac:dyDescent="0.15">
      <c r="B8" s="1002"/>
      <c r="C8" s="999"/>
      <c r="D8" s="190" t="s">
        <v>65</v>
      </c>
      <c r="E8" s="197"/>
      <c r="F8" s="190">
        <f>P28</f>
        <v>157248</v>
      </c>
      <c r="G8" s="416" t="s">
        <v>667</v>
      </c>
      <c r="H8" s="556"/>
      <c r="I8" s="556"/>
      <c r="J8" s="558"/>
      <c r="K8" s="191"/>
      <c r="L8" s="190"/>
      <c r="M8" s="190"/>
      <c r="N8" s="190">
        <f t="shared" si="1"/>
        <v>0</v>
      </c>
      <c r="O8" s="190"/>
      <c r="P8" s="190"/>
      <c r="Q8" s="190"/>
      <c r="R8" s="1053">
        <f t="shared" si="0"/>
        <v>0</v>
      </c>
      <c r="S8" s="1054"/>
    </row>
    <row r="9" spans="2:19" s="100" customFormat="1" ht="18" customHeight="1" x14ac:dyDescent="0.15">
      <c r="B9" s="1002"/>
      <c r="C9" s="999"/>
      <c r="D9" s="190" t="s">
        <v>84</v>
      </c>
      <c r="E9" s="197"/>
      <c r="F9" s="190">
        <f>P37</f>
        <v>3583.4259999999999</v>
      </c>
      <c r="G9" s="416" t="s">
        <v>668</v>
      </c>
      <c r="H9" s="556"/>
      <c r="I9" s="556"/>
      <c r="J9" s="558"/>
      <c r="K9" s="191"/>
      <c r="L9" s="190"/>
      <c r="M9" s="190"/>
      <c r="N9" s="190">
        <f t="shared" si="1"/>
        <v>0</v>
      </c>
      <c r="O9" s="190"/>
      <c r="P9" s="190"/>
      <c r="Q9" s="190"/>
      <c r="R9" s="1053">
        <f t="shared" si="0"/>
        <v>0</v>
      </c>
      <c r="S9" s="1054"/>
    </row>
    <row r="10" spans="2:19" s="100" customFormat="1" ht="18" customHeight="1" x14ac:dyDescent="0.15">
      <c r="B10" s="1002"/>
      <c r="C10" s="999"/>
      <c r="D10" s="190" t="s">
        <v>66</v>
      </c>
      <c r="E10" s="197"/>
      <c r="F10" s="190">
        <f>'８－４　大豆算出基礎'!V20</f>
        <v>2000</v>
      </c>
      <c r="G10" s="1035"/>
      <c r="H10" s="1036"/>
      <c r="I10" s="1036"/>
      <c r="J10" s="1037"/>
      <c r="K10" s="191"/>
      <c r="L10" s="190"/>
      <c r="M10" s="190"/>
      <c r="N10" s="190">
        <f t="shared" si="1"/>
        <v>0</v>
      </c>
      <c r="O10" s="190"/>
      <c r="P10" s="190"/>
      <c r="Q10" s="190"/>
      <c r="R10" s="1053"/>
      <c r="S10" s="1054"/>
    </row>
    <row r="11" spans="2:19" s="100" customFormat="1" ht="18" customHeight="1" thickBot="1" x14ac:dyDescent="0.2">
      <c r="B11" s="1002"/>
      <c r="C11" s="999"/>
      <c r="D11" s="190" t="s">
        <v>6</v>
      </c>
      <c r="E11" s="197"/>
      <c r="F11" s="190">
        <f>'８－４　大豆算出基礎'!V34</f>
        <v>83.333333333333329</v>
      </c>
      <c r="G11" s="1035"/>
      <c r="H11" s="1036"/>
      <c r="I11" s="1036"/>
      <c r="J11" s="1037"/>
      <c r="K11" s="117"/>
      <c r="L11" s="106"/>
      <c r="M11" s="106"/>
      <c r="N11" s="105">
        <f t="shared" si="1"/>
        <v>0</v>
      </c>
      <c r="O11" s="107" t="s">
        <v>25</v>
      </c>
      <c r="P11" s="108">
        <f>SUM(L5:L11,P5:Q10)</f>
        <v>2400</v>
      </c>
      <c r="Q11" s="109">
        <f>R11/P11</f>
        <v>85</v>
      </c>
      <c r="R11" s="1017">
        <f>SUM(N5:N11,R5:S10)</f>
        <v>204000</v>
      </c>
      <c r="S11" s="1018"/>
    </row>
    <row r="12" spans="2:19" s="100" customFormat="1" ht="18" customHeight="1" thickTop="1" x14ac:dyDescent="0.15">
      <c r="B12" s="1002"/>
      <c r="C12" s="999"/>
      <c r="D12" s="190" t="s">
        <v>7</v>
      </c>
      <c r="E12" s="197"/>
      <c r="F12" s="190">
        <v>0</v>
      </c>
      <c r="G12" s="416"/>
      <c r="H12" s="556"/>
      <c r="I12" s="556"/>
      <c r="J12" s="558"/>
      <c r="K12" s="1040" t="s">
        <v>209</v>
      </c>
      <c r="L12" s="187" t="s">
        <v>158</v>
      </c>
      <c r="M12" s="260" t="s">
        <v>9</v>
      </c>
      <c r="N12" s="252" t="s">
        <v>243</v>
      </c>
      <c r="O12" s="259" t="s">
        <v>24</v>
      </c>
      <c r="P12" s="259" t="s">
        <v>27</v>
      </c>
      <c r="Q12" s="1019" t="s">
        <v>28</v>
      </c>
      <c r="R12" s="1020"/>
      <c r="S12" s="1021"/>
    </row>
    <row r="13" spans="2:19" s="100" customFormat="1" ht="18" customHeight="1" x14ac:dyDescent="0.15">
      <c r="B13" s="1002"/>
      <c r="C13" s="999"/>
      <c r="D13" s="1046" t="s">
        <v>67</v>
      </c>
      <c r="E13" s="199" t="s">
        <v>183</v>
      </c>
      <c r="F13" s="190">
        <f>'６　固定資本装備と減価償却費'!L90*'７－４　大豆部門収支'!H13</f>
        <v>4158</v>
      </c>
      <c r="G13" s="416" t="s">
        <v>669</v>
      </c>
      <c r="H13" s="559">
        <v>0.01</v>
      </c>
      <c r="I13" s="1038" t="s">
        <v>191</v>
      </c>
      <c r="J13" s="1039"/>
      <c r="K13" s="1041"/>
      <c r="L13" s="267" t="s">
        <v>506</v>
      </c>
      <c r="M13" s="186" t="s">
        <v>157</v>
      </c>
      <c r="N13" s="268">
        <v>80</v>
      </c>
      <c r="O13" s="268">
        <v>300</v>
      </c>
      <c r="P13" s="268">
        <f>N13*O13</f>
        <v>24000</v>
      </c>
      <c r="Q13" s="1070" t="s">
        <v>507</v>
      </c>
      <c r="R13" s="1071"/>
      <c r="S13" s="1033"/>
    </row>
    <row r="14" spans="2:19" s="100" customFormat="1" ht="18" customHeight="1" x14ac:dyDescent="0.15">
      <c r="B14" s="1002"/>
      <c r="C14" s="999"/>
      <c r="D14" s="1047"/>
      <c r="E14" s="199" t="s">
        <v>184</v>
      </c>
      <c r="F14" s="190">
        <f>'６　固定資本装備と減価償却費'!L91*'７－４　大豆部門収支'!H14</f>
        <v>57019.400150000001</v>
      </c>
      <c r="G14" s="416" t="s">
        <v>669</v>
      </c>
      <c r="H14" s="559">
        <v>0.05</v>
      </c>
      <c r="I14" s="1038" t="s">
        <v>191</v>
      </c>
      <c r="J14" s="1039"/>
      <c r="K14" s="1041"/>
      <c r="L14" s="257"/>
      <c r="M14" s="186" t="s">
        <v>157</v>
      </c>
      <c r="N14" s="268"/>
      <c r="O14" s="268"/>
      <c r="P14" s="268">
        <f>N14*O14</f>
        <v>0</v>
      </c>
      <c r="Q14" s="1072"/>
      <c r="R14" s="1071"/>
      <c r="S14" s="1033"/>
    </row>
    <row r="15" spans="2:19" s="100" customFormat="1" ht="18" customHeight="1" thickBot="1" x14ac:dyDescent="0.2">
      <c r="B15" s="1002"/>
      <c r="C15" s="999"/>
      <c r="D15" s="1046" t="s">
        <v>85</v>
      </c>
      <c r="E15" s="199" t="s">
        <v>183</v>
      </c>
      <c r="F15" s="190">
        <f>+'６　固定資本装備と減価償却費'!P90</f>
        <v>16632</v>
      </c>
      <c r="G15" s="416" t="s">
        <v>191</v>
      </c>
      <c r="H15" s="556"/>
      <c r="I15" s="556"/>
      <c r="J15" s="558"/>
      <c r="K15" s="1041"/>
      <c r="L15" s="112" t="s">
        <v>29</v>
      </c>
      <c r="M15" s="111"/>
      <c r="N15" s="112"/>
      <c r="O15" s="112"/>
      <c r="P15" s="112">
        <f>SUM(P10:P14)</f>
        <v>26400</v>
      </c>
      <c r="Q15" s="1055"/>
      <c r="R15" s="1056"/>
      <c r="S15" s="1057"/>
    </row>
    <row r="16" spans="2:19" s="100" customFormat="1" ht="18" customHeight="1" thickTop="1" x14ac:dyDescent="0.15">
      <c r="B16" s="1002"/>
      <c r="C16" s="999"/>
      <c r="D16" s="992"/>
      <c r="E16" s="199" t="s">
        <v>184</v>
      </c>
      <c r="F16" s="190">
        <f>+'６　固定資本装備と減価償却費'!P91</f>
        <v>94927.14285714287</v>
      </c>
      <c r="G16" s="416" t="s">
        <v>191</v>
      </c>
      <c r="H16" s="590"/>
      <c r="I16" s="590"/>
      <c r="J16" s="591"/>
      <c r="K16" s="1041"/>
      <c r="L16" s="182" t="s">
        <v>159</v>
      </c>
      <c r="M16" s="183"/>
      <c r="N16" s="251" t="s">
        <v>243</v>
      </c>
      <c r="O16" s="266" t="s">
        <v>24</v>
      </c>
      <c r="P16" s="184" t="s">
        <v>27</v>
      </c>
      <c r="Q16" s="1014" t="s">
        <v>28</v>
      </c>
      <c r="R16" s="1015"/>
      <c r="S16" s="1016"/>
    </row>
    <row r="17" spans="1:19" s="100" customFormat="1" ht="18" customHeight="1" x14ac:dyDescent="0.15">
      <c r="B17" s="1002"/>
      <c r="C17" s="999"/>
      <c r="D17" s="1047"/>
      <c r="E17" s="190" t="s">
        <v>68</v>
      </c>
      <c r="F17" s="190">
        <f>'６（参考）大豆資本装備'!P63</f>
        <v>0</v>
      </c>
      <c r="G17" s="416" t="s">
        <v>191</v>
      </c>
      <c r="H17" s="590"/>
      <c r="I17" s="590"/>
      <c r="J17" s="591"/>
      <c r="K17" s="1041"/>
      <c r="L17" s="185" t="s">
        <v>165</v>
      </c>
      <c r="M17" s="186"/>
      <c r="N17" s="162" t="s">
        <v>570</v>
      </c>
      <c r="O17" s="180"/>
      <c r="P17" s="178">
        <f>'８－４　大豆算出基礎'!G7</f>
        <v>0</v>
      </c>
      <c r="Q17" s="1058"/>
      <c r="R17" s="1059"/>
      <c r="S17" s="1060"/>
    </row>
    <row r="18" spans="1:19" s="100" customFormat="1" ht="18" customHeight="1" x14ac:dyDescent="0.15">
      <c r="A18" s="99"/>
      <c r="B18" s="1002"/>
      <c r="C18" s="999"/>
      <c r="D18" s="1048" t="s">
        <v>247</v>
      </c>
      <c r="E18" s="256" t="s">
        <v>115</v>
      </c>
      <c r="F18" s="190">
        <v>0</v>
      </c>
      <c r="G18" s="416"/>
      <c r="H18" s="590"/>
      <c r="I18" s="590"/>
      <c r="J18" s="591"/>
      <c r="K18" s="1041"/>
      <c r="L18" s="185" t="s">
        <v>163</v>
      </c>
      <c r="M18" s="186"/>
      <c r="N18" s="162" t="s">
        <v>570</v>
      </c>
      <c r="O18" s="180"/>
      <c r="P18" s="178">
        <f>'８－４　大豆算出基礎'!G11</f>
        <v>6000</v>
      </c>
      <c r="Q18" s="1058"/>
      <c r="R18" s="1059"/>
      <c r="S18" s="1060"/>
    </row>
    <row r="19" spans="1:19" s="100" customFormat="1" ht="18" customHeight="1" x14ac:dyDescent="0.15">
      <c r="A19" s="99"/>
      <c r="B19" s="1002"/>
      <c r="C19" s="999"/>
      <c r="D19" s="1048"/>
      <c r="E19" s="256" t="s">
        <v>111</v>
      </c>
      <c r="F19" s="190">
        <f>J19*'５－４　大豆作業時間'!AP26</f>
        <v>24300</v>
      </c>
      <c r="G19" s="416"/>
      <c r="H19" s="590"/>
      <c r="I19" s="592" t="s">
        <v>670</v>
      </c>
      <c r="J19" s="593">
        <v>1000</v>
      </c>
      <c r="K19" s="1041"/>
      <c r="L19" s="162" t="s">
        <v>164</v>
      </c>
      <c r="M19" s="176"/>
      <c r="N19" s="162" t="s">
        <v>570</v>
      </c>
      <c r="O19" s="180"/>
      <c r="P19" s="178">
        <f>'８－４　大豆算出基礎'!G16</f>
        <v>20700</v>
      </c>
      <c r="Q19" s="1058"/>
      <c r="R19" s="1059"/>
      <c r="S19" s="1060"/>
    </row>
    <row r="20" spans="1:19" s="100" customFormat="1" ht="18" customHeight="1" x14ac:dyDescent="0.15">
      <c r="A20" s="99"/>
      <c r="B20" s="1002"/>
      <c r="C20" s="999"/>
      <c r="D20" s="1048"/>
      <c r="E20" s="256" t="s">
        <v>112</v>
      </c>
      <c r="F20" s="190">
        <f>J20*'５－４　大豆作業時間'!AQ26</f>
        <v>42750</v>
      </c>
      <c r="G20" s="416"/>
      <c r="H20" s="590"/>
      <c r="I20" s="592" t="s">
        <v>674</v>
      </c>
      <c r="J20" s="593">
        <v>900</v>
      </c>
      <c r="K20" s="1041"/>
      <c r="L20" s="162" t="s">
        <v>166</v>
      </c>
      <c r="M20" s="176"/>
      <c r="N20" s="162"/>
      <c r="O20" s="180"/>
      <c r="P20" s="178">
        <f>'８－４　大豆算出基礎'!G20</f>
        <v>0</v>
      </c>
      <c r="Q20" s="1058"/>
      <c r="R20" s="1059"/>
      <c r="S20" s="1060"/>
    </row>
    <row r="21" spans="1:19" s="100" customFormat="1" ht="18" customHeight="1" x14ac:dyDescent="0.15">
      <c r="A21" s="99"/>
      <c r="B21" s="1002"/>
      <c r="C21" s="999"/>
      <c r="D21" s="1048"/>
      <c r="E21" s="256" t="s">
        <v>113</v>
      </c>
      <c r="F21" s="413">
        <f>(F19+F20)*0.012</f>
        <v>804.6</v>
      </c>
      <c r="G21" s="416"/>
      <c r="H21" s="590"/>
      <c r="I21" s="590"/>
      <c r="J21" s="591"/>
      <c r="K21" s="1041"/>
      <c r="L21" s="162" t="s">
        <v>167</v>
      </c>
      <c r="M21" s="176"/>
      <c r="N21" s="162"/>
      <c r="O21" s="178"/>
      <c r="P21" s="178">
        <f>'８－４　大豆算出基礎'!G24</f>
        <v>0</v>
      </c>
      <c r="Q21" s="1058"/>
      <c r="R21" s="1059"/>
      <c r="S21" s="1060"/>
    </row>
    <row r="22" spans="1:19" s="100" customFormat="1" ht="18" customHeight="1" thickBot="1" x14ac:dyDescent="0.2">
      <c r="A22" s="99"/>
      <c r="B22" s="1002"/>
      <c r="C22" s="999"/>
      <c r="D22" s="1048" t="s">
        <v>69</v>
      </c>
      <c r="E22" s="256" t="s">
        <v>70</v>
      </c>
      <c r="F22" s="413">
        <f t="shared" ref="F22:F23" si="2">I22*10</f>
        <v>23760</v>
      </c>
      <c r="G22" s="416"/>
      <c r="H22" s="590"/>
      <c r="I22" s="556">
        <v>2376</v>
      </c>
      <c r="J22" s="591" t="s">
        <v>299</v>
      </c>
      <c r="K22" s="1041"/>
      <c r="L22" s="112" t="s">
        <v>29</v>
      </c>
      <c r="M22" s="111"/>
      <c r="N22" s="112"/>
      <c r="O22" s="112"/>
      <c r="P22" s="112">
        <f>SUM(P17:P21)</f>
        <v>26700</v>
      </c>
      <c r="Q22" s="1055"/>
      <c r="R22" s="1056"/>
      <c r="S22" s="1057"/>
    </row>
    <row r="23" spans="1:19" s="100" customFormat="1" ht="18" customHeight="1" thickTop="1" x14ac:dyDescent="0.15">
      <c r="A23" s="99"/>
      <c r="B23" s="1002"/>
      <c r="C23" s="999"/>
      <c r="D23" s="1048"/>
      <c r="E23" s="256" t="s">
        <v>86</v>
      </c>
      <c r="F23" s="413">
        <f t="shared" si="2"/>
        <v>50000</v>
      </c>
      <c r="G23" s="416"/>
      <c r="H23" s="590"/>
      <c r="I23" s="556">
        <v>5000</v>
      </c>
      <c r="J23" s="591" t="s">
        <v>299</v>
      </c>
      <c r="K23" s="1041"/>
      <c r="L23" s="162" t="s">
        <v>160</v>
      </c>
      <c r="M23" s="176"/>
      <c r="N23" s="177" t="s">
        <v>26</v>
      </c>
      <c r="O23" s="177" t="s">
        <v>24</v>
      </c>
      <c r="P23" s="177" t="s">
        <v>27</v>
      </c>
      <c r="Q23" s="1014" t="s">
        <v>28</v>
      </c>
      <c r="R23" s="1015"/>
      <c r="S23" s="1016"/>
    </row>
    <row r="24" spans="1:19" s="100" customFormat="1" ht="18" customHeight="1" x14ac:dyDescent="0.15">
      <c r="A24" s="99"/>
      <c r="B24" s="1002"/>
      <c r="C24" s="999"/>
      <c r="D24" s="190" t="s">
        <v>71</v>
      </c>
      <c r="E24" s="197"/>
      <c r="F24" s="413">
        <f>I24*10</f>
        <v>30000</v>
      </c>
      <c r="G24" s="416"/>
      <c r="H24" s="590"/>
      <c r="I24" s="562">
        <v>3000</v>
      </c>
      <c r="J24" s="591" t="s">
        <v>299</v>
      </c>
      <c r="K24" s="1041"/>
      <c r="L24" s="178" t="s">
        <v>30</v>
      </c>
      <c r="M24" s="176"/>
      <c r="N24" s="162" t="s">
        <v>571</v>
      </c>
      <c r="O24" s="178"/>
      <c r="P24" s="178">
        <f>'８－４　大豆算出基礎'!G38</f>
        <v>17088</v>
      </c>
      <c r="Q24" s="1058"/>
      <c r="R24" s="1059"/>
      <c r="S24" s="1060"/>
    </row>
    <row r="25" spans="1:19" s="100" customFormat="1" ht="18" customHeight="1" x14ac:dyDescent="0.15">
      <c r="A25" s="99"/>
      <c r="B25" s="1002"/>
      <c r="C25" s="999"/>
      <c r="D25" s="190" t="s">
        <v>162</v>
      </c>
      <c r="E25" s="197"/>
      <c r="F25" s="413">
        <f>SUM(F6:F24)/99</f>
        <v>5636.0192155603654</v>
      </c>
      <c r="G25" s="427" t="s">
        <v>212</v>
      </c>
      <c r="H25" s="563">
        <v>0.01</v>
      </c>
      <c r="I25" s="594"/>
      <c r="J25" s="595"/>
      <c r="K25" s="1041"/>
      <c r="L25" s="178" t="s">
        <v>31</v>
      </c>
      <c r="M25" s="176"/>
      <c r="N25" s="162" t="s">
        <v>571</v>
      </c>
      <c r="O25" s="178"/>
      <c r="P25" s="178">
        <f>'８－４　大豆算出基礎'!G48</f>
        <v>5160</v>
      </c>
      <c r="Q25" s="1058"/>
      <c r="R25" s="1059"/>
      <c r="S25" s="1060"/>
    </row>
    <row r="26" spans="1:19" s="100" customFormat="1" ht="18" customHeight="1" x14ac:dyDescent="0.15">
      <c r="A26" s="99"/>
      <c r="B26" s="1002"/>
      <c r="C26" s="1050"/>
      <c r="D26" s="988" t="s">
        <v>202</v>
      </c>
      <c r="E26" s="989"/>
      <c r="F26" s="126">
        <f>SUM(F6:F25)</f>
        <v>563601.92155603657</v>
      </c>
      <c r="G26" s="429"/>
      <c r="H26" s="594"/>
      <c r="I26" s="594"/>
      <c r="J26" s="596"/>
      <c r="K26" s="1041"/>
      <c r="L26" s="178" t="s">
        <v>32</v>
      </c>
      <c r="M26" s="176"/>
      <c r="N26" s="162" t="s">
        <v>572</v>
      </c>
      <c r="O26" s="178"/>
      <c r="P26" s="178">
        <f>'８－４　大豆算出基礎'!G53</f>
        <v>135000</v>
      </c>
      <c r="Q26" s="1058"/>
      <c r="R26" s="1059"/>
      <c r="S26" s="1060"/>
    </row>
    <row r="27" spans="1:19" s="100" customFormat="1" ht="18" customHeight="1" x14ac:dyDescent="0.15">
      <c r="A27" s="99"/>
      <c r="B27" s="1002"/>
      <c r="C27" s="982" t="s">
        <v>190</v>
      </c>
      <c r="D27" s="1051" t="s">
        <v>72</v>
      </c>
      <c r="E27" s="24" t="s">
        <v>3</v>
      </c>
      <c r="F27" s="417">
        <f>P11/30*J27</f>
        <v>6400</v>
      </c>
      <c r="G27" s="554"/>
      <c r="H27" s="556"/>
      <c r="I27" s="110" t="s">
        <v>574</v>
      </c>
      <c r="J27" s="565">
        <v>80</v>
      </c>
      <c r="K27" s="1041"/>
      <c r="L27" s="178" t="s">
        <v>136</v>
      </c>
      <c r="M27" s="176"/>
      <c r="N27" s="162"/>
      <c r="O27" s="178"/>
      <c r="P27" s="178">
        <f>'８－４　大豆算出基礎'!G57</f>
        <v>0</v>
      </c>
      <c r="Q27" s="1058"/>
      <c r="R27" s="1059"/>
      <c r="S27" s="1060"/>
    </row>
    <row r="28" spans="1:19" s="100" customFormat="1" ht="18" customHeight="1" thickBot="1" x14ac:dyDescent="0.2">
      <c r="A28" s="99"/>
      <c r="B28" s="1002"/>
      <c r="C28" s="983"/>
      <c r="D28" s="885"/>
      <c r="E28" s="24" t="s">
        <v>4</v>
      </c>
      <c r="F28" s="430">
        <v>0</v>
      </c>
      <c r="G28" s="554"/>
      <c r="H28" s="566"/>
      <c r="I28" s="566"/>
      <c r="J28" s="567"/>
      <c r="K28" s="1041"/>
      <c r="L28" s="112" t="s">
        <v>29</v>
      </c>
      <c r="M28" s="111"/>
      <c r="N28" s="112"/>
      <c r="O28" s="112"/>
      <c r="P28" s="112">
        <f>SUM(P24:P27)</f>
        <v>157248</v>
      </c>
      <c r="Q28" s="1055"/>
      <c r="R28" s="1056"/>
      <c r="S28" s="1057"/>
    </row>
    <row r="29" spans="1:19" s="100" customFormat="1" ht="18" customHeight="1" thickTop="1" x14ac:dyDescent="0.15">
      <c r="A29" s="99"/>
      <c r="B29" s="1002"/>
      <c r="C29" s="983"/>
      <c r="D29" s="1052"/>
      <c r="E29" s="24" t="s">
        <v>8</v>
      </c>
      <c r="F29" s="417">
        <f>P11*J29</f>
        <v>36000</v>
      </c>
      <c r="G29" s="554"/>
      <c r="H29" s="555"/>
      <c r="I29" s="566" t="s">
        <v>304</v>
      </c>
      <c r="J29" s="597">
        <v>15</v>
      </c>
      <c r="K29" s="1041"/>
      <c r="L29" s="162" t="s">
        <v>161</v>
      </c>
      <c r="M29" s="176"/>
      <c r="N29" s="177" t="s">
        <v>26</v>
      </c>
      <c r="O29" s="177" t="s">
        <v>24</v>
      </c>
      <c r="P29" s="177" t="s">
        <v>27</v>
      </c>
      <c r="Q29" s="1014" t="s">
        <v>28</v>
      </c>
      <c r="R29" s="1015"/>
      <c r="S29" s="1016"/>
    </row>
    <row r="30" spans="1:19" s="100" customFormat="1" ht="18" customHeight="1" x14ac:dyDescent="0.15">
      <c r="A30" s="99"/>
      <c r="B30" s="1002"/>
      <c r="C30" s="983"/>
      <c r="D30" s="24" t="s">
        <v>73</v>
      </c>
      <c r="E30" s="25"/>
      <c r="F30" s="417">
        <v>0</v>
      </c>
      <c r="G30" s="554"/>
      <c r="H30" s="555"/>
      <c r="I30" s="566"/>
      <c r="J30" s="569"/>
      <c r="K30" s="1041"/>
      <c r="L30" s="178" t="s">
        <v>49</v>
      </c>
      <c r="M30" s="179"/>
      <c r="N30" s="162" t="s">
        <v>211</v>
      </c>
      <c r="O30" s="180"/>
      <c r="P30" s="178">
        <f>'８－４　大豆算出基礎'!N10</f>
        <v>689.92000000000007</v>
      </c>
      <c r="Q30" s="1061"/>
      <c r="R30" s="1062"/>
      <c r="S30" s="1063"/>
    </row>
    <row r="31" spans="1:19" s="100" customFormat="1" ht="18" customHeight="1" x14ac:dyDescent="0.15">
      <c r="A31" s="99"/>
      <c r="B31" s="1002"/>
      <c r="C31" s="983"/>
      <c r="D31" s="895" t="s">
        <v>248</v>
      </c>
      <c r="E31" s="255" t="s">
        <v>115</v>
      </c>
      <c r="F31" s="417">
        <v>0</v>
      </c>
      <c r="G31" s="554"/>
      <c r="H31" s="570"/>
      <c r="I31" s="570"/>
      <c r="J31" s="571"/>
      <c r="K31" s="1041"/>
      <c r="L31" s="178" t="s">
        <v>48</v>
      </c>
      <c r="M31" s="179"/>
      <c r="N31" s="162" t="s">
        <v>211</v>
      </c>
      <c r="O31" s="180"/>
      <c r="P31" s="178">
        <f>+'８－４　大豆算出基礎'!N15</f>
        <v>0</v>
      </c>
      <c r="Q31" s="1061"/>
      <c r="R31" s="1062"/>
      <c r="S31" s="1063"/>
    </row>
    <row r="32" spans="1:19" s="100" customFormat="1" ht="18" customHeight="1" x14ac:dyDescent="0.15">
      <c r="A32" s="99"/>
      <c r="B32" s="1002"/>
      <c r="C32" s="983"/>
      <c r="D32" s="895"/>
      <c r="E32" s="255" t="s">
        <v>114</v>
      </c>
      <c r="F32" s="417">
        <v>0</v>
      </c>
      <c r="G32" s="554"/>
      <c r="H32" s="572"/>
      <c r="I32" s="572"/>
      <c r="J32" s="573"/>
      <c r="K32" s="1041"/>
      <c r="L32" s="178" t="s">
        <v>50</v>
      </c>
      <c r="M32" s="176"/>
      <c r="N32" s="180"/>
      <c r="O32" s="180"/>
      <c r="P32" s="178">
        <f>SUM(P30:P31)*R32</f>
        <v>206.97600000000003</v>
      </c>
      <c r="Q32" s="261" t="s">
        <v>33</v>
      </c>
      <c r="R32" s="181">
        <v>0.3</v>
      </c>
      <c r="S32" s="113"/>
    </row>
    <row r="33" spans="1:23" ht="18" customHeight="1" x14ac:dyDescent="0.15">
      <c r="B33" s="1002"/>
      <c r="C33" s="983"/>
      <c r="D33" s="24" t="s">
        <v>74</v>
      </c>
      <c r="E33" s="33"/>
      <c r="F33" s="417">
        <v>0</v>
      </c>
      <c r="G33" s="554"/>
      <c r="H33" s="574"/>
      <c r="I33" s="560"/>
      <c r="J33" s="569"/>
      <c r="K33" s="1041"/>
      <c r="L33" s="178" t="s">
        <v>51</v>
      </c>
      <c r="M33" s="179"/>
      <c r="N33" s="162" t="s">
        <v>211</v>
      </c>
      <c r="O33" s="180"/>
      <c r="P33" s="178">
        <f>+'８－４　大豆算出基礎'!N19</f>
        <v>0</v>
      </c>
      <c r="Q33" s="1058"/>
      <c r="R33" s="1059"/>
      <c r="S33" s="1060"/>
    </row>
    <row r="34" spans="1:23" ht="18" customHeight="1" x14ac:dyDescent="0.15">
      <c r="B34" s="1002"/>
      <c r="C34" s="983"/>
      <c r="D34" s="24" t="s">
        <v>87</v>
      </c>
      <c r="E34" s="33"/>
      <c r="F34" s="417">
        <v>0</v>
      </c>
      <c r="G34" s="554"/>
      <c r="H34" s="575"/>
      <c r="I34" s="576"/>
      <c r="J34" s="577"/>
      <c r="K34" s="1041"/>
      <c r="L34" s="178" t="s">
        <v>52</v>
      </c>
      <c r="M34" s="179"/>
      <c r="N34" s="162" t="s">
        <v>211</v>
      </c>
      <c r="O34" s="180"/>
      <c r="P34" s="178">
        <f>+'８－４　大豆算出基礎'!N23</f>
        <v>2301.5299999999997</v>
      </c>
      <c r="Q34" s="1058"/>
      <c r="R34" s="1059"/>
      <c r="S34" s="1060"/>
    </row>
    <row r="35" spans="1:23" ht="18" customHeight="1" x14ac:dyDescent="0.15">
      <c r="B35" s="1002"/>
      <c r="C35" s="983"/>
      <c r="D35" s="24" t="s">
        <v>118</v>
      </c>
      <c r="E35" s="25"/>
      <c r="F35" s="127">
        <f>'８－４　大豆算出基礎'!V57</f>
        <v>22995</v>
      </c>
      <c r="G35" s="1035"/>
      <c r="H35" s="1036"/>
      <c r="I35" s="1036"/>
      <c r="J35" s="1037"/>
      <c r="K35" s="1041"/>
      <c r="L35" s="178" t="s">
        <v>246</v>
      </c>
      <c r="M35" s="179"/>
      <c r="N35" s="162" t="s">
        <v>211</v>
      </c>
      <c r="O35" s="180"/>
      <c r="P35" s="178">
        <f>+'８－４　大豆算出基礎'!N27</f>
        <v>0</v>
      </c>
      <c r="Q35" s="1058"/>
      <c r="R35" s="1059"/>
      <c r="S35" s="1060"/>
    </row>
    <row r="36" spans="1:23" ht="18" customHeight="1" x14ac:dyDescent="0.15">
      <c r="B36" s="1002"/>
      <c r="C36" s="983"/>
      <c r="D36" s="41" t="s">
        <v>88</v>
      </c>
      <c r="E36" s="42"/>
      <c r="F36" s="212">
        <v>0</v>
      </c>
      <c r="G36" s="416"/>
      <c r="H36" s="575"/>
      <c r="I36" s="576"/>
      <c r="J36" s="569"/>
      <c r="K36" s="1041"/>
      <c r="L36" s="178" t="s">
        <v>53</v>
      </c>
      <c r="M36" s="176"/>
      <c r="N36" s="162" t="s">
        <v>211</v>
      </c>
      <c r="O36" s="180"/>
      <c r="P36" s="178">
        <f>+'８－４　大豆算出基礎'!N31</f>
        <v>385</v>
      </c>
      <c r="Q36" s="1058"/>
      <c r="R36" s="1059"/>
      <c r="S36" s="1060"/>
    </row>
    <row r="37" spans="1:23" ht="18" customHeight="1" thickBot="1" x14ac:dyDescent="0.2">
      <c r="B37" s="1002"/>
      <c r="C37" s="983"/>
      <c r="D37" s="24" t="s">
        <v>75</v>
      </c>
      <c r="E37" s="25"/>
      <c r="F37" s="127">
        <f>'８－４　大豆算出基礎'!N57</f>
        <v>9675.44</v>
      </c>
      <c r="G37" s="1035"/>
      <c r="H37" s="1036"/>
      <c r="I37" s="1036"/>
      <c r="J37" s="1037"/>
      <c r="K37" s="1042"/>
      <c r="L37" s="120" t="s">
        <v>29</v>
      </c>
      <c r="M37" s="119"/>
      <c r="N37" s="120"/>
      <c r="O37" s="120"/>
      <c r="P37" s="120">
        <f>SUM(P30:P36)</f>
        <v>3583.4259999999999</v>
      </c>
      <c r="Q37" s="1025"/>
      <c r="R37" s="1026"/>
      <c r="S37" s="1027"/>
    </row>
    <row r="38" spans="1:23" s="114" customFormat="1" ht="18" customHeight="1" x14ac:dyDescent="0.15">
      <c r="A38" s="99"/>
      <c r="B38" s="1002"/>
      <c r="C38" s="983"/>
      <c r="D38" s="24" t="s">
        <v>0</v>
      </c>
      <c r="E38" s="33"/>
      <c r="F38" s="127">
        <v>0</v>
      </c>
      <c r="G38" s="580"/>
      <c r="H38" s="586"/>
      <c r="I38" s="587"/>
      <c r="J38" s="588"/>
    </row>
    <row r="39" spans="1:23" s="114" customFormat="1" ht="18" customHeight="1" thickBot="1" x14ac:dyDescent="0.2">
      <c r="A39" s="99"/>
      <c r="B39" s="1003"/>
      <c r="C39" s="984"/>
      <c r="D39" s="986" t="s">
        <v>201</v>
      </c>
      <c r="E39" s="987"/>
      <c r="F39" s="163">
        <f>SUM(F27:F38)</f>
        <v>75070.44</v>
      </c>
      <c r="G39" s="164"/>
      <c r="H39" s="165"/>
      <c r="I39" s="166"/>
      <c r="J39" s="589"/>
      <c r="T39" s="115"/>
    </row>
    <row r="40" spans="1:23" s="114" customFormat="1" ht="18" customHeight="1" x14ac:dyDescent="0.15">
      <c r="A40" s="99"/>
      <c r="B40" s="970" t="s">
        <v>205</v>
      </c>
      <c r="C40" s="973" t="s">
        <v>77</v>
      </c>
      <c r="D40" s="159" t="s">
        <v>117</v>
      </c>
      <c r="E40" s="160"/>
      <c r="F40" s="161">
        <f>41000*10+11660*L5/60</f>
        <v>876400</v>
      </c>
      <c r="G40" s="1064" t="s">
        <v>620</v>
      </c>
      <c r="H40" s="1065"/>
      <c r="I40" s="1065"/>
      <c r="J40" s="1066"/>
      <c r="T40" s="100"/>
      <c r="U40" s="100"/>
      <c r="V40" s="100"/>
      <c r="W40" s="100"/>
    </row>
    <row r="41" spans="1:23" s="114" customFormat="1" ht="18" customHeight="1" x14ac:dyDescent="0.15">
      <c r="A41" s="99"/>
      <c r="B41" s="971"/>
      <c r="C41" s="1044"/>
      <c r="D41" s="24" t="s">
        <v>116</v>
      </c>
      <c r="E41" s="25"/>
      <c r="F41" s="153">
        <v>0</v>
      </c>
      <c r="G41" s="416"/>
      <c r="H41" s="439"/>
      <c r="I41" s="439"/>
      <c r="J41" s="536"/>
      <c r="T41" s="116"/>
      <c r="U41" s="117"/>
      <c r="V41" s="118"/>
      <c r="W41" s="116"/>
    </row>
    <row r="42" spans="1:23" s="114" customFormat="1" ht="18" customHeight="1" x14ac:dyDescent="0.15">
      <c r="A42" s="99"/>
      <c r="B42" s="971"/>
      <c r="C42" s="975"/>
      <c r="D42" s="41" t="s">
        <v>76</v>
      </c>
      <c r="E42" s="25"/>
      <c r="F42" s="153">
        <v>0</v>
      </c>
      <c r="G42" s="416"/>
      <c r="H42" s="121"/>
      <c r="I42" s="121"/>
      <c r="J42" s="174"/>
      <c r="T42" s="100"/>
      <c r="U42" s="100"/>
      <c r="V42" s="100"/>
      <c r="W42" s="100"/>
    </row>
    <row r="43" spans="1:23" s="114" customFormat="1" ht="18" customHeight="1" x14ac:dyDescent="0.15">
      <c r="B43" s="971"/>
      <c r="C43" s="976" t="s">
        <v>204</v>
      </c>
      <c r="D43" s="41" t="s">
        <v>249</v>
      </c>
      <c r="E43" s="42"/>
      <c r="F43" s="153">
        <v>0</v>
      </c>
      <c r="G43" s="416"/>
      <c r="H43" s="121"/>
      <c r="I43" s="121"/>
      <c r="J43" s="174"/>
      <c r="T43" s="101"/>
      <c r="U43" s="115"/>
      <c r="V43" s="100"/>
      <c r="W43" s="116"/>
    </row>
    <row r="44" spans="1:23" s="114" customFormat="1" ht="18" customHeight="1" x14ac:dyDescent="0.15">
      <c r="B44" s="971"/>
      <c r="C44" s="1045"/>
      <c r="D44" s="43" t="s">
        <v>1</v>
      </c>
      <c r="E44" s="44"/>
      <c r="F44" s="153">
        <v>0</v>
      </c>
      <c r="G44" s="162"/>
      <c r="H44" s="121"/>
      <c r="I44" s="121"/>
      <c r="J44" s="174"/>
      <c r="T44" s="101"/>
      <c r="U44" s="115"/>
      <c r="V44" s="100"/>
      <c r="W44" s="116"/>
    </row>
    <row r="45" spans="1:23" s="114" customFormat="1" ht="18" customHeight="1" thickBot="1" x14ac:dyDescent="0.2">
      <c r="B45" s="972"/>
      <c r="C45" s="978" t="s">
        <v>90</v>
      </c>
      <c r="D45" s="979"/>
      <c r="E45" s="980"/>
      <c r="F45" s="155">
        <f>SUM(F40:F42)-SUM(F43:F44)</f>
        <v>876400</v>
      </c>
      <c r="G45" s="122"/>
      <c r="H45" s="123"/>
      <c r="I45" s="123"/>
      <c r="J45" s="175"/>
      <c r="T45" s="100"/>
      <c r="U45" s="100"/>
      <c r="V45" s="117"/>
      <c r="W45" s="100"/>
    </row>
  </sheetData>
  <mergeCells count="59">
    <mergeCell ref="G40:J40"/>
    <mergeCell ref="B3:E3"/>
    <mergeCell ref="K3:S3"/>
    <mergeCell ref="B4:C5"/>
    <mergeCell ref="R4:S4"/>
    <mergeCell ref="R5:S5"/>
    <mergeCell ref="R9:S9"/>
    <mergeCell ref="G10:J10"/>
    <mergeCell ref="R10:S10"/>
    <mergeCell ref="G11:J11"/>
    <mergeCell ref="R11:S11"/>
    <mergeCell ref="I13:J13"/>
    <mergeCell ref="Q13:S13"/>
    <mergeCell ref="I14:J14"/>
    <mergeCell ref="Q14:S14"/>
    <mergeCell ref="D15:D17"/>
    <mergeCell ref="Q17:S17"/>
    <mergeCell ref="K12:K37"/>
    <mergeCell ref="Q12:S12"/>
    <mergeCell ref="Q24:S24"/>
    <mergeCell ref="Q25:S25"/>
    <mergeCell ref="Q18:S18"/>
    <mergeCell ref="Q19:S19"/>
    <mergeCell ref="Q20:S20"/>
    <mergeCell ref="Q21:S21"/>
    <mergeCell ref="Q36:S36"/>
    <mergeCell ref="Q22:S22"/>
    <mergeCell ref="Q23:S23"/>
    <mergeCell ref="Q26:S26"/>
    <mergeCell ref="R6:S6"/>
    <mergeCell ref="R7:S7"/>
    <mergeCell ref="Q15:S15"/>
    <mergeCell ref="G37:J37"/>
    <mergeCell ref="Q37:S37"/>
    <mergeCell ref="R8:S8"/>
    <mergeCell ref="Q34:S34"/>
    <mergeCell ref="G35:J35"/>
    <mergeCell ref="Q35:S35"/>
    <mergeCell ref="Q27:S27"/>
    <mergeCell ref="Q28:S28"/>
    <mergeCell ref="Q29:S29"/>
    <mergeCell ref="Q30:S30"/>
    <mergeCell ref="Q31:S31"/>
    <mergeCell ref="Q33:S33"/>
    <mergeCell ref="Q16:S16"/>
    <mergeCell ref="B40:B45"/>
    <mergeCell ref="C40:C42"/>
    <mergeCell ref="C43:C44"/>
    <mergeCell ref="C45:E45"/>
    <mergeCell ref="B6:B39"/>
    <mergeCell ref="D26:E26"/>
    <mergeCell ref="D13:D14"/>
    <mergeCell ref="D18:D21"/>
    <mergeCell ref="D22:D23"/>
    <mergeCell ref="C6:C26"/>
    <mergeCell ref="C27:C39"/>
    <mergeCell ref="D27:D29"/>
    <mergeCell ref="D31:D32"/>
    <mergeCell ref="D39:E39"/>
  </mergeCells>
  <phoneticPr fontId="4"/>
  <pageMargins left="0.78740157480314965" right="0.78740157480314965" top="0.78740157480314965" bottom="0.78740157480314965" header="0.39370078740157483" footer="0.39370078740157483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W47"/>
  <sheetViews>
    <sheetView zoomScale="75" zoomScaleNormal="75" workbookViewId="0"/>
  </sheetViews>
  <sheetFormatPr defaultColWidth="10.875" defaultRowHeight="13.5" x14ac:dyDescent="0.15"/>
  <cols>
    <col min="1" max="1" width="1.625" style="99" customWidth="1"/>
    <col min="2" max="2" width="5.875" style="99" customWidth="1"/>
    <col min="3" max="3" width="10.625" style="99" customWidth="1"/>
    <col min="4" max="4" width="12.375" style="99" customWidth="1"/>
    <col min="5" max="5" width="14.625" style="99" customWidth="1"/>
    <col min="6" max="7" width="15.875" style="99" customWidth="1"/>
    <col min="8" max="8" width="10.875" style="99"/>
    <col min="9" max="9" width="11.375" style="99" bestFit="1" customWidth="1"/>
    <col min="10" max="10" width="13.375" style="99" customWidth="1"/>
    <col min="11" max="11" width="7.125" style="99" customWidth="1"/>
    <col min="12" max="12" width="15.375" style="99" customWidth="1"/>
    <col min="13" max="13" width="9.375" style="99" bestFit="1" customWidth="1"/>
    <col min="14" max="14" width="10.875" style="99"/>
    <col min="15" max="15" width="7.25" style="99" customWidth="1"/>
    <col min="16" max="16" width="9.625" style="99" customWidth="1"/>
    <col min="17" max="17" width="10.875" style="99" customWidth="1"/>
    <col min="18" max="18" width="7.5" style="99" customWidth="1"/>
    <col min="19" max="19" width="3.75" style="99" customWidth="1"/>
    <col min="20" max="16384" width="10.875" style="99"/>
  </cols>
  <sheetData>
    <row r="1" spans="2:19" ht="24.75" customHeight="1" x14ac:dyDescent="0.15"/>
    <row r="2" spans="2:19" s="100" customFormat="1" ht="24.75" customHeight="1" x14ac:dyDescent="0.15">
      <c r="B2" s="3" t="s">
        <v>655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2:19" s="100" customFormat="1" ht="24.75" customHeight="1" x14ac:dyDescent="0.15">
      <c r="B3" s="3" t="s">
        <v>654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2:19" s="100" customFormat="1" ht="24.95" customHeight="1" thickBot="1" x14ac:dyDescent="0.2">
      <c r="B4" s="3" t="s">
        <v>579</v>
      </c>
      <c r="H4" s="101" t="s">
        <v>237</v>
      </c>
      <c r="I4" s="3" t="s">
        <v>336</v>
      </c>
      <c r="K4" s="101" t="s">
        <v>238</v>
      </c>
      <c r="L4" s="3"/>
      <c r="N4" s="99"/>
      <c r="O4" s="99"/>
      <c r="Q4" s="4"/>
      <c r="R4" s="4"/>
    </row>
    <row r="5" spans="2:19" s="100" customFormat="1" ht="18" customHeight="1" x14ac:dyDescent="0.15">
      <c r="B5" s="995" t="s">
        <v>20</v>
      </c>
      <c r="C5" s="996"/>
      <c r="D5" s="996"/>
      <c r="E5" s="997"/>
      <c r="F5" s="269" t="s">
        <v>21</v>
      </c>
      <c r="G5" s="103"/>
      <c r="H5" s="104" t="s">
        <v>22</v>
      </c>
      <c r="I5" s="102"/>
      <c r="J5" s="102"/>
      <c r="K5" s="1007" t="s">
        <v>210</v>
      </c>
      <c r="L5" s="1008"/>
      <c r="M5" s="1008"/>
      <c r="N5" s="1008"/>
      <c r="O5" s="1008"/>
      <c r="P5" s="1008"/>
      <c r="Q5" s="1008"/>
      <c r="R5" s="1008"/>
      <c r="S5" s="1009"/>
    </row>
    <row r="6" spans="2:19" s="100" customFormat="1" ht="18" customHeight="1" x14ac:dyDescent="0.15">
      <c r="B6" s="993" t="s">
        <v>23</v>
      </c>
      <c r="C6" s="1067"/>
      <c r="D6" s="185" t="s">
        <v>203</v>
      </c>
      <c r="E6" s="195"/>
      <c r="F6" s="190">
        <f>+R13</f>
        <v>62500</v>
      </c>
      <c r="G6" s="185" t="s">
        <v>187</v>
      </c>
      <c r="H6" s="262"/>
      <c r="I6" s="262"/>
      <c r="J6" s="262"/>
      <c r="K6" s="188" t="s">
        <v>245</v>
      </c>
      <c r="L6" s="250" t="s">
        <v>244</v>
      </c>
      <c r="M6" s="258" t="s">
        <v>24</v>
      </c>
      <c r="N6" s="258" t="s">
        <v>23</v>
      </c>
      <c r="O6" s="258" t="s">
        <v>245</v>
      </c>
      <c r="P6" s="250" t="s">
        <v>244</v>
      </c>
      <c r="Q6" s="258" t="s">
        <v>24</v>
      </c>
      <c r="R6" s="1068" t="s">
        <v>23</v>
      </c>
      <c r="S6" s="1069"/>
    </row>
    <row r="7" spans="2:19" s="100" customFormat="1" ht="18" customHeight="1" x14ac:dyDescent="0.15">
      <c r="B7" s="993"/>
      <c r="C7" s="1067"/>
      <c r="D7" s="185" t="s">
        <v>83</v>
      </c>
      <c r="E7" s="195"/>
      <c r="F7" s="190">
        <v>0</v>
      </c>
      <c r="G7" s="156"/>
      <c r="H7" s="196"/>
      <c r="I7" s="196"/>
      <c r="J7" s="196"/>
      <c r="K7" s="246">
        <v>9</v>
      </c>
      <c r="L7" s="190">
        <v>2500</v>
      </c>
      <c r="M7" s="190">
        <v>25</v>
      </c>
      <c r="N7" s="190">
        <f>L7*M7</f>
        <v>62500</v>
      </c>
      <c r="O7" s="190"/>
      <c r="P7" s="190"/>
      <c r="Q7" s="190"/>
      <c r="R7" s="1053">
        <f>P7*Q7</f>
        <v>0</v>
      </c>
      <c r="S7" s="1054"/>
    </row>
    <row r="8" spans="2:19" s="100" customFormat="1" ht="18" customHeight="1" x14ac:dyDescent="0.15">
      <c r="B8" s="1001" t="s">
        <v>208</v>
      </c>
      <c r="C8" s="1049" t="s">
        <v>195</v>
      </c>
      <c r="D8" s="190" t="s">
        <v>63</v>
      </c>
      <c r="E8" s="197"/>
      <c r="F8" s="190">
        <f>+P15</f>
        <v>18000</v>
      </c>
      <c r="G8" s="156" t="s">
        <v>188</v>
      </c>
      <c r="H8" s="196"/>
      <c r="I8" s="196"/>
      <c r="J8" s="196"/>
      <c r="K8" s="194"/>
      <c r="L8" s="192"/>
      <c r="M8" s="190"/>
      <c r="N8" s="190">
        <f>L8*M8</f>
        <v>0</v>
      </c>
      <c r="O8" s="190"/>
      <c r="P8" s="190"/>
      <c r="Q8" s="190"/>
      <c r="R8" s="1053">
        <f t="shared" ref="R8:R11" si="0">P8*Q8</f>
        <v>0</v>
      </c>
      <c r="S8" s="1054"/>
    </row>
    <row r="9" spans="2:19" s="100" customFormat="1" ht="18" customHeight="1" x14ac:dyDescent="0.15">
      <c r="B9" s="1002"/>
      <c r="C9" s="999"/>
      <c r="D9" s="190" t="s">
        <v>64</v>
      </c>
      <c r="E9" s="197"/>
      <c r="F9" s="190">
        <f>P24</f>
        <v>95770</v>
      </c>
      <c r="G9" s="185" t="s">
        <v>656</v>
      </c>
      <c r="H9" s="262"/>
      <c r="I9" s="262"/>
      <c r="J9" s="263"/>
      <c r="K9" s="193"/>
      <c r="L9" s="256"/>
      <c r="M9" s="190"/>
      <c r="N9" s="190">
        <f t="shared" ref="N9:N13" si="1">L9*M9</f>
        <v>0</v>
      </c>
      <c r="O9" s="190"/>
      <c r="P9" s="190"/>
      <c r="Q9" s="190"/>
      <c r="R9" s="1053">
        <f t="shared" si="0"/>
        <v>0</v>
      </c>
      <c r="S9" s="1054"/>
    </row>
    <row r="10" spans="2:19" s="100" customFormat="1" ht="18" customHeight="1" x14ac:dyDescent="0.15">
      <c r="B10" s="1002"/>
      <c r="C10" s="999"/>
      <c r="D10" s="190" t="s">
        <v>65</v>
      </c>
      <c r="E10" s="197"/>
      <c r="F10" s="190">
        <f>P30</f>
        <v>65000</v>
      </c>
      <c r="G10" s="162" t="s">
        <v>657</v>
      </c>
      <c r="H10" s="176"/>
      <c r="I10" s="176"/>
      <c r="J10" s="198"/>
      <c r="K10" s="191"/>
      <c r="L10" s="190"/>
      <c r="M10" s="190"/>
      <c r="N10" s="190">
        <f t="shared" si="1"/>
        <v>0</v>
      </c>
      <c r="O10" s="190"/>
      <c r="P10" s="190"/>
      <c r="Q10" s="190"/>
      <c r="R10" s="1053">
        <f t="shared" si="0"/>
        <v>0</v>
      </c>
      <c r="S10" s="1054"/>
    </row>
    <row r="11" spans="2:19" s="100" customFormat="1" ht="18" customHeight="1" x14ac:dyDescent="0.15">
      <c r="B11" s="1002"/>
      <c r="C11" s="999"/>
      <c r="D11" s="190" t="s">
        <v>84</v>
      </c>
      <c r="E11" s="197"/>
      <c r="F11" s="190">
        <f>P39</f>
        <v>3415.2579999999998</v>
      </c>
      <c r="G11" s="162" t="s">
        <v>658</v>
      </c>
      <c r="H11" s="176"/>
      <c r="I11" s="176"/>
      <c r="J11" s="198"/>
      <c r="K11" s="191"/>
      <c r="L11" s="190"/>
      <c r="M11" s="190"/>
      <c r="N11" s="190">
        <f t="shared" si="1"/>
        <v>0</v>
      </c>
      <c r="O11" s="190"/>
      <c r="P11" s="190"/>
      <c r="Q11" s="190"/>
      <c r="R11" s="1053">
        <f t="shared" si="0"/>
        <v>0</v>
      </c>
      <c r="S11" s="1054"/>
    </row>
    <row r="12" spans="2:19" s="100" customFormat="1" ht="18" customHeight="1" x14ac:dyDescent="0.15">
      <c r="B12" s="1002"/>
      <c r="C12" s="999"/>
      <c r="D12" s="190" t="s">
        <v>66</v>
      </c>
      <c r="E12" s="197"/>
      <c r="F12" s="190">
        <f>'８－５　麦算出基礎'!V20</f>
        <v>2000</v>
      </c>
      <c r="G12" s="1073"/>
      <c r="H12" s="1074"/>
      <c r="I12" s="1074"/>
      <c r="J12" s="1054"/>
      <c r="K12" s="191"/>
      <c r="L12" s="190"/>
      <c r="M12" s="190"/>
      <c r="N12" s="190">
        <f t="shared" si="1"/>
        <v>0</v>
      </c>
      <c r="O12" s="190"/>
      <c r="P12" s="190"/>
      <c r="Q12" s="190"/>
      <c r="R12" s="1053"/>
      <c r="S12" s="1054"/>
    </row>
    <row r="13" spans="2:19" s="100" customFormat="1" ht="18" customHeight="1" thickBot="1" x14ac:dyDescent="0.2">
      <c r="B13" s="1002"/>
      <c r="C13" s="999"/>
      <c r="D13" s="190" t="s">
        <v>6</v>
      </c>
      <c r="E13" s="197"/>
      <c r="F13" s="190">
        <f>'８－５　麦算出基礎'!V34</f>
        <v>83.333333333333329</v>
      </c>
      <c r="G13" s="1073"/>
      <c r="H13" s="1074"/>
      <c r="I13" s="1074"/>
      <c r="J13" s="1054"/>
      <c r="K13" s="117"/>
      <c r="L13" s="106"/>
      <c r="M13" s="106"/>
      <c r="N13" s="105">
        <f t="shared" si="1"/>
        <v>0</v>
      </c>
      <c r="O13" s="107" t="s">
        <v>25</v>
      </c>
      <c r="P13" s="108">
        <f>SUM(L7:L13,P7:Q12)</f>
        <v>2500</v>
      </c>
      <c r="Q13" s="109">
        <f>R13/P13</f>
        <v>25</v>
      </c>
      <c r="R13" s="1017">
        <f>SUM(N7:N13,R7:S12)</f>
        <v>62500</v>
      </c>
      <c r="S13" s="1018"/>
    </row>
    <row r="14" spans="2:19" s="100" customFormat="1" ht="18" customHeight="1" thickTop="1" x14ac:dyDescent="0.15">
      <c r="B14" s="1002"/>
      <c r="C14" s="999"/>
      <c r="D14" s="190" t="s">
        <v>7</v>
      </c>
      <c r="E14" s="197"/>
      <c r="F14" s="190">
        <v>0</v>
      </c>
      <c r="G14" s="162"/>
      <c r="H14" s="549"/>
      <c r="I14" s="176"/>
      <c r="J14" s="198"/>
      <c r="K14" s="1040" t="s">
        <v>209</v>
      </c>
      <c r="L14" s="187" t="s">
        <v>158</v>
      </c>
      <c r="M14" s="260" t="s">
        <v>9</v>
      </c>
      <c r="N14" s="252" t="s">
        <v>243</v>
      </c>
      <c r="O14" s="259" t="s">
        <v>24</v>
      </c>
      <c r="P14" s="259" t="s">
        <v>27</v>
      </c>
      <c r="Q14" s="1019" t="s">
        <v>28</v>
      </c>
      <c r="R14" s="1020"/>
      <c r="S14" s="1021"/>
    </row>
    <row r="15" spans="2:19" s="100" customFormat="1" ht="18" customHeight="1" x14ac:dyDescent="0.15">
      <c r="B15" s="1002"/>
      <c r="C15" s="999"/>
      <c r="D15" s="1046" t="s">
        <v>67</v>
      </c>
      <c r="E15" s="199" t="s">
        <v>183</v>
      </c>
      <c r="F15" s="190">
        <f>+'６　固定資本装備と減価償却費'!L92*'７－５　麦部門収支 '!H15</f>
        <v>4158</v>
      </c>
      <c r="G15" s="162" t="s">
        <v>189</v>
      </c>
      <c r="H15" s="550">
        <v>0.01</v>
      </c>
      <c r="I15" s="1075" t="s">
        <v>191</v>
      </c>
      <c r="J15" s="1076"/>
      <c r="K15" s="1041"/>
      <c r="L15" s="267" t="s">
        <v>505</v>
      </c>
      <c r="M15" s="186" t="s">
        <v>157</v>
      </c>
      <c r="N15" s="268">
        <v>60</v>
      </c>
      <c r="O15" s="268">
        <v>300</v>
      </c>
      <c r="P15" s="268">
        <f>N15*O15</f>
        <v>18000</v>
      </c>
      <c r="Q15" s="1070"/>
      <c r="R15" s="1071"/>
      <c r="S15" s="1033"/>
    </row>
    <row r="16" spans="2:19" s="100" customFormat="1" ht="18" customHeight="1" x14ac:dyDescent="0.15">
      <c r="B16" s="1002"/>
      <c r="C16" s="999"/>
      <c r="D16" s="1047"/>
      <c r="E16" s="199" t="s">
        <v>184</v>
      </c>
      <c r="F16" s="190">
        <f>+'６　固定資本装備と減価償却費'!L93*'７－５　麦部門収支 '!H16</f>
        <v>59116.400150000001</v>
      </c>
      <c r="G16" s="162" t="s">
        <v>189</v>
      </c>
      <c r="H16" s="550">
        <v>0.05</v>
      </c>
      <c r="I16" s="1075" t="s">
        <v>191</v>
      </c>
      <c r="J16" s="1076"/>
      <c r="K16" s="1041"/>
      <c r="L16" s="257"/>
      <c r="M16" s="186" t="s">
        <v>157</v>
      </c>
      <c r="N16" s="268"/>
      <c r="O16" s="268"/>
      <c r="P16" s="268">
        <f>N16*O16</f>
        <v>0</v>
      </c>
      <c r="Q16" s="1072"/>
      <c r="R16" s="1071"/>
      <c r="S16" s="1033"/>
    </row>
    <row r="17" spans="1:19" s="100" customFormat="1" ht="18" customHeight="1" thickBot="1" x14ac:dyDescent="0.2">
      <c r="B17" s="1002"/>
      <c r="C17" s="999"/>
      <c r="D17" s="1046" t="s">
        <v>85</v>
      </c>
      <c r="E17" s="199" t="s">
        <v>183</v>
      </c>
      <c r="F17" s="190">
        <f>+'６　固定資本装備と減価償却費'!P92</f>
        <v>16632</v>
      </c>
      <c r="G17" s="162" t="s">
        <v>191</v>
      </c>
      <c r="H17" s="549"/>
      <c r="I17" s="168"/>
      <c r="J17" s="169"/>
      <c r="K17" s="1041"/>
      <c r="L17" s="112" t="s">
        <v>29</v>
      </c>
      <c r="M17" s="111"/>
      <c r="N17" s="112"/>
      <c r="O17" s="112"/>
      <c r="P17" s="112">
        <f>SUM(P12:P16)</f>
        <v>20500</v>
      </c>
      <c r="Q17" s="1055"/>
      <c r="R17" s="1056"/>
      <c r="S17" s="1057"/>
    </row>
    <row r="18" spans="1:19" s="100" customFormat="1" ht="18" customHeight="1" thickTop="1" x14ac:dyDescent="0.15">
      <c r="B18" s="1002"/>
      <c r="C18" s="999"/>
      <c r="D18" s="992"/>
      <c r="E18" s="199" t="s">
        <v>184</v>
      </c>
      <c r="F18" s="190">
        <f>+'６　固定資本装備と減価償却費'!P93</f>
        <v>111212.85757142858</v>
      </c>
      <c r="G18" s="162" t="s">
        <v>191</v>
      </c>
      <c r="H18" s="549"/>
      <c r="I18" s="168"/>
      <c r="J18" s="169"/>
      <c r="K18" s="1041"/>
      <c r="L18" s="182" t="s">
        <v>159</v>
      </c>
      <c r="M18" s="183"/>
      <c r="N18" s="251" t="s">
        <v>243</v>
      </c>
      <c r="O18" s="266" t="s">
        <v>24</v>
      </c>
      <c r="P18" s="184" t="s">
        <v>27</v>
      </c>
      <c r="Q18" s="1014" t="s">
        <v>28</v>
      </c>
      <c r="R18" s="1015"/>
      <c r="S18" s="1016"/>
    </row>
    <row r="19" spans="1:19" s="100" customFormat="1" ht="18" customHeight="1" x14ac:dyDescent="0.15">
      <c r="B19" s="1002"/>
      <c r="C19" s="999"/>
      <c r="D19" s="1047"/>
      <c r="E19" s="190" t="s">
        <v>68</v>
      </c>
      <c r="F19" s="190">
        <f>'６（参考）麦資本装備'!P63</f>
        <v>0</v>
      </c>
      <c r="G19" s="162" t="s">
        <v>191</v>
      </c>
      <c r="H19" s="168"/>
      <c r="I19" s="168"/>
      <c r="J19" s="169"/>
      <c r="K19" s="1041"/>
      <c r="L19" s="185" t="s">
        <v>165</v>
      </c>
      <c r="M19" s="186"/>
      <c r="N19" s="162"/>
      <c r="O19" s="180"/>
      <c r="P19" s="178">
        <f>'８－５　麦算出基礎'!G7</f>
        <v>0</v>
      </c>
      <c r="Q19" s="1058"/>
      <c r="R19" s="1059"/>
      <c r="S19" s="1060"/>
    </row>
    <row r="20" spans="1:19" s="100" customFormat="1" ht="18" customHeight="1" x14ac:dyDescent="0.15">
      <c r="A20" s="99"/>
      <c r="B20" s="1002"/>
      <c r="C20" s="999"/>
      <c r="D20" s="1048" t="s">
        <v>247</v>
      </c>
      <c r="E20" s="256" t="s">
        <v>115</v>
      </c>
      <c r="F20" s="190">
        <v>0</v>
      </c>
      <c r="G20" s="162"/>
      <c r="H20" s="168"/>
      <c r="I20" s="168"/>
      <c r="J20" s="169"/>
      <c r="K20" s="1041"/>
      <c r="L20" s="185" t="s">
        <v>163</v>
      </c>
      <c r="M20" s="186"/>
      <c r="N20" s="162"/>
      <c r="O20" s="180"/>
      <c r="P20" s="178">
        <f>'８－５　麦算出基礎'!G11</f>
        <v>22000</v>
      </c>
      <c r="Q20" s="1058"/>
      <c r="R20" s="1059"/>
      <c r="S20" s="1060"/>
    </row>
    <row r="21" spans="1:19" s="100" customFormat="1" ht="18" customHeight="1" x14ac:dyDescent="0.15">
      <c r="A21" s="99"/>
      <c r="B21" s="1002"/>
      <c r="C21" s="999"/>
      <c r="D21" s="1048"/>
      <c r="E21" s="256" t="s">
        <v>111</v>
      </c>
      <c r="F21" s="190">
        <f>J21*'５－５　麦作業時間'!AP35</f>
        <v>20099.999999999996</v>
      </c>
      <c r="G21" s="162"/>
      <c r="H21" s="168"/>
      <c r="I21" s="443" t="s">
        <v>445</v>
      </c>
      <c r="J21" s="309">
        <v>1000</v>
      </c>
      <c r="K21" s="1041"/>
      <c r="L21" s="162" t="s">
        <v>164</v>
      </c>
      <c r="M21" s="176"/>
      <c r="N21" s="162"/>
      <c r="O21" s="180"/>
      <c r="P21" s="178">
        <f>'８－５　麦算出基礎'!G16</f>
        <v>73770</v>
      </c>
      <c r="Q21" s="1058"/>
      <c r="R21" s="1059"/>
      <c r="S21" s="1060"/>
    </row>
    <row r="22" spans="1:19" s="100" customFormat="1" ht="18" customHeight="1" x14ac:dyDescent="0.15">
      <c r="A22" s="99"/>
      <c r="B22" s="1002"/>
      <c r="C22" s="999"/>
      <c r="D22" s="1048"/>
      <c r="E22" s="256" t="s">
        <v>112</v>
      </c>
      <c r="F22" s="190">
        <f>J22*'５－５　麦作業時間'!AQ35</f>
        <v>22950</v>
      </c>
      <c r="G22" s="162"/>
      <c r="H22" s="168"/>
      <c r="I22" s="443" t="s">
        <v>446</v>
      </c>
      <c r="J22" s="309">
        <v>900</v>
      </c>
      <c r="K22" s="1041"/>
      <c r="L22" s="162" t="s">
        <v>166</v>
      </c>
      <c r="M22" s="176"/>
      <c r="N22" s="162"/>
      <c r="O22" s="180"/>
      <c r="P22" s="178">
        <f>'８－５　麦算出基礎'!G20</f>
        <v>0</v>
      </c>
      <c r="Q22" s="1058"/>
      <c r="R22" s="1059"/>
      <c r="S22" s="1060"/>
    </row>
    <row r="23" spans="1:19" s="100" customFormat="1" ht="18" customHeight="1" x14ac:dyDescent="0.15">
      <c r="A23" s="99"/>
      <c r="B23" s="1002"/>
      <c r="C23" s="999"/>
      <c r="D23" s="1048"/>
      <c r="E23" s="256" t="s">
        <v>113</v>
      </c>
      <c r="F23" s="413">
        <f>(F21+F22)*0.012</f>
        <v>516.6</v>
      </c>
      <c r="G23" s="162"/>
      <c r="H23" s="168"/>
      <c r="I23" s="168"/>
      <c r="J23" s="169"/>
      <c r="K23" s="1041"/>
      <c r="L23" s="162" t="s">
        <v>167</v>
      </c>
      <c r="M23" s="176"/>
      <c r="N23" s="162"/>
      <c r="O23" s="178"/>
      <c r="P23" s="178">
        <f>'８－５　麦算出基礎'!G24</f>
        <v>0</v>
      </c>
      <c r="Q23" s="1058"/>
      <c r="R23" s="1059"/>
      <c r="S23" s="1060"/>
    </row>
    <row r="24" spans="1:19" s="100" customFormat="1" ht="18" customHeight="1" thickBot="1" x14ac:dyDescent="0.2">
      <c r="A24" s="99"/>
      <c r="B24" s="1002"/>
      <c r="C24" s="999"/>
      <c r="D24" s="1048" t="s">
        <v>69</v>
      </c>
      <c r="E24" s="256" t="s">
        <v>70</v>
      </c>
      <c r="F24" s="413">
        <f>I24*10</f>
        <v>23760</v>
      </c>
      <c r="G24" s="162"/>
      <c r="H24" s="168"/>
      <c r="I24" s="176">
        <v>2376</v>
      </c>
      <c r="J24" s="169" t="s">
        <v>299</v>
      </c>
      <c r="K24" s="1041"/>
      <c r="L24" s="112" t="s">
        <v>29</v>
      </c>
      <c r="M24" s="111"/>
      <c r="N24" s="112"/>
      <c r="O24" s="112"/>
      <c r="P24" s="112">
        <f>SUM(P19:P23)</f>
        <v>95770</v>
      </c>
      <c r="Q24" s="1055"/>
      <c r="R24" s="1056"/>
      <c r="S24" s="1057"/>
    </row>
    <row r="25" spans="1:19" s="100" customFormat="1" ht="18" customHeight="1" thickTop="1" x14ac:dyDescent="0.15">
      <c r="A25" s="99"/>
      <c r="B25" s="1002"/>
      <c r="C25" s="999"/>
      <c r="D25" s="1048"/>
      <c r="E25" s="256" t="s">
        <v>86</v>
      </c>
      <c r="F25" s="413">
        <f t="shared" ref="F25" si="2">I25*10</f>
        <v>50000</v>
      </c>
      <c r="G25" s="162"/>
      <c r="H25" s="168"/>
      <c r="I25" s="176">
        <v>5000</v>
      </c>
      <c r="J25" s="169" t="s">
        <v>299</v>
      </c>
      <c r="K25" s="1041"/>
      <c r="L25" s="162" t="s">
        <v>160</v>
      </c>
      <c r="M25" s="176"/>
      <c r="N25" s="177" t="s">
        <v>26</v>
      </c>
      <c r="O25" s="177" t="s">
        <v>24</v>
      </c>
      <c r="P25" s="177" t="s">
        <v>27</v>
      </c>
      <c r="Q25" s="1014" t="s">
        <v>28</v>
      </c>
      <c r="R25" s="1015"/>
      <c r="S25" s="1016"/>
    </row>
    <row r="26" spans="1:19" s="100" customFormat="1" ht="18" customHeight="1" x14ac:dyDescent="0.15">
      <c r="A26" s="99"/>
      <c r="B26" s="1002"/>
      <c r="C26" s="999"/>
      <c r="D26" s="190" t="s">
        <v>71</v>
      </c>
      <c r="E26" s="197"/>
      <c r="F26" s="413">
        <f>I26*10</f>
        <v>30000</v>
      </c>
      <c r="G26" s="162"/>
      <c r="H26" s="168"/>
      <c r="I26" s="426">
        <v>3000</v>
      </c>
      <c r="J26" s="169" t="s">
        <v>299</v>
      </c>
      <c r="K26" s="1041"/>
      <c r="L26" s="178" t="s">
        <v>30</v>
      </c>
      <c r="M26" s="176"/>
      <c r="N26" s="162"/>
      <c r="O26" s="178"/>
      <c r="P26" s="178">
        <f>'８－５　麦算出基礎'!G38</f>
        <v>20000</v>
      </c>
      <c r="Q26" s="1058"/>
      <c r="R26" s="1059"/>
      <c r="S26" s="1060"/>
    </row>
    <row r="27" spans="1:19" s="100" customFormat="1" ht="18" customHeight="1" x14ac:dyDescent="0.15">
      <c r="A27" s="99"/>
      <c r="B27" s="1002"/>
      <c r="C27" s="999"/>
      <c r="D27" s="190" t="s">
        <v>162</v>
      </c>
      <c r="E27" s="197"/>
      <c r="F27" s="413">
        <f>SUM(F8:F26)/99</f>
        <v>5279.9439298460802</v>
      </c>
      <c r="G27" s="200" t="s">
        <v>212</v>
      </c>
      <c r="H27" s="213">
        <v>0.01</v>
      </c>
      <c r="I27" s="264"/>
      <c r="J27" s="7"/>
      <c r="K27" s="1041"/>
      <c r="L27" s="178" t="s">
        <v>31</v>
      </c>
      <c r="M27" s="176"/>
      <c r="N27" s="162"/>
      <c r="O27" s="178"/>
      <c r="P27" s="178">
        <f>'８－５　麦算出基礎'!G49</f>
        <v>0</v>
      </c>
      <c r="Q27" s="1058"/>
      <c r="R27" s="1059"/>
      <c r="S27" s="1060"/>
    </row>
    <row r="28" spans="1:19" s="100" customFormat="1" ht="18" customHeight="1" x14ac:dyDescent="0.15">
      <c r="A28" s="99"/>
      <c r="B28" s="1002"/>
      <c r="C28" s="1050"/>
      <c r="D28" s="988" t="s">
        <v>202</v>
      </c>
      <c r="E28" s="989"/>
      <c r="F28" s="126">
        <f>SUM(F8:F27)</f>
        <v>527994.39298460796</v>
      </c>
      <c r="G28" s="170"/>
      <c r="H28" s="264"/>
      <c r="I28" s="264"/>
      <c r="J28" s="265"/>
      <c r="K28" s="1041"/>
      <c r="L28" s="178" t="s">
        <v>32</v>
      </c>
      <c r="M28" s="176"/>
      <c r="N28" s="162"/>
      <c r="O28" s="178"/>
      <c r="P28" s="178">
        <f>'８－５　麦算出基礎'!G53</f>
        <v>45000</v>
      </c>
      <c r="Q28" s="1058"/>
      <c r="R28" s="1059"/>
      <c r="S28" s="1060"/>
    </row>
    <row r="29" spans="1:19" s="100" customFormat="1" ht="18" customHeight="1" x14ac:dyDescent="0.15">
      <c r="A29" s="99"/>
      <c r="B29" s="1002"/>
      <c r="C29" s="982" t="s">
        <v>190</v>
      </c>
      <c r="D29" s="1051" t="s">
        <v>72</v>
      </c>
      <c r="E29" s="24" t="s">
        <v>3</v>
      </c>
      <c r="F29" s="417">
        <f>P13/25*J29</f>
        <v>8000</v>
      </c>
      <c r="G29" s="185"/>
      <c r="H29" s="176"/>
      <c r="I29" s="110" t="s">
        <v>574</v>
      </c>
      <c r="J29" s="310">
        <v>80</v>
      </c>
      <c r="K29" s="1041"/>
      <c r="L29" s="178" t="s">
        <v>136</v>
      </c>
      <c r="M29" s="176"/>
      <c r="N29" s="162"/>
      <c r="O29" s="178"/>
      <c r="P29" s="178">
        <f>'８－５　麦算出基礎'!G57</f>
        <v>0</v>
      </c>
      <c r="Q29" s="1058"/>
      <c r="R29" s="1059"/>
      <c r="S29" s="1060"/>
    </row>
    <row r="30" spans="1:19" s="100" customFormat="1" ht="18" customHeight="1" thickBot="1" x14ac:dyDescent="0.2">
      <c r="A30" s="99"/>
      <c r="B30" s="1002"/>
      <c r="C30" s="983"/>
      <c r="D30" s="885"/>
      <c r="E30" s="24" t="s">
        <v>4</v>
      </c>
      <c r="F30" s="430">
        <v>0</v>
      </c>
      <c r="G30" s="185"/>
      <c r="H30" s="201"/>
      <c r="I30" s="431"/>
      <c r="J30" s="432"/>
      <c r="K30" s="1041"/>
      <c r="L30" s="112" t="s">
        <v>29</v>
      </c>
      <c r="M30" s="111"/>
      <c r="N30" s="112"/>
      <c r="O30" s="112"/>
      <c r="P30" s="112">
        <f>SUM(P26:P29)</f>
        <v>65000</v>
      </c>
      <c r="Q30" s="1055"/>
      <c r="R30" s="1056"/>
      <c r="S30" s="1057"/>
    </row>
    <row r="31" spans="1:19" s="100" customFormat="1" ht="18" customHeight="1" thickTop="1" x14ac:dyDescent="0.15">
      <c r="A31" s="99"/>
      <c r="B31" s="1002"/>
      <c r="C31" s="983"/>
      <c r="D31" s="1052"/>
      <c r="E31" s="24" t="s">
        <v>8</v>
      </c>
      <c r="F31" s="417">
        <f>P13*J31</f>
        <v>37500</v>
      </c>
      <c r="G31" s="185"/>
      <c r="H31" s="262"/>
      <c r="I31" s="431" t="s">
        <v>304</v>
      </c>
      <c r="J31" s="528">
        <v>15</v>
      </c>
      <c r="K31" s="1041"/>
      <c r="L31" s="162" t="s">
        <v>161</v>
      </c>
      <c r="M31" s="176"/>
      <c r="N31" s="177" t="s">
        <v>26</v>
      </c>
      <c r="O31" s="177" t="s">
        <v>24</v>
      </c>
      <c r="P31" s="177" t="s">
        <v>27</v>
      </c>
      <c r="Q31" s="1014" t="s">
        <v>28</v>
      </c>
      <c r="R31" s="1015"/>
      <c r="S31" s="1016"/>
    </row>
    <row r="32" spans="1:19" s="100" customFormat="1" ht="18" customHeight="1" x14ac:dyDescent="0.15">
      <c r="A32" s="99"/>
      <c r="B32" s="1002"/>
      <c r="C32" s="983"/>
      <c r="D32" s="24" t="s">
        <v>73</v>
      </c>
      <c r="E32" s="25"/>
      <c r="F32" s="417">
        <v>0</v>
      </c>
      <c r="G32" s="185"/>
      <c r="H32" s="262"/>
      <c r="I32" s="201"/>
      <c r="J32" s="202"/>
      <c r="K32" s="1041"/>
      <c r="L32" s="178" t="s">
        <v>49</v>
      </c>
      <c r="M32" s="179"/>
      <c r="N32" s="162"/>
      <c r="O32" s="180"/>
      <c r="P32" s="178">
        <f>'８－５　麦算出基礎'!N10</f>
        <v>560.55999999999995</v>
      </c>
      <c r="Q32" s="1061"/>
      <c r="R32" s="1062"/>
      <c r="S32" s="1063"/>
    </row>
    <row r="33" spans="1:23" s="100" customFormat="1" ht="18" customHeight="1" x14ac:dyDescent="0.15">
      <c r="A33" s="99"/>
      <c r="B33" s="1002"/>
      <c r="C33" s="983"/>
      <c r="D33" s="895" t="s">
        <v>248</v>
      </c>
      <c r="E33" s="255" t="s">
        <v>115</v>
      </c>
      <c r="F33" s="417">
        <v>0</v>
      </c>
      <c r="G33" s="185"/>
      <c r="H33" s="203"/>
      <c r="I33" s="203"/>
      <c r="J33" s="204"/>
      <c r="K33" s="1041"/>
      <c r="L33" s="178" t="s">
        <v>48</v>
      </c>
      <c r="M33" s="179"/>
      <c r="N33" s="162"/>
      <c r="O33" s="180"/>
      <c r="P33" s="178">
        <f>'８－５　麦算出基礎'!N15</f>
        <v>0</v>
      </c>
      <c r="Q33" s="1061"/>
      <c r="R33" s="1062"/>
      <c r="S33" s="1063"/>
    </row>
    <row r="34" spans="1:23" s="100" customFormat="1" ht="18" customHeight="1" x14ac:dyDescent="0.15">
      <c r="A34" s="99"/>
      <c r="B34" s="1002"/>
      <c r="C34" s="983"/>
      <c r="D34" s="895"/>
      <c r="E34" s="255" t="s">
        <v>114</v>
      </c>
      <c r="F34" s="417">
        <v>0</v>
      </c>
      <c r="G34" s="185"/>
      <c r="H34" s="205"/>
      <c r="I34" s="205"/>
      <c r="J34" s="206"/>
      <c r="K34" s="1041"/>
      <c r="L34" s="178" t="s">
        <v>50</v>
      </c>
      <c r="M34" s="176"/>
      <c r="N34" s="180"/>
      <c r="O34" s="180"/>
      <c r="P34" s="178">
        <f>SUM(P32:P33)*R34</f>
        <v>168.16799999999998</v>
      </c>
      <c r="Q34" s="261" t="s">
        <v>33</v>
      </c>
      <c r="R34" s="181">
        <v>0.3</v>
      </c>
      <c r="S34" s="113"/>
    </row>
    <row r="35" spans="1:23" ht="18" customHeight="1" x14ac:dyDescent="0.15">
      <c r="B35" s="1002"/>
      <c r="C35" s="983"/>
      <c r="D35" s="24" t="s">
        <v>74</v>
      </c>
      <c r="E35" s="33"/>
      <c r="F35" s="417">
        <v>0</v>
      </c>
      <c r="G35" s="185"/>
      <c r="H35" s="207"/>
      <c r="I35" s="208"/>
      <c r="J35" s="202"/>
      <c r="K35" s="1041"/>
      <c r="L35" s="178" t="s">
        <v>51</v>
      </c>
      <c r="M35" s="179"/>
      <c r="N35" s="162"/>
      <c r="O35" s="180"/>
      <c r="P35" s="178">
        <f>'８－５　麦算出基礎'!N19</f>
        <v>0</v>
      </c>
      <c r="Q35" s="1058"/>
      <c r="R35" s="1059"/>
      <c r="S35" s="1060"/>
    </row>
    <row r="36" spans="1:23" ht="18" customHeight="1" x14ac:dyDescent="0.15">
      <c r="B36" s="1002"/>
      <c r="C36" s="983"/>
      <c r="D36" s="24" t="s">
        <v>87</v>
      </c>
      <c r="E36" s="33"/>
      <c r="F36" s="417">
        <v>0</v>
      </c>
      <c r="G36" s="185"/>
      <c r="H36" s="209"/>
      <c r="I36" s="210"/>
      <c r="J36" s="211"/>
      <c r="K36" s="1041"/>
      <c r="L36" s="178" t="s">
        <v>52</v>
      </c>
      <c r="M36" s="179"/>
      <c r="N36" s="162"/>
      <c r="O36" s="180"/>
      <c r="P36" s="178">
        <f>'８－５　麦算出基礎'!N23</f>
        <v>2301.5299999999997</v>
      </c>
      <c r="Q36" s="1058"/>
      <c r="R36" s="1059"/>
      <c r="S36" s="1060"/>
    </row>
    <row r="37" spans="1:23" ht="18" customHeight="1" x14ac:dyDescent="0.15">
      <c r="B37" s="1002"/>
      <c r="C37" s="983"/>
      <c r="D37" s="24" t="s">
        <v>118</v>
      </c>
      <c r="E37" s="25"/>
      <c r="F37" s="529">
        <f>'８－５　麦算出基礎'!V57</f>
        <v>16765</v>
      </c>
      <c r="G37" s="1073"/>
      <c r="H37" s="1074"/>
      <c r="I37" s="1074"/>
      <c r="J37" s="1054"/>
      <c r="K37" s="1041"/>
      <c r="L37" s="178" t="s">
        <v>246</v>
      </c>
      <c r="M37" s="179"/>
      <c r="N37" s="162"/>
      <c r="O37" s="180"/>
      <c r="P37" s="178">
        <f>'８－５　麦算出基礎'!N27</f>
        <v>0</v>
      </c>
      <c r="Q37" s="1058"/>
      <c r="R37" s="1059"/>
      <c r="S37" s="1060"/>
    </row>
    <row r="38" spans="1:23" ht="18" customHeight="1" x14ac:dyDescent="0.15">
      <c r="B38" s="1002"/>
      <c r="C38" s="983"/>
      <c r="D38" s="41" t="s">
        <v>88</v>
      </c>
      <c r="E38" s="42"/>
      <c r="F38" s="212">
        <v>0</v>
      </c>
      <c r="G38" s="162"/>
      <c r="H38" s="209"/>
      <c r="I38" s="210"/>
      <c r="J38" s="202"/>
      <c r="K38" s="1041"/>
      <c r="L38" s="178" t="s">
        <v>53</v>
      </c>
      <c r="M38" s="176"/>
      <c r="N38" s="162"/>
      <c r="O38" s="180"/>
      <c r="P38" s="178">
        <f>'８－５　麦算出基礎'!N31</f>
        <v>385</v>
      </c>
      <c r="Q38" s="1058"/>
      <c r="R38" s="1059"/>
      <c r="S38" s="1060"/>
    </row>
    <row r="39" spans="1:23" ht="18" customHeight="1" thickBot="1" x14ac:dyDescent="0.2">
      <c r="B39" s="1002"/>
      <c r="C39" s="983"/>
      <c r="D39" s="24" t="s">
        <v>75</v>
      </c>
      <c r="E39" s="25"/>
      <c r="F39" s="127">
        <f>'８－５　麦算出基礎'!N57</f>
        <v>11082.84</v>
      </c>
      <c r="G39" s="1073"/>
      <c r="H39" s="1074"/>
      <c r="I39" s="1074"/>
      <c r="J39" s="1054"/>
      <c r="K39" s="1042"/>
      <c r="L39" s="120" t="s">
        <v>29</v>
      </c>
      <c r="M39" s="119"/>
      <c r="N39" s="120"/>
      <c r="O39" s="120"/>
      <c r="P39" s="120">
        <f>SUM(P32:P38)</f>
        <v>3415.2579999999998</v>
      </c>
      <c r="Q39" s="1025"/>
      <c r="R39" s="1026"/>
      <c r="S39" s="1027"/>
    </row>
    <row r="40" spans="1:23" s="114" customFormat="1" ht="18" customHeight="1" x14ac:dyDescent="0.15">
      <c r="A40" s="99"/>
      <c r="B40" s="1002"/>
      <c r="C40" s="983"/>
      <c r="D40" s="24" t="s">
        <v>0</v>
      </c>
      <c r="E40" s="33"/>
      <c r="F40" s="127">
        <v>0</v>
      </c>
      <c r="G40" s="6"/>
      <c r="H40" s="172"/>
      <c r="I40" s="173"/>
      <c r="J40" s="171"/>
    </row>
    <row r="41" spans="1:23" s="114" customFormat="1" ht="18" customHeight="1" thickBot="1" x14ac:dyDescent="0.2">
      <c r="A41" s="99"/>
      <c r="B41" s="1003"/>
      <c r="C41" s="984"/>
      <c r="D41" s="986" t="s">
        <v>201</v>
      </c>
      <c r="E41" s="987"/>
      <c r="F41" s="163">
        <f>SUM(F29:F40)</f>
        <v>73347.839999999997</v>
      </c>
      <c r="G41" s="164"/>
      <c r="H41" s="165"/>
      <c r="I41" s="166"/>
      <c r="J41" s="167"/>
      <c r="T41" s="115"/>
    </row>
    <row r="42" spans="1:23" s="114" customFormat="1" ht="18" customHeight="1" x14ac:dyDescent="0.15">
      <c r="A42" s="99"/>
      <c r="B42" s="970" t="s">
        <v>205</v>
      </c>
      <c r="C42" s="973" t="s">
        <v>77</v>
      </c>
      <c r="D42" s="159" t="s">
        <v>117</v>
      </c>
      <c r="E42" s="160"/>
      <c r="F42" s="161">
        <f>41000*10+5490*P13/50</f>
        <v>684500</v>
      </c>
      <c r="G42" s="1064" t="s">
        <v>619</v>
      </c>
      <c r="H42" s="1065"/>
      <c r="I42" s="1065"/>
      <c r="J42" s="1066"/>
      <c r="T42" s="100"/>
      <c r="U42" s="100"/>
      <c r="V42" s="100"/>
      <c r="W42" s="100"/>
    </row>
    <row r="43" spans="1:23" s="114" customFormat="1" ht="18" customHeight="1" x14ac:dyDescent="0.15">
      <c r="A43" s="99"/>
      <c r="B43" s="971"/>
      <c r="C43" s="1044"/>
      <c r="D43" s="24" t="s">
        <v>116</v>
      </c>
      <c r="E43" s="25"/>
      <c r="F43" s="153">
        <v>0</v>
      </c>
      <c r="G43" s="416"/>
      <c r="H43" s="439"/>
      <c r="I43" s="439"/>
      <c r="J43" s="536"/>
      <c r="T43" s="116"/>
      <c r="U43" s="117"/>
      <c r="V43" s="118"/>
      <c r="W43" s="116"/>
    </row>
    <row r="44" spans="1:23" s="114" customFormat="1" ht="18" customHeight="1" x14ac:dyDescent="0.15">
      <c r="A44" s="99"/>
      <c r="B44" s="971"/>
      <c r="C44" s="975"/>
      <c r="D44" s="41" t="s">
        <v>76</v>
      </c>
      <c r="E44" s="25"/>
      <c r="F44" s="153">
        <v>0</v>
      </c>
      <c r="G44" s="162"/>
      <c r="H44" s="121"/>
      <c r="I44" s="121"/>
      <c r="J44" s="174"/>
      <c r="T44" s="100"/>
      <c r="U44" s="100"/>
      <c r="V44" s="100"/>
      <c r="W44" s="100"/>
    </row>
    <row r="45" spans="1:23" s="114" customFormat="1" ht="18" customHeight="1" x14ac:dyDescent="0.15">
      <c r="B45" s="971"/>
      <c r="C45" s="976" t="s">
        <v>204</v>
      </c>
      <c r="D45" s="41" t="s">
        <v>249</v>
      </c>
      <c r="E45" s="42"/>
      <c r="F45" s="153">
        <v>0</v>
      </c>
      <c r="G45" s="162"/>
      <c r="H45" s="121"/>
      <c r="I45" s="121"/>
      <c r="J45" s="174"/>
      <c r="T45" s="101"/>
      <c r="U45" s="115"/>
      <c r="V45" s="100"/>
      <c r="W45" s="116"/>
    </row>
    <row r="46" spans="1:23" s="114" customFormat="1" ht="18" customHeight="1" x14ac:dyDescent="0.15">
      <c r="B46" s="971"/>
      <c r="C46" s="1045"/>
      <c r="D46" s="43" t="s">
        <v>1</v>
      </c>
      <c r="E46" s="44"/>
      <c r="F46" s="153">
        <v>0</v>
      </c>
      <c r="G46" s="162"/>
      <c r="H46" s="121"/>
      <c r="I46" s="121"/>
      <c r="J46" s="174"/>
      <c r="T46" s="101"/>
      <c r="U46" s="115"/>
      <c r="V46" s="100"/>
      <c r="W46" s="116"/>
    </row>
    <row r="47" spans="1:23" s="114" customFormat="1" ht="18" customHeight="1" thickBot="1" x14ac:dyDescent="0.2">
      <c r="B47" s="972"/>
      <c r="C47" s="978" t="s">
        <v>90</v>
      </c>
      <c r="D47" s="979"/>
      <c r="E47" s="980"/>
      <c r="F47" s="155">
        <f>SUM(F42:F44)-SUM(F45:F46)</f>
        <v>684500</v>
      </c>
      <c r="G47" s="122"/>
      <c r="H47" s="123"/>
      <c r="I47" s="123"/>
      <c r="J47" s="175"/>
      <c r="T47" s="100"/>
      <c r="U47" s="100"/>
      <c r="V47" s="117"/>
      <c r="W47" s="100"/>
    </row>
  </sheetData>
  <mergeCells count="59">
    <mergeCell ref="G42:J42"/>
    <mergeCell ref="B5:E5"/>
    <mergeCell ref="K5:S5"/>
    <mergeCell ref="B6:C7"/>
    <mergeCell ref="R6:S6"/>
    <mergeCell ref="R7:S7"/>
    <mergeCell ref="R11:S11"/>
    <mergeCell ref="G12:J12"/>
    <mergeCell ref="R12:S12"/>
    <mergeCell ref="G13:J13"/>
    <mergeCell ref="R13:S13"/>
    <mergeCell ref="I15:J15"/>
    <mergeCell ref="Q15:S15"/>
    <mergeCell ref="I16:J16"/>
    <mergeCell ref="Q16:S16"/>
    <mergeCell ref="D17:D19"/>
    <mergeCell ref="Q19:S19"/>
    <mergeCell ref="K14:K39"/>
    <mergeCell ref="Q14:S14"/>
    <mergeCell ref="Q26:S26"/>
    <mergeCell ref="Q27:S27"/>
    <mergeCell ref="Q20:S20"/>
    <mergeCell ref="Q21:S21"/>
    <mergeCell ref="Q22:S22"/>
    <mergeCell ref="Q23:S23"/>
    <mergeCell ref="Q38:S38"/>
    <mergeCell ref="Q24:S24"/>
    <mergeCell ref="Q25:S25"/>
    <mergeCell ref="Q28:S28"/>
    <mergeCell ref="R8:S8"/>
    <mergeCell ref="R9:S9"/>
    <mergeCell ref="Q17:S17"/>
    <mergeCell ref="G39:J39"/>
    <mergeCell ref="Q39:S39"/>
    <mergeCell ref="R10:S10"/>
    <mergeCell ref="Q36:S36"/>
    <mergeCell ref="G37:J37"/>
    <mergeCell ref="Q37:S37"/>
    <mergeCell ref="Q29:S29"/>
    <mergeCell ref="Q30:S30"/>
    <mergeCell ref="Q31:S31"/>
    <mergeCell ref="Q32:S32"/>
    <mergeCell ref="Q33:S33"/>
    <mergeCell ref="Q35:S35"/>
    <mergeCell ref="Q18:S18"/>
    <mergeCell ref="B42:B47"/>
    <mergeCell ref="C42:C44"/>
    <mergeCell ref="C45:C46"/>
    <mergeCell ref="C47:E47"/>
    <mergeCell ref="B8:B41"/>
    <mergeCell ref="D28:E28"/>
    <mergeCell ref="D15:D16"/>
    <mergeCell ref="D20:D23"/>
    <mergeCell ref="D24:D25"/>
    <mergeCell ref="C8:C28"/>
    <mergeCell ref="C29:C41"/>
    <mergeCell ref="D29:D31"/>
    <mergeCell ref="D33:D34"/>
    <mergeCell ref="D41:E41"/>
  </mergeCells>
  <phoneticPr fontId="4"/>
  <pageMargins left="1.1811023622047245" right="0.78740157480314965" top="0.78740157480314965" bottom="0.78740157480314965" header="0.39370078740157483" footer="0.39370078740157483"/>
  <pageSetup paperSize="9" scale="6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3" tint="0.79998168889431442"/>
    <pageSetUpPr fitToPage="1"/>
  </sheetPr>
  <dimension ref="A1:V192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49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24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9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9" style="49"/>
    <col min="269" max="269" width="9.25" style="49" customWidth="1"/>
    <col min="270" max="270" width="3.5" style="49" customWidth="1"/>
    <col min="271" max="272" width="12.625" style="49" customWidth="1"/>
    <col min="273" max="273" width="9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9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9" style="49"/>
    <col min="525" max="525" width="9.25" style="49" customWidth="1"/>
    <col min="526" max="526" width="3.5" style="49" customWidth="1"/>
    <col min="527" max="528" width="12.625" style="49" customWidth="1"/>
    <col min="529" max="529" width="9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9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9" style="49"/>
    <col min="781" max="781" width="9.25" style="49" customWidth="1"/>
    <col min="782" max="782" width="3.5" style="49" customWidth="1"/>
    <col min="783" max="784" width="12.625" style="49" customWidth="1"/>
    <col min="785" max="785" width="9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9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9" style="49"/>
    <col min="1037" max="1037" width="9.25" style="49" customWidth="1"/>
    <col min="1038" max="1038" width="3.5" style="49" customWidth="1"/>
    <col min="1039" max="1040" width="12.625" style="49" customWidth="1"/>
    <col min="1041" max="1041" width="9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9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9" style="49"/>
    <col min="1293" max="1293" width="9.25" style="49" customWidth="1"/>
    <col min="1294" max="1294" width="3.5" style="49" customWidth="1"/>
    <col min="1295" max="1296" width="12.625" style="49" customWidth="1"/>
    <col min="1297" max="1297" width="9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9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9" style="49"/>
    <col min="1549" max="1549" width="9.25" style="49" customWidth="1"/>
    <col min="1550" max="1550" width="3.5" style="49" customWidth="1"/>
    <col min="1551" max="1552" width="12.625" style="49" customWidth="1"/>
    <col min="1553" max="1553" width="9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9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9" style="49"/>
    <col min="1805" max="1805" width="9.25" style="49" customWidth="1"/>
    <col min="1806" max="1806" width="3.5" style="49" customWidth="1"/>
    <col min="1807" max="1808" width="12.625" style="49" customWidth="1"/>
    <col min="1809" max="1809" width="9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9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9" style="49"/>
    <col min="2061" max="2061" width="9.25" style="49" customWidth="1"/>
    <col min="2062" max="2062" width="3.5" style="49" customWidth="1"/>
    <col min="2063" max="2064" width="12.625" style="49" customWidth="1"/>
    <col min="2065" max="2065" width="9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9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9" style="49"/>
    <col min="2317" max="2317" width="9.25" style="49" customWidth="1"/>
    <col min="2318" max="2318" width="3.5" style="49" customWidth="1"/>
    <col min="2319" max="2320" width="12.625" style="49" customWidth="1"/>
    <col min="2321" max="2321" width="9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9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9" style="49"/>
    <col min="2573" max="2573" width="9.25" style="49" customWidth="1"/>
    <col min="2574" max="2574" width="3.5" style="49" customWidth="1"/>
    <col min="2575" max="2576" width="12.625" style="49" customWidth="1"/>
    <col min="2577" max="2577" width="9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9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9" style="49"/>
    <col min="2829" max="2829" width="9.25" style="49" customWidth="1"/>
    <col min="2830" max="2830" width="3.5" style="49" customWidth="1"/>
    <col min="2831" max="2832" width="12.625" style="49" customWidth="1"/>
    <col min="2833" max="2833" width="9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9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9" style="49"/>
    <col min="3085" max="3085" width="9.25" style="49" customWidth="1"/>
    <col min="3086" max="3086" width="3.5" style="49" customWidth="1"/>
    <col min="3087" max="3088" width="12.625" style="49" customWidth="1"/>
    <col min="3089" max="3089" width="9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9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9" style="49"/>
    <col min="3341" max="3341" width="9.25" style="49" customWidth="1"/>
    <col min="3342" max="3342" width="3.5" style="49" customWidth="1"/>
    <col min="3343" max="3344" width="12.625" style="49" customWidth="1"/>
    <col min="3345" max="3345" width="9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9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9" style="49"/>
    <col min="3597" max="3597" width="9.25" style="49" customWidth="1"/>
    <col min="3598" max="3598" width="3.5" style="49" customWidth="1"/>
    <col min="3599" max="3600" width="12.625" style="49" customWidth="1"/>
    <col min="3601" max="3601" width="9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9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9" style="49"/>
    <col min="3853" max="3853" width="9.25" style="49" customWidth="1"/>
    <col min="3854" max="3854" width="3.5" style="49" customWidth="1"/>
    <col min="3855" max="3856" width="12.625" style="49" customWidth="1"/>
    <col min="3857" max="3857" width="9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9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9" style="49"/>
    <col min="4109" max="4109" width="9.25" style="49" customWidth="1"/>
    <col min="4110" max="4110" width="3.5" style="49" customWidth="1"/>
    <col min="4111" max="4112" width="12.625" style="49" customWidth="1"/>
    <col min="4113" max="4113" width="9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9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9" style="49"/>
    <col min="4365" max="4365" width="9.25" style="49" customWidth="1"/>
    <col min="4366" max="4366" width="3.5" style="49" customWidth="1"/>
    <col min="4367" max="4368" width="12.625" style="49" customWidth="1"/>
    <col min="4369" max="4369" width="9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9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9" style="49"/>
    <col min="4621" max="4621" width="9.25" style="49" customWidth="1"/>
    <col min="4622" max="4622" width="3.5" style="49" customWidth="1"/>
    <col min="4623" max="4624" width="12.625" style="49" customWidth="1"/>
    <col min="4625" max="4625" width="9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9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9" style="49"/>
    <col min="4877" max="4877" width="9.25" style="49" customWidth="1"/>
    <col min="4878" max="4878" width="3.5" style="49" customWidth="1"/>
    <col min="4879" max="4880" width="12.625" style="49" customWidth="1"/>
    <col min="4881" max="4881" width="9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9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9" style="49"/>
    <col min="5133" max="5133" width="9.25" style="49" customWidth="1"/>
    <col min="5134" max="5134" width="3.5" style="49" customWidth="1"/>
    <col min="5135" max="5136" width="12.625" style="49" customWidth="1"/>
    <col min="5137" max="5137" width="9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9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9" style="49"/>
    <col min="5389" max="5389" width="9.25" style="49" customWidth="1"/>
    <col min="5390" max="5390" width="3.5" style="49" customWidth="1"/>
    <col min="5391" max="5392" width="12.625" style="49" customWidth="1"/>
    <col min="5393" max="5393" width="9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9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9" style="49"/>
    <col min="5645" max="5645" width="9.25" style="49" customWidth="1"/>
    <col min="5646" max="5646" width="3.5" style="49" customWidth="1"/>
    <col min="5647" max="5648" width="12.625" style="49" customWidth="1"/>
    <col min="5649" max="5649" width="9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9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9" style="49"/>
    <col min="5901" max="5901" width="9.25" style="49" customWidth="1"/>
    <col min="5902" max="5902" width="3.5" style="49" customWidth="1"/>
    <col min="5903" max="5904" width="12.625" style="49" customWidth="1"/>
    <col min="5905" max="5905" width="9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9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9" style="49"/>
    <col min="6157" max="6157" width="9.25" style="49" customWidth="1"/>
    <col min="6158" max="6158" width="3.5" style="49" customWidth="1"/>
    <col min="6159" max="6160" width="12.625" style="49" customWidth="1"/>
    <col min="6161" max="6161" width="9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9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9" style="49"/>
    <col min="6413" max="6413" width="9.25" style="49" customWidth="1"/>
    <col min="6414" max="6414" width="3.5" style="49" customWidth="1"/>
    <col min="6415" max="6416" width="12.625" style="49" customWidth="1"/>
    <col min="6417" max="6417" width="9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9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9" style="49"/>
    <col min="6669" max="6669" width="9.25" style="49" customWidth="1"/>
    <col min="6670" max="6670" width="3.5" style="49" customWidth="1"/>
    <col min="6671" max="6672" width="12.625" style="49" customWidth="1"/>
    <col min="6673" max="6673" width="9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9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9" style="49"/>
    <col min="6925" max="6925" width="9.25" style="49" customWidth="1"/>
    <col min="6926" max="6926" width="3.5" style="49" customWidth="1"/>
    <col min="6927" max="6928" width="12.625" style="49" customWidth="1"/>
    <col min="6929" max="6929" width="9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9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9" style="49"/>
    <col min="7181" max="7181" width="9.25" style="49" customWidth="1"/>
    <col min="7182" max="7182" width="3.5" style="49" customWidth="1"/>
    <col min="7183" max="7184" width="12.625" style="49" customWidth="1"/>
    <col min="7185" max="7185" width="9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9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9" style="49"/>
    <col min="7437" max="7437" width="9.25" style="49" customWidth="1"/>
    <col min="7438" max="7438" width="3.5" style="49" customWidth="1"/>
    <col min="7439" max="7440" width="12.625" style="49" customWidth="1"/>
    <col min="7441" max="7441" width="9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9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9" style="49"/>
    <col min="7693" max="7693" width="9.25" style="49" customWidth="1"/>
    <col min="7694" max="7694" width="3.5" style="49" customWidth="1"/>
    <col min="7695" max="7696" width="12.625" style="49" customWidth="1"/>
    <col min="7697" max="7697" width="9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9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9" style="49"/>
    <col min="7949" max="7949" width="9.25" style="49" customWidth="1"/>
    <col min="7950" max="7950" width="3.5" style="49" customWidth="1"/>
    <col min="7951" max="7952" width="12.625" style="49" customWidth="1"/>
    <col min="7953" max="7953" width="9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9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9" style="49"/>
    <col min="8205" max="8205" width="9.25" style="49" customWidth="1"/>
    <col min="8206" max="8206" width="3.5" style="49" customWidth="1"/>
    <col min="8207" max="8208" width="12.625" style="49" customWidth="1"/>
    <col min="8209" max="8209" width="9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9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9" style="49"/>
    <col min="8461" max="8461" width="9.25" style="49" customWidth="1"/>
    <col min="8462" max="8462" width="3.5" style="49" customWidth="1"/>
    <col min="8463" max="8464" width="12.625" style="49" customWidth="1"/>
    <col min="8465" max="8465" width="9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9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9" style="49"/>
    <col min="8717" max="8717" width="9.25" style="49" customWidth="1"/>
    <col min="8718" max="8718" width="3.5" style="49" customWidth="1"/>
    <col min="8719" max="8720" width="12.625" style="49" customWidth="1"/>
    <col min="8721" max="8721" width="9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9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9" style="49"/>
    <col min="8973" max="8973" width="9.25" style="49" customWidth="1"/>
    <col min="8974" max="8974" width="3.5" style="49" customWidth="1"/>
    <col min="8975" max="8976" width="12.625" style="49" customWidth="1"/>
    <col min="8977" max="8977" width="9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9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9" style="49"/>
    <col min="9229" max="9229" width="9.25" style="49" customWidth="1"/>
    <col min="9230" max="9230" width="3.5" style="49" customWidth="1"/>
    <col min="9231" max="9232" width="12.625" style="49" customWidth="1"/>
    <col min="9233" max="9233" width="9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9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9" style="49"/>
    <col min="9485" max="9485" width="9.25" style="49" customWidth="1"/>
    <col min="9486" max="9486" width="3.5" style="49" customWidth="1"/>
    <col min="9487" max="9488" width="12.625" style="49" customWidth="1"/>
    <col min="9489" max="9489" width="9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9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9" style="49"/>
    <col min="9741" max="9741" width="9.25" style="49" customWidth="1"/>
    <col min="9742" max="9742" width="3.5" style="49" customWidth="1"/>
    <col min="9743" max="9744" width="12.625" style="49" customWidth="1"/>
    <col min="9745" max="9745" width="9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9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9" style="49"/>
    <col min="9997" max="9997" width="9.25" style="49" customWidth="1"/>
    <col min="9998" max="9998" width="3.5" style="49" customWidth="1"/>
    <col min="9999" max="10000" width="12.625" style="49" customWidth="1"/>
    <col min="10001" max="10001" width="9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9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9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9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9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9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9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9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9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9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9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9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9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9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9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9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9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9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9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9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9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9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9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9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9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9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9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9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9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9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9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9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9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9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9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9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9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9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9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9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9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9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9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9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9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9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9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9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9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9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9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9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9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9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9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9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9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9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9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9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9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9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9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9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9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9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9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9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9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9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9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9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9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9" style="49"/>
  </cols>
  <sheetData>
    <row r="1" spans="1:22" ht="9.9499999999999993" customHeight="1" x14ac:dyDescent="0.15">
      <c r="A1" s="49" t="s">
        <v>467</v>
      </c>
    </row>
    <row r="2" spans="1:22" ht="24.95" customHeight="1" x14ac:dyDescent="0.15">
      <c r="B2" s="1" t="s">
        <v>468</v>
      </c>
      <c r="C2" s="51"/>
      <c r="D2" s="5"/>
      <c r="E2" s="5"/>
      <c r="F2" s="51"/>
      <c r="G2" s="100"/>
      <c r="H2" s="110"/>
      <c r="I2" s="100"/>
      <c r="J2" s="100"/>
      <c r="K2" s="100"/>
      <c r="L2" s="100"/>
      <c r="M2" s="100"/>
      <c r="N2" s="100"/>
      <c r="O2" s="5"/>
    </row>
    <row r="3" spans="1:22" ht="15" customHeight="1" thickBot="1" x14ac:dyDescent="0.2">
      <c r="B3" s="49" t="s">
        <v>206</v>
      </c>
      <c r="I3" s="5" t="s">
        <v>207</v>
      </c>
      <c r="P3" s="49" t="s">
        <v>228</v>
      </c>
    </row>
    <row r="4" spans="1:22" ht="15" customHeight="1" x14ac:dyDescent="0.15">
      <c r="B4" s="515" t="s">
        <v>81</v>
      </c>
      <c r="C4" s="516" t="s">
        <v>170</v>
      </c>
      <c r="D4" s="516" t="s">
        <v>138</v>
      </c>
      <c r="E4" s="516" t="s">
        <v>139</v>
      </c>
      <c r="F4" s="604" t="s">
        <v>24</v>
      </c>
      <c r="G4" s="254" t="s">
        <v>140</v>
      </c>
      <c r="H4" s="139"/>
      <c r="I4" s="1117" t="s">
        <v>81</v>
      </c>
      <c r="J4" s="1115" t="s">
        <v>173</v>
      </c>
      <c r="K4" s="287" t="s">
        <v>676</v>
      </c>
      <c r="L4" s="287" t="s">
        <v>141</v>
      </c>
      <c r="M4" s="1127" t="s">
        <v>24</v>
      </c>
      <c r="N4" s="1129" t="s">
        <v>140</v>
      </c>
      <c r="O4" s="158"/>
      <c r="P4" s="517" t="s">
        <v>176</v>
      </c>
      <c r="Q4" s="518" t="s">
        <v>177</v>
      </c>
      <c r="R4" s="518" t="s">
        <v>178</v>
      </c>
      <c r="S4" s="518" t="s">
        <v>677</v>
      </c>
      <c r="T4" s="1119" t="s">
        <v>179</v>
      </c>
      <c r="U4" s="1120"/>
      <c r="V4" s="519" t="s">
        <v>180</v>
      </c>
    </row>
    <row r="5" spans="1:22" ht="15" customHeight="1" x14ac:dyDescent="0.15">
      <c r="B5" s="1112" t="s">
        <v>165</v>
      </c>
      <c r="C5" s="444"/>
      <c r="D5" s="445"/>
      <c r="E5" s="446"/>
      <c r="F5" s="444"/>
      <c r="G5" s="605">
        <f t="shared" ref="G5:G6" si="0">D5*F5</f>
        <v>0</v>
      </c>
      <c r="H5" s="140"/>
      <c r="I5" s="1118"/>
      <c r="J5" s="1116"/>
      <c r="K5" s="288" t="s">
        <v>143</v>
      </c>
      <c r="L5" s="288" t="s">
        <v>269</v>
      </c>
      <c r="M5" s="1128"/>
      <c r="N5" s="1130"/>
      <c r="O5" s="158"/>
      <c r="P5" s="545" t="s">
        <v>470</v>
      </c>
      <c r="Q5" s="546"/>
      <c r="R5" s="547" t="s">
        <v>678</v>
      </c>
      <c r="S5" s="546"/>
      <c r="T5" s="1121" t="s">
        <v>679</v>
      </c>
      <c r="U5" s="1122"/>
      <c r="V5" s="606">
        <v>5806.666666666667</v>
      </c>
    </row>
    <row r="6" spans="1:22" ht="15" customHeight="1" x14ac:dyDescent="0.15">
      <c r="B6" s="1084"/>
      <c r="C6" s="445"/>
      <c r="D6" s="445"/>
      <c r="E6" s="446"/>
      <c r="F6" s="445"/>
      <c r="G6" s="448">
        <f t="shared" si="0"/>
        <v>0</v>
      </c>
      <c r="H6" s="140"/>
      <c r="I6" s="1123" t="s">
        <v>172</v>
      </c>
      <c r="J6" s="445" t="s">
        <v>266</v>
      </c>
      <c r="K6" s="449">
        <v>10.6</v>
      </c>
      <c r="L6" s="449">
        <v>13</v>
      </c>
      <c r="M6" s="449">
        <v>123.2</v>
      </c>
      <c r="N6" s="303">
        <f>K6*L6*M6</f>
        <v>16976.96</v>
      </c>
      <c r="O6" s="158"/>
      <c r="P6" s="545"/>
      <c r="Q6" s="546"/>
      <c r="R6" s="547"/>
      <c r="S6" s="546"/>
      <c r="T6" s="1121"/>
      <c r="U6" s="1122"/>
      <c r="V6" s="606"/>
    </row>
    <row r="7" spans="1:22" ht="15" customHeight="1" thickBot="1" x14ac:dyDescent="0.2">
      <c r="B7" s="1085"/>
      <c r="C7" s="130" t="s">
        <v>144</v>
      </c>
      <c r="D7" s="130"/>
      <c r="E7" s="130"/>
      <c r="F7" s="130"/>
      <c r="G7" s="131">
        <f>SUM(G5:G6)</f>
        <v>0</v>
      </c>
      <c r="H7" s="140"/>
      <c r="I7" s="1124"/>
      <c r="J7" s="445" t="s">
        <v>267</v>
      </c>
      <c r="K7" s="450">
        <v>5.4</v>
      </c>
      <c r="L7" s="449">
        <f>5+6.5</f>
        <v>11.5</v>
      </c>
      <c r="M7" s="449">
        <v>123.2</v>
      </c>
      <c r="N7" s="303">
        <f t="shared" ref="N7:N11" si="1">K7*L7*M7</f>
        <v>7650.72</v>
      </c>
      <c r="O7" s="158"/>
      <c r="P7" s="607"/>
      <c r="Q7" s="608"/>
      <c r="R7" s="609"/>
      <c r="S7" s="608"/>
      <c r="T7" s="1109"/>
      <c r="U7" s="1110"/>
      <c r="V7" s="610"/>
    </row>
    <row r="8" spans="1:22" ht="15" customHeight="1" thickTop="1" x14ac:dyDescent="0.15">
      <c r="B8" s="1083" t="s">
        <v>163</v>
      </c>
      <c r="C8" s="445" t="s">
        <v>413</v>
      </c>
      <c r="D8" s="445">
        <v>10</v>
      </c>
      <c r="E8" s="446" t="s">
        <v>680</v>
      </c>
      <c r="F8" s="445">
        <v>3840</v>
      </c>
      <c r="G8" s="448">
        <f>D8*F8</f>
        <v>38400</v>
      </c>
      <c r="H8" s="140"/>
      <c r="I8" s="1124"/>
      <c r="J8" s="445" t="s">
        <v>471</v>
      </c>
      <c r="K8" s="449">
        <v>1.2</v>
      </c>
      <c r="L8" s="449">
        <v>3</v>
      </c>
      <c r="M8" s="449">
        <v>123.2</v>
      </c>
      <c r="N8" s="303">
        <f t="shared" si="1"/>
        <v>443.52</v>
      </c>
      <c r="O8" s="158"/>
      <c r="P8" s="607"/>
      <c r="Q8" s="608"/>
      <c r="R8" s="609"/>
      <c r="S8" s="608"/>
      <c r="T8" s="1109"/>
      <c r="U8" s="1110"/>
      <c r="V8" s="610"/>
    </row>
    <row r="9" spans="1:22" ht="15" customHeight="1" x14ac:dyDescent="0.15">
      <c r="B9" s="1084"/>
      <c r="C9" s="445"/>
      <c r="D9" s="445"/>
      <c r="E9" s="446"/>
      <c r="F9" s="445"/>
      <c r="G9" s="448">
        <f>D9*F9</f>
        <v>0</v>
      </c>
      <c r="H9" s="140"/>
      <c r="I9" s="1124"/>
      <c r="J9" s="296" t="s">
        <v>270</v>
      </c>
      <c r="K9" s="297">
        <v>3.5</v>
      </c>
      <c r="L9" s="297">
        <v>5</v>
      </c>
      <c r="M9" s="449">
        <v>123.2</v>
      </c>
      <c r="N9" s="298">
        <f t="shared" si="1"/>
        <v>2156</v>
      </c>
      <c r="O9" s="158"/>
      <c r="P9" s="607"/>
      <c r="Q9" s="608"/>
      <c r="R9" s="609"/>
      <c r="S9" s="608"/>
      <c r="T9" s="1109"/>
      <c r="U9" s="1110"/>
      <c r="V9" s="610"/>
    </row>
    <row r="10" spans="1:22" ht="15" customHeight="1" x14ac:dyDescent="0.15">
      <c r="B10" s="1084"/>
      <c r="C10" s="445"/>
      <c r="D10" s="445"/>
      <c r="E10" s="446"/>
      <c r="F10" s="445"/>
      <c r="G10" s="448">
        <f>D10*F10</f>
        <v>0</v>
      </c>
      <c r="H10" s="140"/>
      <c r="I10" s="1124"/>
      <c r="J10" s="451"/>
      <c r="K10" s="452"/>
      <c r="L10" s="452"/>
      <c r="M10" s="449"/>
      <c r="N10" s="453"/>
      <c r="O10" s="158"/>
      <c r="P10" s="607"/>
      <c r="Q10" s="608"/>
      <c r="R10" s="609"/>
      <c r="S10" s="608"/>
      <c r="T10" s="611"/>
      <c r="U10" s="612"/>
      <c r="V10" s="610"/>
    </row>
    <row r="11" spans="1:22" ht="15" customHeight="1" thickBot="1" x14ac:dyDescent="0.2">
      <c r="B11" s="1085"/>
      <c r="C11" s="132" t="s">
        <v>145</v>
      </c>
      <c r="D11" s="133"/>
      <c r="E11" s="133"/>
      <c r="F11" s="133"/>
      <c r="G11" s="134">
        <f>SUM(G8:G10)</f>
        <v>38400</v>
      </c>
      <c r="H11" s="140"/>
      <c r="I11" s="1124"/>
      <c r="J11" s="300" t="s">
        <v>272</v>
      </c>
      <c r="K11" s="301">
        <v>2</v>
      </c>
      <c r="L11" s="301">
        <v>3.5</v>
      </c>
      <c r="M11" s="449">
        <v>123.2</v>
      </c>
      <c r="N11" s="302">
        <f t="shared" si="1"/>
        <v>862.4</v>
      </c>
      <c r="O11" s="158"/>
      <c r="P11" s="607"/>
      <c r="Q11" s="608"/>
      <c r="R11" s="609"/>
      <c r="S11" s="608"/>
      <c r="T11" s="1109"/>
      <c r="U11" s="1110"/>
      <c r="V11" s="610"/>
    </row>
    <row r="12" spans="1:22" ht="15" customHeight="1" thickTop="1" thickBot="1" x14ac:dyDescent="0.2">
      <c r="B12" s="1083" t="s">
        <v>164</v>
      </c>
      <c r="C12" s="445" t="s">
        <v>681</v>
      </c>
      <c r="D12" s="445">
        <v>500</v>
      </c>
      <c r="E12" s="446" t="s">
        <v>682</v>
      </c>
      <c r="F12" s="445">
        <v>160</v>
      </c>
      <c r="G12" s="448">
        <f>D12*F12</f>
        <v>80000</v>
      </c>
      <c r="H12" s="140"/>
      <c r="I12" s="1125"/>
      <c r="J12" s="285" t="s">
        <v>683</v>
      </c>
      <c r="K12" s="286">
        <f>SUM(K6:K9)</f>
        <v>20.7</v>
      </c>
      <c r="L12" s="286">
        <f>SUM(L6:L11)</f>
        <v>36</v>
      </c>
      <c r="M12" s="286"/>
      <c r="N12" s="289">
        <f>SUM(N6:N11)</f>
        <v>28089.600000000002</v>
      </c>
      <c r="O12" s="158"/>
      <c r="P12" s="607"/>
      <c r="Q12" s="608"/>
      <c r="R12" s="609"/>
      <c r="S12" s="608"/>
      <c r="T12" s="1109"/>
      <c r="U12" s="1110"/>
      <c r="V12" s="610"/>
    </row>
    <row r="13" spans="1:22" ht="15" customHeight="1" thickTop="1" x14ac:dyDescent="0.15">
      <c r="B13" s="1084"/>
      <c r="C13" s="445"/>
      <c r="D13" s="445"/>
      <c r="E13" s="446"/>
      <c r="F13" s="445"/>
      <c r="G13" s="448">
        <f>D13*F13</f>
        <v>0</v>
      </c>
      <c r="H13" s="140"/>
      <c r="I13" s="1093" t="s">
        <v>684</v>
      </c>
      <c r="J13" s="445" t="s">
        <v>268</v>
      </c>
      <c r="K13" s="449">
        <v>4.4000000000000004</v>
      </c>
      <c r="L13" s="449">
        <v>3.3</v>
      </c>
      <c r="M13" s="449">
        <v>169.9</v>
      </c>
      <c r="N13" s="303">
        <f>K13*L13*M13</f>
        <v>2466.9479999999999</v>
      </c>
      <c r="O13" s="158"/>
      <c r="P13" s="607"/>
      <c r="Q13" s="608"/>
      <c r="R13" s="609"/>
      <c r="S13" s="608"/>
      <c r="T13" s="1109"/>
      <c r="U13" s="1110"/>
      <c r="V13" s="610"/>
    </row>
    <row r="14" spans="1:22" ht="15" customHeight="1" x14ac:dyDescent="0.15">
      <c r="B14" s="1084"/>
      <c r="C14" s="445"/>
      <c r="D14" s="445"/>
      <c r="E14" s="446"/>
      <c r="F14" s="445"/>
      <c r="G14" s="448">
        <f>D14*F14</f>
        <v>0</v>
      </c>
      <c r="H14" s="140"/>
      <c r="I14" s="1094"/>
      <c r="J14" s="445"/>
      <c r="K14" s="449"/>
      <c r="L14" s="449"/>
      <c r="M14" s="449"/>
      <c r="N14" s="303">
        <f t="shared" ref="N14:N15" si="2">K14*L14*M14</f>
        <v>0</v>
      </c>
      <c r="O14" s="158"/>
      <c r="P14" s="607"/>
      <c r="Q14" s="608"/>
      <c r="R14" s="609"/>
      <c r="S14" s="608"/>
      <c r="T14" s="1109"/>
      <c r="U14" s="1110"/>
      <c r="V14" s="610"/>
    </row>
    <row r="15" spans="1:22" ht="15" customHeight="1" x14ac:dyDescent="0.15">
      <c r="B15" s="1084"/>
      <c r="C15" s="445"/>
      <c r="D15" s="445"/>
      <c r="E15" s="445"/>
      <c r="F15" s="445"/>
      <c r="G15" s="448">
        <f t="shared" ref="G15" si="3">D15*F15</f>
        <v>0</v>
      </c>
      <c r="H15" s="140"/>
      <c r="I15" s="1094"/>
      <c r="J15" s="445"/>
      <c r="K15" s="449"/>
      <c r="L15" s="449"/>
      <c r="M15" s="449"/>
      <c r="N15" s="303">
        <f t="shared" si="2"/>
        <v>0</v>
      </c>
      <c r="O15" s="158"/>
      <c r="P15" s="607"/>
      <c r="Q15" s="608"/>
      <c r="R15" s="609"/>
      <c r="S15" s="608"/>
      <c r="T15" s="1109"/>
      <c r="U15" s="1110"/>
      <c r="V15" s="610"/>
    </row>
    <row r="16" spans="1:22" ht="15" customHeight="1" thickBot="1" x14ac:dyDescent="0.2">
      <c r="B16" s="1085"/>
      <c r="C16" s="132" t="s">
        <v>145</v>
      </c>
      <c r="D16" s="133"/>
      <c r="E16" s="133"/>
      <c r="F16" s="133"/>
      <c r="G16" s="134">
        <f>SUM(G12:G15)</f>
        <v>80000</v>
      </c>
      <c r="H16" s="140"/>
      <c r="I16" s="1095"/>
      <c r="J16" s="228" t="s">
        <v>683</v>
      </c>
      <c r="K16" s="145">
        <f>SUM(K13:K15)</f>
        <v>4.4000000000000004</v>
      </c>
      <c r="L16" s="145">
        <f>SUM(L13:L15)</f>
        <v>3.3</v>
      </c>
      <c r="M16" s="145"/>
      <c r="N16" s="290">
        <f>SUM(N13:N15)</f>
        <v>2466.9479999999999</v>
      </c>
      <c r="O16" s="158"/>
      <c r="P16" s="607"/>
      <c r="Q16" s="608"/>
      <c r="R16" s="609"/>
      <c r="S16" s="608"/>
      <c r="T16" s="1109"/>
      <c r="U16" s="1110"/>
      <c r="V16" s="610"/>
    </row>
    <row r="17" spans="2:22" ht="15" customHeight="1" thickTop="1" x14ac:dyDescent="0.15">
      <c r="B17" s="1083" t="s">
        <v>166</v>
      </c>
      <c r="C17" s="445"/>
      <c r="D17" s="445"/>
      <c r="E17" s="446"/>
      <c r="F17" s="445"/>
      <c r="G17" s="448">
        <f t="shared" ref="G17" si="4">D17*F17</f>
        <v>0</v>
      </c>
      <c r="H17" s="140"/>
      <c r="I17" s="1093" t="s">
        <v>174</v>
      </c>
      <c r="J17" s="445"/>
      <c r="K17" s="449"/>
      <c r="L17" s="449"/>
      <c r="M17" s="449"/>
      <c r="N17" s="303">
        <f>K17*L17*M17</f>
        <v>0</v>
      </c>
      <c r="O17" s="158"/>
      <c r="P17" s="607"/>
      <c r="Q17" s="608"/>
      <c r="R17" s="609"/>
      <c r="S17" s="608"/>
      <c r="T17" s="1109"/>
      <c r="U17" s="1110"/>
      <c r="V17" s="610"/>
    </row>
    <row r="18" spans="2:22" ht="15" customHeight="1" x14ac:dyDescent="0.15">
      <c r="B18" s="1084"/>
      <c r="C18" s="445"/>
      <c r="D18" s="445"/>
      <c r="E18" s="446"/>
      <c r="F18" s="445"/>
      <c r="G18" s="448">
        <f>D18*F18</f>
        <v>0</v>
      </c>
      <c r="H18" s="140"/>
      <c r="I18" s="1094"/>
      <c r="J18" s="445"/>
      <c r="K18" s="449"/>
      <c r="L18" s="449"/>
      <c r="M18" s="449"/>
      <c r="N18" s="303">
        <f t="shared" ref="N18:N19" si="5">K18*L18*M18</f>
        <v>0</v>
      </c>
      <c r="O18" s="158"/>
      <c r="P18" s="607"/>
      <c r="Q18" s="608"/>
      <c r="R18" s="609"/>
      <c r="S18" s="608"/>
      <c r="T18" s="1109"/>
      <c r="U18" s="1110"/>
      <c r="V18" s="610"/>
    </row>
    <row r="19" spans="2:22" ht="15" customHeight="1" x14ac:dyDescent="0.15">
      <c r="B19" s="1084"/>
      <c r="C19" s="445"/>
      <c r="D19" s="445"/>
      <c r="E19" s="445"/>
      <c r="F19" s="445"/>
      <c r="G19" s="448">
        <f t="shared" ref="G19" si="6">D19*F19</f>
        <v>0</v>
      </c>
      <c r="H19" s="140"/>
      <c r="I19" s="1094"/>
      <c r="J19" s="445"/>
      <c r="K19" s="449"/>
      <c r="L19" s="449"/>
      <c r="M19" s="449"/>
      <c r="N19" s="303">
        <f t="shared" si="5"/>
        <v>0</v>
      </c>
      <c r="O19" s="158"/>
      <c r="P19" s="607"/>
      <c r="Q19" s="608"/>
      <c r="R19" s="609"/>
      <c r="S19" s="608"/>
      <c r="T19" s="1109"/>
      <c r="U19" s="1110"/>
      <c r="V19" s="610"/>
    </row>
    <row r="20" spans="2:22" ht="15" customHeight="1" thickBot="1" x14ac:dyDescent="0.2">
      <c r="B20" s="1085"/>
      <c r="C20" s="132" t="s">
        <v>145</v>
      </c>
      <c r="D20" s="133"/>
      <c r="E20" s="133"/>
      <c r="F20" s="133"/>
      <c r="G20" s="134">
        <f>SUM(G17:G19)</f>
        <v>0</v>
      </c>
      <c r="H20" s="140"/>
      <c r="I20" s="1095"/>
      <c r="J20" s="228" t="s">
        <v>685</v>
      </c>
      <c r="K20" s="145">
        <f>SUM(K17:K19)</f>
        <v>0</v>
      </c>
      <c r="L20" s="146">
        <f>SUM(L17:L19)</f>
        <v>0</v>
      </c>
      <c r="M20" s="147"/>
      <c r="N20" s="290">
        <f>SUM(N17:N19)</f>
        <v>0</v>
      </c>
      <c r="O20" s="158"/>
      <c r="P20" s="607"/>
      <c r="Q20" s="608"/>
      <c r="R20" s="609"/>
      <c r="S20" s="608"/>
      <c r="T20" s="1109"/>
      <c r="U20" s="1110"/>
      <c r="V20" s="610"/>
    </row>
    <row r="21" spans="2:22" ht="15" customHeight="1" thickTop="1" thickBot="1" x14ac:dyDescent="0.2">
      <c r="B21" s="1083" t="s">
        <v>167</v>
      </c>
      <c r="C21" s="445" t="s">
        <v>686</v>
      </c>
      <c r="D21" s="445">
        <f>131*4.3</f>
        <v>563.29999999999995</v>
      </c>
      <c r="E21" s="446" t="s">
        <v>687</v>
      </c>
      <c r="F21" s="445">
        <f>510/20</f>
        <v>25.5</v>
      </c>
      <c r="G21" s="448">
        <f>D21*F21</f>
        <v>14364.15</v>
      </c>
      <c r="H21" s="140"/>
      <c r="I21" s="1093" t="s">
        <v>175</v>
      </c>
      <c r="J21" s="445" t="s">
        <v>271</v>
      </c>
      <c r="K21" s="449">
        <v>28.2</v>
      </c>
      <c r="L21" s="449">
        <v>6.1</v>
      </c>
      <c r="M21" s="449">
        <v>107.8</v>
      </c>
      <c r="N21" s="303">
        <f>K21*L21*M21</f>
        <v>18543.755999999998</v>
      </c>
      <c r="O21" s="158"/>
      <c r="P21" s="454" t="s">
        <v>29</v>
      </c>
      <c r="Q21" s="240"/>
      <c r="R21" s="240"/>
      <c r="S21" s="240"/>
      <c r="T21" s="1131"/>
      <c r="U21" s="1132"/>
      <c r="V21" s="455">
        <f>SUM(V5:V20)</f>
        <v>5806.666666666667</v>
      </c>
    </row>
    <row r="22" spans="2:22" ht="15" customHeight="1" x14ac:dyDescent="0.15">
      <c r="B22" s="1084"/>
      <c r="C22" s="445"/>
      <c r="D22" s="445"/>
      <c r="E22" s="446"/>
      <c r="F22" s="445"/>
      <c r="G22" s="448">
        <f>D22*F22</f>
        <v>0</v>
      </c>
      <c r="H22" s="140"/>
      <c r="I22" s="1094"/>
      <c r="J22" s="445"/>
      <c r="K22" s="449"/>
      <c r="L22" s="449"/>
      <c r="M22" s="449"/>
      <c r="N22" s="303">
        <f t="shared" ref="N22:N23" si="7">K22*L22*M22</f>
        <v>0</v>
      </c>
      <c r="O22" s="158"/>
    </row>
    <row r="23" spans="2:22" ht="15" customHeight="1" thickBot="1" x14ac:dyDescent="0.2">
      <c r="B23" s="1084"/>
      <c r="C23" s="445"/>
      <c r="D23" s="445"/>
      <c r="E23" s="446"/>
      <c r="F23" s="445"/>
      <c r="G23" s="448">
        <f>D23*F23</f>
        <v>0</v>
      </c>
      <c r="H23" s="140"/>
      <c r="I23" s="1094"/>
      <c r="J23" s="445"/>
      <c r="K23" s="449"/>
      <c r="L23" s="449"/>
      <c r="M23" s="449"/>
      <c r="N23" s="303">
        <f t="shared" si="7"/>
        <v>0</v>
      </c>
      <c r="O23" s="158"/>
      <c r="P23" s="49" t="s">
        <v>229</v>
      </c>
    </row>
    <row r="24" spans="2:22" ht="15" customHeight="1" thickBot="1" x14ac:dyDescent="0.2">
      <c r="B24" s="1111"/>
      <c r="C24" s="135" t="s">
        <v>147</v>
      </c>
      <c r="D24" s="136"/>
      <c r="E24" s="136"/>
      <c r="F24" s="142"/>
      <c r="G24" s="137">
        <f>SUM(G21:G23)</f>
        <v>14364.15</v>
      </c>
      <c r="H24" s="140"/>
      <c r="I24" s="1095"/>
      <c r="J24" s="228" t="s">
        <v>688</v>
      </c>
      <c r="K24" s="145">
        <f>SUM(K21:K23)</f>
        <v>28.2</v>
      </c>
      <c r="L24" s="146">
        <f>SUM(L21:L23)</f>
        <v>6.1</v>
      </c>
      <c r="M24" s="147"/>
      <c r="N24" s="290">
        <f>SUM(N21:N23)</f>
        <v>18543.755999999998</v>
      </c>
      <c r="O24" s="158"/>
      <c r="P24" s="517" t="s">
        <v>181</v>
      </c>
      <c r="Q24" s="518" t="s">
        <v>177</v>
      </c>
      <c r="R24" s="518" t="s">
        <v>178</v>
      </c>
      <c r="S24" s="518" t="s">
        <v>677</v>
      </c>
      <c r="T24" s="518" t="s">
        <v>179</v>
      </c>
      <c r="U24" s="603" t="s">
        <v>182</v>
      </c>
      <c r="V24" s="519" t="s">
        <v>180</v>
      </c>
    </row>
    <row r="25" spans="2:22" ht="15" customHeight="1" thickTop="1" x14ac:dyDescent="0.15">
      <c r="I25" s="1093" t="s">
        <v>246</v>
      </c>
      <c r="J25" s="445"/>
      <c r="K25" s="449"/>
      <c r="L25" s="449"/>
      <c r="M25" s="449"/>
      <c r="N25" s="303">
        <f>K25*L25*M25</f>
        <v>0</v>
      </c>
      <c r="O25" s="158"/>
      <c r="P25" s="545" t="s">
        <v>473</v>
      </c>
      <c r="Q25" s="546">
        <v>10</v>
      </c>
      <c r="R25" s="547" t="s">
        <v>689</v>
      </c>
      <c r="S25" s="546">
        <v>500</v>
      </c>
      <c r="T25" s="608">
        <v>2</v>
      </c>
      <c r="U25" s="613">
        <v>30</v>
      </c>
      <c r="V25" s="610">
        <f>Q25*S25/T25/U25</f>
        <v>83.333333333333329</v>
      </c>
    </row>
    <row r="26" spans="2:22" ht="15" customHeight="1" thickBot="1" x14ac:dyDescent="0.2">
      <c r="B26" s="5" t="s">
        <v>690</v>
      </c>
      <c r="C26" s="5"/>
      <c r="D26" s="51"/>
      <c r="E26" s="5"/>
      <c r="F26" s="51"/>
      <c r="G26" s="598"/>
      <c r="H26" s="141"/>
      <c r="I26" s="1094"/>
      <c r="J26" s="445"/>
      <c r="K26" s="449"/>
      <c r="L26" s="449"/>
      <c r="M26" s="449"/>
      <c r="N26" s="303">
        <f t="shared" ref="N26:N27" si="8">K26*L26*M26</f>
        <v>0</v>
      </c>
      <c r="O26" s="158"/>
      <c r="P26" s="607"/>
      <c r="Q26" s="608"/>
      <c r="R26" s="609"/>
      <c r="S26" s="608"/>
      <c r="T26" s="608"/>
      <c r="U26" s="613"/>
      <c r="V26" s="610"/>
    </row>
    <row r="27" spans="2:22" ht="15" customHeight="1" x14ac:dyDescent="0.15">
      <c r="B27" s="515" t="s">
        <v>81</v>
      </c>
      <c r="C27" s="516" t="s">
        <v>137</v>
      </c>
      <c r="D27" s="516" t="s">
        <v>138</v>
      </c>
      <c r="E27" s="516" t="s">
        <v>139</v>
      </c>
      <c r="F27" s="604" t="s">
        <v>24</v>
      </c>
      <c r="G27" s="254" t="s">
        <v>140</v>
      </c>
      <c r="H27" s="139"/>
      <c r="I27" s="1094"/>
      <c r="J27" s="445"/>
      <c r="K27" s="449"/>
      <c r="L27" s="449"/>
      <c r="M27" s="449"/>
      <c r="N27" s="303">
        <f t="shared" si="8"/>
        <v>0</v>
      </c>
      <c r="O27" s="158"/>
      <c r="P27" s="607"/>
      <c r="Q27" s="608"/>
      <c r="R27" s="609"/>
      <c r="S27" s="608"/>
      <c r="T27" s="608"/>
      <c r="U27" s="613"/>
      <c r="V27" s="610"/>
    </row>
    <row r="28" spans="2:22" ht="15" customHeight="1" thickBot="1" x14ac:dyDescent="0.2">
      <c r="B28" s="1112" t="s">
        <v>30</v>
      </c>
      <c r="C28" s="445" t="s">
        <v>691</v>
      </c>
      <c r="D28" s="445">
        <v>300</v>
      </c>
      <c r="E28" s="446" t="s">
        <v>692</v>
      </c>
      <c r="F28" s="445">
        <f>62610/10000</f>
        <v>6.2610000000000001</v>
      </c>
      <c r="G28" s="605">
        <f>D28*F28</f>
        <v>1878.3</v>
      </c>
      <c r="H28" s="140"/>
      <c r="I28" s="1095"/>
      <c r="J28" s="228" t="s">
        <v>693</v>
      </c>
      <c r="K28" s="145">
        <f>SUM(K25:K27)</f>
        <v>0</v>
      </c>
      <c r="L28" s="146">
        <f>SUM(L25:L27)</f>
        <v>0</v>
      </c>
      <c r="M28" s="147"/>
      <c r="N28" s="290">
        <f>SUM(N25:N27)</f>
        <v>0</v>
      </c>
      <c r="O28" s="158"/>
      <c r="P28" s="607"/>
      <c r="Q28" s="608"/>
      <c r="R28" s="609"/>
      <c r="S28" s="608"/>
      <c r="T28" s="608"/>
      <c r="U28" s="613"/>
      <c r="V28" s="610"/>
    </row>
    <row r="29" spans="2:22" ht="15" customHeight="1" thickTop="1" x14ac:dyDescent="0.15">
      <c r="B29" s="1084"/>
      <c r="C29" s="456" t="s">
        <v>694</v>
      </c>
      <c r="D29" s="445">
        <v>180</v>
      </c>
      <c r="E29" s="446" t="s">
        <v>695</v>
      </c>
      <c r="F29" s="445">
        <f>4180/500</f>
        <v>8.36</v>
      </c>
      <c r="G29" s="605">
        <f>D29*F29</f>
        <v>1504.8</v>
      </c>
      <c r="H29" s="140"/>
      <c r="I29" s="1093" t="s">
        <v>171</v>
      </c>
      <c r="J29" s="445" t="s">
        <v>271</v>
      </c>
      <c r="K29" s="449">
        <v>31.4</v>
      </c>
      <c r="L29" s="449">
        <v>3.2</v>
      </c>
      <c r="M29" s="449">
        <v>14</v>
      </c>
      <c r="N29" s="303">
        <f>K29*L29*M29</f>
        <v>1406.72</v>
      </c>
      <c r="O29" s="158"/>
      <c r="P29" s="607"/>
      <c r="Q29" s="608"/>
      <c r="R29" s="609"/>
      <c r="S29" s="608"/>
      <c r="T29" s="608"/>
      <c r="U29" s="613"/>
      <c r="V29" s="610"/>
    </row>
    <row r="30" spans="2:22" ht="15" customHeight="1" x14ac:dyDescent="0.15">
      <c r="B30" s="1084"/>
      <c r="C30" s="445" t="s">
        <v>30</v>
      </c>
      <c r="D30" s="445">
        <v>1000</v>
      </c>
      <c r="E30" s="446" t="s">
        <v>276</v>
      </c>
      <c r="F30" s="445">
        <f>42580/20000</f>
        <v>2.129</v>
      </c>
      <c r="G30" s="605">
        <f>D30*F30</f>
        <v>2129</v>
      </c>
      <c r="H30" s="140"/>
      <c r="I30" s="1094"/>
      <c r="J30" s="445" t="s">
        <v>273</v>
      </c>
      <c r="K30" s="449">
        <v>4</v>
      </c>
      <c r="L30" s="449">
        <v>1.9</v>
      </c>
      <c r="M30" s="449">
        <v>14</v>
      </c>
      <c r="N30" s="303">
        <f t="shared" ref="N30:N31" si="9">K30*L30*M30</f>
        <v>106.39999999999999</v>
      </c>
      <c r="O30" s="50"/>
      <c r="P30" s="607"/>
      <c r="Q30" s="608"/>
      <c r="R30" s="609"/>
      <c r="S30" s="608"/>
      <c r="T30" s="608"/>
      <c r="U30" s="613"/>
      <c r="V30" s="610"/>
    </row>
    <row r="31" spans="2:22" ht="15" customHeight="1" x14ac:dyDescent="0.15">
      <c r="B31" s="1084"/>
      <c r="C31" s="456"/>
      <c r="D31" s="445"/>
      <c r="E31" s="446"/>
      <c r="F31" s="445"/>
      <c r="G31" s="448"/>
      <c r="H31" s="140"/>
      <c r="I31" s="1094"/>
      <c r="J31" s="445" t="s">
        <v>274</v>
      </c>
      <c r="K31" s="449">
        <v>24.5</v>
      </c>
      <c r="L31" s="449">
        <v>6.7</v>
      </c>
      <c r="M31" s="449">
        <v>14</v>
      </c>
      <c r="N31" s="303">
        <f t="shared" si="9"/>
        <v>2298.1</v>
      </c>
      <c r="P31" s="607"/>
      <c r="Q31" s="608"/>
      <c r="R31" s="609"/>
      <c r="S31" s="608"/>
      <c r="T31" s="608"/>
      <c r="U31" s="613"/>
      <c r="V31" s="610"/>
    </row>
    <row r="32" spans="2:22" ht="15" customHeight="1" thickBot="1" x14ac:dyDescent="0.2">
      <c r="B32" s="1084"/>
      <c r="C32" s="445"/>
      <c r="D32" s="445"/>
      <c r="E32" s="446"/>
      <c r="F32" s="445"/>
      <c r="G32" s="448">
        <f t="shared" ref="G32:G37" si="10">D32*F32</f>
        <v>0</v>
      </c>
      <c r="H32" s="140"/>
      <c r="I32" s="1098"/>
      <c r="J32" s="291" t="s">
        <v>472</v>
      </c>
      <c r="K32" s="292">
        <f>SUM(K29:K31)</f>
        <v>59.9</v>
      </c>
      <c r="L32" s="293">
        <f>SUM(L29:L31)</f>
        <v>11.8</v>
      </c>
      <c r="M32" s="294"/>
      <c r="N32" s="295">
        <f>SUM(N29:N31)</f>
        <v>3811.2200000000003</v>
      </c>
      <c r="P32" s="607"/>
      <c r="Q32" s="608"/>
      <c r="R32" s="609"/>
      <c r="S32" s="608"/>
      <c r="T32" s="608"/>
      <c r="U32" s="613"/>
      <c r="V32" s="610"/>
    </row>
    <row r="33" spans="2:22" ht="15" customHeight="1" x14ac:dyDescent="0.15">
      <c r="B33" s="1084"/>
      <c r="C33" s="445"/>
      <c r="D33" s="445"/>
      <c r="E33" s="446"/>
      <c r="F33" s="445"/>
      <c r="G33" s="448">
        <f t="shared" si="10"/>
        <v>0</v>
      </c>
      <c r="H33" s="140"/>
      <c r="I33" s="125"/>
      <c r="J33" s="125"/>
      <c r="K33" s="125"/>
      <c r="L33" s="125"/>
      <c r="M33" s="125"/>
      <c r="N33" s="125"/>
      <c r="P33" s="607"/>
      <c r="Q33" s="608"/>
      <c r="R33" s="609"/>
      <c r="S33" s="608"/>
      <c r="T33" s="608"/>
      <c r="U33" s="613"/>
      <c r="V33" s="610"/>
    </row>
    <row r="34" spans="2:22" ht="15" customHeight="1" thickBot="1" x14ac:dyDescent="0.2">
      <c r="B34" s="1084"/>
      <c r="C34" s="445"/>
      <c r="D34" s="445"/>
      <c r="E34" s="446"/>
      <c r="F34" s="445"/>
      <c r="G34" s="448">
        <f t="shared" si="10"/>
        <v>0</v>
      </c>
      <c r="H34" s="140"/>
      <c r="I34" s="115" t="s">
        <v>227</v>
      </c>
      <c r="J34" s="115"/>
      <c r="K34" s="115"/>
      <c r="L34" s="115"/>
      <c r="M34" s="115"/>
      <c r="P34" s="599" t="s">
        <v>220</v>
      </c>
      <c r="Q34" s="240"/>
      <c r="R34" s="240"/>
      <c r="S34" s="240"/>
      <c r="T34" s="240"/>
      <c r="U34" s="152"/>
      <c r="V34" s="455">
        <f>SUM(V25:V33)</f>
        <v>83.333333333333329</v>
      </c>
    </row>
    <row r="35" spans="2:22" ht="15" customHeight="1" x14ac:dyDescent="0.15">
      <c r="B35" s="1084"/>
      <c r="C35" s="445"/>
      <c r="D35" s="445"/>
      <c r="E35" s="446"/>
      <c r="F35" s="445"/>
      <c r="G35" s="448">
        <f t="shared" si="10"/>
        <v>0</v>
      </c>
      <c r="H35" s="140"/>
      <c r="I35" s="214" t="s">
        <v>215</v>
      </c>
      <c r="J35" s="457" t="s">
        <v>5</v>
      </c>
      <c r="K35" s="1096" t="s">
        <v>216</v>
      </c>
      <c r="L35" s="1097"/>
      <c r="M35" s="230" t="s">
        <v>182</v>
      </c>
      <c r="N35" s="458" t="s">
        <v>474</v>
      </c>
    </row>
    <row r="36" spans="2:22" ht="15" customHeight="1" thickBot="1" x14ac:dyDescent="0.2">
      <c r="B36" s="1084"/>
      <c r="C36" s="445"/>
      <c r="D36" s="445"/>
      <c r="E36" s="446"/>
      <c r="F36" s="445"/>
      <c r="G36" s="448">
        <f t="shared" si="10"/>
        <v>0</v>
      </c>
      <c r="H36" s="140"/>
      <c r="I36" s="1080" t="s">
        <v>2</v>
      </c>
      <c r="J36" s="138" t="s">
        <v>627</v>
      </c>
      <c r="K36" s="1090">
        <v>5940000</v>
      </c>
      <c r="L36" s="1090"/>
      <c r="M36" s="316">
        <v>20</v>
      </c>
      <c r="N36" s="221">
        <f>+K36/M36*0.014*0.3</f>
        <v>1247.3999999999999</v>
      </c>
      <c r="P36" s="115" t="s">
        <v>221</v>
      </c>
      <c r="Q36" s="115"/>
      <c r="R36" s="115"/>
      <c r="S36" s="115"/>
      <c r="T36" s="115"/>
    </row>
    <row r="37" spans="2:22" ht="15" customHeight="1" x14ac:dyDescent="0.15">
      <c r="B37" s="1084"/>
      <c r="C37" s="445"/>
      <c r="D37" s="445"/>
      <c r="E37" s="446"/>
      <c r="F37" s="445"/>
      <c r="G37" s="448">
        <f t="shared" si="10"/>
        <v>0</v>
      </c>
      <c r="H37" s="140"/>
      <c r="I37" s="1081"/>
      <c r="J37" s="138" t="s">
        <v>279</v>
      </c>
      <c r="K37" s="1090">
        <v>10692000</v>
      </c>
      <c r="L37" s="1090"/>
      <c r="M37" s="316">
        <v>20</v>
      </c>
      <c r="N37" s="221">
        <f>+K37/M37*0.014*0.3</f>
        <v>2245.3200000000002</v>
      </c>
      <c r="P37" s="214" t="s">
        <v>214</v>
      </c>
      <c r="Q37" s="1126" t="s">
        <v>222</v>
      </c>
      <c r="R37" s="1126"/>
      <c r="S37" s="601" t="s">
        <v>225</v>
      </c>
      <c r="T37" s="601" t="s">
        <v>224</v>
      </c>
      <c r="U37" s="230" t="s">
        <v>182</v>
      </c>
      <c r="V37" s="231" t="s">
        <v>474</v>
      </c>
    </row>
    <row r="38" spans="2:22" ht="15" customHeight="1" thickBot="1" x14ac:dyDescent="0.2">
      <c r="B38" s="1085"/>
      <c r="C38" s="130" t="s">
        <v>144</v>
      </c>
      <c r="D38" s="130"/>
      <c r="E38" s="130"/>
      <c r="F38" s="130"/>
      <c r="G38" s="131">
        <f>SUM(G28:G37)</f>
        <v>5512.1</v>
      </c>
      <c r="H38" s="140"/>
      <c r="I38" s="1081"/>
      <c r="J38" s="138" t="s">
        <v>628</v>
      </c>
      <c r="K38" s="1090">
        <v>1761750</v>
      </c>
      <c r="L38" s="1090"/>
      <c r="M38" s="316">
        <v>20</v>
      </c>
      <c r="N38" s="221">
        <f>+K38/M38*0.014*0.3</f>
        <v>369.96750000000003</v>
      </c>
      <c r="O38" s="149"/>
      <c r="P38" s="1077" t="s">
        <v>223</v>
      </c>
      <c r="Q38" s="218" t="s">
        <v>213</v>
      </c>
      <c r="R38" s="234"/>
      <c r="S38" s="219"/>
      <c r="T38" s="235"/>
      <c r="U38" s="219"/>
      <c r="V38" s="221">
        <v>3880</v>
      </c>
    </row>
    <row r="39" spans="2:22" ht="15" customHeight="1" thickTop="1" x14ac:dyDescent="0.15">
      <c r="B39" s="1083" t="s">
        <v>168</v>
      </c>
      <c r="C39" s="307" t="s">
        <v>696</v>
      </c>
      <c r="D39" s="445">
        <v>60</v>
      </c>
      <c r="E39" s="446" t="s">
        <v>276</v>
      </c>
      <c r="F39" s="445">
        <f>1450/500</f>
        <v>2.9</v>
      </c>
      <c r="G39" s="448">
        <f>D39*F39</f>
        <v>174</v>
      </c>
      <c r="H39" s="140"/>
      <c r="I39" s="1081"/>
      <c r="J39" s="138"/>
      <c r="K39" s="1090"/>
      <c r="L39" s="1090"/>
      <c r="M39" s="600"/>
      <c r="N39" s="221"/>
      <c r="O39" s="149"/>
      <c r="P39" s="1078"/>
      <c r="Q39" s="218"/>
      <c r="R39" s="234"/>
      <c r="S39" s="219"/>
      <c r="T39" s="235"/>
      <c r="U39" s="219"/>
      <c r="V39" s="221"/>
    </row>
    <row r="40" spans="2:22" ht="15" customHeight="1" x14ac:dyDescent="0.15">
      <c r="B40" s="1084"/>
      <c r="C40" s="445" t="s">
        <v>294</v>
      </c>
      <c r="D40" s="445">
        <v>1000</v>
      </c>
      <c r="E40" s="446" t="s">
        <v>276</v>
      </c>
      <c r="F40" s="445">
        <f>96020/20000</f>
        <v>4.8010000000000002</v>
      </c>
      <c r="G40" s="448">
        <f>D40*F40</f>
        <v>4801</v>
      </c>
      <c r="H40" s="140"/>
      <c r="I40" s="1081"/>
      <c r="J40" s="138"/>
      <c r="K40" s="1090"/>
      <c r="L40" s="1090"/>
      <c r="M40" s="600"/>
      <c r="N40" s="221"/>
      <c r="O40" s="149"/>
      <c r="P40" s="1078"/>
      <c r="Q40" s="218"/>
      <c r="R40" s="234"/>
      <c r="S40" s="219"/>
      <c r="T40" s="235"/>
      <c r="U40" s="219"/>
      <c r="V40" s="221"/>
    </row>
    <row r="41" spans="2:22" ht="15" customHeight="1" x14ac:dyDescent="0.15">
      <c r="B41" s="1084"/>
      <c r="C41" s="445"/>
      <c r="D41" s="445"/>
      <c r="E41" s="446"/>
      <c r="F41" s="445"/>
      <c r="G41" s="448">
        <f>D41*F41</f>
        <v>0</v>
      </c>
      <c r="H41" s="140"/>
      <c r="I41" s="1081"/>
      <c r="J41" s="138"/>
      <c r="K41" s="1090"/>
      <c r="L41" s="1090"/>
      <c r="M41" s="600"/>
      <c r="N41" s="221"/>
      <c r="O41" s="149"/>
      <c r="P41" s="1078"/>
      <c r="Q41" s="218"/>
      <c r="R41" s="234"/>
      <c r="S41" s="219"/>
      <c r="T41" s="235"/>
      <c r="U41" s="219"/>
      <c r="V41" s="221"/>
    </row>
    <row r="42" spans="2:22" ht="15" customHeight="1" thickBot="1" x14ac:dyDescent="0.2">
      <c r="B42" s="1084"/>
      <c r="C42" s="445"/>
      <c r="D42" s="445"/>
      <c r="E42" s="446"/>
      <c r="F42" s="445"/>
      <c r="G42" s="448">
        <f t="shared" ref="G42:G52" si="11">D42*F42</f>
        <v>0</v>
      </c>
      <c r="H42" s="140"/>
      <c r="I42" s="1082"/>
      <c r="J42" s="215" t="s">
        <v>145</v>
      </c>
      <c r="K42" s="1091"/>
      <c r="L42" s="1092"/>
      <c r="M42" s="216"/>
      <c r="N42" s="220">
        <f>SUM(N36:N41)</f>
        <v>3862.6875000000005</v>
      </c>
      <c r="O42" s="149"/>
      <c r="P42" s="1078"/>
      <c r="Q42" s="218"/>
      <c r="R42" s="234"/>
      <c r="S42" s="219"/>
      <c r="T42" s="235"/>
      <c r="U42" s="219"/>
      <c r="V42" s="221"/>
    </row>
    <row r="43" spans="2:22" ht="15" customHeight="1" thickTop="1" x14ac:dyDescent="0.15">
      <c r="B43" s="1084"/>
      <c r="C43" s="445"/>
      <c r="D43" s="445"/>
      <c r="E43" s="446"/>
      <c r="F43" s="445"/>
      <c r="G43" s="448"/>
      <c r="H43" s="140"/>
      <c r="I43" s="1086" t="s">
        <v>217</v>
      </c>
      <c r="J43" s="217" t="s">
        <v>232</v>
      </c>
      <c r="K43" s="1089">
        <v>8200</v>
      </c>
      <c r="L43" s="1089"/>
      <c r="M43" s="602">
        <v>20</v>
      </c>
      <c r="N43" s="233">
        <f>+K43/M43</f>
        <v>410</v>
      </c>
      <c r="O43" s="149"/>
      <c r="P43" s="1078"/>
      <c r="Q43" s="218"/>
      <c r="R43" s="234"/>
      <c r="S43" s="219"/>
      <c r="T43" s="235"/>
      <c r="U43" s="219"/>
      <c r="V43" s="221"/>
    </row>
    <row r="44" spans="2:22" ht="15" customHeight="1" thickBot="1" x14ac:dyDescent="0.2">
      <c r="B44" s="1084"/>
      <c r="C44" s="445"/>
      <c r="D44" s="445"/>
      <c r="E44" s="446"/>
      <c r="F44" s="445"/>
      <c r="G44" s="448"/>
      <c r="H44" s="140"/>
      <c r="I44" s="1087"/>
      <c r="J44" s="218"/>
      <c r="K44" s="1090"/>
      <c r="L44" s="1090"/>
      <c r="M44" s="600"/>
      <c r="N44" s="221"/>
      <c r="O44" s="149"/>
      <c r="P44" s="1079"/>
      <c r="Q44" s="222" t="s">
        <v>226</v>
      </c>
      <c r="R44" s="223"/>
      <c r="S44" s="223"/>
      <c r="T44" s="223"/>
      <c r="U44" s="223"/>
      <c r="V44" s="224">
        <f>SUM(V38:V43)</f>
        <v>3880</v>
      </c>
    </row>
    <row r="45" spans="2:22" ht="15" customHeight="1" thickTop="1" x14ac:dyDescent="0.15">
      <c r="B45" s="1084"/>
      <c r="C45" s="445"/>
      <c r="D45" s="445"/>
      <c r="E45" s="446"/>
      <c r="F45" s="445"/>
      <c r="G45" s="448"/>
      <c r="H45" s="140"/>
      <c r="I45" s="1087"/>
      <c r="J45" s="138"/>
      <c r="K45" s="1090"/>
      <c r="L45" s="1090"/>
      <c r="M45" s="600"/>
      <c r="N45" s="221"/>
      <c r="O45" s="149"/>
      <c r="P45" s="1139" t="s">
        <v>231</v>
      </c>
      <c r="Q45" s="1135" t="s">
        <v>233</v>
      </c>
      <c r="R45" s="236" t="s">
        <v>234</v>
      </c>
      <c r="S45" s="217">
        <v>35750</v>
      </c>
      <c r="T45" s="237">
        <v>1</v>
      </c>
      <c r="U45" s="217">
        <v>30</v>
      </c>
      <c r="V45" s="232">
        <f>+S45*T45/U45</f>
        <v>1191.6666666666667</v>
      </c>
    </row>
    <row r="46" spans="2:22" ht="15" customHeight="1" thickBot="1" x14ac:dyDescent="0.2">
      <c r="B46" s="1084"/>
      <c r="C46" s="445"/>
      <c r="D46" s="445"/>
      <c r="E46" s="446"/>
      <c r="F46" s="445"/>
      <c r="G46" s="448">
        <f t="shared" si="11"/>
        <v>0</v>
      </c>
      <c r="H46" s="140"/>
      <c r="I46" s="1088"/>
      <c r="J46" s="215" t="s">
        <v>145</v>
      </c>
      <c r="K46" s="1091"/>
      <c r="L46" s="1092"/>
      <c r="M46" s="216"/>
      <c r="N46" s="220">
        <f>SUM(N43:N45)</f>
        <v>410</v>
      </c>
      <c r="O46" s="149"/>
      <c r="P46" s="1078"/>
      <c r="Q46" s="1136"/>
      <c r="R46" s="238" t="s">
        <v>230</v>
      </c>
      <c r="S46" s="218">
        <v>15600</v>
      </c>
      <c r="T46" s="235">
        <v>1</v>
      </c>
      <c r="U46" s="218">
        <v>30</v>
      </c>
      <c r="V46" s="221">
        <f>+S46*T46/U46</f>
        <v>520</v>
      </c>
    </row>
    <row r="47" spans="2:22" ht="15" customHeight="1" thickTop="1" x14ac:dyDescent="0.15">
      <c r="B47" s="1084"/>
      <c r="C47" s="445"/>
      <c r="D47" s="445"/>
      <c r="E47" s="446"/>
      <c r="F47" s="445"/>
      <c r="G47" s="448">
        <f t="shared" si="11"/>
        <v>0</v>
      </c>
      <c r="H47" s="140"/>
      <c r="I47" s="1086" t="s">
        <v>218</v>
      </c>
      <c r="J47" s="217" t="s">
        <v>232</v>
      </c>
      <c r="K47" s="1089">
        <v>11500</v>
      </c>
      <c r="L47" s="1089"/>
      <c r="M47" s="602">
        <v>20</v>
      </c>
      <c r="N47" s="232">
        <f>K47/M47</f>
        <v>575</v>
      </c>
      <c r="O47" s="149"/>
      <c r="P47" s="1078"/>
      <c r="Q47" s="1136"/>
      <c r="R47" s="238"/>
      <c r="S47" s="218"/>
      <c r="T47" s="218"/>
      <c r="U47" s="138"/>
      <c r="V47" s="239"/>
    </row>
    <row r="48" spans="2:22" ht="15" customHeight="1" x14ac:dyDescent="0.15">
      <c r="B48" s="1084"/>
      <c r="C48" s="445"/>
      <c r="D48" s="445"/>
      <c r="E48" s="446"/>
      <c r="F48" s="445"/>
      <c r="G48" s="448">
        <f t="shared" si="11"/>
        <v>0</v>
      </c>
      <c r="H48" s="140"/>
      <c r="I48" s="1087"/>
      <c r="J48" s="218"/>
      <c r="K48" s="1090"/>
      <c r="L48" s="1090"/>
      <c r="M48" s="600"/>
      <c r="N48" s="221"/>
      <c r="O48" s="149"/>
      <c r="P48" s="1078"/>
      <c r="Q48" s="1136"/>
      <c r="R48" s="238"/>
      <c r="S48" s="218"/>
      <c r="T48" s="235"/>
      <c r="U48" s="218"/>
      <c r="V48" s="221"/>
    </row>
    <row r="49" spans="2:22" ht="15" customHeight="1" thickBot="1" x14ac:dyDescent="0.2">
      <c r="B49" s="1085"/>
      <c r="C49" s="132" t="s">
        <v>145</v>
      </c>
      <c r="D49" s="133"/>
      <c r="E49" s="133"/>
      <c r="F49" s="133"/>
      <c r="G49" s="134">
        <f>SUM(G39:G48)</f>
        <v>4975</v>
      </c>
      <c r="H49" s="140"/>
      <c r="I49" s="1087"/>
      <c r="J49" s="138"/>
      <c r="K49" s="1090"/>
      <c r="L49" s="1090"/>
      <c r="M49" s="600"/>
      <c r="N49" s="221"/>
      <c r="O49" s="149"/>
      <c r="P49" s="1078"/>
      <c r="Q49" s="1137"/>
      <c r="R49" s="238"/>
      <c r="S49" s="218"/>
      <c r="T49" s="218"/>
      <c r="U49" s="138"/>
      <c r="V49" s="239"/>
    </row>
    <row r="50" spans="2:22" ht="15" customHeight="1" thickTop="1" thickBot="1" x14ac:dyDescent="0.2">
      <c r="B50" s="1083" t="s">
        <v>32</v>
      </c>
      <c r="C50" s="445" t="s">
        <v>697</v>
      </c>
      <c r="D50" s="445">
        <v>10</v>
      </c>
      <c r="E50" s="446" t="s">
        <v>257</v>
      </c>
      <c r="F50" s="445">
        <f>24330/10</f>
        <v>2433</v>
      </c>
      <c r="G50" s="448">
        <f t="shared" si="11"/>
        <v>24330</v>
      </c>
      <c r="H50" s="140"/>
      <c r="I50" s="1088"/>
      <c r="J50" s="215" t="s">
        <v>145</v>
      </c>
      <c r="K50" s="1091"/>
      <c r="L50" s="1092"/>
      <c r="M50" s="216"/>
      <c r="N50" s="220">
        <f>SUM(N47:N49)</f>
        <v>575</v>
      </c>
      <c r="O50" s="149"/>
      <c r="P50" s="1078"/>
      <c r="Q50" s="222" t="s">
        <v>226</v>
      </c>
      <c r="R50" s="223"/>
      <c r="S50" s="223"/>
      <c r="T50" s="223"/>
      <c r="U50" s="223"/>
      <c r="V50" s="224">
        <f>SUM(V45:V49)</f>
        <v>1711.6666666666667</v>
      </c>
    </row>
    <row r="51" spans="2:22" ht="15" customHeight="1" thickTop="1" x14ac:dyDescent="0.15">
      <c r="B51" s="1084"/>
      <c r="C51" s="445"/>
      <c r="D51" s="445"/>
      <c r="E51" s="445"/>
      <c r="F51" s="445"/>
      <c r="G51" s="448">
        <f t="shared" si="11"/>
        <v>0</v>
      </c>
      <c r="H51" s="140"/>
      <c r="I51" s="1086" t="s">
        <v>219</v>
      </c>
      <c r="J51" s="217" t="s">
        <v>54</v>
      </c>
      <c r="K51" s="1099">
        <v>1600</v>
      </c>
      <c r="L51" s="1100"/>
      <c r="M51" s="602">
        <v>20</v>
      </c>
      <c r="N51" s="233">
        <f>+K51/M51</f>
        <v>80</v>
      </c>
      <c r="O51" s="149"/>
      <c r="P51" s="1078"/>
      <c r="Q51" s="1135" t="s">
        <v>235</v>
      </c>
      <c r="R51" s="236" t="s">
        <v>234</v>
      </c>
      <c r="S51" s="217">
        <v>60000</v>
      </c>
      <c r="T51" s="237">
        <v>1</v>
      </c>
      <c r="U51" s="217">
        <v>30</v>
      </c>
      <c r="V51" s="232">
        <f>+S51*T51/U51</f>
        <v>2000</v>
      </c>
    </row>
    <row r="52" spans="2:22" ht="15" customHeight="1" x14ac:dyDescent="0.15">
      <c r="B52" s="1084"/>
      <c r="C52" s="445"/>
      <c r="D52" s="445"/>
      <c r="E52" s="445"/>
      <c r="F52" s="445"/>
      <c r="G52" s="448">
        <f t="shared" si="11"/>
        <v>0</v>
      </c>
      <c r="H52" s="140"/>
      <c r="I52" s="1087"/>
      <c r="J52" s="218" t="s">
        <v>54</v>
      </c>
      <c r="K52" s="1101">
        <v>1600</v>
      </c>
      <c r="L52" s="1102"/>
      <c r="M52" s="316">
        <v>20</v>
      </c>
      <c r="N52" s="221">
        <f t="shared" ref="N52:N54" si="12">+K52/M52</f>
        <v>80</v>
      </c>
      <c r="O52" s="149"/>
      <c r="P52" s="1078"/>
      <c r="Q52" s="1136"/>
      <c r="R52" s="238" t="s">
        <v>230</v>
      </c>
      <c r="S52" s="218">
        <v>25000</v>
      </c>
      <c r="T52" s="235">
        <v>1</v>
      </c>
      <c r="U52" s="218">
        <v>30</v>
      </c>
      <c r="V52" s="221">
        <f>+S52*T52/U52</f>
        <v>833.33333333333337</v>
      </c>
    </row>
    <row r="53" spans="2:22" ht="15" customHeight="1" thickBot="1" x14ac:dyDescent="0.2">
      <c r="B53" s="1085"/>
      <c r="C53" s="132" t="s">
        <v>145</v>
      </c>
      <c r="D53" s="133"/>
      <c r="E53" s="133"/>
      <c r="F53" s="133"/>
      <c r="G53" s="134">
        <f>SUM(G50:G52)</f>
        <v>24330</v>
      </c>
      <c r="H53" s="140"/>
      <c r="I53" s="1087"/>
      <c r="J53" s="218" t="s">
        <v>56</v>
      </c>
      <c r="K53" s="1103">
        <v>1600</v>
      </c>
      <c r="L53" s="1104"/>
      <c r="M53" s="226">
        <v>20</v>
      </c>
      <c r="N53" s="221">
        <f t="shared" si="12"/>
        <v>80</v>
      </c>
      <c r="O53" s="149"/>
      <c r="P53" s="1078"/>
      <c r="Q53" s="1136"/>
      <c r="R53" s="238"/>
      <c r="S53" s="218"/>
      <c r="T53" s="218"/>
      <c r="U53" s="138"/>
      <c r="V53" s="239"/>
    </row>
    <row r="54" spans="2:22" ht="13.9" customHeight="1" thickTop="1" x14ac:dyDescent="0.15">
      <c r="B54" s="1083" t="s">
        <v>293</v>
      </c>
      <c r="C54" s="445" t="s">
        <v>698</v>
      </c>
      <c r="D54" s="459">
        <f>131*50/1000</f>
        <v>6.55</v>
      </c>
      <c r="E54" s="446" t="s">
        <v>257</v>
      </c>
      <c r="F54" s="445">
        <f>9650/3</f>
        <v>3216.6666666666665</v>
      </c>
      <c r="G54" s="605">
        <f>D54*F54</f>
        <v>21069.166666666664</v>
      </c>
      <c r="I54" s="1087"/>
      <c r="J54" s="600" t="s">
        <v>230</v>
      </c>
      <c r="K54" s="1105">
        <v>4000</v>
      </c>
      <c r="L54" s="1106"/>
      <c r="M54" s="316">
        <v>20</v>
      </c>
      <c r="N54" s="221">
        <f t="shared" si="12"/>
        <v>200</v>
      </c>
      <c r="O54" s="149"/>
      <c r="P54" s="1078"/>
      <c r="Q54" s="1136"/>
      <c r="R54" s="238"/>
      <c r="S54" s="218"/>
      <c r="T54" s="235"/>
      <c r="U54" s="218"/>
      <c r="V54" s="221"/>
    </row>
    <row r="55" spans="2:22" x14ac:dyDescent="0.15">
      <c r="B55" s="1084"/>
      <c r="C55" s="445" t="s">
        <v>699</v>
      </c>
      <c r="D55" s="445">
        <v>1000</v>
      </c>
      <c r="E55" s="446" t="s">
        <v>264</v>
      </c>
      <c r="F55" s="445">
        <f>68710/10000</f>
        <v>6.8710000000000004</v>
      </c>
      <c r="G55" s="448">
        <f>D55*F55</f>
        <v>6871</v>
      </c>
      <c r="I55" s="1087"/>
      <c r="J55" s="218"/>
      <c r="K55" s="1103"/>
      <c r="L55" s="1104"/>
      <c r="M55" s="226"/>
      <c r="N55" s="460"/>
      <c r="O55" s="149"/>
      <c r="P55" s="1078"/>
      <c r="Q55" s="1138"/>
      <c r="R55" s="238"/>
      <c r="S55" s="218"/>
      <c r="T55" s="218"/>
      <c r="U55" s="138"/>
      <c r="V55" s="239"/>
    </row>
    <row r="56" spans="2:22" x14ac:dyDescent="0.15">
      <c r="B56" s="1084"/>
      <c r="C56" s="445"/>
      <c r="D56" s="445"/>
      <c r="E56" s="446"/>
      <c r="F56" s="445"/>
      <c r="G56" s="448">
        <f>D56*F56</f>
        <v>0</v>
      </c>
      <c r="I56" s="1080"/>
      <c r="J56" s="614" t="s">
        <v>145</v>
      </c>
      <c r="K56" s="1107"/>
      <c r="L56" s="1108"/>
      <c r="M56" s="615"/>
      <c r="N56" s="463">
        <f>SUM(N51:N55)</f>
        <v>440</v>
      </c>
      <c r="O56" s="149"/>
      <c r="P56" s="1140"/>
      <c r="Q56" s="616" t="s">
        <v>226</v>
      </c>
      <c r="R56" s="617"/>
      <c r="S56" s="617"/>
      <c r="T56" s="617"/>
      <c r="U56" s="617"/>
      <c r="V56" s="242">
        <f>SUM(V51:V55)</f>
        <v>2833.3333333333335</v>
      </c>
    </row>
    <row r="57" spans="2:22" ht="14.25" thickBot="1" x14ac:dyDescent="0.2">
      <c r="B57" s="1111"/>
      <c r="C57" s="135" t="s">
        <v>147</v>
      </c>
      <c r="D57" s="136"/>
      <c r="E57" s="136"/>
      <c r="F57" s="136"/>
      <c r="G57" s="137">
        <f>SUM(G54:G56)</f>
        <v>27940.166666666664</v>
      </c>
      <c r="I57" s="1141" t="s">
        <v>220</v>
      </c>
      <c r="J57" s="1132"/>
      <c r="K57" s="1113"/>
      <c r="L57" s="1114"/>
      <c r="M57" s="152"/>
      <c r="N57" s="241">
        <f>SUM(N42,N46,N50,N56)</f>
        <v>5287.6875</v>
      </c>
      <c r="O57" s="149"/>
      <c r="P57" s="1133" t="s">
        <v>220</v>
      </c>
      <c r="Q57" s="1134"/>
      <c r="R57" s="240"/>
      <c r="S57" s="240"/>
      <c r="T57" s="240"/>
      <c r="U57" s="240"/>
      <c r="V57" s="241">
        <f>SUM(V44,V50,V56)</f>
        <v>8425</v>
      </c>
    </row>
    <row r="58" spans="2:22" x14ac:dyDescent="0.15">
      <c r="O58" s="149"/>
      <c r="V58" s="49"/>
    </row>
    <row r="59" spans="2:22" x14ac:dyDescent="0.15">
      <c r="I59" s="149"/>
      <c r="J59" s="149"/>
      <c r="K59" s="149"/>
      <c r="L59" s="149"/>
      <c r="M59" s="149"/>
      <c r="N59" s="149"/>
      <c r="O59" s="149"/>
    </row>
    <row r="60" spans="2:22" x14ac:dyDescent="0.15">
      <c r="I60" s="149"/>
      <c r="J60" s="149"/>
      <c r="K60" s="149"/>
      <c r="L60" s="149"/>
      <c r="M60" s="149"/>
      <c r="N60" s="149"/>
      <c r="O60" s="149"/>
    </row>
    <row r="61" spans="2:22" x14ac:dyDescent="0.15">
      <c r="I61" s="149"/>
      <c r="J61" s="149"/>
      <c r="K61" s="149"/>
      <c r="L61" s="149"/>
      <c r="M61" s="149"/>
      <c r="N61" s="149"/>
      <c r="O61" s="149"/>
    </row>
    <row r="62" spans="2:22" x14ac:dyDescent="0.15">
      <c r="I62" s="149"/>
      <c r="J62" s="149"/>
      <c r="K62" s="149"/>
      <c r="L62" s="149"/>
      <c r="M62" s="149"/>
      <c r="N62" s="149"/>
      <c r="O62" s="149"/>
    </row>
    <row r="63" spans="2:22" x14ac:dyDescent="0.15">
      <c r="I63" s="149"/>
      <c r="J63" s="149"/>
      <c r="K63" s="149"/>
      <c r="L63" s="149"/>
      <c r="M63" s="149"/>
      <c r="N63" s="149"/>
      <c r="O63" s="149"/>
    </row>
    <row r="64" spans="2:22" x14ac:dyDescent="0.15">
      <c r="I64" s="149"/>
      <c r="J64" s="149"/>
      <c r="K64" s="149"/>
      <c r="L64" s="149"/>
      <c r="M64" s="149"/>
      <c r="N64" s="149"/>
      <c r="O64" s="149"/>
    </row>
    <row r="65" spans="8:22" x14ac:dyDescent="0.15">
      <c r="H65" s="49"/>
      <c r="I65" s="149"/>
      <c r="J65" s="149"/>
      <c r="K65" s="149"/>
      <c r="L65" s="149"/>
      <c r="M65" s="149"/>
      <c r="N65" s="149"/>
      <c r="O65" s="149"/>
      <c r="P65" s="49"/>
      <c r="R65" s="49"/>
      <c r="V65" s="49"/>
    </row>
    <row r="66" spans="8:22" x14ac:dyDescent="0.15">
      <c r="H66" s="49"/>
      <c r="I66" s="149"/>
      <c r="J66" s="149"/>
      <c r="K66" s="149"/>
      <c r="L66" s="149"/>
      <c r="M66" s="149"/>
      <c r="N66" s="149"/>
      <c r="O66" s="149"/>
      <c r="P66" s="49"/>
      <c r="R66" s="49"/>
      <c r="V66" s="49"/>
    </row>
    <row r="67" spans="8:22" x14ac:dyDescent="0.15">
      <c r="H67" s="49"/>
      <c r="I67" s="149"/>
      <c r="J67" s="149"/>
      <c r="K67" s="149"/>
      <c r="L67" s="149"/>
      <c r="M67" s="149"/>
      <c r="N67" s="149"/>
      <c r="O67" s="149"/>
      <c r="P67" s="49"/>
      <c r="R67" s="49"/>
      <c r="V67" s="49"/>
    </row>
    <row r="68" spans="8:22" x14ac:dyDescent="0.15">
      <c r="H68" s="49"/>
      <c r="I68" s="149"/>
      <c r="J68" s="149"/>
      <c r="K68" s="149"/>
      <c r="L68" s="149"/>
      <c r="M68" s="149"/>
      <c r="N68" s="149"/>
      <c r="O68" s="149"/>
      <c r="P68" s="49"/>
      <c r="R68" s="49"/>
      <c r="V68" s="49"/>
    </row>
    <row r="69" spans="8:22" x14ac:dyDescent="0.15">
      <c r="H69" s="49"/>
      <c r="I69" s="149"/>
      <c r="J69" s="149"/>
      <c r="K69" s="149"/>
      <c r="L69" s="149"/>
      <c r="M69" s="149"/>
      <c r="N69" s="149"/>
      <c r="O69" s="149"/>
      <c r="P69" s="49"/>
      <c r="R69" s="49"/>
      <c r="V69" s="49"/>
    </row>
    <row r="70" spans="8:22" x14ac:dyDescent="0.15">
      <c r="H70" s="49"/>
      <c r="I70" s="149"/>
      <c r="J70" s="149"/>
      <c r="K70" s="149"/>
      <c r="L70" s="149"/>
      <c r="M70" s="149"/>
      <c r="N70" s="149"/>
      <c r="O70" s="149"/>
      <c r="P70" s="49"/>
      <c r="R70" s="49"/>
      <c r="V70" s="49"/>
    </row>
    <row r="71" spans="8:22" x14ac:dyDescent="0.15">
      <c r="H71" s="49"/>
      <c r="I71" s="149"/>
      <c r="J71" s="149"/>
      <c r="K71" s="149"/>
      <c r="L71" s="149"/>
      <c r="M71" s="149"/>
      <c r="N71" s="149"/>
      <c r="O71" s="149"/>
      <c r="P71" s="49"/>
      <c r="R71" s="49"/>
      <c r="V71" s="49"/>
    </row>
    <row r="72" spans="8:22" x14ac:dyDescent="0.15">
      <c r="H72" s="49"/>
      <c r="I72" s="149"/>
      <c r="J72" s="149"/>
      <c r="K72" s="149"/>
      <c r="L72" s="149"/>
      <c r="M72" s="149"/>
      <c r="N72" s="149"/>
      <c r="O72" s="149"/>
      <c r="P72" s="49"/>
      <c r="R72" s="49"/>
      <c r="V72" s="49"/>
    </row>
    <row r="73" spans="8:22" x14ac:dyDescent="0.15">
      <c r="H73" s="49"/>
      <c r="I73" s="149"/>
      <c r="J73" s="149"/>
      <c r="K73" s="149"/>
      <c r="L73" s="149"/>
      <c r="M73" s="149"/>
      <c r="N73" s="149"/>
      <c r="O73" s="149"/>
      <c r="P73" s="49"/>
      <c r="R73" s="49"/>
      <c r="V73" s="49"/>
    </row>
    <row r="74" spans="8:22" x14ac:dyDescent="0.15">
      <c r="H74" s="49"/>
      <c r="I74" s="149"/>
      <c r="J74" s="149"/>
      <c r="K74" s="149"/>
      <c r="L74" s="149"/>
      <c r="M74" s="149"/>
      <c r="N74" s="149"/>
      <c r="O74" s="149"/>
      <c r="P74" s="49"/>
      <c r="R74" s="49"/>
      <c r="V74" s="49"/>
    </row>
    <row r="75" spans="8:22" x14ac:dyDescent="0.15">
      <c r="H75" s="49"/>
      <c r="I75" s="149"/>
      <c r="J75" s="149"/>
      <c r="K75" s="149"/>
      <c r="L75" s="149"/>
      <c r="M75" s="149"/>
      <c r="N75" s="149"/>
      <c r="O75" s="149"/>
      <c r="P75" s="49"/>
      <c r="R75" s="49"/>
      <c r="V75" s="49"/>
    </row>
    <row r="76" spans="8:22" x14ac:dyDescent="0.15">
      <c r="H76" s="49"/>
      <c r="I76" s="149"/>
      <c r="J76" s="149"/>
      <c r="K76" s="149"/>
      <c r="L76" s="149"/>
      <c r="M76" s="149"/>
      <c r="N76" s="149"/>
      <c r="O76" s="149"/>
      <c r="P76" s="49"/>
      <c r="R76" s="49"/>
      <c r="V76" s="49"/>
    </row>
    <row r="77" spans="8:22" x14ac:dyDescent="0.15">
      <c r="H77" s="49"/>
      <c r="I77" s="149"/>
      <c r="J77" s="149"/>
      <c r="K77" s="149"/>
      <c r="L77" s="149"/>
      <c r="M77" s="149"/>
      <c r="N77" s="149"/>
      <c r="O77" s="149"/>
      <c r="P77" s="49"/>
      <c r="R77" s="49"/>
      <c r="V77" s="49"/>
    </row>
    <row r="78" spans="8:22" x14ac:dyDescent="0.15">
      <c r="H78" s="49"/>
      <c r="I78" s="149"/>
      <c r="J78" s="149"/>
      <c r="K78" s="149"/>
      <c r="L78" s="149"/>
      <c r="M78" s="149"/>
      <c r="N78" s="149"/>
      <c r="O78" s="149"/>
      <c r="P78" s="49"/>
      <c r="R78" s="49"/>
      <c r="V78" s="49"/>
    </row>
    <row r="79" spans="8:22" x14ac:dyDescent="0.15">
      <c r="H79" s="49"/>
      <c r="I79" s="149"/>
      <c r="J79" s="149"/>
      <c r="K79" s="149"/>
      <c r="L79" s="149"/>
      <c r="M79" s="149"/>
      <c r="N79" s="149"/>
      <c r="O79" s="149"/>
      <c r="P79" s="49"/>
      <c r="R79" s="49"/>
      <c r="V79" s="49"/>
    </row>
    <row r="80" spans="8:22" x14ac:dyDescent="0.15">
      <c r="H80" s="49"/>
      <c r="I80" s="149"/>
      <c r="J80" s="149"/>
      <c r="K80" s="149"/>
      <c r="L80" s="149"/>
      <c r="M80" s="149"/>
      <c r="N80" s="149"/>
      <c r="O80" s="149"/>
      <c r="P80" s="49"/>
      <c r="R80" s="49"/>
      <c r="V80" s="49"/>
    </row>
    <row r="81" spans="2:22" x14ac:dyDescent="0.15">
      <c r="I81" s="149"/>
      <c r="J81" s="149"/>
      <c r="K81" s="149"/>
      <c r="L81" s="149"/>
      <c r="M81" s="149"/>
      <c r="N81" s="149"/>
      <c r="O81" s="149"/>
      <c r="P81" s="49"/>
      <c r="R81" s="49"/>
      <c r="V81" s="49"/>
    </row>
    <row r="82" spans="2:22" x14ac:dyDescent="0.15">
      <c r="I82" s="149"/>
      <c r="J82" s="149"/>
      <c r="K82" s="149"/>
      <c r="L82" s="149"/>
      <c r="M82" s="149"/>
      <c r="N82" s="149"/>
      <c r="O82" s="149"/>
      <c r="P82" s="49"/>
      <c r="R82" s="49"/>
      <c r="V82" s="49"/>
    </row>
    <row r="83" spans="2:22" x14ac:dyDescent="0.15">
      <c r="B83" s="139"/>
      <c r="C83" s="140"/>
      <c r="D83" s="140"/>
      <c r="E83" s="140"/>
      <c r="F83" s="140"/>
      <c r="I83" s="149"/>
      <c r="J83" s="149"/>
      <c r="K83" s="149"/>
      <c r="L83" s="149"/>
      <c r="M83" s="149"/>
      <c r="N83" s="149"/>
      <c r="O83" s="149"/>
      <c r="P83" s="49"/>
      <c r="R83" s="49"/>
      <c r="V83" s="49"/>
    </row>
    <row r="84" spans="2:22" x14ac:dyDescent="0.15">
      <c r="B84" s="139"/>
      <c r="C84" s="140"/>
      <c r="D84" s="140"/>
      <c r="E84" s="140"/>
      <c r="F84" s="140"/>
      <c r="I84" s="149"/>
      <c r="J84" s="149"/>
      <c r="K84" s="149"/>
      <c r="L84" s="149"/>
      <c r="M84" s="149"/>
      <c r="N84" s="149"/>
      <c r="O84" s="149"/>
      <c r="P84" s="49"/>
      <c r="R84" s="49"/>
      <c r="V84" s="49"/>
    </row>
    <row r="85" spans="2:22" x14ac:dyDescent="0.15">
      <c r="I85" s="149"/>
      <c r="J85" s="149"/>
      <c r="K85" s="149"/>
      <c r="L85" s="149"/>
      <c r="M85" s="149"/>
      <c r="N85" s="149"/>
      <c r="O85" s="149"/>
      <c r="P85" s="49"/>
      <c r="R85" s="49"/>
      <c r="V85" s="49"/>
    </row>
    <row r="86" spans="2:22" x14ac:dyDescent="0.15">
      <c r="I86" s="149"/>
      <c r="J86" s="149"/>
      <c r="K86" s="149"/>
      <c r="L86" s="149"/>
      <c r="M86" s="149"/>
      <c r="N86" s="149"/>
      <c r="O86" s="149"/>
      <c r="P86" s="49"/>
      <c r="R86" s="49"/>
      <c r="V86" s="49"/>
    </row>
    <row r="87" spans="2:22" x14ac:dyDescent="0.15">
      <c r="I87" s="149"/>
      <c r="J87" s="149"/>
      <c r="K87" s="149"/>
      <c r="L87" s="149"/>
      <c r="M87" s="149"/>
      <c r="N87" s="149"/>
      <c r="O87" s="149"/>
      <c r="P87" s="49"/>
      <c r="R87" s="49"/>
      <c r="V87" s="49"/>
    </row>
    <row r="88" spans="2:22" x14ac:dyDescent="0.15">
      <c r="I88" s="149"/>
      <c r="J88" s="149"/>
      <c r="K88" s="149"/>
      <c r="L88" s="149"/>
      <c r="M88" s="149"/>
      <c r="N88" s="149"/>
      <c r="O88" s="149"/>
      <c r="P88" s="49"/>
      <c r="R88" s="49"/>
      <c r="V88" s="49"/>
    </row>
    <row r="89" spans="2:22" x14ac:dyDescent="0.15">
      <c r="I89" s="149"/>
      <c r="J89" s="149"/>
      <c r="K89" s="149"/>
      <c r="L89" s="149"/>
      <c r="M89" s="149"/>
      <c r="N89" s="149"/>
      <c r="O89" s="149"/>
      <c r="P89" s="49"/>
      <c r="R89" s="49"/>
      <c r="V89" s="49"/>
    </row>
    <row r="90" spans="2:22" x14ac:dyDescent="0.15">
      <c r="I90" s="149"/>
      <c r="J90" s="149"/>
      <c r="K90" s="149"/>
      <c r="L90" s="149"/>
      <c r="M90" s="149"/>
      <c r="N90" s="149"/>
      <c r="O90" s="149"/>
      <c r="P90" s="49"/>
      <c r="R90" s="49"/>
      <c r="V90" s="49"/>
    </row>
    <row r="91" spans="2:22" x14ac:dyDescent="0.15">
      <c r="I91" s="149"/>
      <c r="J91" s="149"/>
      <c r="K91" s="149"/>
      <c r="L91" s="149"/>
      <c r="M91" s="149"/>
      <c r="N91" s="149"/>
      <c r="O91" s="149"/>
      <c r="P91" s="49"/>
      <c r="R91" s="49"/>
      <c r="V91" s="49"/>
    </row>
    <row r="92" spans="2:22" x14ac:dyDescent="0.15">
      <c r="I92" s="149"/>
      <c r="J92" s="149"/>
      <c r="K92" s="149"/>
      <c r="L92" s="149"/>
      <c r="M92" s="149"/>
      <c r="N92" s="149"/>
      <c r="O92" s="149"/>
      <c r="P92" s="49"/>
      <c r="R92" s="49"/>
      <c r="V92" s="49"/>
    </row>
    <row r="93" spans="2:22" x14ac:dyDescent="0.15">
      <c r="I93" s="149"/>
      <c r="J93" s="149"/>
      <c r="K93" s="149"/>
      <c r="L93" s="149"/>
      <c r="M93" s="149"/>
      <c r="N93" s="149"/>
      <c r="O93" s="149"/>
      <c r="P93" s="49"/>
      <c r="R93" s="49"/>
      <c r="V93" s="49"/>
    </row>
    <row r="94" spans="2:22" x14ac:dyDescent="0.15">
      <c r="I94" s="149"/>
      <c r="J94" s="149"/>
      <c r="K94" s="149"/>
      <c r="L94" s="149"/>
      <c r="M94" s="149"/>
      <c r="N94" s="149"/>
      <c r="O94" s="149"/>
      <c r="P94" s="49"/>
      <c r="R94" s="49"/>
      <c r="V94" s="49"/>
    </row>
    <row r="95" spans="2:22" x14ac:dyDescent="0.15">
      <c r="I95" s="149"/>
      <c r="J95" s="149"/>
      <c r="K95" s="149"/>
      <c r="L95" s="149"/>
      <c r="M95" s="149"/>
      <c r="N95" s="149"/>
      <c r="O95" s="149"/>
      <c r="P95" s="49"/>
      <c r="R95" s="49"/>
      <c r="V95" s="49"/>
    </row>
    <row r="96" spans="2:22" x14ac:dyDescent="0.15">
      <c r="I96" s="149"/>
      <c r="J96" s="149"/>
      <c r="K96" s="149"/>
      <c r="L96" s="149"/>
      <c r="M96" s="149"/>
      <c r="N96" s="149"/>
      <c r="O96" s="149"/>
      <c r="P96" s="49"/>
      <c r="R96" s="49"/>
      <c r="V96" s="49"/>
    </row>
    <row r="97" spans="9:15" s="49" customFormat="1" x14ac:dyDescent="0.15">
      <c r="I97" s="149"/>
      <c r="J97" s="149"/>
      <c r="K97" s="149"/>
      <c r="L97" s="149"/>
      <c r="M97" s="149"/>
      <c r="N97" s="149"/>
      <c r="O97" s="149"/>
    </row>
    <row r="98" spans="9:15" s="49" customFormat="1" x14ac:dyDescent="0.15">
      <c r="I98" s="149"/>
      <c r="J98" s="149"/>
      <c r="K98" s="149"/>
      <c r="L98" s="149"/>
      <c r="M98" s="149"/>
      <c r="N98" s="149"/>
      <c r="O98" s="149"/>
    </row>
    <row r="99" spans="9:15" s="49" customFormat="1" x14ac:dyDescent="0.15">
      <c r="I99" s="149"/>
      <c r="J99" s="149"/>
      <c r="K99" s="149"/>
      <c r="L99" s="149"/>
      <c r="M99" s="149"/>
      <c r="N99" s="149"/>
      <c r="O99" s="149"/>
    </row>
    <row r="100" spans="9:15" s="49" customFormat="1" x14ac:dyDescent="0.15">
      <c r="I100" s="149"/>
      <c r="J100" s="149"/>
      <c r="K100" s="149"/>
      <c r="L100" s="149"/>
      <c r="M100" s="149"/>
      <c r="N100" s="149"/>
      <c r="O100" s="149"/>
    </row>
    <row r="101" spans="9:15" s="49" customFormat="1" x14ac:dyDescent="0.15">
      <c r="I101" s="149"/>
      <c r="J101" s="149"/>
      <c r="K101" s="149"/>
      <c r="L101" s="149"/>
      <c r="M101" s="149"/>
      <c r="N101" s="149"/>
      <c r="O101" s="149"/>
    </row>
    <row r="102" spans="9:15" s="49" customFormat="1" x14ac:dyDescent="0.15">
      <c r="I102" s="149"/>
      <c r="J102" s="149"/>
      <c r="K102" s="149"/>
      <c r="L102" s="149"/>
      <c r="M102" s="149"/>
      <c r="N102" s="149"/>
      <c r="O102" s="149"/>
    </row>
    <row r="103" spans="9:15" s="49" customFormat="1" x14ac:dyDescent="0.15">
      <c r="I103" s="149"/>
      <c r="J103" s="149"/>
      <c r="K103" s="149"/>
      <c r="L103" s="149"/>
      <c r="M103" s="149"/>
      <c r="N103" s="149"/>
      <c r="O103" s="149"/>
    </row>
    <row r="104" spans="9:15" s="49" customFormat="1" x14ac:dyDescent="0.15">
      <c r="I104" s="149"/>
      <c r="J104" s="149"/>
      <c r="K104" s="149"/>
      <c r="L104" s="149"/>
      <c r="M104" s="149"/>
      <c r="N104" s="149"/>
      <c r="O104" s="149"/>
    </row>
    <row r="105" spans="9:15" s="49" customFormat="1" x14ac:dyDescent="0.15">
      <c r="I105" s="149"/>
      <c r="J105" s="149"/>
      <c r="K105" s="149"/>
      <c r="L105" s="149"/>
      <c r="M105" s="149"/>
      <c r="N105" s="149"/>
      <c r="O105" s="149"/>
    </row>
    <row r="106" spans="9:15" s="49" customFormat="1" x14ac:dyDescent="0.15">
      <c r="I106" s="149"/>
      <c r="J106" s="149"/>
      <c r="K106" s="149"/>
      <c r="L106" s="149"/>
      <c r="M106" s="149"/>
      <c r="N106" s="149"/>
      <c r="O106" s="149"/>
    </row>
    <row r="107" spans="9:15" s="49" customFormat="1" x14ac:dyDescent="0.15">
      <c r="I107" s="149"/>
      <c r="J107" s="149"/>
      <c r="K107" s="149"/>
      <c r="L107" s="149"/>
      <c r="M107" s="149"/>
      <c r="N107" s="149"/>
      <c r="O107" s="149"/>
    </row>
    <row r="108" spans="9:15" s="49" customFormat="1" x14ac:dyDescent="0.15">
      <c r="I108" s="149"/>
      <c r="J108" s="149"/>
      <c r="K108" s="149"/>
      <c r="L108" s="149"/>
      <c r="M108" s="149"/>
      <c r="N108" s="149"/>
      <c r="O108" s="149"/>
    </row>
    <row r="109" spans="9:15" s="49" customFormat="1" x14ac:dyDescent="0.15">
      <c r="I109" s="149"/>
      <c r="J109" s="149"/>
      <c r="K109" s="149"/>
      <c r="L109" s="149"/>
      <c r="M109" s="149"/>
      <c r="N109" s="149"/>
      <c r="O109" s="149"/>
    </row>
    <row r="110" spans="9:15" s="49" customFormat="1" x14ac:dyDescent="0.15">
      <c r="I110" s="149"/>
      <c r="J110" s="149"/>
      <c r="K110" s="149"/>
      <c r="L110" s="149"/>
      <c r="M110" s="149"/>
      <c r="N110" s="149"/>
      <c r="O110" s="149"/>
    </row>
    <row r="111" spans="9:15" s="49" customFormat="1" x14ac:dyDescent="0.15">
      <c r="I111" s="149"/>
      <c r="J111" s="149"/>
      <c r="K111" s="149"/>
      <c r="L111" s="149"/>
      <c r="M111" s="149"/>
      <c r="N111" s="149"/>
      <c r="O111" s="149"/>
    </row>
    <row r="112" spans="9:15" s="49" customFormat="1" x14ac:dyDescent="0.15">
      <c r="I112" s="149"/>
      <c r="J112" s="149"/>
      <c r="K112" s="149"/>
      <c r="L112" s="149"/>
      <c r="M112" s="149"/>
      <c r="N112" s="149"/>
      <c r="O112" s="149"/>
    </row>
    <row r="113" spans="9:15" s="49" customFormat="1" x14ac:dyDescent="0.15">
      <c r="I113" s="149"/>
      <c r="J113" s="149"/>
      <c r="K113" s="149"/>
      <c r="L113" s="149"/>
      <c r="M113" s="149"/>
      <c r="N113" s="149"/>
      <c r="O113" s="149"/>
    </row>
    <row r="114" spans="9:15" s="49" customFormat="1" x14ac:dyDescent="0.15">
      <c r="I114" s="149"/>
      <c r="J114" s="149"/>
      <c r="K114" s="149"/>
      <c r="L114" s="149"/>
      <c r="M114" s="149"/>
      <c r="N114" s="149"/>
      <c r="O114" s="149"/>
    </row>
    <row r="115" spans="9:15" s="49" customFormat="1" x14ac:dyDescent="0.15">
      <c r="I115" s="149"/>
      <c r="J115" s="149"/>
      <c r="K115" s="149"/>
      <c r="L115" s="149"/>
      <c r="M115" s="149"/>
      <c r="N115" s="149"/>
      <c r="O115" s="149"/>
    </row>
    <row r="116" spans="9:15" s="49" customFormat="1" x14ac:dyDescent="0.15">
      <c r="I116" s="149"/>
      <c r="J116" s="149"/>
      <c r="K116" s="149"/>
      <c r="L116" s="149"/>
      <c r="M116" s="149"/>
      <c r="N116" s="149"/>
      <c r="O116" s="149"/>
    </row>
    <row r="117" spans="9:15" s="49" customFormat="1" x14ac:dyDescent="0.15">
      <c r="I117" s="149"/>
      <c r="J117" s="149"/>
      <c r="K117" s="149"/>
      <c r="L117" s="149"/>
      <c r="M117" s="149"/>
      <c r="N117" s="149"/>
      <c r="O117" s="149"/>
    </row>
    <row r="118" spans="9:15" s="49" customFormat="1" x14ac:dyDescent="0.15">
      <c r="I118" s="149"/>
      <c r="J118" s="149"/>
      <c r="K118" s="149"/>
      <c r="L118" s="149"/>
      <c r="M118" s="149"/>
      <c r="N118" s="149"/>
      <c r="O118" s="149"/>
    </row>
    <row r="119" spans="9:15" s="49" customFormat="1" x14ac:dyDescent="0.15">
      <c r="I119" s="149"/>
      <c r="J119" s="149"/>
      <c r="K119" s="149"/>
      <c r="L119" s="149"/>
      <c r="M119" s="149"/>
      <c r="N119" s="149"/>
      <c r="O119" s="149"/>
    </row>
    <row r="120" spans="9:15" s="49" customFormat="1" x14ac:dyDescent="0.15">
      <c r="I120" s="149"/>
      <c r="J120" s="149"/>
      <c r="K120" s="149"/>
      <c r="L120" s="149"/>
      <c r="M120" s="149"/>
      <c r="N120" s="149"/>
      <c r="O120" s="149"/>
    </row>
    <row r="121" spans="9:15" s="49" customFormat="1" x14ac:dyDescent="0.15">
      <c r="I121" s="149"/>
      <c r="J121" s="149"/>
      <c r="K121" s="149"/>
      <c r="L121" s="149"/>
      <c r="M121" s="149"/>
      <c r="N121" s="149"/>
      <c r="O121" s="149"/>
    </row>
    <row r="122" spans="9:15" s="49" customFormat="1" x14ac:dyDescent="0.15">
      <c r="I122" s="149"/>
      <c r="J122" s="149"/>
      <c r="K122" s="149"/>
      <c r="L122" s="149"/>
      <c r="M122" s="149"/>
      <c r="N122" s="149"/>
      <c r="O122" s="149"/>
    </row>
    <row r="123" spans="9:15" s="49" customFormat="1" x14ac:dyDescent="0.15">
      <c r="I123" s="149"/>
      <c r="J123" s="149"/>
      <c r="K123" s="149"/>
      <c r="L123" s="149"/>
      <c r="M123" s="149"/>
      <c r="N123" s="149"/>
      <c r="O123" s="149"/>
    </row>
    <row r="124" spans="9:15" s="49" customFormat="1" x14ac:dyDescent="0.15">
      <c r="I124" s="149"/>
      <c r="J124" s="149"/>
      <c r="K124" s="149"/>
      <c r="L124" s="149"/>
      <c r="M124" s="149"/>
      <c r="N124" s="149"/>
      <c r="O124" s="149"/>
    </row>
    <row r="125" spans="9:15" s="49" customFormat="1" x14ac:dyDescent="0.15">
      <c r="I125" s="149"/>
      <c r="J125" s="149"/>
      <c r="K125" s="149"/>
      <c r="L125" s="149"/>
      <c r="M125" s="149"/>
      <c r="N125" s="149"/>
      <c r="O125" s="149"/>
    </row>
    <row r="126" spans="9:15" s="49" customFormat="1" x14ac:dyDescent="0.15">
      <c r="I126" s="149"/>
      <c r="J126" s="149"/>
      <c r="K126" s="149"/>
      <c r="L126" s="149"/>
      <c r="M126" s="149"/>
      <c r="N126" s="149"/>
      <c r="O126" s="149"/>
    </row>
    <row r="127" spans="9:15" s="49" customFormat="1" x14ac:dyDescent="0.15">
      <c r="I127" s="149"/>
      <c r="J127" s="149"/>
      <c r="K127" s="149"/>
      <c r="L127" s="149"/>
      <c r="M127" s="149"/>
      <c r="N127" s="149"/>
      <c r="O127" s="149"/>
    </row>
    <row r="128" spans="9:15" s="49" customFormat="1" x14ac:dyDescent="0.15">
      <c r="I128" s="149"/>
      <c r="J128" s="149"/>
      <c r="K128" s="149"/>
      <c r="L128" s="149"/>
      <c r="M128" s="149"/>
      <c r="N128" s="149"/>
      <c r="O128" s="149"/>
    </row>
    <row r="129" spans="9:15" s="49" customFormat="1" x14ac:dyDescent="0.15">
      <c r="I129" s="149"/>
      <c r="J129" s="149"/>
      <c r="K129" s="149"/>
      <c r="L129" s="149"/>
      <c r="M129" s="149"/>
      <c r="N129" s="149"/>
      <c r="O129" s="149"/>
    </row>
    <row r="130" spans="9:15" s="49" customFormat="1" x14ac:dyDescent="0.15">
      <c r="I130" s="149"/>
      <c r="J130" s="149"/>
      <c r="K130" s="149"/>
      <c r="L130" s="149"/>
      <c r="M130" s="149"/>
      <c r="N130" s="149"/>
      <c r="O130" s="149"/>
    </row>
    <row r="131" spans="9:15" s="49" customFormat="1" x14ac:dyDescent="0.15">
      <c r="I131" s="149"/>
      <c r="J131" s="149"/>
      <c r="K131" s="149"/>
      <c r="L131" s="149"/>
      <c r="M131" s="149"/>
      <c r="N131" s="149"/>
      <c r="O131" s="149"/>
    </row>
    <row r="132" spans="9:15" s="49" customFormat="1" x14ac:dyDescent="0.15">
      <c r="I132" s="149"/>
      <c r="J132" s="149"/>
      <c r="K132" s="149"/>
      <c r="L132" s="149"/>
      <c r="M132" s="149"/>
      <c r="N132" s="149"/>
      <c r="O132" s="149"/>
    </row>
    <row r="133" spans="9:15" s="49" customFormat="1" x14ac:dyDescent="0.15">
      <c r="I133" s="149"/>
      <c r="J133" s="149"/>
      <c r="K133" s="149"/>
      <c r="L133" s="149"/>
      <c r="M133" s="149"/>
      <c r="N133" s="149"/>
      <c r="O133" s="149"/>
    </row>
    <row r="134" spans="9:15" s="49" customFormat="1" x14ac:dyDescent="0.15">
      <c r="I134" s="149"/>
      <c r="J134" s="149"/>
      <c r="K134" s="149"/>
      <c r="L134" s="149"/>
      <c r="M134" s="149"/>
      <c r="N134" s="149"/>
      <c r="O134" s="149"/>
    </row>
    <row r="135" spans="9:15" s="49" customFormat="1" x14ac:dyDescent="0.15">
      <c r="I135" s="149"/>
      <c r="J135" s="149"/>
      <c r="K135" s="149"/>
      <c r="L135" s="149"/>
      <c r="M135" s="149"/>
      <c r="N135" s="149"/>
      <c r="O135" s="149"/>
    </row>
    <row r="136" spans="9:15" s="49" customFormat="1" x14ac:dyDescent="0.15">
      <c r="I136" s="149"/>
      <c r="J136" s="149"/>
      <c r="K136" s="149"/>
      <c r="L136" s="149"/>
      <c r="M136" s="149"/>
      <c r="N136" s="149"/>
      <c r="O136" s="149"/>
    </row>
    <row r="137" spans="9:15" s="49" customFormat="1" x14ac:dyDescent="0.15">
      <c r="I137" s="149"/>
      <c r="J137" s="149"/>
      <c r="K137" s="149"/>
      <c r="L137" s="149"/>
      <c r="M137" s="149"/>
      <c r="N137" s="149"/>
      <c r="O137" s="149"/>
    </row>
    <row r="138" spans="9:15" s="49" customFormat="1" x14ac:dyDescent="0.15">
      <c r="I138" s="149"/>
      <c r="J138" s="149"/>
      <c r="K138" s="149"/>
      <c r="L138" s="149"/>
      <c r="M138" s="149"/>
      <c r="N138" s="149"/>
      <c r="O138" s="149"/>
    </row>
    <row r="139" spans="9:15" s="49" customFormat="1" x14ac:dyDescent="0.15">
      <c r="I139" s="149"/>
      <c r="J139" s="149"/>
      <c r="K139" s="149"/>
      <c r="L139" s="149"/>
      <c r="M139" s="149"/>
      <c r="N139" s="149"/>
      <c r="O139" s="149"/>
    </row>
    <row r="140" spans="9:15" s="49" customFormat="1" x14ac:dyDescent="0.15">
      <c r="I140" s="149"/>
      <c r="J140" s="149"/>
      <c r="K140" s="149"/>
      <c r="L140" s="149"/>
      <c r="M140" s="149"/>
      <c r="N140" s="149"/>
    </row>
    <row r="141" spans="9:15" s="49" customFormat="1" x14ac:dyDescent="0.15">
      <c r="I141" s="149"/>
      <c r="J141" s="149"/>
      <c r="K141" s="149"/>
      <c r="L141" s="149"/>
      <c r="M141" s="149"/>
      <c r="N141" s="149"/>
    </row>
    <row r="142" spans="9:15" s="49" customFormat="1" x14ac:dyDescent="0.15">
      <c r="I142" s="149"/>
      <c r="J142" s="149"/>
      <c r="K142" s="149"/>
      <c r="L142" s="149"/>
      <c r="M142" s="149"/>
      <c r="N142" s="149"/>
    </row>
    <row r="143" spans="9:15" s="49" customFormat="1" x14ac:dyDescent="0.15">
      <c r="I143" s="149"/>
      <c r="J143" s="149"/>
      <c r="K143" s="149"/>
      <c r="L143" s="149"/>
      <c r="M143" s="149"/>
      <c r="N143" s="149"/>
    </row>
    <row r="144" spans="9:15" s="49" customFormat="1" x14ac:dyDescent="0.15">
      <c r="I144" s="149"/>
      <c r="J144" s="149"/>
      <c r="K144" s="149"/>
      <c r="L144" s="149"/>
      <c r="M144" s="149"/>
      <c r="N144" s="149"/>
    </row>
    <row r="145" spans="8:22" x14ac:dyDescent="0.15">
      <c r="H145" s="49"/>
      <c r="I145" s="149"/>
      <c r="J145" s="149"/>
      <c r="K145" s="149"/>
      <c r="L145" s="149"/>
      <c r="M145" s="149"/>
      <c r="N145" s="149"/>
      <c r="P145" s="49"/>
      <c r="R145" s="49"/>
      <c r="V145" s="49"/>
    </row>
    <row r="146" spans="8:22" x14ac:dyDescent="0.15">
      <c r="H146" s="49"/>
      <c r="I146" s="149"/>
      <c r="J146" s="149"/>
      <c r="K146" s="149"/>
      <c r="L146" s="149"/>
      <c r="M146" s="149"/>
      <c r="N146" s="149"/>
      <c r="P146" s="49"/>
      <c r="R146" s="49"/>
      <c r="V146" s="49"/>
    </row>
    <row r="147" spans="8:22" x14ac:dyDescent="0.15">
      <c r="H147" s="49"/>
      <c r="I147" s="149"/>
      <c r="J147" s="149"/>
      <c r="K147" s="149"/>
      <c r="L147" s="149"/>
      <c r="M147" s="149"/>
      <c r="N147" s="149"/>
      <c r="P147" s="49"/>
      <c r="R147" s="49"/>
      <c r="V147" s="49"/>
    </row>
    <row r="148" spans="8:22" x14ac:dyDescent="0.15">
      <c r="H148" s="49"/>
      <c r="I148" s="149"/>
      <c r="J148" s="149"/>
      <c r="K148" s="149"/>
      <c r="L148" s="149"/>
      <c r="M148" s="149"/>
      <c r="N148" s="149"/>
      <c r="P148" s="49"/>
      <c r="R148" s="49"/>
      <c r="V148" s="49"/>
    </row>
    <row r="149" spans="8:22" x14ac:dyDescent="0.15">
      <c r="H149" s="49"/>
      <c r="I149" s="149"/>
      <c r="J149" s="149"/>
      <c r="K149" s="149"/>
      <c r="L149" s="149"/>
      <c r="M149" s="149"/>
      <c r="N149" s="149"/>
      <c r="P149" s="49"/>
      <c r="R149" s="49"/>
      <c r="V149" s="49"/>
    </row>
    <row r="150" spans="8:22" x14ac:dyDescent="0.15">
      <c r="H150" s="49"/>
      <c r="I150" s="149"/>
      <c r="J150" s="149"/>
      <c r="K150" s="149"/>
      <c r="L150" s="149"/>
      <c r="M150" s="149"/>
      <c r="N150" s="149"/>
      <c r="P150" s="49"/>
      <c r="R150" s="49"/>
      <c r="V150" s="49"/>
    </row>
    <row r="151" spans="8:22" x14ac:dyDescent="0.15">
      <c r="H151" s="49"/>
      <c r="I151" s="149"/>
      <c r="J151" s="149"/>
      <c r="K151" s="149"/>
      <c r="L151" s="149"/>
      <c r="M151" s="149"/>
      <c r="N151" s="149"/>
      <c r="P151" s="49"/>
      <c r="R151" s="49"/>
      <c r="V151" s="49"/>
    </row>
    <row r="152" spans="8:22" x14ac:dyDescent="0.15">
      <c r="H152" s="49"/>
      <c r="I152" s="149"/>
      <c r="J152" s="149"/>
      <c r="K152" s="149"/>
      <c r="L152" s="149"/>
      <c r="M152" s="149"/>
      <c r="N152" s="149"/>
      <c r="P152" s="49"/>
      <c r="R152" s="49"/>
      <c r="V152" s="49"/>
    </row>
    <row r="153" spans="8:22" x14ac:dyDescent="0.15">
      <c r="H153" s="49"/>
      <c r="I153" s="149"/>
      <c r="J153" s="149"/>
      <c r="K153" s="149"/>
      <c r="L153" s="149"/>
      <c r="M153" s="149"/>
      <c r="N153" s="149"/>
      <c r="P153" s="49"/>
      <c r="R153" s="49"/>
      <c r="V153" s="49"/>
    </row>
    <row r="154" spans="8:22" x14ac:dyDescent="0.15">
      <c r="H154" s="49"/>
      <c r="I154" s="149"/>
      <c r="J154" s="149"/>
      <c r="K154" s="149"/>
      <c r="L154" s="149"/>
      <c r="M154" s="149"/>
      <c r="N154" s="149"/>
      <c r="P154" s="49"/>
      <c r="R154" s="49"/>
      <c r="V154" s="49"/>
    </row>
    <row r="155" spans="8:22" x14ac:dyDescent="0.15">
      <c r="H155" s="49"/>
      <c r="J155" s="149"/>
      <c r="K155" s="149"/>
      <c r="L155" s="149"/>
      <c r="M155" s="149"/>
      <c r="N155" s="149"/>
      <c r="P155" s="49"/>
      <c r="R155" s="49"/>
      <c r="V155" s="49"/>
    </row>
    <row r="156" spans="8:22" x14ac:dyDescent="0.15">
      <c r="H156" s="49"/>
      <c r="J156" s="149"/>
      <c r="K156" s="149"/>
      <c r="L156" s="149"/>
      <c r="M156" s="149"/>
      <c r="N156" s="149"/>
      <c r="P156" s="49"/>
      <c r="R156" s="49"/>
      <c r="V156" s="49"/>
    </row>
    <row r="173" spans="8:22" x14ac:dyDescent="0.15">
      <c r="H173" s="49"/>
      <c r="O173" s="149"/>
      <c r="P173" s="49"/>
      <c r="R173" s="49"/>
      <c r="V173" s="49"/>
    </row>
    <row r="174" spans="8:22" x14ac:dyDescent="0.15">
      <c r="H174" s="49"/>
      <c r="O174" s="149"/>
      <c r="P174" s="49"/>
      <c r="R174" s="49"/>
      <c r="V174" s="49"/>
    </row>
    <row r="175" spans="8:22" x14ac:dyDescent="0.15">
      <c r="H175" s="49"/>
      <c r="O175" s="149"/>
      <c r="P175" s="49"/>
      <c r="R175" s="49"/>
      <c r="V175" s="49"/>
    </row>
    <row r="176" spans="8:22" x14ac:dyDescent="0.15">
      <c r="H176" s="49"/>
      <c r="O176" s="149"/>
      <c r="P176" s="49"/>
      <c r="R176" s="49"/>
      <c r="V176" s="49"/>
    </row>
    <row r="177" spans="15:15" s="49" customFormat="1" x14ac:dyDescent="0.15">
      <c r="O177" s="149"/>
    </row>
    <row r="178" spans="15:15" s="49" customFormat="1" x14ac:dyDescent="0.15">
      <c r="O178" s="149"/>
    </row>
    <row r="179" spans="15:15" s="49" customFormat="1" x14ac:dyDescent="0.15">
      <c r="O179" s="149"/>
    </row>
    <row r="180" spans="15:15" s="49" customFormat="1" x14ac:dyDescent="0.15">
      <c r="O180" s="149"/>
    </row>
    <row r="181" spans="15:15" s="49" customFormat="1" x14ac:dyDescent="0.15">
      <c r="O181" s="149"/>
    </row>
    <row r="182" spans="15:15" s="49" customFormat="1" x14ac:dyDescent="0.15">
      <c r="O182" s="149"/>
    </row>
    <row r="183" spans="15:15" s="49" customFormat="1" x14ac:dyDescent="0.15">
      <c r="O183" s="149"/>
    </row>
    <row r="184" spans="15:15" s="49" customFormat="1" x14ac:dyDescent="0.15">
      <c r="O184" s="149"/>
    </row>
    <row r="185" spans="15:15" s="49" customFormat="1" x14ac:dyDescent="0.15">
      <c r="O185" s="149"/>
    </row>
    <row r="186" spans="15:15" s="49" customFormat="1" x14ac:dyDescent="0.15">
      <c r="O186" s="149"/>
    </row>
    <row r="187" spans="15:15" s="49" customFormat="1" x14ac:dyDescent="0.15">
      <c r="O187" s="149"/>
    </row>
    <row r="188" spans="15:15" s="49" customFormat="1" x14ac:dyDescent="0.15">
      <c r="O188" s="149"/>
    </row>
    <row r="189" spans="15:15" s="49" customFormat="1" x14ac:dyDescent="0.15">
      <c r="O189" s="149"/>
    </row>
    <row r="190" spans="15:15" s="49" customFormat="1" x14ac:dyDescent="0.15">
      <c r="O190" s="149"/>
    </row>
    <row r="191" spans="15:15" s="49" customFormat="1" x14ac:dyDescent="0.15">
      <c r="O191" s="149"/>
    </row>
    <row r="192" spans="15:15" s="49" customFormat="1" x14ac:dyDescent="0.15">
      <c r="O192" s="149"/>
    </row>
  </sheetData>
  <mergeCells count="70">
    <mergeCell ref="P57:Q57"/>
    <mergeCell ref="Q45:Q49"/>
    <mergeCell ref="Q51:Q55"/>
    <mergeCell ref="P45:P56"/>
    <mergeCell ref="I57:J57"/>
    <mergeCell ref="K45:L45"/>
    <mergeCell ref="K48:L48"/>
    <mergeCell ref="K49:L49"/>
    <mergeCell ref="Q37:R37"/>
    <mergeCell ref="T14:U14"/>
    <mergeCell ref="M4:M5"/>
    <mergeCell ref="N4:N5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J4:J5"/>
    <mergeCell ref="I4:I5"/>
    <mergeCell ref="T4:U4"/>
    <mergeCell ref="T5:U5"/>
    <mergeCell ref="T6:U6"/>
    <mergeCell ref="I6:I12"/>
    <mergeCell ref="T18:U18"/>
    <mergeCell ref="B54:B57"/>
    <mergeCell ref="B50:B53"/>
    <mergeCell ref="B5:B7"/>
    <mergeCell ref="B12:B16"/>
    <mergeCell ref="B21:B24"/>
    <mergeCell ref="B17:B20"/>
    <mergeCell ref="B28:B38"/>
    <mergeCell ref="B39:B49"/>
    <mergeCell ref="K57:L57"/>
    <mergeCell ref="K36:L36"/>
    <mergeCell ref="K37:L37"/>
    <mergeCell ref="K39:L39"/>
    <mergeCell ref="K40:L40"/>
    <mergeCell ref="K50:L50"/>
    <mergeCell ref="K47:L47"/>
    <mergeCell ref="K42:L42"/>
    <mergeCell ref="I51:I56"/>
    <mergeCell ref="K51:L51"/>
    <mergeCell ref="K52:L52"/>
    <mergeCell ref="K53:L53"/>
    <mergeCell ref="K54:L54"/>
    <mergeCell ref="K55:L55"/>
    <mergeCell ref="K56:L56"/>
    <mergeCell ref="P38:P44"/>
    <mergeCell ref="I36:I42"/>
    <mergeCell ref="B8:B11"/>
    <mergeCell ref="I43:I46"/>
    <mergeCell ref="I47:I50"/>
    <mergeCell ref="K43:L43"/>
    <mergeCell ref="K44:L44"/>
    <mergeCell ref="K46:L46"/>
    <mergeCell ref="I13:I16"/>
    <mergeCell ref="K35:L35"/>
    <mergeCell ref="I29:I32"/>
    <mergeCell ref="I25:I28"/>
    <mergeCell ref="I17:I20"/>
    <mergeCell ref="I21:I24"/>
    <mergeCell ref="K41:L41"/>
    <mergeCell ref="K38:L38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3" tint="0.79998168889431442"/>
    <pageSetUpPr fitToPage="1"/>
  </sheetPr>
  <dimension ref="B1:W192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49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24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9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9" style="49"/>
    <col min="269" max="269" width="9.25" style="49" customWidth="1"/>
    <col min="270" max="270" width="3.5" style="49" customWidth="1"/>
    <col min="271" max="272" width="12.625" style="49" customWidth="1"/>
    <col min="273" max="273" width="9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9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9" style="49"/>
    <col min="525" max="525" width="9.25" style="49" customWidth="1"/>
    <col min="526" max="526" width="3.5" style="49" customWidth="1"/>
    <col min="527" max="528" width="12.625" style="49" customWidth="1"/>
    <col min="529" max="529" width="9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9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9" style="49"/>
    <col min="781" max="781" width="9.25" style="49" customWidth="1"/>
    <col min="782" max="782" width="3.5" style="49" customWidth="1"/>
    <col min="783" max="784" width="12.625" style="49" customWidth="1"/>
    <col min="785" max="785" width="9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9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9" style="49"/>
    <col min="1037" max="1037" width="9.25" style="49" customWidth="1"/>
    <col min="1038" max="1038" width="3.5" style="49" customWidth="1"/>
    <col min="1039" max="1040" width="12.625" style="49" customWidth="1"/>
    <col min="1041" max="1041" width="9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9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9" style="49"/>
    <col min="1293" max="1293" width="9.25" style="49" customWidth="1"/>
    <col min="1294" max="1294" width="3.5" style="49" customWidth="1"/>
    <col min="1295" max="1296" width="12.625" style="49" customWidth="1"/>
    <col min="1297" max="1297" width="9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9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9" style="49"/>
    <col min="1549" max="1549" width="9.25" style="49" customWidth="1"/>
    <col min="1550" max="1550" width="3.5" style="49" customWidth="1"/>
    <col min="1551" max="1552" width="12.625" style="49" customWidth="1"/>
    <col min="1553" max="1553" width="9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9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9" style="49"/>
    <col min="1805" max="1805" width="9.25" style="49" customWidth="1"/>
    <col min="1806" max="1806" width="3.5" style="49" customWidth="1"/>
    <col min="1807" max="1808" width="12.625" style="49" customWidth="1"/>
    <col min="1809" max="1809" width="9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9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9" style="49"/>
    <col min="2061" max="2061" width="9.25" style="49" customWidth="1"/>
    <col min="2062" max="2062" width="3.5" style="49" customWidth="1"/>
    <col min="2063" max="2064" width="12.625" style="49" customWidth="1"/>
    <col min="2065" max="2065" width="9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9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9" style="49"/>
    <col min="2317" max="2317" width="9.25" style="49" customWidth="1"/>
    <col min="2318" max="2318" width="3.5" style="49" customWidth="1"/>
    <col min="2319" max="2320" width="12.625" style="49" customWidth="1"/>
    <col min="2321" max="2321" width="9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9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9" style="49"/>
    <col min="2573" max="2573" width="9.25" style="49" customWidth="1"/>
    <col min="2574" max="2574" width="3.5" style="49" customWidth="1"/>
    <col min="2575" max="2576" width="12.625" style="49" customWidth="1"/>
    <col min="2577" max="2577" width="9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9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9" style="49"/>
    <col min="2829" max="2829" width="9.25" style="49" customWidth="1"/>
    <col min="2830" max="2830" width="3.5" style="49" customWidth="1"/>
    <col min="2831" max="2832" width="12.625" style="49" customWidth="1"/>
    <col min="2833" max="2833" width="9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9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9" style="49"/>
    <col min="3085" max="3085" width="9.25" style="49" customWidth="1"/>
    <col min="3086" max="3086" width="3.5" style="49" customWidth="1"/>
    <col min="3087" max="3088" width="12.625" style="49" customWidth="1"/>
    <col min="3089" max="3089" width="9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9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9" style="49"/>
    <col min="3341" max="3341" width="9.25" style="49" customWidth="1"/>
    <col min="3342" max="3342" width="3.5" style="49" customWidth="1"/>
    <col min="3343" max="3344" width="12.625" style="49" customWidth="1"/>
    <col min="3345" max="3345" width="9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9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9" style="49"/>
    <col min="3597" max="3597" width="9.25" style="49" customWidth="1"/>
    <col min="3598" max="3598" width="3.5" style="49" customWidth="1"/>
    <col min="3599" max="3600" width="12.625" style="49" customWidth="1"/>
    <col min="3601" max="3601" width="9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9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9" style="49"/>
    <col min="3853" max="3853" width="9.25" style="49" customWidth="1"/>
    <col min="3854" max="3854" width="3.5" style="49" customWidth="1"/>
    <col min="3855" max="3856" width="12.625" style="49" customWidth="1"/>
    <col min="3857" max="3857" width="9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9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9" style="49"/>
    <col min="4109" max="4109" width="9.25" style="49" customWidth="1"/>
    <col min="4110" max="4110" width="3.5" style="49" customWidth="1"/>
    <col min="4111" max="4112" width="12.625" style="49" customWidth="1"/>
    <col min="4113" max="4113" width="9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9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9" style="49"/>
    <col min="4365" max="4365" width="9.25" style="49" customWidth="1"/>
    <col min="4366" max="4366" width="3.5" style="49" customWidth="1"/>
    <col min="4367" max="4368" width="12.625" style="49" customWidth="1"/>
    <col min="4369" max="4369" width="9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9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9" style="49"/>
    <col min="4621" max="4621" width="9.25" style="49" customWidth="1"/>
    <col min="4622" max="4622" width="3.5" style="49" customWidth="1"/>
    <col min="4623" max="4624" width="12.625" style="49" customWidth="1"/>
    <col min="4625" max="4625" width="9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9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9" style="49"/>
    <col min="4877" max="4877" width="9.25" style="49" customWidth="1"/>
    <col min="4878" max="4878" width="3.5" style="49" customWidth="1"/>
    <col min="4879" max="4880" width="12.625" style="49" customWidth="1"/>
    <col min="4881" max="4881" width="9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9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9" style="49"/>
    <col min="5133" max="5133" width="9.25" style="49" customWidth="1"/>
    <col min="5134" max="5134" width="3.5" style="49" customWidth="1"/>
    <col min="5135" max="5136" width="12.625" style="49" customWidth="1"/>
    <col min="5137" max="5137" width="9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9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9" style="49"/>
    <col min="5389" max="5389" width="9.25" style="49" customWidth="1"/>
    <col min="5390" max="5390" width="3.5" style="49" customWidth="1"/>
    <col min="5391" max="5392" width="12.625" style="49" customWidth="1"/>
    <col min="5393" max="5393" width="9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9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9" style="49"/>
    <col min="5645" max="5645" width="9.25" style="49" customWidth="1"/>
    <col min="5646" max="5646" width="3.5" style="49" customWidth="1"/>
    <col min="5647" max="5648" width="12.625" style="49" customWidth="1"/>
    <col min="5649" max="5649" width="9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9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9" style="49"/>
    <col min="5901" max="5901" width="9.25" style="49" customWidth="1"/>
    <col min="5902" max="5902" width="3.5" style="49" customWidth="1"/>
    <col min="5903" max="5904" width="12.625" style="49" customWidth="1"/>
    <col min="5905" max="5905" width="9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9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9" style="49"/>
    <col min="6157" max="6157" width="9.25" style="49" customWidth="1"/>
    <col min="6158" max="6158" width="3.5" style="49" customWidth="1"/>
    <col min="6159" max="6160" width="12.625" style="49" customWidth="1"/>
    <col min="6161" max="6161" width="9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9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9" style="49"/>
    <col min="6413" max="6413" width="9.25" style="49" customWidth="1"/>
    <col min="6414" max="6414" width="3.5" style="49" customWidth="1"/>
    <col min="6415" max="6416" width="12.625" style="49" customWidth="1"/>
    <col min="6417" max="6417" width="9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9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9" style="49"/>
    <col min="6669" max="6669" width="9.25" style="49" customWidth="1"/>
    <col min="6670" max="6670" width="3.5" style="49" customWidth="1"/>
    <col min="6671" max="6672" width="12.625" style="49" customWidth="1"/>
    <col min="6673" max="6673" width="9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9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9" style="49"/>
    <col min="6925" max="6925" width="9.25" style="49" customWidth="1"/>
    <col min="6926" max="6926" width="3.5" style="49" customWidth="1"/>
    <col min="6927" max="6928" width="12.625" style="49" customWidth="1"/>
    <col min="6929" max="6929" width="9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9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9" style="49"/>
    <col min="7181" max="7181" width="9.25" style="49" customWidth="1"/>
    <col min="7182" max="7182" width="3.5" style="49" customWidth="1"/>
    <col min="7183" max="7184" width="12.625" style="49" customWidth="1"/>
    <col min="7185" max="7185" width="9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9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9" style="49"/>
    <col min="7437" max="7437" width="9.25" style="49" customWidth="1"/>
    <col min="7438" max="7438" width="3.5" style="49" customWidth="1"/>
    <col min="7439" max="7440" width="12.625" style="49" customWidth="1"/>
    <col min="7441" max="7441" width="9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9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9" style="49"/>
    <col min="7693" max="7693" width="9.25" style="49" customWidth="1"/>
    <col min="7694" max="7694" width="3.5" style="49" customWidth="1"/>
    <col min="7695" max="7696" width="12.625" style="49" customWidth="1"/>
    <col min="7697" max="7697" width="9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9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9" style="49"/>
    <col min="7949" max="7949" width="9.25" style="49" customWidth="1"/>
    <col min="7950" max="7950" width="3.5" style="49" customWidth="1"/>
    <col min="7951" max="7952" width="12.625" style="49" customWidth="1"/>
    <col min="7953" max="7953" width="9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9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9" style="49"/>
    <col min="8205" max="8205" width="9.25" style="49" customWidth="1"/>
    <col min="8206" max="8206" width="3.5" style="49" customWidth="1"/>
    <col min="8207" max="8208" width="12.625" style="49" customWidth="1"/>
    <col min="8209" max="8209" width="9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9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9" style="49"/>
    <col min="8461" max="8461" width="9.25" style="49" customWidth="1"/>
    <col min="8462" max="8462" width="3.5" style="49" customWidth="1"/>
    <col min="8463" max="8464" width="12.625" style="49" customWidth="1"/>
    <col min="8465" max="8465" width="9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9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9" style="49"/>
    <col min="8717" max="8717" width="9.25" style="49" customWidth="1"/>
    <col min="8718" max="8718" width="3.5" style="49" customWidth="1"/>
    <col min="8719" max="8720" width="12.625" style="49" customWidth="1"/>
    <col min="8721" max="8721" width="9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9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9" style="49"/>
    <col min="8973" max="8973" width="9.25" style="49" customWidth="1"/>
    <col min="8974" max="8974" width="3.5" style="49" customWidth="1"/>
    <col min="8975" max="8976" width="12.625" style="49" customWidth="1"/>
    <col min="8977" max="8977" width="9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9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9" style="49"/>
    <col min="9229" max="9229" width="9.25" style="49" customWidth="1"/>
    <col min="9230" max="9230" width="3.5" style="49" customWidth="1"/>
    <col min="9231" max="9232" width="12.625" style="49" customWidth="1"/>
    <col min="9233" max="9233" width="9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9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9" style="49"/>
    <col min="9485" max="9485" width="9.25" style="49" customWidth="1"/>
    <col min="9486" max="9486" width="3.5" style="49" customWidth="1"/>
    <col min="9487" max="9488" width="12.625" style="49" customWidth="1"/>
    <col min="9489" max="9489" width="9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9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9" style="49"/>
    <col min="9741" max="9741" width="9.25" style="49" customWidth="1"/>
    <col min="9742" max="9742" width="3.5" style="49" customWidth="1"/>
    <col min="9743" max="9744" width="12.625" style="49" customWidth="1"/>
    <col min="9745" max="9745" width="9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9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9" style="49"/>
    <col min="9997" max="9997" width="9.25" style="49" customWidth="1"/>
    <col min="9998" max="9998" width="3.5" style="49" customWidth="1"/>
    <col min="9999" max="10000" width="12.625" style="49" customWidth="1"/>
    <col min="10001" max="10001" width="9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9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9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9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9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9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9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9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9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9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9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9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9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9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9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9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9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9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9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9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9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9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9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9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9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9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9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9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9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9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9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9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9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9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9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9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9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9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9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9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9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9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9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9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9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9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9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9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9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9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9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9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9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9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9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9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9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9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9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9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9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9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9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9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9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9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9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9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9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9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9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9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9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9" style="49"/>
  </cols>
  <sheetData>
    <row r="1" spans="2:23" ht="9.9499999999999993" customHeight="1" x14ac:dyDescent="0.15"/>
    <row r="2" spans="2:23" ht="24.95" customHeight="1" x14ac:dyDescent="0.15">
      <c r="B2" s="1" t="s">
        <v>475</v>
      </c>
      <c r="C2" s="51"/>
      <c r="D2" s="5"/>
      <c r="E2" s="5"/>
      <c r="F2" s="51"/>
      <c r="G2" s="100"/>
      <c r="H2" s="110"/>
      <c r="I2" s="100"/>
      <c r="J2" s="100"/>
      <c r="K2" s="100"/>
      <c r="L2" s="100"/>
      <c r="M2" s="100"/>
      <c r="N2" s="100"/>
      <c r="O2" s="5"/>
    </row>
    <row r="3" spans="2:23" ht="15" customHeight="1" thickBot="1" x14ac:dyDescent="0.2">
      <c r="B3" s="49" t="s">
        <v>206</v>
      </c>
      <c r="I3" s="5" t="s">
        <v>207</v>
      </c>
      <c r="P3" s="49" t="s">
        <v>228</v>
      </c>
    </row>
    <row r="4" spans="2:23" ht="15" customHeight="1" x14ac:dyDescent="0.15">
      <c r="B4" s="515" t="s">
        <v>81</v>
      </c>
      <c r="C4" s="516" t="s">
        <v>170</v>
      </c>
      <c r="D4" s="516" t="s">
        <v>138</v>
      </c>
      <c r="E4" s="516" t="s">
        <v>139</v>
      </c>
      <c r="F4" s="604" t="s">
        <v>24</v>
      </c>
      <c r="G4" s="254" t="s">
        <v>140</v>
      </c>
      <c r="H4" s="139"/>
      <c r="I4" s="1117" t="s">
        <v>81</v>
      </c>
      <c r="J4" s="1115" t="s">
        <v>173</v>
      </c>
      <c r="K4" s="287" t="s">
        <v>700</v>
      </c>
      <c r="L4" s="287" t="s">
        <v>141</v>
      </c>
      <c r="M4" s="1127" t="s">
        <v>24</v>
      </c>
      <c r="N4" s="1129" t="s">
        <v>140</v>
      </c>
      <c r="O4" s="158"/>
      <c r="P4" s="517" t="s">
        <v>176</v>
      </c>
      <c r="Q4" s="518" t="s">
        <v>177</v>
      </c>
      <c r="R4" s="518" t="s">
        <v>178</v>
      </c>
      <c r="S4" s="518" t="s">
        <v>469</v>
      </c>
      <c r="T4" s="1119" t="s">
        <v>179</v>
      </c>
      <c r="U4" s="1120"/>
      <c r="V4" s="519" t="s">
        <v>180</v>
      </c>
    </row>
    <row r="5" spans="2:23" ht="15" customHeight="1" x14ac:dyDescent="0.15">
      <c r="B5" s="1112" t="s">
        <v>165</v>
      </c>
      <c r="C5" s="444"/>
      <c r="D5" s="445"/>
      <c r="E5" s="446"/>
      <c r="F5" s="444"/>
      <c r="G5" s="605">
        <f t="shared" ref="G5:G6" si="0">D5*F5</f>
        <v>0</v>
      </c>
      <c r="H5" s="140"/>
      <c r="I5" s="1118"/>
      <c r="J5" s="1116"/>
      <c r="K5" s="288" t="s">
        <v>143</v>
      </c>
      <c r="L5" s="288" t="s">
        <v>269</v>
      </c>
      <c r="M5" s="1128"/>
      <c r="N5" s="1130"/>
      <c r="O5" s="158"/>
      <c r="P5" s="545" t="s">
        <v>470</v>
      </c>
      <c r="Q5" s="546"/>
      <c r="R5" s="547" t="s">
        <v>98</v>
      </c>
      <c r="S5" s="546"/>
      <c r="T5" s="1121" t="s">
        <v>679</v>
      </c>
      <c r="U5" s="1122"/>
      <c r="V5" s="606">
        <v>5806.666666666667</v>
      </c>
      <c r="W5" s="149"/>
    </row>
    <row r="6" spans="2:23" ht="15" customHeight="1" x14ac:dyDescent="0.15">
      <c r="B6" s="1084"/>
      <c r="C6" s="445"/>
      <c r="D6" s="445"/>
      <c r="E6" s="446"/>
      <c r="F6" s="445"/>
      <c r="G6" s="448">
        <f t="shared" si="0"/>
        <v>0</v>
      </c>
      <c r="H6" s="140"/>
      <c r="I6" s="1123" t="s">
        <v>172</v>
      </c>
      <c r="J6" s="445" t="s">
        <v>266</v>
      </c>
      <c r="K6" s="449">
        <v>10.6</v>
      </c>
      <c r="L6" s="449">
        <v>13</v>
      </c>
      <c r="M6" s="449">
        <v>123.2</v>
      </c>
      <c r="N6" s="303">
        <f>K6*L6*M6</f>
        <v>16976.96</v>
      </c>
      <c r="O6" s="158"/>
      <c r="P6" s="607"/>
      <c r="Q6" s="608"/>
      <c r="R6" s="609"/>
      <c r="S6" s="608"/>
      <c r="T6" s="1109"/>
      <c r="U6" s="1110"/>
      <c r="V6" s="610"/>
    </row>
    <row r="7" spans="2:23" ht="15" customHeight="1" thickBot="1" x14ac:dyDescent="0.2">
      <c r="B7" s="1085"/>
      <c r="C7" s="130" t="s">
        <v>144</v>
      </c>
      <c r="D7" s="130"/>
      <c r="E7" s="130"/>
      <c r="F7" s="130"/>
      <c r="G7" s="131">
        <f>SUM(G5:G6)</f>
        <v>0</v>
      </c>
      <c r="H7" s="140"/>
      <c r="I7" s="1124"/>
      <c r="J7" s="445" t="s">
        <v>267</v>
      </c>
      <c r="K7" s="449">
        <v>5.4</v>
      </c>
      <c r="L7" s="449">
        <f>5+6.5</f>
        <v>11.5</v>
      </c>
      <c r="M7" s="449">
        <v>123.2</v>
      </c>
      <c r="N7" s="303">
        <f t="shared" ref="N7:N11" si="1">K7*L7*M7</f>
        <v>7650.72</v>
      </c>
      <c r="O7" s="158"/>
      <c r="P7" s="607"/>
      <c r="Q7" s="608"/>
      <c r="R7" s="609"/>
      <c r="S7" s="608"/>
      <c r="T7" s="1109"/>
      <c r="U7" s="1110"/>
      <c r="V7" s="610"/>
    </row>
    <row r="8" spans="2:23" ht="15" customHeight="1" thickTop="1" x14ac:dyDescent="0.15">
      <c r="B8" s="1083" t="s">
        <v>163</v>
      </c>
      <c r="C8" s="445" t="s">
        <v>413</v>
      </c>
      <c r="D8" s="445">
        <v>10</v>
      </c>
      <c r="E8" s="446" t="s">
        <v>701</v>
      </c>
      <c r="F8" s="445">
        <v>3840</v>
      </c>
      <c r="G8" s="448">
        <f>D8*F8</f>
        <v>38400</v>
      </c>
      <c r="H8" s="140"/>
      <c r="I8" s="1124"/>
      <c r="J8" s="445" t="s">
        <v>275</v>
      </c>
      <c r="K8" s="449">
        <v>1.2</v>
      </c>
      <c r="L8" s="449">
        <v>3</v>
      </c>
      <c r="M8" s="449">
        <v>123.2</v>
      </c>
      <c r="N8" s="303">
        <f t="shared" si="1"/>
        <v>443.52</v>
      </c>
      <c r="O8" s="158"/>
      <c r="P8" s="607"/>
      <c r="Q8" s="608"/>
      <c r="R8" s="609"/>
      <c r="S8" s="608"/>
      <c r="T8" s="1109"/>
      <c r="U8" s="1110"/>
      <c r="V8" s="610"/>
    </row>
    <row r="9" spans="2:23" ht="15" customHeight="1" x14ac:dyDescent="0.15">
      <c r="B9" s="1084"/>
      <c r="C9" s="445"/>
      <c r="D9" s="445"/>
      <c r="E9" s="446"/>
      <c r="F9" s="445"/>
      <c r="G9" s="448">
        <f>D9*F9</f>
        <v>0</v>
      </c>
      <c r="H9" s="140"/>
      <c r="I9" s="1124"/>
      <c r="J9" s="296" t="s">
        <v>270</v>
      </c>
      <c r="K9" s="297">
        <v>3.5</v>
      </c>
      <c r="L9" s="297">
        <v>5</v>
      </c>
      <c r="M9" s="449">
        <v>123.2</v>
      </c>
      <c r="N9" s="298">
        <f t="shared" si="1"/>
        <v>2156</v>
      </c>
      <c r="O9" s="158"/>
      <c r="P9" s="607"/>
      <c r="Q9" s="608"/>
      <c r="R9" s="609"/>
      <c r="S9" s="608"/>
      <c r="T9" s="1109"/>
      <c r="U9" s="1110"/>
      <c r="V9" s="610"/>
    </row>
    <row r="10" spans="2:23" ht="15" customHeight="1" x14ac:dyDescent="0.15">
      <c r="B10" s="1084"/>
      <c r="C10" s="445"/>
      <c r="D10" s="445"/>
      <c r="E10" s="446"/>
      <c r="F10" s="445"/>
      <c r="G10" s="448">
        <f>D10*F10</f>
        <v>0</v>
      </c>
      <c r="H10" s="140"/>
      <c r="I10" s="1124"/>
      <c r="J10" s="451"/>
      <c r="K10" s="452"/>
      <c r="L10" s="452"/>
      <c r="M10" s="449"/>
      <c r="N10" s="453"/>
      <c r="O10" s="158"/>
      <c r="P10" s="607"/>
      <c r="Q10" s="608"/>
      <c r="R10" s="609"/>
      <c r="S10" s="608"/>
      <c r="T10" s="611"/>
      <c r="U10" s="612"/>
      <c r="V10" s="610"/>
    </row>
    <row r="11" spans="2:23" ht="15" customHeight="1" thickBot="1" x14ac:dyDescent="0.2">
      <c r="B11" s="1085"/>
      <c r="C11" s="132" t="s">
        <v>145</v>
      </c>
      <c r="D11" s="133"/>
      <c r="E11" s="133"/>
      <c r="F11" s="133"/>
      <c r="G11" s="134">
        <f>SUM(G8:G10)</f>
        <v>38400</v>
      </c>
      <c r="H11" s="140"/>
      <c r="I11" s="1124"/>
      <c r="J11" s="300" t="s">
        <v>272</v>
      </c>
      <c r="K11" s="301">
        <v>2</v>
      </c>
      <c r="L11" s="301">
        <v>3.5</v>
      </c>
      <c r="M11" s="449">
        <v>123.2</v>
      </c>
      <c r="N11" s="302">
        <f t="shared" si="1"/>
        <v>862.4</v>
      </c>
      <c r="O11" s="158"/>
      <c r="P11" s="607"/>
      <c r="Q11" s="608"/>
      <c r="R11" s="609"/>
      <c r="S11" s="608"/>
      <c r="T11" s="1109"/>
      <c r="U11" s="1110"/>
      <c r="V11" s="610"/>
    </row>
    <row r="12" spans="2:23" ht="15" customHeight="1" thickTop="1" thickBot="1" x14ac:dyDescent="0.2">
      <c r="B12" s="1083" t="s">
        <v>164</v>
      </c>
      <c r="C12" s="445" t="s">
        <v>681</v>
      </c>
      <c r="D12" s="445">
        <v>350</v>
      </c>
      <c r="E12" s="446" t="s">
        <v>702</v>
      </c>
      <c r="F12" s="445">
        <f>3220/20</f>
        <v>161</v>
      </c>
      <c r="G12" s="448">
        <f>D12*F12</f>
        <v>56350</v>
      </c>
      <c r="H12" s="140"/>
      <c r="I12" s="1125"/>
      <c r="J12" s="285" t="s">
        <v>703</v>
      </c>
      <c r="K12" s="286">
        <f>SUM(K6:K9)</f>
        <v>20.7</v>
      </c>
      <c r="L12" s="286">
        <f>SUM(L6:L11)</f>
        <v>36</v>
      </c>
      <c r="M12" s="286"/>
      <c r="N12" s="289">
        <f>SUM(N6:N11)</f>
        <v>28089.600000000002</v>
      </c>
      <c r="O12" s="158"/>
      <c r="P12" s="607"/>
      <c r="Q12" s="608"/>
      <c r="R12" s="609"/>
      <c r="S12" s="608"/>
      <c r="T12" s="1109"/>
      <c r="U12" s="1110"/>
      <c r="V12" s="610"/>
    </row>
    <row r="13" spans="2:23" ht="15" customHeight="1" thickTop="1" x14ac:dyDescent="0.15">
      <c r="B13" s="1084"/>
      <c r="C13" s="445"/>
      <c r="D13" s="445"/>
      <c r="E13" s="446"/>
      <c r="F13" s="445"/>
      <c r="G13" s="448">
        <f>D13*F13</f>
        <v>0</v>
      </c>
      <c r="H13" s="140"/>
      <c r="I13" s="1093" t="s">
        <v>704</v>
      </c>
      <c r="J13" s="445" t="s">
        <v>268</v>
      </c>
      <c r="K13" s="449">
        <v>4.4000000000000004</v>
      </c>
      <c r="L13" s="449">
        <v>3.3</v>
      </c>
      <c r="M13" s="449">
        <v>169.9</v>
      </c>
      <c r="N13" s="303">
        <f>K13*L13*M13</f>
        <v>2466.9479999999999</v>
      </c>
      <c r="O13" s="158"/>
      <c r="P13" s="607"/>
      <c r="Q13" s="608"/>
      <c r="R13" s="609"/>
      <c r="S13" s="608"/>
      <c r="T13" s="1109"/>
      <c r="U13" s="1110"/>
      <c r="V13" s="610"/>
    </row>
    <row r="14" spans="2:23" ht="15" customHeight="1" x14ac:dyDescent="0.15">
      <c r="B14" s="1084"/>
      <c r="C14" s="445"/>
      <c r="D14" s="445"/>
      <c r="E14" s="446"/>
      <c r="F14" s="445"/>
      <c r="G14" s="448">
        <f>D14*F14</f>
        <v>0</v>
      </c>
      <c r="H14" s="140"/>
      <c r="I14" s="1094"/>
      <c r="J14" s="445"/>
      <c r="K14" s="449"/>
      <c r="L14" s="449"/>
      <c r="M14" s="449"/>
      <c r="N14" s="303">
        <f t="shared" ref="N14:N15" si="2">K14*L14*M14</f>
        <v>0</v>
      </c>
      <c r="O14" s="158"/>
      <c r="P14" s="607"/>
      <c r="Q14" s="608"/>
      <c r="R14" s="609"/>
      <c r="S14" s="608"/>
      <c r="T14" s="1109"/>
      <c r="U14" s="1110"/>
      <c r="V14" s="610"/>
    </row>
    <row r="15" spans="2:23" ht="15" customHeight="1" x14ac:dyDescent="0.15">
      <c r="B15" s="1084"/>
      <c r="C15" s="445"/>
      <c r="D15" s="445"/>
      <c r="E15" s="445"/>
      <c r="F15" s="445"/>
      <c r="G15" s="448">
        <f t="shared" ref="G15" si="3">D15*F15</f>
        <v>0</v>
      </c>
      <c r="H15" s="140"/>
      <c r="I15" s="1094"/>
      <c r="J15" s="445"/>
      <c r="K15" s="449"/>
      <c r="L15" s="449"/>
      <c r="M15" s="449"/>
      <c r="N15" s="303">
        <f t="shared" si="2"/>
        <v>0</v>
      </c>
      <c r="O15" s="158"/>
      <c r="P15" s="607"/>
      <c r="Q15" s="608"/>
      <c r="R15" s="609"/>
      <c r="S15" s="608"/>
      <c r="T15" s="1109"/>
      <c r="U15" s="1110"/>
      <c r="V15" s="610"/>
    </row>
    <row r="16" spans="2:23" ht="15" customHeight="1" thickBot="1" x14ac:dyDescent="0.2">
      <c r="B16" s="1085"/>
      <c r="C16" s="132" t="s">
        <v>145</v>
      </c>
      <c r="D16" s="133"/>
      <c r="E16" s="133"/>
      <c r="F16" s="133"/>
      <c r="G16" s="134">
        <f>SUM(G12:G15)</f>
        <v>56350</v>
      </c>
      <c r="H16" s="140"/>
      <c r="I16" s="1095"/>
      <c r="J16" s="228" t="s">
        <v>703</v>
      </c>
      <c r="K16" s="145">
        <f>SUM(K13:K15)</f>
        <v>4.4000000000000004</v>
      </c>
      <c r="L16" s="145">
        <f>SUM(L13:L15)</f>
        <v>3.3</v>
      </c>
      <c r="M16" s="145"/>
      <c r="N16" s="290">
        <f>SUM(N13:N15)</f>
        <v>2466.9479999999999</v>
      </c>
      <c r="O16" s="158"/>
      <c r="P16" s="607"/>
      <c r="Q16" s="608"/>
      <c r="R16" s="609"/>
      <c r="S16" s="608"/>
      <c r="T16" s="1109"/>
      <c r="U16" s="1110"/>
      <c r="V16" s="610"/>
    </row>
    <row r="17" spans="2:22" ht="15" customHeight="1" thickTop="1" x14ac:dyDescent="0.15">
      <c r="B17" s="1083" t="s">
        <v>166</v>
      </c>
      <c r="C17" s="445"/>
      <c r="D17" s="445"/>
      <c r="E17" s="446"/>
      <c r="F17" s="445"/>
      <c r="G17" s="448">
        <f t="shared" ref="G17" si="4">D17*F17</f>
        <v>0</v>
      </c>
      <c r="H17" s="140"/>
      <c r="I17" s="1093" t="s">
        <v>174</v>
      </c>
      <c r="J17" s="445"/>
      <c r="K17" s="449">
        <v>0</v>
      </c>
      <c r="L17" s="449"/>
      <c r="M17" s="449"/>
      <c r="N17" s="303">
        <f>K17*L17*M17</f>
        <v>0</v>
      </c>
      <c r="O17" s="158"/>
      <c r="P17" s="607"/>
      <c r="Q17" s="608"/>
      <c r="R17" s="609"/>
      <c r="S17" s="608"/>
      <c r="T17" s="1109"/>
      <c r="U17" s="1110"/>
      <c r="V17" s="610"/>
    </row>
    <row r="18" spans="2:22" ht="15" customHeight="1" x14ac:dyDescent="0.15">
      <c r="B18" s="1084"/>
      <c r="C18" s="445"/>
      <c r="D18" s="445"/>
      <c r="E18" s="446"/>
      <c r="F18" s="445"/>
      <c r="G18" s="448">
        <f>D18*F18</f>
        <v>0</v>
      </c>
      <c r="H18" s="140"/>
      <c r="I18" s="1094"/>
      <c r="J18" s="445"/>
      <c r="K18" s="449"/>
      <c r="L18" s="449"/>
      <c r="M18" s="449"/>
      <c r="N18" s="303">
        <f t="shared" ref="N18:N19" si="5">K18*L18*M18</f>
        <v>0</v>
      </c>
      <c r="O18" s="158"/>
      <c r="P18" s="607"/>
      <c r="Q18" s="608"/>
      <c r="R18" s="609"/>
      <c r="S18" s="608"/>
      <c r="T18" s="1109"/>
      <c r="U18" s="1110"/>
      <c r="V18" s="610"/>
    </row>
    <row r="19" spans="2:22" ht="15" customHeight="1" x14ac:dyDescent="0.15">
      <c r="B19" s="1084"/>
      <c r="C19" s="445"/>
      <c r="D19" s="445"/>
      <c r="E19" s="445"/>
      <c r="F19" s="445"/>
      <c r="G19" s="448">
        <f t="shared" ref="G19" si="6">D19*F19</f>
        <v>0</v>
      </c>
      <c r="H19" s="140"/>
      <c r="I19" s="1094"/>
      <c r="J19" s="445"/>
      <c r="K19" s="449"/>
      <c r="L19" s="449"/>
      <c r="M19" s="449"/>
      <c r="N19" s="303">
        <f t="shared" si="5"/>
        <v>0</v>
      </c>
      <c r="O19" s="158"/>
      <c r="P19" s="607"/>
      <c r="Q19" s="608"/>
      <c r="R19" s="609"/>
      <c r="S19" s="608"/>
      <c r="T19" s="1109"/>
      <c r="U19" s="1110"/>
      <c r="V19" s="610"/>
    </row>
    <row r="20" spans="2:22" ht="15" customHeight="1" thickBot="1" x14ac:dyDescent="0.2">
      <c r="B20" s="1085"/>
      <c r="C20" s="132" t="s">
        <v>145</v>
      </c>
      <c r="D20" s="133"/>
      <c r="E20" s="133"/>
      <c r="F20" s="133"/>
      <c r="G20" s="134">
        <f>SUM(G17:G19)</f>
        <v>0</v>
      </c>
      <c r="H20" s="140"/>
      <c r="I20" s="1095"/>
      <c r="J20" s="228" t="s">
        <v>703</v>
      </c>
      <c r="K20" s="145">
        <f>SUM(K17:K19)</f>
        <v>0</v>
      </c>
      <c r="L20" s="146">
        <f>SUM(L17:L19)</f>
        <v>0</v>
      </c>
      <c r="M20" s="147"/>
      <c r="N20" s="290">
        <f>SUM(N17:N19)</f>
        <v>0</v>
      </c>
      <c r="O20" s="158"/>
      <c r="P20" s="607"/>
      <c r="Q20" s="608"/>
      <c r="R20" s="609"/>
      <c r="S20" s="608"/>
      <c r="T20" s="1109"/>
      <c r="U20" s="1110"/>
      <c r="V20" s="610"/>
    </row>
    <row r="21" spans="2:22" ht="15" customHeight="1" thickTop="1" thickBot="1" x14ac:dyDescent="0.2">
      <c r="B21" s="1083" t="s">
        <v>167</v>
      </c>
      <c r="C21" s="445" t="s">
        <v>686</v>
      </c>
      <c r="D21" s="445">
        <f>131*4.3</f>
        <v>563.29999999999995</v>
      </c>
      <c r="E21" s="446" t="s">
        <v>257</v>
      </c>
      <c r="F21" s="445">
        <f>510/20</f>
        <v>25.5</v>
      </c>
      <c r="G21" s="448">
        <f>D21*F21</f>
        <v>14364.15</v>
      </c>
      <c r="H21" s="140"/>
      <c r="I21" s="1093" t="s">
        <v>175</v>
      </c>
      <c r="J21" s="445" t="s">
        <v>271</v>
      </c>
      <c r="K21" s="449">
        <v>28.2</v>
      </c>
      <c r="L21" s="449">
        <v>6.1</v>
      </c>
      <c r="M21" s="449">
        <v>107.8</v>
      </c>
      <c r="N21" s="303">
        <f>K21*L21*M21</f>
        <v>18543.755999999998</v>
      </c>
      <c r="O21" s="158"/>
      <c r="P21" s="454" t="s">
        <v>29</v>
      </c>
      <c r="Q21" s="240"/>
      <c r="R21" s="240"/>
      <c r="S21" s="240"/>
      <c r="T21" s="1131"/>
      <c r="U21" s="1132"/>
      <c r="V21" s="455">
        <f>SUM(V5:V20)</f>
        <v>5806.666666666667</v>
      </c>
    </row>
    <row r="22" spans="2:22" ht="15" customHeight="1" x14ac:dyDescent="0.15">
      <c r="B22" s="1084"/>
      <c r="C22" s="445"/>
      <c r="D22" s="445"/>
      <c r="E22" s="446"/>
      <c r="F22" s="445"/>
      <c r="G22" s="448">
        <f>D22*F22</f>
        <v>0</v>
      </c>
      <c r="H22" s="140"/>
      <c r="I22" s="1094"/>
      <c r="J22" s="445"/>
      <c r="K22" s="449"/>
      <c r="L22" s="449"/>
      <c r="M22" s="449"/>
      <c r="N22" s="303">
        <f t="shared" ref="N22:N23" si="7">K22*L22*M22</f>
        <v>0</v>
      </c>
      <c r="O22" s="158"/>
    </row>
    <row r="23" spans="2:22" ht="15" customHeight="1" thickBot="1" x14ac:dyDescent="0.2">
      <c r="B23" s="1084"/>
      <c r="C23" s="445"/>
      <c r="D23" s="445"/>
      <c r="E23" s="446"/>
      <c r="F23" s="445"/>
      <c r="G23" s="448">
        <f>D23*F23</f>
        <v>0</v>
      </c>
      <c r="H23" s="140"/>
      <c r="I23" s="1094"/>
      <c r="J23" s="445"/>
      <c r="K23" s="449"/>
      <c r="L23" s="449"/>
      <c r="M23" s="449"/>
      <c r="N23" s="303">
        <f t="shared" si="7"/>
        <v>0</v>
      </c>
      <c r="O23" s="158"/>
      <c r="P23" s="49" t="s">
        <v>229</v>
      </c>
    </row>
    <row r="24" spans="2:22" ht="15" customHeight="1" thickBot="1" x14ac:dyDescent="0.2">
      <c r="B24" s="1111"/>
      <c r="C24" s="135" t="s">
        <v>147</v>
      </c>
      <c r="D24" s="136"/>
      <c r="E24" s="136"/>
      <c r="F24" s="142"/>
      <c r="G24" s="137">
        <f>SUM(G21:G23)</f>
        <v>14364.15</v>
      </c>
      <c r="H24" s="140"/>
      <c r="I24" s="1095"/>
      <c r="J24" s="228" t="s">
        <v>703</v>
      </c>
      <c r="K24" s="145">
        <f>SUM(K21:K23)</f>
        <v>28.2</v>
      </c>
      <c r="L24" s="146">
        <f>SUM(L21:L23)</f>
        <v>6.1</v>
      </c>
      <c r="M24" s="147"/>
      <c r="N24" s="290">
        <f>SUM(N21:N23)</f>
        <v>18543.755999999998</v>
      </c>
      <c r="O24" s="158"/>
      <c r="P24" s="517" t="s">
        <v>181</v>
      </c>
      <c r="Q24" s="518" t="s">
        <v>177</v>
      </c>
      <c r="R24" s="518" t="s">
        <v>178</v>
      </c>
      <c r="S24" s="518" t="s">
        <v>705</v>
      </c>
      <c r="T24" s="518" t="s">
        <v>179</v>
      </c>
      <c r="U24" s="603" t="s">
        <v>182</v>
      </c>
      <c r="V24" s="519" t="s">
        <v>180</v>
      </c>
    </row>
    <row r="25" spans="2:22" ht="15" customHeight="1" thickTop="1" x14ac:dyDescent="0.15">
      <c r="I25" s="1093" t="s">
        <v>246</v>
      </c>
      <c r="J25" s="445"/>
      <c r="K25" s="449"/>
      <c r="L25" s="449"/>
      <c r="M25" s="449"/>
      <c r="N25" s="303">
        <f>K25*L25*M25</f>
        <v>0</v>
      </c>
      <c r="O25" s="158"/>
      <c r="P25" s="607" t="s">
        <v>473</v>
      </c>
      <c r="Q25" s="608">
        <v>10</v>
      </c>
      <c r="R25" s="609" t="s">
        <v>706</v>
      </c>
      <c r="S25" s="546">
        <v>500</v>
      </c>
      <c r="T25" s="608">
        <v>2</v>
      </c>
      <c r="U25" s="613">
        <v>30</v>
      </c>
      <c r="V25" s="610">
        <f>Q25*S25/T25/U25</f>
        <v>83.333333333333329</v>
      </c>
    </row>
    <row r="26" spans="2:22" ht="15" customHeight="1" thickBot="1" x14ac:dyDescent="0.2">
      <c r="B26" s="5" t="s">
        <v>707</v>
      </c>
      <c r="C26" s="5"/>
      <c r="D26" s="51"/>
      <c r="E26" s="5"/>
      <c r="F26" s="51"/>
      <c r="G26" s="598"/>
      <c r="H26" s="141"/>
      <c r="I26" s="1094"/>
      <c r="J26" s="445"/>
      <c r="K26" s="449"/>
      <c r="L26" s="449"/>
      <c r="M26" s="449"/>
      <c r="N26" s="303">
        <f t="shared" ref="N26:N27" si="8">K26*L26*M26</f>
        <v>0</v>
      </c>
      <c r="O26" s="158"/>
      <c r="P26" s="607"/>
      <c r="Q26" s="608"/>
      <c r="R26" s="609"/>
      <c r="S26" s="608"/>
      <c r="T26" s="608"/>
      <c r="U26" s="613"/>
      <c r="V26" s="610"/>
    </row>
    <row r="27" spans="2:22" ht="15" customHeight="1" x14ac:dyDescent="0.15">
      <c r="B27" s="515" t="s">
        <v>81</v>
      </c>
      <c r="C27" s="516" t="s">
        <v>137</v>
      </c>
      <c r="D27" s="516" t="s">
        <v>138</v>
      </c>
      <c r="E27" s="516" t="s">
        <v>139</v>
      </c>
      <c r="F27" s="604" t="s">
        <v>24</v>
      </c>
      <c r="G27" s="254" t="s">
        <v>140</v>
      </c>
      <c r="H27" s="139"/>
      <c r="I27" s="1094"/>
      <c r="J27" s="445"/>
      <c r="K27" s="449"/>
      <c r="L27" s="449"/>
      <c r="M27" s="449"/>
      <c r="N27" s="303">
        <f t="shared" si="8"/>
        <v>0</v>
      </c>
      <c r="O27" s="158"/>
      <c r="P27" s="607"/>
      <c r="Q27" s="608"/>
      <c r="R27" s="609"/>
      <c r="S27" s="608"/>
      <c r="T27" s="608"/>
      <c r="U27" s="613"/>
      <c r="V27" s="610"/>
    </row>
    <row r="28" spans="2:22" ht="15" customHeight="1" thickBot="1" x14ac:dyDescent="0.2">
      <c r="B28" s="1112" t="s">
        <v>30</v>
      </c>
      <c r="C28" s="445" t="s">
        <v>691</v>
      </c>
      <c r="D28" s="445">
        <v>300</v>
      </c>
      <c r="E28" s="446" t="s">
        <v>708</v>
      </c>
      <c r="F28" s="445">
        <f>62610/10000</f>
        <v>6.2610000000000001</v>
      </c>
      <c r="G28" s="605">
        <f>D28*F28</f>
        <v>1878.3</v>
      </c>
      <c r="H28" s="140"/>
      <c r="I28" s="1095"/>
      <c r="J28" s="228" t="s">
        <v>703</v>
      </c>
      <c r="K28" s="145">
        <f>SUM(K25:K27)</f>
        <v>0</v>
      </c>
      <c r="L28" s="146">
        <f>SUM(L25:L27)</f>
        <v>0</v>
      </c>
      <c r="M28" s="147"/>
      <c r="N28" s="290">
        <f>SUM(N25:N27)</f>
        <v>0</v>
      </c>
      <c r="O28" s="158"/>
      <c r="P28" s="607"/>
      <c r="Q28" s="608"/>
      <c r="R28" s="609"/>
      <c r="S28" s="608"/>
      <c r="T28" s="608"/>
      <c r="U28" s="613"/>
      <c r="V28" s="610"/>
    </row>
    <row r="29" spans="2:22" ht="15" customHeight="1" thickTop="1" x14ac:dyDescent="0.15">
      <c r="B29" s="1084"/>
      <c r="C29" s="456" t="s">
        <v>694</v>
      </c>
      <c r="D29" s="445">
        <v>180</v>
      </c>
      <c r="E29" s="446" t="s">
        <v>708</v>
      </c>
      <c r="F29" s="445">
        <f>4180/500</f>
        <v>8.36</v>
      </c>
      <c r="G29" s="605">
        <f>D29*F29</f>
        <v>1504.8</v>
      </c>
      <c r="H29" s="140"/>
      <c r="I29" s="1093" t="s">
        <v>171</v>
      </c>
      <c r="J29" s="445" t="s">
        <v>271</v>
      </c>
      <c r="K29" s="449">
        <v>31.4</v>
      </c>
      <c r="L29" s="449">
        <v>3.2</v>
      </c>
      <c r="M29" s="449">
        <v>14</v>
      </c>
      <c r="N29" s="303">
        <f>K29*L29*M29</f>
        <v>1406.72</v>
      </c>
      <c r="O29" s="158"/>
      <c r="P29" s="607"/>
      <c r="Q29" s="608"/>
      <c r="R29" s="609"/>
      <c r="S29" s="608"/>
      <c r="T29" s="608"/>
      <c r="U29" s="613"/>
      <c r="V29" s="610"/>
    </row>
    <row r="30" spans="2:22" ht="15" customHeight="1" x14ac:dyDescent="0.15">
      <c r="B30" s="1084"/>
      <c r="C30" s="445" t="s">
        <v>30</v>
      </c>
      <c r="D30" s="445">
        <v>1000</v>
      </c>
      <c r="E30" s="446" t="s">
        <v>276</v>
      </c>
      <c r="F30" s="445">
        <f>42580/20000</f>
        <v>2.129</v>
      </c>
      <c r="G30" s="605">
        <f>D30*F30</f>
        <v>2129</v>
      </c>
      <c r="H30" s="140"/>
      <c r="I30" s="1094"/>
      <c r="J30" s="445" t="s">
        <v>273</v>
      </c>
      <c r="K30" s="449">
        <v>4</v>
      </c>
      <c r="L30" s="449">
        <v>1.9</v>
      </c>
      <c r="M30" s="449">
        <v>14</v>
      </c>
      <c r="N30" s="303">
        <f t="shared" ref="N30:N31" si="9">K30*L30*M30</f>
        <v>106.39999999999999</v>
      </c>
      <c r="O30" s="50"/>
      <c r="P30" s="607"/>
      <c r="Q30" s="608"/>
      <c r="R30" s="609"/>
      <c r="S30" s="608"/>
      <c r="T30" s="608"/>
      <c r="U30" s="613"/>
      <c r="V30" s="610"/>
    </row>
    <row r="31" spans="2:22" ht="15" customHeight="1" x14ac:dyDescent="0.15">
      <c r="B31" s="1084"/>
      <c r="C31" s="456"/>
      <c r="D31" s="445"/>
      <c r="E31" s="446"/>
      <c r="F31" s="445"/>
      <c r="G31" s="448"/>
      <c r="H31" s="140"/>
      <c r="I31" s="1094"/>
      <c r="J31" s="445" t="s">
        <v>274</v>
      </c>
      <c r="K31" s="449">
        <v>24.5</v>
      </c>
      <c r="L31" s="449">
        <v>6.7</v>
      </c>
      <c r="M31" s="449">
        <v>14</v>
      </c>
      <c r="N31" s="303">
        <f t="shared" si="9"/>
        <v>2298.1</v>
      </c>
      <c r="P31" s="607"/>
      <c r="Q31" s="608"/>
      <c r="R31" s="609"/>
      <c r="S31" s="608"/>
      <c r="T31" s="608"/>
      <c r="U31" s="613"/>
      <c r="V31" s="610"/>
    </row>
    <row r="32" spans="2:22" ht="15" customHeight="1" thickBot="1" x14ac:dyDescent="0.2">
      <c r="B32" s="1084"/>
      <c r="C32" s="445"/>
      <c r="D32" s="445"/>
      <c r="E32" s="446"/>
      <c r="F32" s="445"/>
      <c r="G32" s="448">
        <f t="shared" ref="G32:G37" si="10">D32*F32</f>
        <v>0</v>
      </c>
      <c r="H32" s="140"/>
      <c r="I32" s="1098"/>
      <c r="J32" s="291" t="s">
        <v>709</v>
      </c>
      <c r="K32" s="292">
        <f>SUM(K29:K31)</f>
        <v>59.9</v>
      </c>
      <c r="L32" s="293">
        <f>SUM(L29:L31)</f>
        <v>11.8</v>
      </c>
      <c r="M32" s="294"/>
      <c r="N32" s="295">
        <f>SUM(N29:N31)</f>
        <v>3811.2200000000003</v>
      </c>
      <c r="P32" s="607"/>
      <c r="Q32" s="608"/>
      <c r="R32" s="609"/>
      <c r="S32" s="608"/>
      <c r="T32" s="608"/>
      <c r="U32" s="613"/>
      <c r="V32" s="610"/>
    </row>
    <row r="33" spans="2:22" ht="15" customHeight="1" x14ac:dyDescent="0.15">
      <c r="B33" s="1084"/>
      <c r="C33" s="445"/>
      <c r="D33" s="445"/>
      <c r="E33" s="446"/>
      <c r="F33" s="445"/>
      <c r="G33" s="448">
        <f t="shared" si="10"/>
        <v>0</v>
      </c>
      <c r="H33" s="140"/>
      <c r="I33" s="125"/>
      <c r="J33" s="125"/>
      <c r="K33" s="125"/>
      <c r="L33" s="125"/>
      <c r="M33" s="125"/>
      <c r="N33" s="125"/>
      <c r="P33" s="607"/>
      <c r="Q33" s="608"/>
      <c r="R33" s="609"/>
      <c r="S33" s="608"/>
      <c r="T33" s="608"/>
      <c r="U33" s="613"/>
      <c r="V33" s="610"/>
    </row>
    <row r="34" spans="2:22" ht="15" customHeight="1" thickBot="1" x14ac:dyDescent="0.2">
      <c r="B34" s="1084"/>
      <c r="C34" s="445"/>
      <c r="D34" s="445"/>
      <c r="E34" s="446"/>
      <c r="F34" s="445"/>
      <c r="G34" s="448">
        <f t="shared" si="10"/>
        <v>0</v>
      </c>
      <c r="H34" s="140"/>
      <c r="I34" s="115" t="s">
        <v>227</v>
      </c>
      <c r="J34" s="115"/>
      <c r="K34" s="115"/>
      <c r="L34" s="115"/>
      <c r="M34" s="115"/>
      <c r="P34" s="599" t="s">
        <v>220</v>
      </c>
      <c r="Q34" s="240"/>
      <c r="R34" s="240"/>
      <c r="S34" s="240"/>
      <c r="T34" s="240"/>
      <c r="U34" s="152"/>
      <c r="V34" s="455">
        <f>SUM(V25:V33)</f>
        <v>83.333333333333329</v>
      </c>
    </row>
    <row r="35" spans="2:22" ht="15" customHeight="1" thickBot="1" x14ac:dyDescent="0.2">
      <c r="B35" s="1084"/>
      <c r="C35" s="445"/>
      <c r="D35" s="445"/>
      <c r="E35" s="446"/>
      <c r="F35" s="445"/>
      <c r="G35" s="448">
        <f t="shared" si="10"/>
        <v>0</v>
      </c>
      <c r="H35" s="140"/>
      <c r="I35" s="214" t="s">
        <v>215</v>
      </c>
      <c r="J35" s="457" t="s">
        <v>5</v>
      </c>
      <c r="K35" s="1096" t="s">
        <v>216</v>
      </c>
      <c r="L35" s="1097"/>
      <c r="M35" s="466" t="s">
        <v>182</v>
      </c>
      <c r="N35" s="458" t="s">
        <v>710</v>
      </c>
    </row>
    <row r="36" spans="2:22" ht="15" customHeight="1" thickTop="1" thickBot="1" x14ac:dyDescent="0.2">
      <c r="B36" s="1084"/>
      <c r="C36" s="445"/>
      <c r="D36" s="445"/>
      <c r="E36" s="446"/>
      <c r="F36" s="445"/>
      <c r="G36" s="448">
        <f t="shared" si="10"/>
        <v>0</v>
      </c>
      <c r="H36" s="140"/>
      <c r="I36" s="1080" t="s">
        <v>2</v>
      </c>
      <c r="J36" s="138" t="s">
        <v>627</v>
      </c>
      <c r="K36" s="1090">
        <v>5940000</v>
      </c>
      <c r="L36" s="1090"/>
      <c r="M36" s="602">
        <v>20</v>
      </c>
      <c r="N36" s="221">
        <f>+K36/M36*0.014*0.3</f>
        <v>1247.3999999999999</v>
      </c>
      <c r="P36" s="115" t="s">
        <v>221</v>
      </c>
      <c r="Q36" s="115"/>
      <c r="R36" s="115"/>
      <c r="S36" s="115"/>
      <c r="T36" s="115"/>
    </row>
    <row r="37" spans="2:22" ht="15" customHeight="1" thickTop="1" thickBot="1" x14ac:dyDescent="0.2">
      <c r="B37" s="1084"/>
      <c r="C37" s="445"/>
      <c r="D37" s="445"/>
      <c r="E37" s="446"/>
      <c r="F37" s="445"/>
      <c r="G37" s="448">
        <f t="shared" si="10"/>
        <v>0</v>
      </c>
      <c r="H37" s="140"/>
      <c r="I37" s="1081"/>
      <c r="J37" s="138" t="s">
        <v>279</v>
      </c>
      <c r="K37" s="1090">
        <v>10692000</v>
      </c>
      <c r="L37" s="1090"/>
      <c r="M37" s="602">
        <v>20</v>
      </c>
      <c r="N37" s="221">
        <f>+K37/M37*0.014*0.3</f>
        <v>2245.3200000000002</v>
      </c>
      <c r="P37" s="214" t="s">
        <v>214</v>
      </c>
      <c r="Q37" s="1126" t="s">
        <v>222</v>
      </c>
      <c r="R37" s="1126"/>
      <c r="S37" s="601" t="s">
        <v>225</v>
      </c>
      <c r="T37" s="601" t="s">
        <v>224</v>
      </c>
      <c r="U37" s="230" t="s">
        <v>182</v>
      </c>
      <c r="V37" s="231" t="s">
        <v>711</v>
      </c>
    </row>
    <row r="38" spans="2:22" ht="15" customHeight="1" thickTop="1" thickBot="1" x14ac:dyDescent="0.2">
      <c r="B38" s="1085"/>
      <c r="C38" s="130" t="s">
        <v>144</v>
      </c>
      <c r="D38" s="130"/>
      <c r="E38" s="130"/>
      <c r="F38" s="130"/>
      <c r="G38" s="131">
        <f>SUM(G28:G37)</f>
        <v>5512.1</v>
      </c>
      <c r="H38" s="140"/>
      <c r="I38" s="1081"/>
      <c r="J38" s="138" t="s">
        <v>628</v>
      </c>
      <c r="K38" s="1090">
        <v>1761750</v>
      </c>
      <c r="L38" s="1090"/>
      <c r="M38" s="602">
        <v>20</v>
      </c>
      <c r="N38" s="221">
        <f>+K38/M38*0.014*0.3</f>
        <v>369.96750000000003</v>
      </c>
      <c r="O38" s="149"/>
      <c r="P38" s="1077" t="s">
        <v>223</v>
      </c>
      <c r="Q38" s="218" t="s">
        <v>213</v>
      </c>
      <c r="R38" s="234"/>
      <c r="S38" s="219"/>
      <c r="T38" s="235"/>
      <c r="U38" s="219"/>
      <c r="V38" s="221">
        <v>3880</v>
      </c>
    </row>
    <row r="39" spans="2:22" ht="15" customHeight="1" thickTop="1" x14ac:dyDescent="0.15">
      <c r="B39" s="1083" t="s">
        <v>168</v>
      </c>
      <c r="C39" s="307" t="s">
        <v>696</v>
      </c>
      <c r="D39" s="445">
        <v>60</v>
      </c>
      <c r="E39" s="446" t="s">
        <v>276</v>
      </c>
      <c r="F39" s="445">
        <f>1450/500</f>
        <v>2.9</v>
      </c>
      <c r="G39" s="448">
        <f>D39*F39</f>
        <v>174</v>
      </c>
      <c r="H39" s="140"/>
      <c r="I39" s="1081"/>
      <c r="J39" s="138"/>
      <c r="K39" s="1090"/>
      <c r="L39" s="1090"/>
      <c r="M39" s="600"/>
      <c r="N39" s="221"/>
      <c r="O39" s="149"/>
      <c r="P39" s="1078"/>
      <c r="Q39" s="218"/>
      <c r="R39" s="234"/>
      <c r="S39" s="219"/>
      <c r="T39" s="235"/>
      <c r="U39" s="219"/>
      <c r="V39" s="221"/>
    </row>
    <row r="40" spans="2:22" ht="15" customHeight="1" x14ac:dyDescent="0.15">
      <c r="B40" s="1084"/>
      <c r="C40" s="445" t="s">
        <v>294</v>
      </c>
      <c r="D40" s="445">
        <v>1000</v>
      </c>
      <c r="E40" s="446" t="s">
        <v>276</v>
      </c>
      <c r="F40" s="445">
        <f>96020/20000</f>
        <v>4.8010000000000002</v>
      </c>
      <c r="G40" s="448">
        <f>D40*F40</f>
        <v>4801</v>
      </c>
      <c r="H40" s="140"/>
      <c r="I40" s="1081"/>
      <c r="J40" s="138"/>
      <c r="K40" s="1090"/>
      <c r="L40" s="1090"/>
      <c r="M40" s="600"/>
      <c r="N40" s="221"/>
      <c r="O40" s="149"/>
      <c r="P40" s="1078"/>
      <c r="Q40" s="218"/>
      <c r="R40" s="234"/>
      <c r="S40" s="219"/>
      <c r="T40" s="235"/>
      <c r="U40" s="219"/>
      <c r="V40" s="221"/>
    </row>
    <row r="41" spans="2:22" ht="15" customHeight="1" x14ac:dyDescent="0.15">
      <c r="B41" s="1084"/>
      <c r="C41" s="445"/>
      <c r="D41" s="445"/>
      <c r="E41" s="446"/>
      <c r="F41" s="445"/>
      <c r="G41" s="448">
        <f>D41*F41</f>
        <v>0</v>
      </c>
      <c r="H41" s="140"/>
      <c r="I41" s="1081"/>
      <c r="J41" s="138"/>
      <c r="K41" s="1090"/>
      <c r="L41" s="1090"/>
      <c r="M41" s="600"/>
      <c r="N41" s="221"/>
      <c r="O41" s="149"/>
      <c r="P41" s="1078"/>
      <c r="Q41" s="218"/>
      <c r="R41" s="234"/>
      <c r="S41" s="219"/>
      <c r="T41" s="235"/>
      <c r="U41" s="219"/>
      <c r="V41" s="221"/>
    </row>
    <row r="42" spans="2:22" ht="15" customHeight="1" thickBot="1" x14ac:dyDescent="0.2">
      <c r="B42" s="1084"/>
      <c r="C42" s="445"/>
      <c r="D42" s="445"/>
      <c r="E42" s="446"/>
      <c r="F42" s="445"/>
      <c r="G42" s="448">
        <f t="shared" ref="G42:G52" si="11">D42*F42</f>
        <v>0</v>
      </c>
      <c r="H42" s="140"/>
      <c r="I42" s="1082"/>
      <c r="J42" s="215" t="s">
        <v>145</v>
      </c>
      <c r="K42" s="1091"/>
      <c r="L42" s="1092"/>
      <c r="M42" s="216"/>
      <c r="N42" s="220">
        <f>SUM(N36:N41)</f>
        <v>3862.6875000000005</v>
      </c>
      <c r="O42" s="149"/>
      <c r="P42" s="1078"/>
      <c r="Q42" s="218"/>
      <c r="R42" s="234"/>
      <c r="S42" s="219"/>
      <c r="T42" s="235"/>
      <c r="U42" s="219"/>
      <c r="V42" s="221"/>
    </row>
    <row r="43" spans="2:22" ht="15" customHeight="1" thickTop="1" x14ac:dyDescent="0.15">
      <c r="B43" s="1084"/>
      <c r="C43" s="445"/>
      <c r="D43" s="445"/>
      <c r="E43" s="446"/>
      <c r="F43" s="445"/>
      <c r="G43" s="448"/>
      <c r="H43" s="140"/>
      <c r="I43" s="1086" t="s">
        <v>217</v>
      </c>
      <c r="J43" s="217" t="s">
        <v>712</v>
      </c>
      <c r="K43" s="1089">
        <v>8200</v>
      </c>
      <c r="L43" s="1089"/>
      <c r="M43" s="602">
        <v>20</v>
      </c>
      <c r="N43" s="233">
        <f>+K43/M43</f>
        <v>410</v>
      </c>
      <c r="O43" s="149"/>
      <c r="P43" s="1078"/>
      <c r="Q43" s="218"/>
      <c r="R43" s="234"/>
      <c r="S43" s="219"/>
      <c r="T43" s="235"/>
      <c r="U43" s="219"/>
      <c r="V43" s="221"/>
    </row>
    <row r="44" spans="2:22" ht="15" customHeight="1" thickBot="1" x14ac:dyDescent="0.2">
      <c r="B44" s="1084"/>
      <c r="C44" s="445"/>
      <c r="D44" s="445"/>
      <c r="E44" s="446"/>
      <c r="F44" s="445"/>
      <c r="G44" s="448"/>
      <c r="H44" s="140"/>
      <c r="I44" s="1087"/>
      <c r="J44" s="218"/>
      <c r="K44" s="1090"/>
      <c r="L44" s="1090"/>
      <c r="M44" s="600"/>
      <c r="N44" s="221"/>
      <c r="O44" s="149"/>
      <c r="P44" s="1079"/>
      <c r="Q44" s="222" t="s">
        <v>226</v>
      </c>
      <c r="R44" s="223"/>
      <c r="S44" s="223"/>
      <c r="T44" s="223"/>
      <c r="U44" s="223"/>
      <c r="V44" s="224">
        <f>SUM(V38:V43)</f>
        <v>3880</v>
      </c>
    </row>
    <row r="45" spans="2:22" ht="15" customHeight="1" thickTop="1" x14ac:dyDescent="0.15">
      <c r="B45" s="1084"/>
      <c r="C45" s="445"/>
      <c r="D45" s="445"/>
      <c r="E45" s="446"/>
      <c r="F45" s="445"/>
      <c r="G45" s="448"/>
      <c r="H45" s="140"/>
      <c r="I45" s="1087"/>
      <c r="J45" s="138"/>
      <c r="K45" s="1090"/>
      <c r="L45" s="1090"/>
      <c r="M45" s="600"/>
      <c r="N45" s="221"/>
      <c r="O45" s="149"/>
      <c r="P45" s="1139" t="s">
        <v>231</v>
      </c>
      <c r="Q45" s="1135" t="s">
        <v>233</v>
      </c>
      <c r="R45" s="236" t="s">
        <v>234</v>
      </c>
      <c r="S45" s="217">
        <v>35750</v>
      </c>
      <c r="T45" s="237">
        <v>1</v>
      </c>
      <c r="U45" s="217">
        <v>30</v>
      </c>
      <c r="V45" s="232">
        <f>+S45*T45/U45</f>
        <v>1191.6666666666667</v>
      </c>
    </row>
    <row r="46" spans="2:22" ht="15" customHeight="1" thickBot="1" x14ac:dyDescent="0.2">
      <c r="B46" s="1084"/>
      <c r="C46" s="445"/>
      <c r="D46" s="445"/>
      <c r="E46" s="446"/>
      <c r="F46" s="445"/>
      <c r="G46" s="448">
        <f t="shared" si="11"/>
        <v>0</v>
      </c>
      <c r="H46" s="140"/>
      <c r="I46" s="1088"/>
      <c r="J46" s="215" t="s">
        <v>145</v>
      </c>
      <c r="K46" s="1091"/>
      <c r="L46" s="1092"/>
      <c r="M46" s="216"/>
      <c r="N46" s="220">
        <f>SUM(N43:N45)</f>
        <v>410</v>
      </c>
      <c r="O46" s="149"/>
      <c r="P46" s="1078"/>
      <c r="Q46" s="1136"/>
      <c r="R46" s="238" t="s">
        <v>230</v>
      </c>
      <c r="S46" s="218">
        <v>15600</v>
      </c>
      <c r="T46" s="235">
        <v>1</v>
      </c>
      <c r="U46" s="218">
        <v>30</v>
      </c>
      <c r="V46" s="221">
        <f>+S46*T46/U46</f>
        <v>520</v>
      </c>
    </row>
    <row r="47" spans="2:22" ht="15" customHeight="1" thickTop="1" x14ac:dyDescent="0.15">
      <c r="B47" s="1084"/>
      <c r="C47" s="445"/>
      <c r="D47" s="445"/>
      <c r="E47" s="446"/>
      <c r="F47" s="445"/>
      <c r="G47" s="448">
        <f t="shared" si="11"/>
        <v>0</v>
      </c>
      <c r="H47" s="140"/>
      <c r="I47" s="1086" t="s">
        <v>218</v>
      </c>
      <c r="J47" s="217" t="s">
        <v>713</v>
      </c>
      <c r="K47" s="1089">
        <v>11500</v>
      </c>
      <c r="L47" s="1089"/>
      <c r="M47" s="602">
        <v>20</v>
      </c>
      <c r="N47" s="232">
        <f>K47/M47</f>
        <v>575</v>
      </c>
      <c r="O47" s="149"/>
      <c r="P47" s="1078"/>
      <c r="Q47" s="1136"/>
      <c r="R47" s="238"/>
      <c r="S47" s="218"/>
      <c r="T47" s="218"/>
      <c r="U47" s="138"/>
      <c r="V47" s="239"/>
    </row>
    <row r="48" spans="2:22" ht="15" customHeight="1" x14ac:dyDescent="0.15">
      <c r="B48" s="1084"/>
      <c r="C48" s="445"/>
      <c r="D48" s="445"/>
      <c r="E48" s="446"/>
      <c r="F48" s="445"/>
      <c r="G48" s="448">
        <f t="shared" si="11"/>
        <v>0</v>
      </c>
      <c r="H48" s="140"/>
      <c r="I48" s="1087"/>
      <c r="J48" s="218"/>
      <c r="K48" s="1090"/>
      <c r="L48" s="1090"/>
      <c r="M48" s="600"/>
      <c r="N48" s="221"/>
      <c r="O48" s="149"/>
      <c r="P48" s="1078"/>
      <c r="Q48" s="1136"/>
      <c r="R48" s="238"/>
      <c r="S48" s="218"/>
      <c r="T48" s="235"/>
      <c r="U48" s="218"/>
      <c r="V48" s="221"/>
    </row>
    <row r="49" spans="2:22" ht="15" customHeight="1" thickBot="1" x14ac:dyDescent="0.2">
      <c r="B49" s="1085"/>
      <c r="C49" s="132" t="s">
        <v>145</v>
      </c>
      <c r="D49" s="133"/>
      <c r="E49" s="133"/>
      <c r="F49" s="133"/>
      <c r="G49" s="134">
        <f>SUM(G39:G48)</f>
        <v>4975</v>
      </c>
      <c r="H49" s="140"/>
      <c r="I49" s="1087"/>
      <c r="J49" s="138"/>
      <c r="K49" s="1090"/>
      <c r="L49" s="1090"/>
      <c r="M49" s="600"/>
      <c r="N49" s="221"/>
      <c r="O49" s="149"/>
      <c r="P49" s="1078"/>
      <c r="Q49" s="1138"/>
      <c r="R49" s="238"/>
      <c r="S49" s="218"/>
      <c r="T49" s="218"/>
      <c r="U49" s="138"/>
      <c r="V49" s="239"/>
    </row>
    <row r="50" spans="2:22" ht="15" customHeight="1" thickTop="1" thickBot="1" x14ac:dyDescent="0.2">
      <c r="B50" s="1083" t="s">
        <v>32</v>
      </c>
      <c r="C50" s="445" t="s">
        <v>697</v>
      </c>
      <c r="D50" s="445">
        <v>10</v>
      </c>
      <c r="E50" s="446" t="s">
        <v>702</v>
      </c>
      <c r="F50" s="445">
        <f>24330/10</f>
        <v>2433</v>
      </c>
      <c r="G50" s="448">
        <f t="shared" si="11"/>
        <v>24330</v>
      </c>
      <c r="H50" s="140"/>
      <c r="I50" s="1088"/>
      <c r="J50" s="215" t="s">
        <v>145</v>
      </c>
      <c r="K50" s="1091"/>
      <c r="L50" s="1092"/>
      <c r="M50" s="216"/>
      <c r="N50" s="220">
        <f>SUM(N47:N49)</f>
        <v>575</v>
      </c>
      <c r="O50" s="149"/>
      <c r="P50" s="1078"/>
      <c r="Q50" s="222" t="s">
        <v>226</v>
      </c>
      <c r="R50" s="223"/>
      <c r="S50" s="223"/>
      <c r="T50" s="223"/>
      <c r="U50" s="223"/>
      <c r="V50" s="224">
        <f>SUM(V45:V49)</f>
        <v>1711.6666666666667</v>
      </c>
    </row>
    <row r="51" spans="2:22" ht="15" customHeight="1" thickTop="1" x14ac:dyDescent="0.15">
      <c r="B51" s="1084"/>
      <c r="C51" s="445"/>
      <c r="D51" s="445"/>
      <c r="E51" s="445"/>
      <c r="F51" s="445"/>
      <c r="G51" s="448">
        <f t="shared" si="11"/>
        <v>0</v>
      </c>
      <c r="H51" s="140"/>
      <c r="I51" s="1086" t="s">
        <v>219</v>
      </c>
      <c r="J51" s="217" t="s">
        <v>54</v>
      </c>
      <c r="K51" s="1099">
        <v>1600</v>
      </c>
      <c r="L51" s="1100"/>
      <c r="M51" s="602">
        <v>20</v>
      </c>
      <c r="N51" s="233">
        <f>+K51/M51</f>
        <v>80</v>
      </c>
      <c r="O51" s="149"/>
      <c r="P51" s="1078"/>
      <c r="Q51" s="1135" t="s">
        <v>235</v>
      </c>
      <c r="R51" s="236" t="s">
        <v>234</v>
      </c>
      <c r="S51" s="217">
        <v>60000</v>
      </c>
      <c r="T51" s="237">
        <v>1</v>
      </c>
      <c r="U51" s="217">
        <v>30</v>
      </c>
      <c r="V51" s="232">
        <f>+S51*T51/U51</f>
        <v>2000</v>
      </c>
    </row>
    <row r="52" spans="2:22" ht="15" customHeight="1" x14ac:dyDescent="0.15">
      <c r="B52" s="1084"/>
      <c r="C52" s="445"/>
      <c r="D52" s="445"/>
      <c r="E52" s="445"/>
      <c r="F52" s="445"/>
      <c r="G52" s="448">
        <f t="shared" si="11"/>
        <v>0</v>
      </c>
      <c r="H52" s="140"/>
      <c r="I52" s="1087"/>
      <c r="J52" s="218" t="s">
        <v>54</v>
      </c>
      <c r="K52" s="1101">
        <v>1600</v>
      </c>
      <c r="L52" s="1102"/>
      <c r="M52" s="316">
        <v>20</v>
      </c>
      <c r="N52" s="221">
        <f t="shared" ref="N52:N54" si="12">+K52/M52</f>
        <v>80</v>
      </c>
      <c r="O52" s="149"/>
      <c r="P52" s="1078"/>
      <c r="Q52" s="1136"/>
      <c r="R52" s="238" t="s">
        <v>230</v>
      </c>
      <c r="S52" s="218">
        <v>25000</v>
      </c>
      <c r="T52" s="235">
        <v>1</v>
      </c>
      <c r="U52" s="218">
        <v>30</v>
      </c>
      <c r="V52" s="221">
        <f>+S52*T52/U52</f>
        <v>833.33333333333337</v>
      </c>
    </row>
    <row r="53" spans="2:22" ht="15" customHeight="1" thickBot="1" x14ac:dyDescent="0.2">
      <c r="B53" s="1085"/>
      <c r="C53" s="132" t="s">
        <v>145</v>
      </c>
      <c r="D53" s="133"/>
      <c r="E53" s="133"/>
      <c r="F53" s="133"/>
      <c r="G53" s="134">
        <f>SUM(G50:G52)</f>
        <v>24330</v>
      </c>
      <c r="H53" s="140"/>
      <c r="I53" s="1087"/>
      <c r="J53" s="218" t="s">
        <v>56</v>
      </c>
      <c r="K53" s="1103">
        <v>1600</v>
      </c>
      <c r="L53" s="1104"/>
      <c r="M53" s="226">
        <v>20</v>
      </c>
      <c r="N53" s="221">
        <f t="shared" si="12"/>
        <v>80</v>
      </c>
      <c r="O53" s="149"/>
      <c r="P53" s="1078"/>
      <c r="Q53" s="1136"/>
      <c r="R53" s="238"/>
      <c r="S53" s="218"/>
      <c r="T53" s="218"/>
      <c r="U53" s="138"/>
      <c r="V53" s="239"/>
    </row>
    <row r="54" spans="2:22" ht="13.9" customHeight="1" thickTop="1" x14ac:dyDescent="0.15">
      <c r="B54" s="1083" t="s">
        <v>293</v>
      </c>
      <c r="C54" s="445" t="s">
        <v>698</v>
      </c>
      <c r="D54" s="459">
        <f>131*50/1000</f>
        <v>6.55</v>
      </c>
      <c r="E54" s="446" t="s">
        <v>702</v>
      </c>
      <c r="F54" s="445">
        <f>9650/3</f>
        <v>3216.6666666666665</v>
      </c>
      <c r="G54" s="605">
        <f>D54*F54</f>
        <v>21069.166666666664</v>
      </c>
      <c r="I54" s="1087"/>
      <c r="J54" s="600" t="s">
        <v>230</v>
      </c>
      <c r="K54" s="1105">
        <v>4000</v>
      </c>
      <c r="L54" s="1106"/>
      <c r="M54" s="316">
        <v>20</v>
      </c>
      <c r="N54" s="221">
        <f t="shared" si="12"/>
        <v>200</v>
      </c>
      <c r="O54" s="149"/>
      <c r="P54" s="1078"/>
      <c r="Q54" s="1136"/>
      <c r="R54" s="238"/>
      <c r="S54" s="218"/>
      <c r="T54" s="235"/>
      <c r="U54" s="218"/>
      <c r="V54" s="221"/>
    </row>
    <row r="55" spans="2:22" x14ac:dyDescent="0.15">
      <c r="B55" s="1084"/>
      <c r="C55" s="445" t="s">
        <v>699</v>
      </c>
      <c r="D55" s="445">
        <v>1000</v>
      </c>
      <c r="E55" s="446" t="s">
        <v>264</v>
      </c>
      <c r="F55" s="445">
        <f>68710/10000</f>
        <v>6.8710000000000004</v>
      </c>
      <c r="G55" s="448">
        <f>D55*F55</f>
        <v>6871</v>
      </c>
      <c r="I55" s="1087"/>
      <c r="J55" s="218"/>
      <c r="K55" s="1103"/>
      <c r="L55" s="1104"/>
      <c r="M55" s="226"/>
      <c r="N55" s="467"/>
      <c r="O55" s="149"/>
      <c r="P55" s="1078"/>
      <c r="Q55" s="1138"/>
      <c r="R55" s="238"/>
      <c r="S55" s="218"/>
      <c r="T55" s="218"/>
      <c r="U55" s="138"/>
      <c r="V55" s="239"/>
    </row>
    <row r="56" spans="2:22" x14ac:dyDescent="0.15">
      <c r="B56" s="1084"/>
      <c r="C56" s="445"/>
      <c r="D56" s="445"/>
      <c r="E56" s="446"/>
      <c r="F56" s="445"/>
      <c r="G56" s="448">
        <f>D56*F56</f>
        <v>0</v>
      </c>
      <c r="I56" s="1080"/>
      <c r="J56" s="614" t="s">
        <v>145</v>
      </c>
      <c r="K56" s="1107"/>
      <c r="L56" s="1108"/>
      <c r="M56" s="615"/>
      <c r="N56" s="463">
        <f>SUM(N51:N55)</f>
        <v>440</v>
      </c>
      <c r="O56" s="149"/>
      <c r="P56" s="1140"/>
      <c r="Q56" s="616" t="s">
        <v>226</v>
      </c>
      <c r="R56" s="617"/>
      <c r="S56" s="617"/>
      <c r="T56" s="617"/>
      <c r="U56" s="617"/>
      <c r="V56" s="242">
        <f>SUM(V51:V55)</f>
        <v>2833.3333333333335</v>
      </c>
    </row>
    <row r="57" spans="2:22" ht="14.25" thickBot="1" x14ac:dyDescent="0.2">
      <c r="B57" s="1111"/>
      <c r="C57" s="135" t="s">
        <v>147</v>
      </c>
      <c r="D57" s="136"/>
      <c r="E57" s="136"/>
      <c r="F57" s="136"/>
      <c r="G57" s="137">
        <f>SUM(G54:G56)</f>
        <v>27940.166666666664</v>
      </c>
      <c r="I57" s="1141" t="s">
        <v>220</v>
      </c>
      <c r="J57" s="1132"/>
      <c r="K57" s="1113"/>
      <c r="L57" s="1114"/>
      <c r="M57" s="152"/>
      <c r="N57" s="241">
        <f>SUM(N42,N46,N50,N56)</f>
        <v>5287.6875</v>
      </c>
      <c r="O57" s="149"/>
      <c r="P57" s="1133" t="s">
        <v>220</v>
      </c>
      <c r="Q57" s="1134"/>
      <c r="R57" s="240"/>
      <c r="S57" s="240"/>
      <c r="T57" s="240"/>
      <c r="U57" s="240"/>
      <c r="V57" s="241">
        <f>SUM(V44,V50,V56)</f>
        <v>8425</v>
      </c>
    </row>
    <row r="58" spans="2:22" x14ac:dyDescent="0.15">
      <c r="O58" s="149"/>
      <c r="V58" s="49"/>
    </row>
    <row r="59" spans="2:22" x14ac:dyDescent="0.15">
      <c r="I59" s="149"/>
      <c r="J59" s="149"/>
      <c r="K59" s="149"/>
      <c r="L59" s="149"/>
      <c r="M59" s="149"/>
      <c r="N59" s="149"/>
      <c r="O59" s="149"/>
    </row>
    <row r="60" spans="2:22" x14ac:dyDescent="0.15">
      <c r="I60" s="149"/>
      <c r="J60" s="149"/>
      <c r="K60" s="149"/>
      <c r="L60" s="149"/>
      <c r="M60" s="149"/>
      <c r="N60" s="149"/>
      <c r="O60" s="149"/>
    </row>
    <row r="61" spans="2:22" x14ac:dyDescent="0.15">
      <c r="I61" s="149"/>
      <c r="J61" s="149"/>
      <c r="K61" s="149"/>
      <c r="L61" s="149"/>
      <c r="M61" s="149"/>
      <c r="N61" s="149"/>
      <c r="O61" s="149"/>
    </row>
    <row r="62" spans="2:22" x14ac:dyDescent="0.15">
      <c r="I62" s="149"/>
      <c r="J62" s="149"/>
      <c r="K62" s="149"/>
      <c r="L62" s="149"/>
      <c r="M62" s="149"/>
      <c r="N62" s="149"/>
      <c r="O62" s="149"/>
    </row>
    <row r="63" spans="2:22" x14ac:dyDescent="0.15">
      <c r="I63" s="149"/>
      <c r="J63" s="149"/>
      <c r="K63" s="149"/>
      <c r="L63" s="149"/>
      <c r="M63" s="149"/>
      <c r="N63" s="149"/>
      <c r="O63" s="149"/>
    </row>
    <row r="64" spans="2:22" x14ac:dyDescent="0.15">
      <c r="I64" s="149"/>
      <c r="J64" s="149"/>
      <c r="K64" s="149"/>
      <c r="L64" s="149"/>
      <c r="M64" s="149"/>
      <c r="N64" s="149"/>
      <c r="O64" s="149"/>
    </row>
    <row r="65" spans="8:22" x14ac:dyDescent="0.15">
      <c r="H65" s="49"/>
      <c r="I65" s="149"/>
      <c r="J65" s="149"/>
      <c r="K65" s="149"/>
      <c r="L65" s="149"/>
      <c r="M65" s="149"/>
      <c r="N65" s="149"/>
      <c r="O65" s="149"/>
      <c r="P65" s="49"/>
      <c r="R65" s="49"/>
      <c r="V65" s="49"/>
    </row>
    <row r="66" spans="8:22" x14ac:dyDescent="0.15">
      <c r="H66" s="49"/>
      <c r="I66" s="149"/>
      <c r="J66" s="149"/>
      <c r="K66" s="149"/>
      <c r="L66" s="149"/>
      <c r="M66" s="149"/>
      <c r="N66" s="149"/>
      <c r="O66" s="149"/>
      <c r="P66" s="49"/>
      <c r="R66" s="49"/>
      <c r="V66" s="49"/>
    </row>
    <row r="67" spans="8:22" x14ac:dyDescent="0.15">
      <c r="H67" s="49"/>
      <c r="I67" s="149"/>
      <c r="J67" s="149"/>
      <c r="K67" s="149"/>
      <c r="L67" s="149"/>
      <c r="M67" s="149"/>
      <c r="N67" s="149"/>
      <c r="O67" s="149"/>
      <c r="P67" s="49"/>
      <c r="R67" s="49"/>
      <c r="V67" s="49"/>
    </row>
    <row r="68" spans="8:22" x14ac:dyDescent="0.15">
      <c r="H68" s="49"/>
      <c r="I68" s="149"/>
      <c r="J68" s="149"/>
      <c r="K68" s="149"/>
      <c r="L68" s="149"/>
      <c r="M68" s="149"/>
      <c r="N68" s="149"/>
      <c r="O68" s="149"/>
      <c r="P68" s="49"/>
      <c r="R68" s="49"/>
      <c r="V68" s="49"/>
    </row>
    <row r="69" spans="8:22" x14ac:dyDescent="0.15">
      <c r="H69" s="49"/>
      <c r="I69" s="149"/>
      <c r="J69" s="149"/>
      <c r="K69" s="149"/>
      <c r="L69" s="149"/>
      <c r="M69" s="149"/>
      <c r="N69" s="149"/>
      <c r="O69" s="149"/>
      <c r="P69" s="49"/>
      <c r="R69" s="49"/>
      <c r="V69" s="49"/>
    </row>
    <row r="70" spans="8:22" x14ac:dyDescent="0.15">
      <c r="H70" s="49"/>
      <c r="I70" s="149"/>
      <c r="J70" s="149"/>
      <c r="K70" s="149"/>
      <c r="L70" s="149"/>
      <c r="M70" s="149"/>
      <c r="N70" s="149"/>
      <c r="O70" s="149"/>
      <c r="P70" s="49"/>
      <c r="R70" s="49"/>
      <c r="V70" s="49"/>
    </row>
    <row r="71" spans="8:22" x14ac:dyDescent="0.15">
      <c r="H71" s="49"/>
      <c r="I71" s="149"/>
      <c r="J71" s="149"/>
      <c r="K71" s="149"/>
      <c r="L71" s="149"/>
      <c r="M71" s="149"/>
      <c r="N71" s="149"/>
      <c r="O71" s="149"/>
      <c r="P71" s="49"/>
      <c r="R71" s="49"/>
      <c r="V71" s="49"/>
    </row>
    <row r="72" spans="8:22" x14ac:dyDescent="0.15">
      <c r="H72" s="49"/>
      <c r="I72" s="149"/>
      <c r="J72" s="149"/>
      <c r="K72" s="149"/>
      <c r="L72" s="149"/>
      <c r="M72" s="149"/>
      <c r="N72" s="149"/>
      <c r="O72" s="149"/>
      <c r="P72" s="49"/>
      <c r="R72" s="49"/>
      <c r="V72" s="49"/>
    </row>
    <row r="73" spans="8:22" x14ac:dyDescent="0.15">
      <c r="H73" s="49"/>
      <c r="I73" s="149"/>
      <c r="J73" s="149"/>
      <c r="K73" s="149"/>
      <c r="L73" s="149"/>
      <c r="M73" s="149"/>
      <c r="N73" s="149"/>
      <c r="O73" s="149"/>
      <c r="P73" s="49"/>
      <c r="R73" s="49"/>
      <c r="V73" s="49"/>
    </row>
    <row r="74" spans="8:22" x14ac:dyDescent="0.15">
      <c r="H74" s="49"/>
      <c r="I74" s="149"/>
      <c r="J74" s="149"/>
      <c r="K74" s="149"/>
      <c r="L74" s="149"/>
      <c r="M74" s="149"/>
      <c r="N74" s="149"/>
      <c r="O74" s="149"/>
      <c r="P74" s="49"/>
      <c r="R74" s="49"/>
      <c r="V74" s="49"/>
    </row>
    <row r="75" spans="8:22" x14ac:dyDescent="0.15">
      <c r="H75" s="49"/>
      <c r="I75" s="149"/>
      <c r="J75" s="149"/>
      <c r="K75" s="149"/>
      <c r="L75" s="149"/>
      <c r="M75" s="149"/>
      <c r="N75" s="149"/>
      <c r="O75" s="149"/>
      <c r="P75" s="49"/>
      <c r="R75" s="49"/>
      <c r="V75" s="49"/>
    </row>
    <row r="76" spans="8:22" x14ac:dyDescent="0.15">
      <c r="H76" s="49"/>
      <c r="I76" s="149"/>
      <c r="J76" s="149"/>
      <c r="K76" s="149"/>
      <c r="L76" s="149"/>
      <c r="M76" s="149"/>
      <c r="N76" s="149"/>
      <c r="O76" s="149"/>
      <c r="P76" s="49"/>
      <c r="R76" s="49"/>
      <c r="V76" s="49"/>
    </row>
    <row r="77" spans="8:22" x14ac:dyDescent="0.15">
      <c r="H77" s="49"/>
      <c r="I77" s="149"/>
      <c r="J77" s="149"/>
      <c r="K77" s="149"/>
      <c r="L77" s="149"/>
      <c r="M77" s="149"/>
      <c r="N77" s="149"/>
      <c r="O77" s="149"/>
      <c r="P77" s="49"/>
      <c r="R77" s="49"/>
      <c r="V77" s="49"/>
    </row>
    <row r="78" spans="8:22" x14ac:dyDescent="0.15">
      <c r="H78" s="49"/>
      <c r="I78" s="149"/>
      <c r="J78" s="149"/>
      <c r="K78" s="149"/>
      <c r="L78" s="149"/>
      <c r="M78" s="149"/>
      <c r="N78" s="149"/>
      <c r="O78" s="149"/>
      <c r="P78" s="49"/>
      <c r="R78" s="49"/>
      <c r="V78" s="49"/>
    </row>
    <row r="79" spans="8:22" x14ac:dyDescent="0.15">
      <c r="H79" s="49"/>
      <c r="I79" s="149"/>
      <c r="J79" s="149"/>
      <c r="K79" s="149"/>
      <c r="L79" s="149"/>
      <c r="M79" s="149"/>
      <c r="N79" s="149"/>
      <c r="O79" s="149"/>
      <c r="P79" s="49"/>
      <c r="R79" s="49"/>
      <c r="V79" s="49"/>
    </row>
    <row r="80" spans="8:22" x14ac:dyDescent="0.15">
      <c r="H80" s="49"/>
      <c r="I80" s="149"/>
      <c r="J80" s="149"/>
      <c r="K80" s="149"/>
      <c r="L80" s="149"/>
      <c r="M80" s="149"/>
      <c r="N80" s="149"/>
      <c r="O80" s="149"/>
      <c r="P80" s="49"/>
      <c r="R80" s="49"/>
      <c r="V80" s="49"/>
    </row>
    <row r="81" spans="2:22" x14ac:dyDescent="0.15">
      <c r="I81" s="149"/>
      <c r="J81" s="149"/>
      <c r="K81" s="149"/>
      <c r="L81" s="149"/>
      <c r="M81" s="149"/>
      <c r="N81" s="149"/>
      <c r="O81" s="149"/>
      <c r="P81" s="49"/>
      <c r="R81" s="49"/>
      <c r="V81" s="49"/>
    </row>
    <row r="82" spans="2:22" x14ac:dyDescent="0.15">
      <c r="I82" s="149"/>
      <c r="J82" s="149"/>
      <c r="K82" s="149"/>
      <c r="L82" s="149"/>
      <c r="M82" s="149"/>
      <c r="N82" s="149"/>
      <c r="O82" s="149"/>
      <c r="P82" s="49"/>
      <c r="R82" s="49"/>
      <c r="V82" s="49"/>
    </row>
    <row r="83" spans="2:22" x14ac:dyDescent="0.15">
      <c r="B83" s="139"/>
      <c r="C83" s="140"/>
      <c r="D83" s="140"/>
      <c r="E83" s="140"/>
      <c r="F83" s="140"/>
      <c r="I83" s="149"/>
      <c r="J83" s="149"/>
      <c r="K83" s="149"/>
      <c r="L83" s="149"/>
      <c r="M83" s="149"/>
      <c r="N83" s="149"/>
      <c r="O83" s="149"/>
      <c r="P83" s="49"/>
      <c r="R83" s="49"/>
      <c r="V83" s="49"/>
    </row>
    <row r="84" spans="2:22" x14ac:dyDescent="0.15">
      <c r="B84" s="139"/>
      <c r="C84" s="140"/>
      <c r="D84" s="140"/>
      <c r="E84" s="140"/>
      <c r="F84" s="140"/>
      <c r="I84" s="149"/>
      <c r="J84" s="149"/>
      <c r="K84" s="149"/>
      <c r="L84" s="149"/>
      <c r="M84" s="149"/>
      <c r="N84" s="149"/>
      <c r="O84" s="149"/>
      <c r="P84" s="49"/>
      <c r="R84" s="49"/>
      <c r="V84" s="49"/>
    </row>
    <row r="85" spans="2:22" x14ac:dyDescent="0.15">
      <c r="I85" s="149"/>
      <c r="J85" s="149"/>
      <c r="K85" s="149"/>
      <c r="L85" s="149"/>
      <c r="M85" s="149"/>
      <c r="N85" s="149"/>
      <c r="O85" s="149"/>
      <c r="P85" s="49"/>
      <c r="R85" s="49"/>
      <c r="V85" s="49"/>
    </row>
    <row r="86" spans="2:22" x14ac:dyDescent="0.15">
      <c r="I86" s="149"/>
      <c r="J86" s="149"/>
      <c r="K86" s="149"/>
      <c r="L86" s="149"/>
      <c r="M86" s="149"/>
      <c r="N86" s="149"/>
      <c r="O86" s="149"/>
      <c r="P86" s="49"/>
      <c r="R86" s="49"/>
      <c r="V86" s="49"/>
    </row>
    <row r="87" spans="2:22" x14ac:dyDescent="0.15">
      <c r="I87" s="149"/>
      <c r="J87" s="149"/>
      <c r="K87" s="149"/>
      <c r="L87" s="149"/>
      <c r="M87" s="149"/>
      <c r="N87" s="149"/>
      <c r="O87" s="149"/>
      <c r="P87" s="49"/>
      <c r="R87" s="49"/>
      <c r="V87" s="49"/>
    </row>
    <row r="88" spans="2:22" x14ac:dyDescent="0.15">
      <c r="I88" s="149"/>
      <c r="J88" s="149"/>
      <c r="K88" s="149"/>
      <c r="L88" s="149"/>
      <c r="M88" s="149"/>
      <c r="N88" s="149"/>
      <c r="O88" s="149"/>
      <c r="P88" s="49"/>
      <c r="R88" s="49"/>
      <c r="V88" s="49"/>
    </row>
    <row r="89" spans="2:22" x14ac:dyDescent="0.15">
      <c r="I89" s="149"/>
      <c r="J89" s="149"/>
      <c r="K89" s="149"/>
      <c r="L89" s="149"/>
      <c r="M89" s="149"/>
      <c r="N89" s="149"/>
      <c r="O89" s="149"/>
      <c r="P89" s="49"/>
      <c r="R89" s="49"/>
      <c r="V89" s="49"/>
    </row>
    <row r="90" spans="2:22" x14ac:dyDescent="0.15">
      <c r="I90" s="149"/>
      <c r="J90" s="149"/>
      <c r="K90" s="149"/>
      <c r="L90" s="149"/>
      <c r="M90" s="149"/>
      <c r="N90" s="149"/>
      <c r="O90" s="149"/>
      <c r="P90" s="49"/>
      <c r="R90" s="49"/>
      <c r="V90" s="49"/>
    </row>
    <row r="91" spans="2:22" x14ac:dyDescent="0.15">
      <c r="I91" s="149"/>
      <c r="J91" s="149"/>
      <c r="K91" s="149"/>
      <c r="L91" s="149"/>
      <c r="M91" s="149"/>
      <c r="N91" s="149"/>
      <c r="O91" s="149"/>
      <c r="P91" s="49"/>
      <c r="R91" s="49"/>
      <c r="V91" s="49"/>
    </row>
    <row r="92" spans="2:22" x14ac:dyDescent="0.15">
      <c r="I92" s="149"/>
      <c r="J92" s="149"/>
      <c r="K92" s="149"/>
      <c r="L92" s="149"/>
      <c r="M92" s="149"/>
      <c r="N92" s="149"/>
      <c r="O92" s="149"/>
      <c r="P92" s="49"/>
      <c r="R92" s="49"/>
      <c r="V92" s="49"/>
    </row>
    <row r="93" spans="2:22" x14ac:dyDescent="0.15">
      <c r="I93" s="149"/>
      <c r="J93" s="149"/>
      <c r="K93" s="149"/>
      <c r="L93" s="149"/>
      <c r="M93" s="149"/>
      <c r="N93" s="149"/>
      <c r="O93" s="149"/>
      <c r="P93" s="49"/>
      <c r="R93" s="49"/>
      <c r="V93" s="49"/>
    </row>
    <row r="94" spans="2:22" x14ac:dyDescent="0.15">
      <c r="I94" s="149"/>
      <c r="J94" s="149"/>
      <c r="K94" s="149"/>
      <c r="L94" s="149"/>
      <c r="M94" s="149"/>
      <c r="N94" s="149"/>
      <c r="O94" s="149"/>
      <c r="P94" s="49"/>
      <c r="R94" s="49"/>
      <c r="V94" s="49"/>
    </row>
    <row r="95" spans="2:22" x14ac:dyDescent="0.15">
      <c r="I95" s="149"/>
      <c r="J95" s="149"/>
      <c r="K95" s="149"/>
      <c r="L95" s="149"/>
      <c r="M95" s="149"/>
      <c r="N95" s="149"/>
      <c r="O95" s="149"/>
      <c r="P95" s="49"/>
      <c r="R95" s="49"/>
      <c r="V95" s="49"/>
    </row>
    <row r="96" spans="2:22" x14ac:dyDescent="0.15">
      <c r="I96" s="149"/>
      <c r="J96" s="149"/>
      <c r="K96" s="149"/>
      <c r="L96" s="149"/>
      <c r="M96" s="149"/>
      <c r="N96" s="149"/>
      <c r="O96" s="149"/>
      <c r="P96" s="49"/>
      <c r="R96" s="49"/>
      <c r="V96" s="49"/>
    </row>
    <row r="97" spans="8:22" x14ac:dyDescent="0.15">
      <c r="H97" s="49"/>
      <c r="I97" s="149"/>
      <c r="J97" s="149"/>
      <c r="K97" s="149"/>
      <c r="L97" s="149"/>
      <c r="M97" s="149"/>
      <c r="N97" s="149"/>
      <c r="O97" s="149"/>
      <c r="P97" s="49"/>
      <c r="R97" s="49"/>
      <c r="V97" s="49"/>
    </row>
    <row r="98" spans="8:22" x14ac:dyDescent="0.15">
      <c r="H98" s="49"/>
      <c r="I98" s="149"/>
      <c r="J98" s="149"/>
      <c r="K98" s="149"/>
      <c r="L98" s="149"/>
      <c r="M98" s="149"/>
      <c r="N98" s="149"/>
      <c r="O98" s="149"/>
      <c r="P98" s="49"/>
      <c r="R98" s="49"/>
      <c r="V98" s="49"/>
    </row>
    <row r="99" spans="8:22" x14ac:dyDescent="0.15">
      <c r="H99" s="49"/>
      <c r="I99" s="149"/>
      <c r="J99" s="149"/>
      <c r="K99" s="149"/>
      <c r="L99" s="149"/>
      <c r="M99" s="149"/>
      <c r="N99" s="149"/>
      <c r="O99" s="149"/>
      <c r="P99" s="49"/>
      <c r="R99" s="49"/>
      <c r="V99" s="49"/>
    </row>
    <row r="100" spans="8:22" x14ac:dyDescent="0.15">
      <c r="H100" s="49"/>
      <c r="I100" s="149"/>
      <c r="J100" s="149"/>
      <c r="K100" s="149"/>
      <c r="L100" s="149"/>
      <c r="M100" s="149"/>
      <c r="N100" s="149"/>
      <c r="O100" s="149"/>
      <c r="P100" s="49"/>
      <c r="R100" s="49"/>
      <c r="V100" s="49"/>
    </row>
    <row r="101" spans="8:22" x14ac:dyDescent="0.15">
      <c r="H101" s="49"/>
      <c r="I101" s="149"/>
      <c r="J101" s="149"/>
      <c r="K101" s="149"/>
      <c r="L101" s="149"/>
      <c r="M101" s="149"/>
      <c r="N101" s="149"/>
      <c r="O101" s="149"/>
      <c r="P101" s="49"/>
      <c r="R101" s="49"/>
      <c r="V101" s="49"/>
    </row>
    <row r="102" spans="8:22" x14ac:dyDescent="0.15">
      <c r="H102" s="49"/>
      <c r="I102" s="149"/>
      <c r="J102" s="149"/>
      <c r="K102" s="149"/>
      <c r="L102" s="149"/>
      <c r="M102" s="149"/>
      <c r="N102" s="149"/>
      <c r="O102" s="149"/>
      <c r="P102" s="49"/>
      <c r="R102" s="49"/>
      <c r="V102" s="49"/>
    </row>
    <row r="103" spans="8:22" x14ac:dyDescent="0.15">
      <c r="H103" s="49"/>
      <c r="I103" s="149"/>
      <c r="J103" s="149"/>
      <c r="K103" s="149"/>
      <c r="L103" s="149"/>
      <c r="M103" s="149"/>
      <c r="N103" s="149"/>
      <c r="O103" s="149"/>
      <c r="P103" s="49"/>
      <c r="R103" s="49"/>
      <c r="V103" s="49"/>
    </row>
    <row r="104" spans="8:22" x14ac:dyDescent="0.15">
      <c r="H104" s="49"/>
      <c r="I104" s="149"/>
      <c r="J104" s="149"/>
      <c r="K104" s="149"/>
      <c r="L104" s="149"/>
      <c r="M104" s="149"/>
      <c r="N104" s="149"/>
      <c r="O104" s="149"/>
      <c r="P104" s="49"/>
      <c r="R104" s="49"/>
      <c r="V104" s="49"/>
    </row>
    <row r="105" spans="8:22" x14ac:dyDescent="0.15">
      <c r="H105" s="49"/>
      <c r="I105" s="149"/>
      <c r="J105" s="149"/>
      <c r="K105" s="149"/>
      <c r="L105" s="149"/>
      <c r="M105" s="149"/>
      <c r="N105" s="149"/>
      <c r="O105" s="149"/>
      <c r="P105" s="49"/>
      <c r="R105" s="49"/>
      <c r="V105" s="49"/>
    </row>
    <row r="106" spans="8:22" x14ac:dyDescent="0.15">
      <c r="H106" s="49"/>
      <c r="I106" s="149"/>
      <c r="J106" s="149"/>
      <c r="K106" s="149"/>
      <c r="L106" s="149"/>
      <c r="M106" s="149"/>
      <c r="N106" s="149"/>
      <c r="O106" s="149"/>
      <c r="P106" s="49"/>
      <c r="R106" s="49"/>
      <c r="V106" s="49"/>
    </row>
    <row r="107" spans="8:22" x14ac:dyDescent="0.15">
      <c r="H107" s="49"/>
      <c r="I107" s="149"/>
      <c r="J107" s="149"/>
      <c r="K107" s="149"/>
      <c r="L107" s="149"/>
      <c r="M107" s="149"/>
      <c r="N107" s="149"/>
      <c r="O107" s="149"/>
      <c r="P107" s="49"/>
      <c r="R107" s="49"/>
      <c r="V107" s="49"/>
    </row>
    <row r="108" spans="8:22" x14ac:dyDescent="0.15">
      <c r="H108" s="49"/>
      <c r="I108" s="149"/>
      <c r="J108" s="149"/>
      <c r="K108" s="149"/>
      <c r="L108" s="149"/>
      <c r="M108" s="149"/>
      <c r="N108" s="149"/>
      <c r="O108" s="149"/>
      <c r="P108" s="49"/>
      <c r="R108" s="49"/>
      <c r="V108" s="49"/>
    </row>
    <row r="109" spans="8:22" x14ac:dyDescent="0.15">
      <c r="H109" s="49"/>
      <c r="I109" s="149"/>
      <c r="J109" s="149"/>
      <c r="K109" s="149"/>
      <c r="L109" s="149"/>
      <c r="M109" s="149"/>
      <c r="N109" s="149"/>
      <c r="O109" s="149"/>
      <c r="P109" s="49"/>
      <c r="R109" s="49"/>
      <c r="V109" s="49"/>
    </row>
    <row r="110" spans="8:22" x14ac:dyDescent="0.15">
      <c r="H110" s="49"/>
      <c r="I110" s="149"/>
      <c r="J110" s="149"/>
      <c r="K110" s="149"/>
      <c r="L110" s="149"/>
      <c r="M110" s="149"/>
      <c r="N110" s="149"/>
      <c r="O110" s="149"/>
      <c r="P110" s="49"/>
      <c r="R110" s="49"/>
      <c r="V110" s="49"/>
    </row>
    <row r="111" spans="8:22" x14ac:dyDescent="0.15">
      <c r="H111" s="49"/>
      <c r="I111" s="149"/>
      <c r="J111" s="149"/>
      <c r="K111" s="149"/>
      <c r="L111" s="149"/>
      <c r="M111" s="149"/>
      <c r="N111" s="149"/>
      <c r="O111" s="149"/>
      <c r="P111" s="49"/>
      <c r="R111" s="49"/>
      <c r="V111" s="49"/>
    </row>
    <row r="112" spans="8:22" x14ac:dyDescent="0.15">
      <c r="H112" s="49"/>
      <c r="I112" s="149"/>
      <c r="J112" s="149"/>
      <c r="K112" s="149"/>
      <c r="L112" s="149"/>
      <c r="M112" s="149"/>
      <c r="N112" s="149"/>
      <c r="O112" s="149"/>
      <c r="P112" s="49"/>
      <c r="R112" s="49"/>
      <c r="V112" s="49"/>
    </row>
    <row r="113" spans="8:22" x14ac:dyDescent="0.15">
      <c r="H113" s="49"/>
      <c r="I113" s="149"/>
      <c r="J113" s="149"/>
      <c r="K113" s="149"/>
      <c r="L113" s="149"/>
      <c r="M113" s="149"/>
      <c r="N113" s="149"/>
      <c r="O113" s="149"/>
      <c r="P113" s="49"/>
      <c r="R113" s="49"/>
      <c r="V113" s="49"/>
    </row>
    <row r="114" spans="8:22" x14ac:dyDescent="0.15">
      <c r="H114" s="49"/>
      <c r="I114" s="149"/>
      <c r="J114" s="149"/>
      <c r="K114" s="149"/>
      <c r="L114" s="149"/>
      <c r="M114" s="149"/>
      <c r="N114" s="149"/>
      <c r="O114" s="149"/>
      <c r="P114" s="49"/>
      <c r="R114" s="49"/>
      <c r="V114" s="49"/>
    </row>
    <row r="115" spans="8:22" x14ac:dyDescent="0.15">
      <c r="H115" s="49"/>
      <c r="I115" s="149"/>
      <c r="J115" s="149"/>
      <c r="K115" s="149"/>
      <c r="L115" s="149"/>
      <c r="M115" s="149"/>
      <c r="N115" s="149"/>
      <c r="O115" s="149"/>
      <c r="P115" s="49"/>
      <c r="R115" s="49"/>
      <c r="V115" s="49"/>
    </row>
    <row r="116" spans="8:22" x14ac:dyDescent="0.15">
      <c r="H116" s="49"/>
      <c r="I116" s="149"/>
      <c r="J116" s="149"/>
      <c r="K116" s="149"/>
      <c r="L116" s="149"/>
      <c r="M116" s="149"/>
      <c r="N116" s="149"/>
      <c r="O116" s="149"/>
      <c r="P116" s="49"/>
      <c r="R116" s="49"/>
      <c r="V116" s="49"/>
    </row>
    <row r="117" spans="8:22" x14ac:dyDescent="0.15">
      <c r="H117" s="49"/>
      <c r="I117" s="149"/>
      <c r="J117" s="149"/>
      <c r="K117" s="149"/>
      <c r="L117" s="149"/>
      <c r="M117" s="149"/>
      <c r="N117" s="149"/>
      <c r="O117" s="149"/>
      <c r="P117" s="49"/>
      <c r="R117" s="49"/>
      <c r="V117" s="49"/>
    </row>
    <row r="118" spans="8:22" x14ac:dyDescent="0.15">
      <c r="H118" s="49"/>
      <c r="I118" s="149"/>
      <c r="J118" s="149"/>
      <c r="K118" s="149"/>
      <c r="L118" s="149"/>
      <c r="M118" s="149"/>
      <c r="N118" s="149"/>
      <c r="O118" s="149"/>
      <c r="P118" s="49"/>
      <c r="R118" s="49"/>
      <c r="V118" s="49"/>
    </row>
    <row r="119" spans="8:22" x14ac:dyDescent="0.15">
      <c r="H119" s="49"/>
      <c r="I119" s="149"/>
      <c r="J119" s="149"/>
      <c r="K119" s="149"/>
      <c r="L119" s="149"/>
      <c r="M119" s="149"/>
      <c r="N119" s="149"/>
      <c r="O119" s="149"/>
      <c r="P119" s="49"/>
      <c r="R119" s="49"/>
      <c r="V119" s="49"/>
    </row>
    <row r="120" spans="8:22" x14ac:dyDescent="0.15">
      <c r="H120" s="49"/>
      <c r="I120" s="149"/>
      <c r="J120" s="149"/>
      <c r="K120" s="149"/>
      <c r="L120" s="149"/>
      <c r="M120" s="149"/>
      <c r="N120" s="149"/>
      <c r="O120" s="149"/>
      <c r="P120" s="49"/>
      <c r="R120" s="49"/>
      <c r="V120" s="49"/>
    </row>
    <row r="121" spans="8:22" x14ac:dyDescent="0.15">
      <c r="H121" s="49"/>
      <c r="I121" s="149"/>
      <c r="J121" s="149"/>
      <c r="K121" s="149"/>
      <c r="L121" s="149"/>
      <c r="M121" s="149"/>
      <c r="N121" s="149"/>
      <c r="O121" s="149"/>
      <c r="P121" s="49"/>
      <c r="R121" s="49"/>
      <c r="V121" s="49"/>
    </row>
    <row r="122" spans="8:22" x14ac:dyDescent="0.15">
      <c r="H122" s="49"/>
      <c r="I122" s="149"/>
      <c r="J122" s="149"/>
      <c r="K122" s="149"/>
      <c r="L122" s="149"/>
      <c r="M122" s="149"/>
      <c r="N122" s="149"/>
      <c r="O122" s="149"/>
      <c r="P122" s="49"/>
      <c r="R122" s="49"/>
      <c r="V122" s="49"/>
    </row>
    <row r="123" spans="8:22" x14ac:dyDescent="0.15">
      <c r="H123" s="49"/>
      <c r="I123" s="149"/>
      <c r="J123" s="149"/>
      <c r="K123" s="149"/>
      <c r="L123" s="149"/>
      <c r="M123" s="149"/>
      <c r="N123" s="149"/>
      <c r="O123" s="149"/>
      <c r="P123" s="49"/>
      <c r="R123" s="49"/>
      <c r="V123" s="49"/>
    </row>
    <row r="124" spans="8:22" x14ac:dyDescent="0.15">
      <c r="H124" s="49"/>
      <c r="I124" s="149"/>
      <c r="J124" s="149"/>
      <c r="K124" s="149"/>
      <c r="L124" s="149"/>
      <c r="M124" s="149"/>
      <c r="N124" s="149"/>
      <c r="O124" s="149"/>
      <c r="P124" s="49"/>
      <c r="R124" s="49"/>
      <c r="V124" s="49"/>
    </row>
    <row r="125" spans="8:22" x14ac:dyDescent="0.15">
      <c r="H125" s="49"/>
      <c r="I125" s="149"/>
      <c r="J125" s="149"/>
      <c r="K125" s="149"/>
      <c r="L125" s="149"/>
      <c r="M125" s="149"/>
      <c r="N125" s="149"/>
      <c r="O125" s="149"/>
      <c r="P125" s="49"/>
      <c r="R125" s="49"/>
      <c r="V125" s="49"/>
    </row>
    <row r="126" spans="8:22" x14ac:dyDescent="0.15">
      <c r="H126" s="49"/>
      <c r="I126" s="149"/>
      <c r="J126" s="149"/>
      <c r="K126" s="149"/>
      <c r="L126" s="149"/>
      <c r="M126" s="149"/>
      <c r="N126" s="149"/>
      <c r="O126" s="149"/>
      <c r="P126" s="49"/>
      <c r="R126" s="49"/>
      <c r="V126" s="49"/>
    </row>
    <row r="127" spans="8:22" x14ac:dyDescent="0.15">
      <c r="H127" s="49"/>
      <c r="I127" s="149"/>
      <c r="J127" s="149"/>
      <c r="K127" s="149"/>
      <c r="L127" s="149"/>
      <c r="M127" s="149"/>
      <c r="N127" s="149"/>
      <c r="O127" s="149"/>
      <c r="P127" s="49"/>
      <c r="R127" s="49"/>
      <c r="V127" s="49"/>
    </row>
    <row r="128" spans="8:22" x14ac:dyDescent="0.15">
      <c r="H128" s="49"/>
      <c r="I128" s="149"/>
      <c r="J128" s="149"/>
      <c r="K128" s="149"/>
      <c r="L128" s="149"/>
      <c r="M128" s="149"/>
      <c r="N128" s="149"/>
      <c r="O128" s="149"/>
      <c r="P128" s="49"/>
      <c r="R128" s="49"/>
      <c r="V128" s="49"/>
    </row>
    <row r="129" spans="8:22" x14ac:dyDescent="0.15">
      <c r="H129" s="49"/>
      <c r="I129" s="149"/>
      <c r="J129" s="149"/>
      <c r="K129" s="149"/>
      <c r="L129" s="149"/>
      <c r="M129" s="149"/>
      <c r="N129" s="149"/>
      <c r="O129" s="149"/>
      <c r="P129" s="49"/>
      <c r="R129" s="49"/>
      <c r="V129" s="49"/>
    </row>
    <row r="130" spans="8:22" x14ac:dyDescent="0.15">
      <c r="H130" s="49"/>
      <c r="I130" s="149"/>
      <c r="J130" s="149"/>
      <c r="K130" s="149"/>
      <c r="L130" s="149"/>
      <c r="M130" s="149"/>
      <c r="N130" s="149"/>
      <c r="O130" s="149"/>
      <c r="P130" s="49"/>
      <c r="R130" s="49"/>
      <c r="V130" s="49"/>
    </row>
    <row r="131" spans="8:22" x14ac:dyDescent="0.15">
      <c r="H131" s="49"/>
      <c r="I131" s="149"/>
      <c r="J131" s="149"/>
      <c r="K131" s="149"/>
      <c r="L131" s="149"/>
      <c r="M131" s="149"/>
      <c r="N131" s="149"/>
      <c r="O131" s="149"/>
      <c r="P131" s="49"/>
      <c r="R131" s="49"/>
      <c r="V131" s="49"/>
    </row>
    <row r="132" spans="8:22" x14ac:dyDescent="0.15">
      <c r="H132" s="49"/>
      <c r="I132" s="149"/>
      <c r="J132" s="149"/>
      <c r="K132" s="149"/>
      <c r="L132" s="149"/>
      <c r="M132" s="149"/>
      <c r="N132" s="149"/>
      <c r="O132" s="149"/>
      <c r="P132" s="49"/>
      <c r="R132" s="49"/>
      <c r="V132" s="49"/>
    </row>
    <row r="133" spans="8:22" x14ac:dyDescent="0.15">
      <c r="H133" s="49"/>
      <c r="I133" s="149"/>
      <c r="J133" s="149"/>
      <c r="K133" s="149"/>
      <c r="L133" s="149"/>
      <c r="M133" s="149"/>
      <c r="N133" s="149"/>
      <c r="O133" s="149"/>
      <c r="P133" s="49"/>
      <c r="R133" s="49"/>
      <c r="V133" s="49"/>
    </row>
    <row r="134" spans="8:22" x14ac:dyDescent="0.15">
      <c r="H134" s="49"/>
      <c r="I134" s="149"/>
      <c r="J134" s="149"/>
      <c r="K134" s="149"/>
      <c r="L134" s="149"/>
      <c r="M134" s="149"/>
      <c r="N134" s="149"/>
      <c r="O134" s="149"/>
      <c r="P134" s="49"/>
      <c r="R134" s="49"/>
      <c r="V134" s="49"/>
    </row>
    <row r="135" spans="8:22" x14ac:dyDescent="0.15">
      <c r="H135" s="49"/>
      <c r="I135" s="149"/>
      <c r="J135" s="149"/>
      <c r="K135" s="149"/>
      <c r="L135" s="149"/>
      <c r="M135" s="149"/>
      <c r="N135" s="149"/>
      <c r="O135" s="149"/>
      <c r="P135" s="49"/>
      <c r="R135" s="49"/>
      <c r="V135" s="49"/>
    </row>
    <row r="136" spans="8:22" x14ac:dyDescent="0.15">
      <c r="H136" s="49"/>
      <c r="I136" s="149"/>
      <c r="J136" s="149"/>
      <c r="K136" s="149"/>
      <c r="L136" s="149"/>
      <c r="M136" s="149"/>
      <c r="N136" s="149"/>
      <c r="O136" s="149"/>
      <c r="P136" s="49"/>
      <c r="R136" s="49"/>
      <c r="V136" s="49"/>
    </row>
    <row r="137" spans="8:22" x14ac:dyDescent="0.15">
      <c r="H137" s="49"/>
      <c r="I137" s="149"/>
      <c r="J137" s="149"/>
      <c r="K137" s="149"/>
      <c r="L137" s="149"/>
      <c r="M137" s="149"/>
      <c r="N137" s="149"/>
      <c r="O137" s="149"/>
      <c r="P137" s="49"/>
      <c r="R137" s="49"/>
      <c r="V137" s="49"/>
    </row>
    <row r="138" spans="8:22" x14ac:dyDescent="0.15">
      <c r="H138" s="49"/>
      <c r="I138" s="149"/>
      <c r="J138" s="149"/>
      <c r="K138" s="149"/>
      <c r="L138" s="149"/>
      <c r="M138" s="149"/>
      <c r="N138" s="149"/>
      <c r="O138" s="149"/>
      <c r="P138" s="49"/>
      <c r="R138" s="49"/>
      <c r="V138" s="49"/>
    </row>
    <row r="139" spans="8:22" x14ac:dyDescent="0.15">
      <c r="H139" s="49"/>
      <c r="I139" s="149"/>
      <c r="J139" s="149"/>
      <c r="K139" s="149"/>
      <c r="L139" s="149"/>
      <c r="M139" s="149"/>
      <c r="N139" s="149"/>
      <c r="O139" s="149"/>
      <c r="P139" s="49"/>
      <c r="R139" s="49"/>
      <c r="V139" s="49"/>
    </row>
    <row r="140" spans="8:22" x14ac:dyDescent="0.15">
      <c r="H140" s="49"/>
      <c r="I140" s="149"/>
      <c r="J140" s="149"/>
      <c r="K140" s="149"/>
      <c r="L140" s="149"/>
      <c r="M140" s="149"/>
      <c r="N140" s="149"/>
      <c r="P140" s="49"/>
      <c r="R140" s="49"/>
      <c r="V140" s="49"/>
    </row>
    <row r="141" spans="8:22" x14ac:dyDescent="0.15">
      <c r="H141" s="49"/>
      <c r="I141" s="149"/>
      <c r="J141" s="149"/>
      <c r="K141" s="149"/>
      <c r="L141" s="149"/>
      <c r="M141" s="149"/>
      <c r="N141" s="149"/>
      <c r="P141" s="49"/>
      <c r="R141" s="49"/>
      <c r="V141" s="49"/>
    </row>
    <row r="142" spans="8:22" x14ac:dyDescent="0.15">
      <c r="H142" s="49"/>
      <c r="I142" s="149"/>
      <c r="J142" s="149"/>
      <c r="K142" s="149"/>
      <c r="L142" s="149"/>
      <c r="M142" s="149"/>
      <c r="N142" s="149"/>
      <c r="P142" s="49"/>
      <c r="R142" s="49"/>
      <c r="V142" s="49"/>
    </row>
    <row r="143" spans="8:22" x14ac:dyDescent="0.15">
      <c r="H143" s="49"/>
      <c r="I143" s="149"/>
      <c r="J143" s="149"/>
      <c r="K143" s="149"/>
      <c r="L143" s="149"/>
      <c r="M143" s="149"/>
      <c r="N143" s="149"/>
      <c r="P143" s="49"/>
      <c r="R143" s="49"/>
      <c r="V143" s="49"/>
    </row>
    <row r="144" spans="8:22" x14ac:dyDescent="0.15">
      <c r="H144" s="49"/>
      <c r="I144" s="149"/>
      <c r="J144" s="149"/>
      <c r="K144" s="149"/>
      <c r="L144" s="149"/>
      <c r="M144" s="149"/>
      <c r="N144" s="149"/>
      <c r="P144" s="49"/>
      <c r="R144" s="49"/>
      <c r="V144" s="49"/>
    </row>
    <row r="145" spans="8:22" x14ac:dyDescent="0.15">
      <c r="H145" s="49"/>
      <c r="I145" s="149"/>
      <c r="J145" s="149"/>
      <c r="K145" s="149"/>
      <c r="L145" s="149"/>
      <c r="M145" s="149"/>
      <c r="N145" s="149"/>
      <c r="P145" s="49"/>
      <c r="R145" s="49"/>
      <c r="V145" s="49"/>
    </row>
    <row r="146" spans="8:22" x14ac:dyDescent="0.15">
      <c r="H146" s="49"/>
      <c r="I146" s="149"/>
      <c r="J146" s="149"/>
      <c r="K146" s="149"/>
      <c r="L146" s="149"/>
      <c r="M146" s="149"/>
      <c r="N146" s="149"/>
      <c r="P146" s="49"/>
      <c r="R146" s="49"/>
      <c r="V146" s="49"/>
    </row>
    <row r="147" spans="8:22" x14ac:dyDescent="0.15">
      <c r="H147" s="49"/>
      <c r="I147" s="149"/>
      <c r="J147" s="149"/>
      <c r="K147" s="149"/>
      <c r="L147" s="149"/>
      <c r="M147" s="149"/>
      <c r="N147" s="149"/>
      <c r="P147" s="49"/>
      <c r="R147" s="49"/>
      <c r="V147" s="49"/>
    </row>
    <row r="148" spans="8:22" x14ac:dyDescent="0.15">
      <c r="H148" s="49"/>
      <c r="I148" s="149"/>
      <c r="J148" s="149"/>
      <c r="K148" s="149"/>
      <c r="L148" s="149"/>
      <c r="M148" s="149"/>
      <c r="N148" s="149"/>
      <c r="P148" s="49"/>
      <c r="R148" s="49"/>
      <c r="V148" s="49"/>
    </row>
    <row r="149" spans="8:22" x14ac:dyDescent="0.15">
      <c r="H149" s="49"/>
      <c r="I149" s="149"/>
      <c r="J149" s="149"/>
      <c r="K149" s="149"/>
      <c r="L149" s="149"/>
      <c r="M149" s="149"/>
      <c r="N149" s="149"/>
      <c r="P149" s="49"/>
      <c r="R149" s="49"/>
      <c r="V149" s="49"/>
    </row>
    <row r="150" spans="8:22" x14ac:dyDescent="0.15">
      <c r="H150" s="49"/>
      <c r="I150" s="149"/>
      <c r="J150" s="149"/>
      <c r="K150" s="149"/>
      <c r="L150" s="149"/>
      <c r="M150" s="149"/>
      <c r="N150" s="149"/>
      <c r="P150" s="49"/>
      <c r="R150" s="49"/>
      <c r="V150" s="49"/>
    </row>
    <row r="151" spans="8:22" x14ac:dyDescent="0.15">
      <c r="H151" s="49"/>
      <c r="I151" s="149"/>
      <c r="J151" s="149"/>
      <c r="K151" s="149"/>
      <c r="L151" s="149"/>
      <c r="M151" s="149"/>
      <c r="N151" s="149"/>
      <c r="P151" s="49"/>
      <c r="R151" s="49"/>
      <c r="V151" s="49"/>
    </row>
    <row r="152" spans="8:22" x14ac:dyDescent="0.15">
      <c r="H152" s="49"/>
      <c r="I152" s="149"/>
      <c r="J152" s="149"/>
      <c r="K152" s="149"/>
      <c r="L152" s="149"/>
      <c r="M152" s="149"/>
      <c r="N152" s="149"/>
      <c r="P152" s="49"/>
      <c r="R152" s="49"/>
      <c r="V152" s="49"/>
    </row>
    <row r="153" spans="8:22" x14ac:dyDescent="0.15">
      <c r="H153" s="49"/>
      <c r="I153" s="149"/>
      <c r="J153" s="149"/>
      <c r="K153" s="149"/>
      <c r="L153" s="149"/>
      <c r="M153" s="149"/>
      <c r="N153" s="149"/>
      <c r="P153" s="49"/>
      <c r="R153" s="49"/>
      <c r="V153" s="49"/>
    </row>
    <row r="154" spans="8:22" x14ac:dyDescent="0.15">
      <c r="H154" s="49"/>
      <c r="I154" s="149"/>
      <c r="J154" s="149"/>
      <c r="K154" s="149"/>
      <c r="L154" s="149"/>
      <c r="M154" s="149"/>
      <c r="N154" s="149"/>
      <c r="P154" s="49"/>
      <c r="R154" s="49"/>
      <c r="V154" s="49"/>
    </row>
    <row r="155" spans="8:22" x14ac:dyDescent="0.15">
      <c r="H155" s="49"/>
      <c r="J155" s="149"/>
      <c r="K155" s="149"/>
      <c r="L155" s="149"/>
      <c r="M155" s="149"/>
      <c r="N155" s="149"/>
      <c r="P155" s="49"/>
      <c r="R155" s="49"/>
      <c r="V155" s="49"/>
    </row>
    <row r="156" spans="8:22" x14ac:dyDescent="0.15">
      <c r="H156" s="49"/>
      <c r="J156" s="149"/>
      <c r="K156" s="149"/>
      <c r="L156" s="149"/>
      <c r="M156" s="149"/>
      <c r="N156" s="149"/>
      <c r="P156" s="49"/>
      <c r="R156" s="49"/>
      <c r="V156" s="49"/>
    </row>
    <row r="173" spans="8:22" x14ac:dyDescent="0.15">
      <c r="H173" s="49"/>
      <c r="O173" s="149"/>
      <c r="P173" s="49"/>
      <c r="R173" s="49"/>
      <c r="V173" s="49"/>
    </row>
    <row r="174" spans="8:22" x14ac:dyDescent="0.15">
      <c r="H174" s="49"/>
      <c r="O174" s="149"/>
      <c r="P174" s="49"/>
      <c r="R174" s="49"/>
      <c r="V174" s="49"/>
    </row>
    <row r="175" spans="8:22" x14ac:dyDescent="0.15">
      <c r="H175" s="49"/>
      <c r="O175" s="149"/>
      <c r="P175" s="49"/>
      <c r="R175" s="49"/>
      <c r="V175" s="49"/>
    </row>
    <row r="176" spans="8:22" x14ac:dyDescent="0.15">
      <c r="H176" s="49"/>
      <c r="O176" s="149"/>
      <c r="P176" s="49"/>
      <c r="R176" s="49"/>
      <c r="V176" s="49"/>
    </row>
    <row r="177" spans="8:22" x14ac:dyDescent="0.15">
      <c r="H177" s="49"/>
      <c r="O177" s="149"/>
      <c r="P177" s="49"/>
      <c r="R177" s="49"/>
      <c r="V177" s="49"/>
    </row>
    <row r="178" spans="8:22" x14ac:dyDescent="0.15">
      <c r="H178" s="49"/>
      <c r="O178" s="149"/>
      <c r="P178" s="49"/>
      <c r="R178" s="49"/>
      <c r="V178" s="49"/>
    </row>
    <row r="179" spans="8:22" x14ac:dyDescent="0.15">
      <c r="H179" s="49"/>
      <c r="O179" s="149"/>
      <c r="P179" s="49"/>
      <c r="R179" s="49"/>
      <c r="V179" s="49"/>
    </row>
    <row r="180" spans="8:22" x14ac:dyDescent="0.15">
      <c r="H180" s="49"/>
      <c r="O180" s="149"/>
      <c r="P180" s="49"/>
      <c r="R180" s="49"/>
      <c r="V180" s="49"/>
    </row>
    <row r="181" spans="8:22" x14ac:dyDescent="0.15">
      <c r="H181" s="49"/>
      <c r="O181" s="149"/>
      <c r="P181" s="49"/>
      <c r="R181" s="49"/>
      <c r="V181" s="49"/>
    </row>
    <row r="182" spans="8:22" x14ac:dyDescent="0.15">
      <c r="H182" s="49"/>
      <c r="O182" s="149"/>
      <c r="P182" s="49"/>
      <c r="R182" s="49"/>
      <c r="V182" s="49"/>
    </row>
    <row r="183" spans="8:22" x14ac:dyDescent="0.15">
      <c r="H183" s="49"/>
      <c r="O183" s="149"/>
      <c r="P183" s="49"/>
      <c r="R183" s="49"/>
      <c r="V183" s="49"/>
    </row>
    <row r="184" spans="8:22" x14ac:dyDescent="0.15">
      <c r="H184" s="49"/>
      <c r="O184" s="149"/>
      <c r="P184" s="49"/>
      <c r="R184" s="49"/>
      <c r="V184" s="49"/>
    </row>
    <row r="185" spans="8:22" x14ac:dyDescent="0.15">
      <c r="H185" s="49"/>
      <c r="O185" s="149"/>
      <c r="P185" s="49"/>
      <c r="R185" s="49"/>
      <c r="V185" s="49"/>
    </row>
    <row r="186" spans="8:22" x14ac:dyDescent="0.15">
      <c r="H186" s="49"/>
      <c r="O186" s="149"/>
      <c r="P186" s="49"/>
      <c r="R186" s="49"/>
      <c r="V186" s="49"/>
    </row>
    <row r="187" spans="8:22" x14ac:dyDescent="0.15">
      <c r="H187" s="49"/>
      <c r="O187" s="149"/>
      <c r="P187" s="49"/>
      <c r="R187" s="49"/>
      <c r="V187" s="49"/>
    </row>
    <row r="188" spans="8:22" x14ac:dyDescent="0.15">
      <c r="H188" s="49"/>
      <c r="O188" s="149"/>
      <c r="P188" s="49"/>
      <c r="R188" s="49"/>
      <c r="V188" s="49"/>
    </row>
    <row r="189" spans="8:22" x14ac:dyDescent="0.15">
      <c r="H189" s="49"/>
      <c r="O189" s="149"/>
      <c r="P189" s="49"/>
      <c r="R189" s="49"/>
      <c r="V189" s="49"/>
    </row>
    <row r="190" spans="8:22" x14ac:dyDescent="0.15">
      <c r="H190" s="49"/>
      <c r="O190" s="149"/>
      <c r="P190" s="49"/>
      <c r="R190" s="49"/>
      <c r="V190" s="49"/>
    </row>
    <row r="191" spans="8:22" x14ac:dyDescent="0.15">
      <c r="H191" s="49"/>
      <c r="O191" s="149"/>
      <c r="P191" s="49"/>
      <c r="R191" s="49"/>
      <c r="V191" s="49"/>
    </row>
    <row r="192" spans="8:22" x14ac:dyDescent="0.15">
      <c r="H192" s="49"/>
      <c r="O192" s="149"/>
      <c r="P192" s="49"/>
      <c r="R192" s="49"/>
      <c r="V192" s="49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K48:L48"/>
    <mergeCell ref="K39:L39"/>
    <mergeCell ref="P38:P44"/>
    <mergeCell ref="K40:L40"/>
    <mergeCell ref="K41:L41"/>
    <mergeCell ref="K42:L42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3" tint="0.79998168889431442"/>
    <pageSetUpPr fitToPage="1"/>
  </sheetPr>
  <dimension ref="B1:V192"/>
  <sheetViews>
    <sheetView topLeftCell="H1" zoomScale="75" zoomScaleNormal="75" workbookViewId="0">
      <selection activeCell="H1" sqref="H1"/>
    </sheetView>
  </sheetViews>
  <sheetFormatPr defaultRowHeight="13.5" x14ac:dyDescent="0.15"/>
  <cols>
    <col min="1" max="1" width="1.625" style="49" customWidth="1"/>
    <col min="2" max="2" width="3.625" style="49" customWidth="1"/>
    <col min="3" max="3" width="19.5" style="49" customWidth="1"/>
    <col min="4" max="7" width="8.625" style="49" customWidth="1"/>
    <col min="8" max="8" width="2.375" style="149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24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9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9" style="49"/>
    <col min="269" max="269" width="9.25" style="49" customWidth="1"/>
    <col min="270" max="270" width="3.5" style="49" customWidth="1"/>
    <col min="271" max="272" width="12.625" style="49" customWidth="1"/>
    <col min="273" max="273" width="9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9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9" style="49"/>
    <col min="525" max="525" width="9.25" style="49" customWidth="1"/>
    <col min="526" max="526" width="3.5" style="49" customWidth="1"/>
    <col min="527" max="528" width="12.625" style="49" customWidth="1"/>
    <col min="529" max="529" width="9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9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9" style="49"/>
    <col min="781" max="781" width="9.25" style="49" customWidth="1"/>
    <col min="782" max="782" width="3.5" style="49" customWidth="1"/>
    <col min="783" max="784" width="12.625" style="49" customWidth="1"/>
    <col min="785" max="785" width="9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9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9" style="49"/>
    <col min="1037" max="1037" width="9.25" style="49" customWidth="1"/>
    <col min="1038" max="1038" width="3.5" style="49" customWidth="1"/>
    <col min="1039" max="1040" width="12.625" style="49" customWidth="1"/>
    <col min="1041" max="1041" width="9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9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9" style="49"/>
    <col min="1293" max="1293" width="9.25" style="49" customWidth="1"/>
    <col min="1294" max="1294" width="3.5" style="49" customWidth="1"/>
    <col min="1295" max="1296" width="12.625" style="49" customWidth="1"/>
    <col min="1297" max="1297" width="9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9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9" style="49"/>
    <col min="1549" max="1549" width="9.25" style="49" customWidth="1"/>
    <col min="1550" max="1550" width="3.5" style="49" customWidth="1"/>
    <col min="1551" max="1552" width="12.625" style="49" customWidth="1"/>
    <col min="1553" max="1553" width="9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9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9" style="49"/>
    <col min="1805" max="1805" width="9.25" style="49" customWidth="1"/>
    <col min="1806" max="1806" width="3.5" style="49" customWidth="1"/>
    <col min="1807" max="1808" width="12.625" style="49" customWidth="1"/>
    <col min="1809" max="1809" width="9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9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9" style="49"/>
    <col min="2061" max="2061" width="9.25" style="49" customWidth="1"/>
    <col min="2062" max="2062" width="3.5" style="49" customWidth="1"/>
    <col min="2063" max="2064" width="12.625" style="49" customWidth="1"/>
    <col min="2065" max="2065" width="9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9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9" style="49"/>
    <col min="2317" max="2317" width="9.25" style="49" customWidth="1"/>
    <col min="2318" max="2318" width="3.5" style="49" customWidth="1"/>
    <col min="2319" max="2320" width="12.625" style="49" customWidth="1"/>
    <col min="2321" max="2321" width="9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9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9" style="49"/>
    <col min="2573" max="2573" width="9.25" style="49" customWidth="1"/>
    <col min="2574" max="2574" width="3.5" style="49" customWidth="1"/>
    <col min="2575" max="2576" width="12.625" style="49" customWidth="1"/>
    <col min="2577" max="2577" width="9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9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9" style="49"/>
    <col min="2829" max="2829" width="9.25" style="49" customWidth="1"/>
    <col min="2830" max="2830" width="3.5" style="49" customWidth="1"/>
    <col min="2831" max="2832" width="12.625" style="49" customWidth="1"/>
    <col min="2833" max="2833" width="9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9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9" style="49"/>
    <col min="3085" max="3085" width="9.25" style="49" customWidth="1"/>
    <col min="3086" max="3086" width="3.5" style="49" customWidth="1"/>
    <col min="3087" max="3088" width="12.625" style="49" customWidth="1"/>
    <col min="3089" max="3089" width="9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9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9" style="49"/>
    <col min="3341" max="3341" width="9.25" style="49" customWidth="1"/>
    <col min="3342" max="3342" width="3.5" style="49" customWidth="1"/>
    <col min="3343" max="3344" width="12.625" style="49" customWidth="1"/>
    <col min="3345" max="3345" width="9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9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9" style="49"/>
    <col min="3597" max="3597" width="9.25" style="49" customWidth="1"/>
    <col min="3598" max="3598" width="3.5" style="49" customWidth="1"/>
    <col min="3599" max="3600" width="12.625" style="49" customWidth="1"/>
    <col min="3601" max="3601" width="9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9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9" style="49"/>
    <col min="3853" max="3853" width="9.25" style="49" customWidth="1"/>
    <col min="3854" max="3854" width="3.5" style="49" customWidth="1"/>
    <col min="3855" max="3856" width="12.625" style="49" customWidth="1"/>
    <col min="3857" max="3857" width="9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9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9" style="49"/>
    <col min="4109" max="4109" width="9.25" style="49" customWidth="1"/>
    <col min="4110" max="4110" width="3.5" style="49" customWidth="1"/>
    <col min="4111" max="4112" width="12.625" style="49" customWidth="1"/>
    <col min="4113" max="4113" width="9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9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9" style="49"/>
    <col min="4365" max="4365" width="9.25" style="49" customWidth="1"/>
    <col min="4366" max="4366" width="3.5" style="49" customWidth="1"/>
    <col min="4367" max="4368" width="12.625" style="49" customWidth="1"/>
    <col min="4369" max="4369" width="9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9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9" style="49"/>
    <col min="4621" max="4621" width="9.25" style="49" customWidth="1"/>
    <col min="4622" max="4622" width="3.5" style="49" customWidth="1"/>
    <col min="4623" max="4624" width="12.625" style="49" customWidth="1"/>
    <col min="4625" max="4625" width="9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9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9" style="49"/>
    <col min="4877" max="4877" width="9.25" style="49" customWidth="1"/>
    <col min="4878" max="4878" width="3.5" style="49" customWidth="1"/>
    <col min="4879" max="4880" width="12.625" style="49" customWidth="1"/>
    <col min="4881" max="4881" width="9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9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9" style="49"/>
    <col min="5133" max="5133" width="9.25" style="49" customWidth="1"/>
    <col min="5134" max="5134" width="3.5" style="49" customWidth="1"/>
    <col min="5135" max="5136" width="12.625" style="49" customWidth="1"/>
    <col min="5137" max="5137" width="9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9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9" style="49"/>
    <col min="5389" max="5389" width="9.25" style="49" customWidth="1"/>
    <col min="5390" max="5390" width="3.5" style="49" customWidth="1"/>
    <col min="5391" max="5392" width="12.625" style="49" customWidth="1"/>
    <col min="5393" max="5393" width="9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9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9" style="49"/>
    <col min="5645" max="5645" width="9.25" style="49" customWidth="1"/>
    <col min="5646" max="5646" width="3.5" style="49" customWidth="1"/>
    <col min="5647" max="5648" width="12.625" style="49" customWidth="1"/>
    <col min="5649" max="5649" width="9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9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9" style="49"/>
    <col min="5901" max="5901" width="9.25" style="49" customWidth="1"/>
    <col min="5902" max="5902" width="3.5" style="49" customWidth="1"/>
    <col min="5903" max="5904" width="12.625" style="49" customWidth="1"/>
    <col min="5905" max="5905" width="9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9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9" style="49"/>
    <col min="6157" max="6157" width="9.25" style="49" customWidth="1"/>
    <col min="6158" max="6158" width="3.5" style="49" customWidth="1"/>
    <col min="6159" max="6160" width="12.625" style="49" customWidth="1"/>
    <col min="6161" max="6161" width="9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9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9" style="49"/>
    <col min="6413" max="6413" width="9.25" style="49" customWidth="1"/>
    <col min="6414" max="6414" width="3.5" style="49" customWidth="1"/>
    <col min="6415" max="6416" width="12.625" style="49" customWidth="1"/>
    <col min="6417" max="6417" width="9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9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9" style="49"/>
    <col min="6669" max="6669" width="9.25" style="49" customWidth="1"/>
    <col min="6670" max="6670" width="3.5" style="49" customWidth="1"/>
    <col min="6671" max="6672" width="12.625" style="49" customWidth="1"/>
    <col min="6673" max="6673" width="9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9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9" style="49"/>
    <col min="6925" max="6925" width="9.25" style="49" customWidth="1"/>
    <col min="6926" max="6926" width="3.5" style="49" customWidth="1"/>
    <col min="6927" max="6928" width="12.625" style="49" customWidth="1"/>
    <col min="6929" max="6929" width="9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9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9" style="49"/>
    <col min="7181" max="7181" width="9.25" style="49" customWidth="1"/>
    <col min="7182" max="7182" width="3.5" style="49" customWidth="1"/>
    <col min="7183" max="7184" width="12.625" style="49" customWidth="1"/>
    <col min="7185" max="7185" width="9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9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9" style="49"/>
    <col min="7437" max="7437" width="9.25" style="49" customWidth="1"/>
    <col min="7438" max="7438" width="3.5" style="49" customWidth="1"/>
    <col min="7439" max="7440" width="12.625" style="49" customWidth="1"/>
    <col min="7441" max="7441" width="9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9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9" style="49"/>
    <col min="7693" max="7693" width="9.25" style="49" customWidth="1"/>
    <col min="7694" max="7694" width="3.5" style="49" customWidth="1"/>
    <col min="7695" max="7696" width="12.625" style="49" customWidth="1"/>
    <col min="7697" max="7697" width="9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9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9" style="49"/>
    <col min="7949" max="7949" width="9.25" style="49" customWidth="1"/>
    <col min="7950" max="7950" width="3.5" style="49" customWidth="1"/>
    <col min="7951" max="7952" width="12.625" style="49" customWidth="1"/>
    <col min="7953" max="7953" width="9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9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9" style="49"/>
    <col min="8205" max="8205" width="9.25" style="49" customWidth="1"/>
    <col min="8206" max="8206" width="3.5" style="49" customWidth="1"/>
    <col min="8207" max="8208" width="12.625" style="49" customWidth="1"/>
    <col min="8209" max="8209" width="9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9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9" style="49"/>
    <col min="8461" max="8461" width="9.25" style="49" customWidth="1"/>
    <col min="8462" max="8462" width="3.5" style="49" customWidth="1"/>
    <col min="8463" max="8464" width="12.625" style="49" customWidth="1"/>
    <col min="8465" max="8465" width="9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9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9" style="49"/>
    <col min="8717" max="8717" width="9.25" style="49" customWidth="1"/>
    <col min="8718" max="8718" width="3.5" style="49" customWidth="1"/>
    <col min="8719" max="8720" width="12.625" style="49" customWidth="1"/>
    <col min="8721" max="8721" width="9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9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9" style="49"/>
    <col min="8973" max="8973" width="9.25" style="49" customWidth="1"/>
    <col min="8974" max="8974" width="3.5" style="49" customWidth="1"/>
    <col min="8975" max="8976" width="12.625" style="49" customWidth="1"/>
    <col min="8977" max="8977" width="9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9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9" style="49"/>
    <col min="9229" max="9229" width="9.25" style="49" customWidth="1"/>
    <col min="9230" max="9230" width="3.5" style="49" customWidth="1"/>
    <col min="9231" max="9232" width="12.625" style="49" customWidth="1"/>
    <col min="9233" max="9233" width="9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9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9" style="49"/>
    <col min="9485" max="9485" width="9.25" style="49" customWidth="1"/>
    <col min="9486" max="9486" width="3.5" style="49" customWidth="1"/>
    <col min="9487" max="9488" width="12.625" style="49" customWidth="1"/>
    <col min="9489" max="9489" width="9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9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9" style="49"/>
    <col min="9741" max="9741" width="9.25" style="49" customWidth="1"/>
    <col min="9742" max="9742" width="3.5" style="49" customWidth="1"/>
    <col min="9743" max="9744" width="12.625" style="49" customWidth="1"/>
    <col min="9745" max="9745" width="9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9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9" style="49"/>
    <col min="9997" max="9997" width="9.25" style="49" customWidth="1"/>
    <col min="9998" max="9998" width="3.5" style="49" customWidth="1"/>
    <col min="9999" max="10000" width="12.625" style="49" customWidth="1"/>
    <col min="10001" max="10001" width="9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9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9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9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9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9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9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9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9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9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9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9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9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9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9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9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9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9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9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9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9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9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9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9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9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9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9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9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9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9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9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9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9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9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9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9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9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9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9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9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9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9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9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9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9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9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9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9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9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9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9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9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9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9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9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9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9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9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9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9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9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9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9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9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9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9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9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9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9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9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9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9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9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9" style="49"/>
  </cols>
  <sheetData>
    <row r="1" spans="2:22" ht="9.9499999999999993" customHeight="1" x14ac:dyDescent="0.15"/>
    <row r="2" spans="2:22" ht="24.95" customHeight="1" x14ac:dyDescent="0.15">
      <c r="B2" s="1" t="s">
        <v>476</v>
      </c>
      <c r="C2" s="51"/>
      <c r="D2" s="5"/>
      <c r="E2" s="5"/>
      <c r="F2" s="51"/>
      <c r="G2" s="100"/>
      <c r="H2" s="110"/>
      <c r="I2" s="100"/>
      <c r="J2" s="100"/>
      <c r="K2" s="100"/>
      <c r="L2" s="100"/>
      <c r="M2" s="100"/>
      <c r="N2" s="100"/>
      <c r="O2" s="5"/>
    </row>
    <row r="3" spans="2:22" ht="15" customHeight="1" thickBot="1" x14ac:dyDescent="0.2">
      <c r="B3" s="49" t="s">
        <v>206</v>
      </c>
      <c r="I3" s="5" t="s">
        <v>207</v>
      </c>
      <c r="P3" s="49" t="s">
        <v>228</v>
      </c>
    </row>
    <row r="4" spans="2:22" ht="15" customHeight="1" x14ac:dyDescent="0.15">
      <c r="B4" s="515" t="s">
        <v>81</v>
      </c>
      <c r="C4" s="516" t="s">
        <v>170</v>
      </c>
      <c r="D4" s="516" t="s">
        <v>138</v>
      </c>
      <c r="E4" s="516" t="s">
        <v>139</v>
      </c>
      <c r="F4" s="604" t="s">
        <v>24</v>
      </c>
      <c r="G4" s="254" t="s">
        <v>140</v>
      </c>
      <c r="H4" s="139"/>
      <c r="I4" s="1117" t="s">
        <v>81</v>
      </c>
      <c r="J4" s="1115" t="s">
        <v>173</v>
      </c>
      <c r="K4" s="287" t="s">
        <v>676</v>
      </c>
      <c r="L4" s="287" t="s">
        <v>141</v>
      </c>
      <c r="M4" s="1127" t="s">
        <v>24</v>
      </c>
      <c r="N4" s="1129" t="s">
        <v>140</v>
      </c>
      <c r="O4" s="158"/>
      <c r="P4" s="517" t="s">
        <v>176</v>
      </c>
      <c r="Q4" s="518" t="s">
        <v>177</v>
      </c>
      <c r="R4" s="518" t="s">
        <v>178</v>
      </c>
      <c r="S4" s="518" t="s">
        <v>677</v>
      </c>
      <c r="T4" s="1119" t="s">
        <v>179</v>
      </c>
      <c r="U4" s="1120"/>
      <c r="V4" s="519" t="s">
        <v>180</v>
      </c>
    </row>
    <row r="5" spans="2:22" ht="15" customHeight="1" x14ac:dyDescent="0.15">
      <c r="B5" s="1112" t="s">
        <v>165</v>
      </c>
      <c r="C5" s="444"/>
      <c r="D5" s="445"/>
      <c r="E5" s="446"/>
      <c r="F5" s="444"/>
      <c r="G5" s="605">
        <f t="shared" ref="G5:G6" si="0">D5*F5</f>
        <v>0</v>
      </c>
      <c r="H5" s="140"/>
      <c r="I5" s="1118"/>
      <c r="J5" s="1116"/>
      <c r="K5" s="288" t="s">
        <v>143</v>
      </c>
      <c r="L5" s="288" t="s">
        <v>269</v>
      </c>
      <c r="M5" s="1128"/>
      <c r="N5" s="1130"/>
      <c r="O5" s="158"/>
      <c r="P5" s="545" t="s">
        <v>470</v>
      </c>
      <c r="Q5" s="546"/>
      <c r="R5" s="547" t="s">
        <v>678</v>
      </c>
      <c r="S5" s="546"/>
      <c r="T5" s="1121" t="s">
        <v>679</v>
      </c>
      <c r="U5" s="1122"/>
      <c r="V5" s="606">
        <v>5806.666666666667</v>
      </c>
    </row>
    <row r="6" spans="2:22" ht="15" customHeight="1" x14ac:dyDescent="0.15">
      <c r="B6" s="1084"/>
      <c r="C6" s="445"/>
      <c r="D6" s="445"/>
      <c r="E6" s="446"/>
      <c r="F6" s="445"/>
      <c r="G6" s="448">
        <f t="shared" si="0"/>
        <v>0</v>
      </c>
      <c r="H6" s="140"/>
      <c r="I6" s="1123" t="s">
        <v>172</v>
      </c>
      <c r="J6" s="445" t="s">
        <v>266</v>
      </c>
      <c r="K6" s="449">
        <v>10.6</v>
      </c>
      <c r="L6" s="449">
        <v>13</v>
      </c>
      <c r="M6" s="449">
        <v>123.2</v>
      </c>
      <c r="N6" s="303">
        <f>K6*L6*M6</f>
        <v>16976.96</v>
      </c>
      <c r="O6" s="158"/>
      <c r="P6" s="607"/>
      <c r="Q6" s="608"/>
      <c r="R6" s="609"/>
      <c r="S6" s="608"/>
      <c r="T6" s="1109"/>
      <c r="U6" s="1110"/>
      <c r="V6" s="610"/>
    </row>
    <row r="7" spans="2:22" ht="15" customHeight="1" thickBot="1" x14ac:dyDescent="0.2">
      <c r="B7" s="1085"/>
      <c r="C7" s="130" t="s">
        <v>144</v>
      </c>
      <c r="D7" s="130"/>
      <c r="E7" s="130"/>
      <c r="F7" s="130"/>
      <c r="G7" s="131">
        <f>SUM(G5:G6)</f>
        <v>0</v>
      </c>
      <c r="H7" s="140"/>
      <c r="I7" s="1124"/>
      <c r="J7" s="445" t="s">
        <v>267</v>
      </c>
      <c r="K7" s="449">
        <v>5.4</v>
      </c>
      <c r="L7" s="449">
        <f>5+6.5</f>
        <v>11.5</v>
      </c>
      <c r="M7" s="449">
        <v>123.2</v>
      </c>
      <c r="N7" s="303">
        <f t="shared" ref="N7:N11" si="1">K7*L7*M7</f>
        <v>7650.72</v>
      </c>
      <c r="O7" s="158"/>
      <c r="P7" s="607"/>
      <c r="Q7" s="608"/>
      <c r="R7" s="609"/>
      <c r="S7" s="608"/>
      <c r="T7" s="1109"/>
      <c r="U7" s="1110"/>
      <c r="V7" s="610"/>
    </row>
    <row r="8" spans="2:22" ht="15" customHeight="1" thickTop="1" x14ac:dyDescent="0.15">
      <c r="B8" s="1083" t="s">
        <v>163</v>
      </c>
      <c r="C8" s="445" t="s">
        <v>413</v>
      </c>
      <c r="D8" s="445">
        <v>10</v>
      </c>
      <c r="E8" s="446" t="s">
        <v>701</v>
      </c>
      <c r="F8" s="445">
        <v>3840</v>
      </c>
      <c r="G8" s="448">
        <f>D8*F8</f>
        <v>38400</v>
      </c>
      <c r="H8" s="140"/>
      <c r="I8" s="1124"/>
      <c r="J8" s="445" t="s">
        <v>275</v>
      </c>
      <c r="K8" s="449">
        <v>1.2</v>
      </c>
      <c r="L8" s="449">
        <v>3</v>
      </c>
      <c r="M8" s="449">
        <v>123.2</v>
      </c>
      <c r="N8" s="303">
        <f t="shared" si="1"/>
        <v>443.52</v>
      </c>
      <c r="O8" s="158"/>
      <c r="P8" s="607"/>
      <c r="Q8" s="608"/>
      <c r="R8" s="609"/>
      <c r="S8" s="608"/>
      <c r="T8" s="1109"/>
      <c r="U8" s="1110"/>
      <c r="V8" s="610"/>
    </row>
    <row r="9" spans="2:22" ht="15" customHeight="1" x14ac:dyDescent="0.15">
      <c r="B9" s="1084"/>
      <c r="C9" s="445"/>
      <c r="D9" s="445"/>
      <c r="E9" s="446"/>
      <c r="F9" s="445"/>
      <c r="G9" s="448">
        <f>D9*F9</f>
        <v>0</v>
      </c>
      <c r="H9" s="140"/>
      <c r="I9" s="1124"/>
      <c r="J9" s="296" t="s">
        <v>270</v>
      </c>
      <c r="K9" s="297">
        <v>3.5</v>
      </c>
      <c r="L9" s="297">
        <v>5</v>
      </c>
      <c r="M9" s="449">
        <v>123.2</v>
      </c>
      <c r="N9" s="298">
        <f t="shared" si="1"/>
        <v>2156</v>
      </c>
      <c r="O9" s="158"/>
      <c r="P9" s="607"/>
      <c r="Q9" s="608"/>
      <c r="R9" s="609"/>
      <c r="S9" s="608"/>
      <c r="T9" s="1109"/>
      <c r="U9" s="1110"/>
      <c r="V9" s="610"/>
    </row>
    <row r="10" spans="2:22" ht="15" customHeight="1" x14ac:dyDescent="0.15">
      <c r="B10" s="1084"/>
      <c r="C10" s="445"/>
      <c r="D10" s="445"/>
      <c r="E10" s="446"/>
      <c r="F10" s="445"/>
      <c r="G10" s="448">
        <f>D10*F10</f>
        <v>0</v>
      </c>
      <c r="H10" s="140"/>
      <c r="I10" s="1124"/>
      <c r="J10" s="451"/>
      <c r="K10" s="452"/>
      <c r="L10" s="452"/>
      <c r="M10" s="449"/>
      <c r="N10" s="453"/>
      <c r="O10" s="158"/>
      <c r="P10" s="607"/>
      <c r="Q10" s="608"/>
      <c r="R10" s="609"/>
      <c r="S10" s="608"/>
      <c r="T10" s="611"/>
      <c r="U10" s="612"/>
      <c r="V10" s="610"/>
    </row>
    <row r="11" spans="2:22" ht="15" customHeight="1" thickBot="1" x14ac:dyDescent="0.2">
      <c r="B11" s="1085"/>
      <c r="C11" s="132" t="s">
        <v>145</v>
      </c>
      <c r="D11" s="133"/>
      <c r="E11" s="133"/>
      <c r="F11" s="133"/>
      <c r="G11" s="134">
        <f>SUM(G8:G10)</f>
        <v>38400</v>
      </c>
      <c r="H11" s="140"/>
      <c r="I11" s="1124"/>
      <c r="J11" s="300" t="s">
        <v>272</v>
      </c>
      <c r="K11" s="301">
        <v>2</v>
      </c>
      <c r="L11" s="301">
        <v>3.5</v>
      </c>
      <c r="M11" s="449">
        <v>123.2</v>
      </c>
      <c r="N11" s="302">
        <f t="shared" si="1"/>
        <v>862.4</v>
      </c>
      <c r="O11" s="158"/>
      <c r="P11" s="607"/>
      <c r="Q11" s="608"/>
      <c r="R11" s="609"/>
      <c r="S11" s="608"/>
      <c r="T11" s="1109"/>
      <c r="U11" s="1110"/>
      <c r="V11" s="610"/>
    </row>
    <row r="12" spans="2:22" ht="15" customHeight="1" thickTop="1" thickBot="1" x14ac:dyDescent="0.2">
      <c r="B12" s="1083" t="s">
        <v>164</v>
      </c>
      <c r="C12" s="445" t="s">
        <v>681</v>
      </c>
      <c r="D12" s="445">
        <v>550</v>
      </c>
      <c r="E12" s="446" t="s">
        <v>265</v>
      </c>
      <c r="F12" s="445">
        <f>3710/20</f>
        <v>185.5</v>
      </c>
      <c r="G12" s="448">
        <f>D12*F12</f>
        <v>102025</v>
      </c>
      <c r="H12" s="140"/>
      <c r="I12" s="1125"/>
      <c r="J12" s="285" t="s">
        <v>703</v>
      </c>
      <c r="K12" s="286">
        <f>SUM(K6:K9)</f>
        <v>20.7</v>
      </c>
      <c r="L12" s="286">
        <f>SUM(L6:L11)</f>
        <v>36</v>
      </c>
      <c r="M12" s="286"/>
      <c r="N12" s="289">
        <f>SUM(N6:N11)</f>
        <v>28089.600000000002</v>
      </c>
      <c r="O12" s="158"/>
      <c r="P12" s="607"/>
      <c r="Q12" s="608"/>
      <c r="R12" s="609"/>
      <c r="S12" s="608"/>
      <c r="T12" s="1109"/>
      <c r="U12" s="1110"/>
      <c r="V12" s="610"/>
    </row>
    <row r="13" spans="2:22" ht="15" customHeight="1" thickTop="1" x14ac:dyDescent="0.15">
      <c r="B13" s="1084"/>
      <c r="C13" s="445"/>
      <c r="D13" s="445"/>
      <c r="E13" s="446"/>
      <c r="F13" s="445"/>
      <c r="G13" s="448">
        <f>D13*F13</f>
        <v>0</v>
      </c>
      <c r="H13" s="140"/>
      <c r="I13" s="1093" t="s">
        <v>704</v>
      </c>
      <c r="J13" s="445" t="s">
        <v>268</v>
      </c>
      <c r="K13" s="449">
        <v>4.4000000000000004</v>
      </c>
      <c r="L13" s="449">
        <v>3.3</v>
      </c>
      <c r="M13" s="449">
        <v>169.9</v>
      </c>
      <c r="N13" s="303">
        <f>K13*L13*M13</f>
        <v>2466.9479999999999</v>
      </c>
      <c r="O13" s="158"/>
      <c r="P13" s="607"/>
      <c r="Q13" s="608"/>
      <c r="R13" s="609"/>
      <c r="S13" s="608"/>
      <c r="T13" s="1109"/>
      <c r="U13" s="1110"/>
      <c r="V13" s="610"/>
    </row>
    <row r="14" spans="2:22" ht="15" customHeight="1" x14ac:dyDescent="0.15">
      <c r="B14" s="1084"/>
      <c r="C14" s="445"/>
      <c r="D14" s="445"/>
      <c r="E14" s="446"/>
      <c r="F14" s="445"/>
      <c r="G14" s="448">
        <f>D14*F14</f>
        <v>0</v>
      </c>
      <c r="H14" s="140"/>
      <c r="I14" s="1094"/>
      <c r="J14" s="445"/>
      <c r="K14" s="449"/>
      <c r="L14" s="449"/>
      <c r="M14" s="449"/>
      <c r="N14" s="303">
        <f t="shared" ref="N14:N15" si="2">K14*L14*M14</f>
        <v>0</v>
      </c>
      <c r="O14" s="158"/>
      <c r="P14" s="607"/>
      <c r="Q14" s="608"/>
      <c r="R14" s="609"/>
      <c r="S14" s="608"/>
      <c r="T14" s="1109"/>
      <c r="U14" s="1110"/>
      <c r="V14" s="610"/>
    </row>
    <row r="15" spans="2:22" ht="15" customHeight="1" x14ac:dyDescent="0.15">
      <c r="B15" s="1084"/>
      <c r="C15" s="445"/>
      <c r="D15" s="445"/>
      <c r="E15" s="445"/>
      <c r="F15" s="445"/>
      <c r="G15" s="448">
        <f t="shared" ref="G15" si="3">D15*F15</f>
        <v>0</v>
      </c>
      <c r="H15" s="140"/>
      <c r="I15" s="1094"/>
      <c r="J15" s="445"/>
      <c r="K15" s="449"/>
      <c r="L15" s="449"/>
      <c r="M15" s="449"/>
      <c r="N15" s="303">
        <f t="shared" si="2"/>
        <v>0</v>
      </c>
      <c r="O15" s="158"/>
      <c r="P15" s="607"/>
      <c r="Q15" s="608"/>
      <c r="R15" s="609"/>
      <c r="S15" s="608"/>
      <c r="T15" s="1109"/>
      <c r="U15" s="1110"/>
      <c r="V15" s="610"/>
    </row>
    <row r="16" spans="2:22" ht="15" customHeight="1" thickBot="1" x14ac:dyDescent="0.2">
      <c r="B16" s="1085"/>
      <c r="C16" s="132" t="s">
        <v>145</v>
      </c>
      <c r="D16" s="133"/>
      <c r="E16" s="133"/>
      <c r="F16" s="133"/>
      <c r="G16" s="134">
        <f>SUM(G12:G15)</f>
        <v>102025</v>
      </c>
      <c r="H16" s="140"/>
      <c r="I16" s="1095"/>
      <c r="J16" s="228" t="s">
        <v>703</v>
      </c>
      <c r="K16" s="145">
        <f>SUM(K13:K15)</f>
        <v>4.4000000000000004</v>
      </c>
      <c r="L16" s="145">
        <f>SUM(L13:L15)</f>
        <v>3.3</v>
      </c>
      <c r="M16" s="145"/>
      <c r="N16" s="290">
        <f>SUM(N13:N15)</f>
        <v>2466.9479999999999</v>
      </c>
      <c r="O16" s="158"/>
      <c r="P16" s="607"/>
      <c r="Q16" s="608"/>
      <c r="R16" s="609"/>
      <c r="S16" s="608"/>
      <c r="T16" s="1109"/>
      <c r="U16" s="1110"/>
      <c r="V16" s="610"/>
    </row>
    <row r="17" spans="2:22" ht="15" customHeight="1" thickTop="1" x14ac:dyDescent="0.15">
      <c r="B17" s="1083" t="s">
        <v>166</v>
      </c>
      <c r="C17" s="445"/>
      <c r="D17" s="445"/>
      <c r="E17" s="446"/>
      <c r="F17" s="445"/>
      <c r="G17" s="448">
        <f t="shared" ref="G17" si="4">D17*F17</f>
        <v>0</v>
      </c>
      <c r="H17" s="140"/>
      <c r="I17" s="1093" t="s">
        <v>174</v>
      </c>
      <c r="J17" s="445"/>
      <c r="K17" s="449">
        <v>0</v>
      </c>
      <c r="L17" s="449"/>
      <c r="M17" s="449"/>
      <c r="N17" s="303">
        <f>K17*L17*M17</f>
        <v>0</v>
      </c>
      <c r="O17" s="158"/>
      <c r="P17" s="607"/>
      <c r="Q17" s="608"/>
      <c r="R17" s="609"/>
      <c r="S17" s="608"/>
      <c r="T17" s="1109"/>
      <c r="U17" s="1110"/>
      <c r="V17" s="610"/>
    </row>
    <row r="18" spans="2:22" ht="15" customHeight="1" x14ac:dyDescent="0.15">
      <c r="B18" s="1084"/>
      <c r="C18" s="445"/>
      <c r="D18" s="445"/>
      <c r="E18" s="446"/>
      <c r="F18" s="445"/>
      <c r="G18" s="448">
        <f>D18*F18</f>
        <v>0</v>
      </c>
      <c r="H18" s="140"/>
      <c r="I18" s="1094"/>
      <c r="J18" s="445"/>
      <c r="K18" s="449"/>
      <c r="L18" s="449"/>
      <c r="M18" s="449"/>
      <c r="N18" s="303">
        <f t="shared" ref="N18:N19" si="5">K18*L18*M18</f>
        <v>0</v>
      </c>
      <c r="O18" s="158"/>
      <c r="P18" s="607"/>
      <c r="Q18" s="608"/>
      <c r="R18" s="609"/>
      <c r="S18" s="608"/>
      <c r="T18" s="1109"/>
      <c r="U18" s="1110"/>
      <c r="V18" s="610"/>
    </row>
    <row r="19" spans="2:22" ht="15" customHeight="1" x14ac:dyDescent="0.15">
      <c r="B19" s="1084"/>
      <c r="C19" s="445"/>
      <c r="D19" s="445"/>
      <c r="E19" s="445"/>
      <c r="F19" s="445"/>
      <c r="G19" s="448">
        <f t="shared" ref="G19" si="6">D19*F19</f>
        <v>0</v>
      </c>
      <c r="H19" s="140"/>
      <c r="I19" s="1094"/>
      <c r="J19" s="445"/>
      <c r="K19" s="449"/>
      <c r="L19" s="449"/>
      <c r="M19" s="449"/>
      <c r="N19" s="303">
        <f t="shared" si="5"/>
        <v>0</v>
      </c>
      <c r="O19" s="158"/>
      <c r="P19" s="607"/>
      <c r="Q19" s="608"/>
      <c r="R19" s="609"/>
      <c r="S19" s="608"/>
      <c r="T19" s="1109"/>
      <c r="U19" s="1110"/>
      <c r="V19" s="610"/>
    </row>
    <row r="20" spans="2:22" ht="15" customHeight="1" thickBot="1" x14ac:dyDescent="0.2">
      <c r="B20" s="1085"/>
      <c r="C20" s="132" t="s">
        <v>145</v>
      </c>
      <c r="D20" s="133"/>
      <c r="E20" s="133"/>
      <c r="F20" s="133"/>
      <c r="G20" s="134">
        <f>SUM(G17:G19)</f>
        <v>0</v>
      </c>
      <c r="H20" s="140"/>
      <c r="I20" s="1095"/>
      <c r="J20" s="228" t="s">
        <v>685</v>
      </c>
      <c r="K20" s="145">
        <f>SUM(K17:K19)</f>
        <v>0</v>
      </c>
      <c r="L20" s="146">
        <f>SUM(L17:L19)</f>
        <v>0</v>
      </c>
      <c r="M20" s="147"/>
      <c r="N20" s="290">
        <f>SUM(N17:N19)</f>
        <v>0</v>
      </c>
      <c r="O20" s="158"/>
      <c r="P20" s="607"/>
      <c r="Q20" s="608"/>
      <c r="R20" s="609"/>
      <c r="S20" s="608"/>
      <c r="T20" s="1109"/>
      <c r="U20" s="1110"/>
      <c r="V20" s="610"/>
    </row>
    <row r="21" spans="2:22" ht="15" customHeight="1" thickTop="1" thickBot="1" x14ac:dyDescent="0.2">
      <c r="B21" s="1083" t="s">
        <v>167</v>
      </c>
      <c r="C21" s="445" t="s">
        <v>686</v>
      </c>
      <c r="D21" s="445">
        <f>189*4.3</f>
        <v>812.69999999999993</v>
      </c>
      <c r="E21" s="446" t="s">
        <v>702</v>
      </c>
      <c r="F21" s="445">
        <f>510/20</f>
        <v>25.5</v>
      </c>
      <c r="G21" s="448">
        <f>D21*F21</f>
        <v>20723.849999999999</v>
      </c>
      <c r="H21" s="140"/>
      <c r="I21" s="1093" t="s">
        <v>175</v>
      </c>
      <c r="J21" s="445" t="s">
        <v>271</v>
      </c>
      <c r="K21" s="449">
        <v>28.2</v>
      </c>
      <c r="L21" s="449">
        <v>6.1</v>
      </c>
      <c r="M21" s="449">
        <v>107.8</v>
      </c>
      <c r="N21" s="303">
        <f>K21*L21*M21</f>
        <v>18543.755999999998</v>
      </c>
      <c r="O21" s="158"/>
      <c r="P21" s="454" t="s">
        <v>29</v>
      </c>
      <c r="Q21" s="240"/>
      <c r="R21" s="240"/>
      <c r="S21" s="240"/>
      <c r="T21" s="1131"/>
      <c r="U21" s="1132"/>
      <c r="V21" s="455">
        <f>SUM(V5:V20)</f>
        <v>5806.666666666667</v>
      </c>
    </row>
    <row r="22" spans="2:22" ht="15" customHeight="1" x14ac:dyDescent="0.15">
      <c r="B22" s="1084"/>
      <c r="C22" s="445"/>
      <c r="D22" s="445"/>
      <c r="E22" s="446"/>
      <c r="F22" s="445"/>
      <c r="G22" s="448">
        <f>D22*F22</f>
        <v>0</v>
      </c>
      <c r="H22" s="140"/>
      <c r="I22" s="1094"/>
      <c r="J22" s="445"/>
      <c r="K22" s="449"/>
      <c r="L22" s="449"/>
      <c r="M22" s="449"/>
      <c r="N22" s="303">
        <f t="shared" ref="N22:N23" si="7">K22*L22*M22</f>
        <v>0</v>
      </c>
      <c r="O22" s="158"/>
    </row>
    <row r="23" spans="2:22" ht="15" customHeight="1" thickBot="1" x14ac:dyDescent="0.2">
      <c r="B23" s="1084"/>
      <c r="C23" s="445"/>
      <c r="D23" s="445"/>
      <c r="E23" s="446"/>
      <c r="F23" s="445"/>
      <c r="G23" s="448">
        <f>D23*F23</f>
        <v>0</v>
      </c>
      <c r="H23" s="140"/>
      <c r="I23" s="1094"/>
      <c r="J23" s="445"/>
      <c r="K23" s="449"/>
      <c r="L23" s="449"/>
      <c r="M23" s="449"/>
      <c r="N23" s="303">
        <f t="shared" si="7"/>
        <v>0</v>
      </c>
      <c r="O23" s="158"/>
      <c r="P23" s="49" t="s">
        <v>229</v>
      </c>
    </row>
    <row r="24" spans="2:22" ht="15" customHeight="1" thickBot="1" x14ac:dyDescent="0.2">
      <c r="B24" s="1111"/>
      <c r="C24" s="135" t="s">
        <v>147</v>
      </c>
      <c r="D24" s="136"/>
      <c r="E24" s="136"/>
      <c r="F24" s="142"/>
      <c r="G24" s="137">
        <f>SUM(G21:G23)</f>
        <v>20723.849999999999</v>
      </c>
      <c r="H24" s="140"/>
      <c r="I24" s="1095"/>
      <c r="J24" s="228" t="s">
        <v>688</v>
      </c>
      <c r="K24" s="145">
        <f>SUM(K21:K23)</f>
        <v>28.2</v>
      </c>
      <c r="L24" s="146">
        <f>SUM(L21:L23)</f>
        <v>6.1</v>
      </c>
      <c r="M24" s="147"/>
      <c r="N24" s="290">
        <f>SUM(N21:N23)</f>
        <v>18543.755999999998</v>
      </c>
      <c r="O24" s="158"/>
      <c r="P24" s="517" t="s">
        <v>181</v>
      </c>
      <c r="Q24" s="518" t="s">
        <v>177</v>
      </c>
      <c r="R24" s="518" t="s">
        <v>178</v>
      </c>
      <c r="S24" s="518" t="s">
        <v>677</v>
      </c>
      <c r="T24" s="518" t="s">
        <v>179</v>
      </c>
      <c r="U24" s="603" t="s">
        <v>182</v>
      </c>
      <c r="V24" s="519" t="s">
        <v>180</v>
      </c>
    </row>
    <row r="25" spans="2:22" ht="15" customHeight="1" thickTop="1" x14ac:dyDescent="0.15">
      <c r="I25" s="1093" t="s">
        <v>246</v>
      </c>
      <c r="J25" s="445"/>
      <c r="K25" s="449"/>
      <c r="L25" s="449"/>
      <c r="M25" s="449"/>
      <c r="N25" s="303">
        <f>K25*L25*M25</f>
        <v>0</v>
      </c>
      <c r="O25" s="158"/>
      <c r="P25" s="607" t="s">
        <v>473</v>
      </c>
      <c r="Q25" s="608">
        <v>10</v>
      </c>
      <c r="R25" s="609" t="s">
        <v>689</v>
      </c>
      <c r="S25" s="546">
        <v>500</v>
      </c>
      <c r="T25" s="608">
        <v>2</v>
      </c>
      <c r="U25" s="613">
        <v>30</v>
      </c>
      <c r="V25" s="610">
        <f>Q25*S25/T25/U25</f>
        <v>83.333333333333329</v>
      </c>
    </row>
    <row r="26" spans="2:22" ht="15" customHeight="1" thickBot="1" x14ac:dyDescent="0.2">
      <c r="B26" s="5" t="s">
        <v>690</v>
      </c>
      <c r="C26" s="5"/>
      <c r="D26" s="51"/>
      <c r="E26" s="5"/>
      <c r="F26" s="51"/>
      <c r="G26" s="598"/>
      <c r="H26" s="141"/>
      <c r="I26" s="1094"/>
      <c r="J26" s="445"/>
      <c r="K26" s="449"/>
      <c r="L26" s="449"/>
      <c r="M26" s="449"/>
      <c r="N26" s="303">
        <f t="shared" ref="N26:N27" si="8">K26*L26*M26</f>
        <v>0</v>
      </c>
      <c r="O26" s="158"/>
      <c r="P26" s="607"/>
      <c r="Q26" s="608"/>
      <c r="R26" s="609"/>
      <c r="S26" s="608"/>
      <c r="T26" s="608"/>
      <c r="U26" s="613">
        <v>24</v>
      </c>
      <c r="V26" s="610"/>
    </row>
    <row r="27" spans="2:22" ht="15" customHeight="1" x14ac:dyDescent="0.15">
      <c r="B27" s="515" t="s">
        <v>81</v>
      </c>
      <c r="C27" s="516" t="s">
        <v>137</v>
      </c>
      <c r="D27" s="516" t="s">
        <v>138</v>
      </c>
      <c r="E27" s="516" t="s">
        <v>139</v>
      </c>
      <c r="F27" s="604" t="s">
        <v>24</v>
      </c>
      <c r="G27" s="254" t="s">
        <v>140</v>
      </c>
      <c r="H27" s="139"/>
      <c r="I27" s="1094"/>
      <c r="J27" s="445"/>
      <c r="K27" s="449"/>
      <c r="L27" s="449"/>
      <c r="M27" s="449"/>
      <c r="N27" s="303">
        <f t="shared" si="8"/>
        <v>0</v>
      </c>
      <c r="O27" s="158"/>
      <c r="P27" s="607"/>
      <c r="Q27" s="608"/>
      <c r="R27" s="609"/>
      <c r="S27" s="608"/>
      <c r="T27" s="608"/>
      <c r="U27" s="613">
        <v>36</v>
      </c>
      <c r="V27" s="610"/>
    </row>
    <row r="28" spans="2:22" ht="15" customHeight="1" thickBot="1" x14ac:dyDescent="0.2">
      <c r="B28" s="1112" t="s">
        <v>30</v>
      </c>
      <c r="C28" s="445" t="s">
        <v>691</v>
      </c>
      <c r="D28" s="445">
        <v>300</v>
      </c>
      <c r="E28" s="446" t="s">
        <v>692</v>
      </c>
      <c r="F28" s="445">
        <f>62610/10000</f>
        <v>6.2610000000000001</v>
      </c>
      <c r="G28" s="605">
        <f>D28*F28</f>
        <v>1878.3</v>
      </c>
      <c r="H28" s="140"/>
      <c r="I28" s="1095"/>
      <c r="J28" s="228" t="s">
        <v>703</v>
      </c>
      <c r="K28" s="145">
        <f>SUM(K25:K27)</f>
        <v>0</v>
      </c>
      <c r="L28" s="146">
        <f>SUM(L25:L27)</f>
        <v>0</v>
      </c>
      <c r="M28" s="147"/>
      <c r="N28" s="290">
        <f>SUM(N25:N27)</f>
        <v>0</v>
      </c>
      <c r="O28" s="158"/>
      <c r="P28" s="607"/>
      <c r="Q28" s="608"/>
      <c r="R28" s="609"/>
      <c r="S28" s="608"/>
      <c r="T28" s="608"/>
      <c r="U28" s="613">
        <v>36</v>
      </c>
      <c r="V28" s="610"/>
    </row>
    <row r="29" spans="2:22" ht="15" customHeight="1" thickTop="1" x14ac:dyDescent="0.15">
      <c r="B29" s="1084"/>
      <c r="C29" s="456" t="s">
        <v>694</v>
      </c>
      <c r="D29" s="445">
        <v>180</v>
      </c>
      <c r="E29" s="446" t="s">
        <v>708</v>
      </c>
      <c r="F29" s="445">
        <f>4180/500</f>
        <v>8.36</v>
      </c>
      <c r="G29" s="605">
        <f>D29*F29</f>
        <v>1504.8</v>
      </c>
      <c r="H29" s="140"/>
      <c r="I29" s="1093" t="s">
        <v>171</v>
      </c>
      <c r="J29" s="445" t="s">
        <v>271</v>
      </c>
      <c r="K29" s="449">
        <v>31.4</v>
      </c>
      <c r="L29" s="449">
        <v>3.2</v>
      </c>
      <c r="M29" s="449">
        <v>14</v>
      </c>
      <c r="N29" s="303">
        <f>K29*L29*M29</f>
        <v>1406.72</v>
      </c>
      <c r="O29" s="158"/>
      <c r="P29" s="607"/>
      <c r="Q29" s="608"/>
      <c r="R29" s="609"/>
      <c r="S29" s="608"/>
      <c r="T29" s="608"/>
      <c r="U29" s="613"/>
      <c r="V29" s="610"/>
    </row>
    <row r="30" spans="2:22" ht="15" customHeight="1" x14ac:dyDescent="0.15">
      <c r="B30" s="1084"/>
      <c r="C30" s="445" t="s">
        <v>30</v>
      </c>
      <c r="D30" s="445">
        <v>1000</v>
      </c>
      <c r="E30" s="446" t="s">
        <v>276</v>
      </c>
      <c r="F30" s="445">
        <f>42580/20000</f>
        <v>2.129</v>
      </c>
      <c r="G30" s="605">
        <f>D30*F30</f>
        <v>2129</v>
      </c>
      <c r="H30" s="140"/>
      <c r="I30" s="1094"/>
      <c r="J30" s="445" t="s">
        <v>273</v>
      </c>
      <c r="K30" s="449">
        <v>4</v>
      </c>
      <c r="L30" s="449">
        <v>1.9</v>
      </c>
      <c r="M30" s="449">
        <v>14</v>
      </c>
      <c r="N30" s="303">
        <f t="shared" ref="N30:N31" si="9">K30*L30*M30</f>
        <v>106.39999999999999</v>
      </c>
      <c r="O30" s="50"/>
      <c r="P30" s="607"/>
      <c r="Q30" s="608"/>
      <c r="R30" s="609"/>
      <c r="S30" s="608"/>
      <c r="T30" s="608"/>
      <c r="U30" s="613"/>
      <c r="V30" s="610"/>
    </row>
    <row r="31" spans="2:22" ht="15" customHeight="1" x14ac:dyDescent="0.15">
      <c r="B31" s="1084"/>
      <c r="C31" s="456"/>
      <c r="D31" s="445"/>
      <c r="E31" s="446"/>
      <c r="F31" s="445"/>
      <c r="G31" s="448">
        <v>0</v>
      </c>
      <c r="H31" s="140"/>
      <c r="I31" s="1094"/>
      <c r="J31" s="445" t="s">
        <v>274</v>
      </c>
      <c r="K31" s="449">
        <v>24.5</v>
      </c>
      <c r="L31" s="449">
        <v>6.7</v>
      </c>
      <c r="M31" s="449">
        <v>14</v>
      </c>
      <c r="N31" s="303">
        <f t="shared" si="9"/>
        <v>2298.1</v>
      </c>
      <c r="P31" s="607"/>
      <c r="Q31" s="608"/>
      <c r="R31" s="609"/>
      <c r="S31" s="608"/>
      <c r="T31" s="608"/>
      <c r="U31" s="613"/>
      <c r="V31" s="610"/>
    </row>
    <row r="32" spans="2:22" ht="15" customHeight="1" thickBot="1" x14ac:dyDescent="0.2">
      <c r="B32" s="1084"/>
      <c r="C32" s="445"/>
      <c r="D32" s="445"/>
      <c r="E32" s="446"/>
      <c r="F32" s="445"/>
      <c r="G32" s="448">
        <f t="shared" ref="G32:G37" si="10">D32*F32</f>
        <v>0</v>
      </c>
      <c r="H32" s="140"/>
      <c r="I32" s="1098"/>
      <c r="J32" s="291" t="s">
        <v>703</v>
      </c>
      <c r="K32" s="292">
        <f>SUM(K29:K31)</f>
        <v>59.9</v>
      </c>
      <c r="L32" s="293">
        <f>SUM(L29:L31)</f>
        <v>11.8</v>
      </c>
      <c r="M32" s="294"/>
      <c r="N32" s="295">
        <f>SUM(N29:N31)</f>
        <v>3811.2200000000003</v>
      </c>
      <c r="P32" s="607"/>
      <c r="Q32" s="608"/>
      <c r="R32" s="609"/>
      <c r="S32" s="608"/>
      <c r="T32" s="608"/>
      <c r="U32" s="613"/>
      <c r="V32" s="610"/>
    </row>
    <row r="33" spans="2:22" ht="15" customHeight="1" x14ac:dyDescent="0.15">
      <c r="B33" s="1084"/>
      <c r="C33" s="445"/>
      <c r="D33" s="445"/>
      <c r="E33" s="446"/>
      <c r="F33" s="445"/>
      <c r="G33" s="448">
        <f t="shared" si="10"/>
        <v>0</v>
      </c>
      <c r="H33" s="140"/>
      <c r="I33" s="125"/>
      <c r="J33" s="125"/>
      <c r="K33" s="125"/>
      <c r="L33" s="125"/>
      <c r="M33" s="125"/>
      <c r="N33" s="125"/>
      <c r="P33" s="607"/>
      <c r="Q33" s="608"/>
      <c r="R33" s="609"/>
      <c r="S33" s="608"/>
      <c r="T33" s="608"/>
      <c r="U33" s="613"/>
      <c r="V33" s="610"/>
    </row>
    <row r="34" spans="2:22" ht="15" customHeight="1" thickBot="1" x14ac:dyDescent="0.2">
      <c r="B34" s="1084"/>
      <c r="C34" s="445"/>
      <c r="D34" s="445"/>
      <c r="E34" s="446"/>
      <c r="F34" s="445"/>
      <c r="G34" s="448">
        <f t="shared" si="10"/>
        <v>0</v>
      </c>
      <c r="H34" s="140"/>
      <c r="I34" s="115" t="s">
        <v>227</v>
      </c>
      <c r="J34" s="115"/>
      <c r="K34" s="115"/>
      <c r="L34" s="115"/>
      <c r="M34" s="115"/>
      <c r="P34" s="599" t="s">
        <v>220</v>
      </c>
      <c r="Q34" s="240"/>
      <c r="R34" s="240"/>
      <c r="S34" s="240"/>
      <c r="T34" s="240"/>
      <c r="U34" s="152"/>
      <c r="V34" s="455">
        <f>SUM(V25:V33)</f>
        <v>83.333333333333329</v>
      </c>
    </row>
    <row r="35" spans="2:22" ht="15" customHeight="1" thickBot="1" x14ac:dyDescent="0.2">
      <c r="B35" s="1084"/>
      <c r="C35" s="445"/>
      <c r="D35" s="445"/>
      <c r="E35" s="446"/>
      <c r="F35" s="445"/>
      <c r="G35" s="448">
        <f t="shared" si="10"/>
        <v>0</v>
      </c>
      <c r="H35" s="140"/>
      <c r="I35" s="214" t="s">
        <v>215</v>
      </c>
      <c r="J35" s="457" t="s">
        <v>5</v>
      </c>
      <c r="K35" s="1096" t="s">
        <v>216</v>
      </c>
      <c r="L35" s="1097"/>
      <c r="M35" s="466" t="s">
        <v>182</v>
      </c>
      <c r="N35" s="458" t="s">
        <v>711</v>
      </c>
    </row>
    <row r="36" spans="2:22" ht="15" customHeight="1" thickTop="1" thickBot="1" x14ac:dyDescent="0.2">
      <c r="B36" s="1084"/>
      <c r="C36" s="445"/>
      <c r="D36" s="445"/>
      <c r="E36" s="446"/>
      <c r="F36" s="445"/>
      <c r="G36" s="448">
        <f t="shared" si="10"/>
        <v>0</v>
      </c>
      <c r="H36" s="140"/>
      <c r="I36" s="1080" t="s">
        <v>2</v>
      </c>
      <c r="J36" s="138" t="s">
        <v>627</v>
      </c>
      <c r="K36" s="1090">
        <v>5940000</v>
      </c>
      <c r="L36" s="1090"/>
      <c r="M36" s="602">
        <v>20</v>
      </c>
      <c r="N36" s="221">
        <f>+K36/M36*0.014*0.3</f>
        <v>1247.3999999999999</v>
      </c>
      <c r="P36" s="115" t="s">
        <v>221</v>
      </c>
      <c r="Q36" s="115"/>
      <c r="R36" s="115"/>
      <c r="S36" s="115"/>
      <c r="T36" s="115"/>
    </row>
    <row r="37" spans="2:22" ht="15" customHeight="1" thickTop="1" thickBot="1" x14ac:dyDescent="0.2">
      <c r="B37" s="1084"/>
      <c r="C37" s="445"/>
      <c r="D37" s="445"/>
      <c r="E37" s="446"/>
      <c r="F37" s="445"/>
      <c r="G37" s="448">
        <f t="shared" si="10"/>
        <v>0</v>
      </c>
      <c r="H37" s="140"/>
      <c r="I37" s="1081"/>
      <c r="J37" s="138" t="s">
        <v>279</v>
      </c>
      <c r="K37" s="1090">
        <v>10692000</v>
      </c>
      <c r="L37" s="1090"/>
      <c r="M37" s="602">
        <v>20</v>
      </c>
      <c r="N37" s="221">
        <f>+K37/M37*0.014*0.3</f>
        <v>2245.3200000000002</v>
      </c>
      <c r="P37" s="214" t="s">
        <v>214</v>
      </c>
      <c r="Q37" s="1126" t="s">
        <v>222</v>
      </c>
      <c r="R37" s="1126"/>
      <c r="S37" s="601" t="s">
        <v>225</v>
      </c>
      <c r="T37" s="601" t="s">
        <v>224</v>
      </c>
      <c r="U37" s="230" t="s">
        <v>182</v>
      </c>
      <c r="V37" s="231" t="s">
        <v>711</v>
      </c>
    </row>
    <row r="38" spans="2:22" ht="15" customHeight="1" thickTop="1" thickBot="1" x14ac:dyDescent="0.2">
      <c r="B38" s="1085"/>
      <c r="C38" s="130" t="s">
        <v>144</v>
      </c>
      <c r="D38" s="130"/>
      <c r="E38" s="130"/>
      <c r="F38" s="130"/>
      <c r="G38" s="131">
        <f>SUM(G28:G37)</f>
        <v>5512.1</v>
      </c>
      <c r="H38" s="140"/>
      <c r="I38" s="1081"/>
      <c r="J38" s="138" t="s">
        <v>628</v>
      </c>
      <c r="K38" s="1090">
        <v>1761750</v>
      </c>
      <c r="L38" s="1090"/>
      <c r="M38" s="602">
        <v>20</v>
      </c>
      <c r="N38" s="221">
        <f>+K38/M38*0.014*0.3</f>
        <v>369.96750000000003</v>
      </c>
      <c r="O38" s="149"/>
      <c r="P38" s="1077" t="s">
        <v>223</v>
      </c>
      <c r="Q38" s="218" t="s">
        <v>213</v>
      </c>
      <c r="R38" s="234"/>
      <c r="S38" s="219"/>
      <c r="T38" s="235"/>
      <c r="U38" s="219"/>
      <c r="V38" s="221">
        <v>3880</v>
      </c>
    </row>
    <row r="39" spans="2:22" ht="15" customHeight="1" thickTop="1" x14ac:dyDescent="0.15">
      <c r="B39" s="1083" t="s">
        <v>168</v>
      </c>
      <c r="C39" s="307" t="s">
        <v>696</v>
      </c>
      <c r="D39" s="445">
        <v>60</v>
      </c>
      <c r="E39" s="446" t="s">
        <v>276</v>
      </c>
      <c r="F39" s="445">
        <f>1450/500</f>
        <v>2.9</v>
      </c>
      <c r="G39" s="448">
        <f>D39*F39</f>
        <v>174</v>
      </c>
      <c r="H39" s="140"/>
      <c r="I39" s="1081"/>
      <c r="J39" s="138"/>
      <c r="K39" s="1090"/>
      <c r="L39" s="1090"/>
      <c r="M39" s="600"/>
      <c r="N39" s="221"/>
      <c r="O39" s="149"/>
      <c r="P39" s="1078"/>
      <c r="Q39" s="218"/>
      <c r="R39" s="234"/>
      <c r="S39" s="219"/>
      <c r="T39" s="235"/>
      <c r="U39" s="219"/>
      <c r="V39" s="221"/>
    </row>
    <row r="40" spans="2:22" ht="15" customHeight="1" x14ac:dyDescent="0.15">
      <c r="B40" s="1084"/>
      <c r="C40" s="445" t="s">
        <v>294</v>
      </c>
      <c r="D40" s="445">
        <v>1000</v>
      </c>
      <c r="E40" s="446" t="s">
        <v>276</v>
      </c>
      <c r="F40" s="445">
        <f>96020/20000</f>
        <v>4.8010000000000002</v>
      </c>
      <c r="G40" s="448">
        <f>D40*F40</f>
        <v>4801</v>
      </c>
      <c r="H40" s="140"/>
      <c r="I40" s="1081"/>
      <c r="J40" s="138"/>
      <c r="K40" s="1090"/>
      <c r="L40" s="1090"/>
      <c r="M40" s="600"/>
      <c r="N40" s="221"/>
      <c r="O40" s="149"/>
      <c r="P40" s="1078"/>
      <c r="Q40" s="218"/>
      <c r="R40" s="234"/>
      <c r="S40" s="219"/>
      <c r="T40" s="235"/>
      <c r="U40" s="219"/>
      <c r="V40" s="221"/>
    </row>
    <row r="41" spans="2:22" ht="15" customHeight="1" x14ac:dyDescent="0.15">
      <c r="B41" s="1084"/>
      <c r="C41" s="445"/>
      <c r="D41" s="445"/>
      <c r="E41" s="446"/>
      <c r="F41" s="445"/>
      <c r="G41" s="448">
        <f>D41*F41</f>
        <v>0</v>
      </c>
      <c r="H41" s="140"/>
      <c r="I41" s="1081"/>
      <c r="J41" s="138"/>
      <c r="K41" s="1090"/>
      <c r="L41" s="1090"/>
      <c r="M41" s="600"/>
      <c r="N41" s="221"/>
      <c r="O41" s="149"/>
      <c r="P41" s="1078"/>
      <c r="Q41" s="218"/>
      <c r="R41" s="234"/>
      <c r="S41" s="219"/>
      <c r="T41" s="235"/>
      <c r="U41" s="219"/>
      <c r="V41" s="221"/>
    </row>
    <row r="42" spans="2:22" ht="15" customHeight="1" thickBot="1" x14ac:dyDescent="0.2">
      <c r="B42" s="1084"/>
      <c r="C42" s="445"/>
      <c r="D42" s="445"/>
      <c r="E42" s="446"/>
      <c r="F42" s="445"/>
      <c r="G42" s="448">
        <f t="shared" ref="G42:G52" si="11">D42*F42</f>
        <v>0</v>
      </c>
      <c r="H42" s="140"/>
      <c r="I42" s="1082"/>
      <c r="J42" s="215" t="s">
        <v>145</v>
      </c>
      <c r="K42" s="1091"/>
      <c r="L42" s="1092"/>
      <c r="M42" s="216"/>
      <c r="N42" s="220">
        <f>SUM(N36:N41)</f>
        <v>3862.6875000000005</v>
      </c>
      <c r="O42" s="149"/>
      <c r="P42" s="1078"/>
      <c r="Q42" s="218"/>
      <c r="R42" s="234"/>
      <c r="S42" s="219"/>
      <c r="T42" s="235"/>
      <c r="U42" s="219"/>
      <c r="V42" s="221"/>
    </row>
    <row r="43" spans="2:22" ht="15" customHeight="1" thickTop="1" x14ac:dyDescent="0.15">
      <c r="B43" s="1084"/>
      <c r="C43" s="445"/>
      <c r="D43" s="445"/>
      <c r="E43" s="446"/>
      <c r="F43" s="445"/>
      <c r="G43" s="448">
        <f t="shared" si="11"/>
        <v>0</v>
      </c>
      <c r="H43" s="140"/>
      <c r="I43" s="1086" t="s">
        <v>217</v>
      </c>
      <c r="J43" s="217" t="s">
        <v>713</v>
      </c>
      <c r="K43" s="1089">
        <v>8200</v>
      </c>
      <c r="L43" s="1089"/>
      <c r="M43" s="602">
        <v>20</v>
      </c>
      <c r="N43" s="233">
        <f>+K43/M43</f>
        <v>410</v>
      </c>
      <c r="O43" s="149"/>
      <c r="P43" s="1078"/>
      <c r="Q43" s="218"/>
      <c r="R43" s="234"/>
      <c r="S43" s="219"/>
      <c r="T43" s="235"/>
      <c r="U43" s="219"/>
      <c r="V43" s="221"/>
    </row>
    <row r="44" spans="2:22" ht="15" customHeight="1" thickBot="1" x14ac:dyDescent="0.2">
      <c r="B44" s="1084"/>
      <c r="C44" s="445"/>
      <c r="D44" s="445"/>
      <c r="E44" s="446"/>
      <c r="F44" s="445"/>
      <c r="G44" s="448">
        <f t="shared" si="11"/>
        <v>0</v>
      </c>
      <c r="H44" s="140"/>
      <c r="I44" s="1087"/>
      <c r="J44" s="218"/>
      <c r="K44" s="1090"/>
      <c r="L44" s="1090"/>
      <c r="M44" s="600"/>
      <c r="N44" s="221"/>
      <c r="O44" s="149"/>
      <c r="P44" s="1079"/>
      <c r="Q44" s="222" t="s">
        <v>226</v>
      </c>
      <c r="R44" s="223"/>
      <c r="S44" s="223"/>
      <c r="T44" s="223"/>
      <c r="U44" s="223"/>
      <c r="V44" s="224">
        <f>SUM(V38:V43)</f>
        <v>3880</v>
      </c>
    </row>
    <row r="45" spans="2:22" ht="15" customHeight="1" thickTop="1" x14ac:dyDescent="0.15">
      <c r="B45" s="1084"/>
      <c r="C45" s="445"/>
      <c r="D45" s="445"/>
      <c r="E45" s="446"/>
      <c r="F45" s="445"/>
      <c r="G45" s="448">
        <f t="shared" si="11"/>
        <v>0</v>
      </c>
      <c r="H45" s="140"/>
      <c r="I45" s="1087"/>
      <c r="J45" s="138"/>
      <c r="K45" s="1090"/>
      <c r="L45" s="1090"/>
      <c r="M45" s="600"/>
      <c r="N45" s="221"/>
      <c r="O45" s="149"/>
      <c r="P45" s="1139" t="s">
        <v>231</v>
      </c>
      <c r="Q45" s="1135" t="s">
        <v>233</v>
      </c>
      <c r="R45" s="236" t="s">
        <v>234</v>
      </c>
      <c r="S45" s="217">
        <v>35750</v>
      </c>
      <c r="T45" s="237">
        <v>1</v>
      </c>
      <c r="U45" s="217">
        <v>30</v>
      </c>
      <c r="V45" s="232">
        <f>+S45*T45/U45</f>
        <v>1191.6666666666667</v>
      </c>
    </row>
    <row r="46" spans="2:22" ht="15" customHeight="1" thickBot="1" x14ac:dyDescent="0.2">
      <c r="B46" s="1084"/>
      <c r="C46" s="445"/>
      <c r="D46" s="445"/>
      <c r="E46" s="446"/>
      <c r="F46" s="445"/>
      <c r="G46" s="448">
        <f t="shared" si="11"/>
        <v>0</v>
      </c>
      <c r="H46" s="140"/>
      <c r="I46" s="1088"/>
      <c r="J46" s="215" t="s">
        <v>145</v>
      </c>
      <c r="K46" s="1091"/>
      <c r="L46" s="1092"/>
      <c r="M46" s="216"/>
      <c r="N46" s="220">
        <f>SUM(N43:N45)</f>
        <v>410</v>
      </c>
      <c r="O46" s="149"/>
      <c r="P46" s="1078"/>
      <c r="Q46" s="1136"/>
      <c r="R46" s="238" t="s">
        <v>230</v>
      </c>
      <c r="S46" s="218">
        <v>15600</v>
      </c>
      <c r="T46" s="235">
        <v>1</v>
      </c>
      <c r="U46" s="218">
        <v>30</v>
      </c>
      <c r="V46" s="221">
        <f>+S46*T46/U46</f>
        <v>520</v>
      </c>
    </row>
    <row r="47" spans="2:22" ht="15" customHeight="1" thickTop="1" x14ac:dyDescent="0.15">
      <c r="B47" s="1084"/>
      <c r="C47" s="445"/>
      <c r="D47" s="445"/>
      <c r="E47" s="446"/>
      <c r="F47" s="445"/>
      <c r="G47" s="448">
        <f t="shared" si="11"/>
        <v>0</v>
      </c>
      <c r="H47" s="140"/>
      <c r="I47" s="1086" t="s">
        <v>218</v>
      </c>
      <c r="J47" s="217" t="s">
        <v>713</v>
      </c>
      <c r="K47" s="1089">
        <v>11500</v>
      </c>
      <c r="L47" s="1089"/>
      <c r="M47" s="602">
        <v>20</v>
      </c>
      <c r="N47" s="232">
        <f>K47/M47</f>
        <v>575</v>
      </c>
      <c r="O47" s="149"/>
      <c r="P47" s="1078"/>
      <c r="Q47" s="1136"/>
      <c r="R47" s="238"/>
      <c r="S47" s="218"/>
      <c r="T47" s="218"/>
      <c r="U47" s="138"/>
      <c r="V47" s="239"/>
    </row>
    <row r="48" spans="2:22" ht="15" customHeight="1" x14ac:dyDescent="0.15">
      <c r="B48" s="1084"/>
      <c r="C48" s="445"/>
      <c r="D48" s="445"/>
      <c r="E48" s="446"/>
      <c r="F48" s="445"/>
      <c r="G48" s="448">
        <f t="shared" si="11"/>
        <v>0</v>
      </c>
      <c r="H48" s="140"/>
      <c r="I48" s="1087"/>
      <c r="J48" s="218"/>
      <c r="K48" s="1090"/>
      <c r="L48" s="1090"/>
      <c r="M48" s="600"/>
      <c r="N48" s="221"/>
      <c r="O48" s="149"/>
      <c r="P48" s="1078"/>
      <c r="Q48" s="1136"/>
      <c r="R48" s="238"/>
      <c r="S48" s="218"/>
      <c r="T48" s="235"/>
      <c r="U48" s="218"/>
      <c r="V48" s="221"/>
    </row>
    <row r="49" spans="2:22" ht="15" customHeight="1" thickBot="1" x14ac:dyDescent="0.2">
      <c r="B49" s="1085"/>
      <c r="C49" s="132" t="s">
        <v>145</v>
      </c>
      <c r="D49" s="133"/>
      <c r="E49" s="133"/>
      <c r="F49" s="133"/>
      <c r="G49" s="134">
        <f>SUM(G39:G48)</f>
        <v>4975</v>
      </c>
      <c r="H49" s="140"/>
      <c r="I49" s="1087"/>
      <c r="J49" s="138"/>
      <c r="K49" s="1090"/>
      <c r="L49" s="1090"/>
      <c r="M49" s="600"/>
      <c r="N49" s="221"/>
      <c r="O49" s="149"/>
      <c r="P49" s="1078"/>
      <c r="Q49" s="1138"/>
      <c r="R49" s="238"/>
      <c r="S49" s="218"/>
      <c r="T49" s="218"/>
      <c r="U49" s="138"/>
      <c r="V49" s="239"/>
    </row>
    <row r="50" spans="2:22" ht="15" customHeight="1" thickTop="1" thickBot="1" x14ac:dyDescent="0.2">
      <c r="B50" s="1083" t="s">
        <v>32</v>
      </c>
      <c r="C50" s="445" t="s">
        <v>697</v>
      </c>
      <c r="D50" s="445">
        <v>10</v>
      </c>
      <c r="E50" s="446" t="s">
        <v>702</v>
      </c>
      <c r="F50" s="445">
        <f>24330/10</f>
        <v>2433</v>
      </c>
      <c r="G50" s="448">
        <f t="shared" si="11"/>
        <v>24330</v>
      </c>
      <c r="H50" s="140"/>
      <c r="I50" s="1088"/>
      <c r="J50" s="215" t="s">
        <v>145</v>
      </c>
      <c r="K50" s="1091"/>
      <c r="L50" s="1092"/>
      <c r="M50" s="216"/>
      <c r="N50" s="220">
        <f>SUM(N47:N49)</f>
        <v>575</v>
      </c>
      <c r="O50" s="149"/>
      <c r="P50" s="1078"/>
      <c r="Q50" s="222" t="s">
        <v>226</v>
      </c>
      <c r="R50" s="223"/>
      <c r="S50" s="223"/>
      <c r="T50" s="223"/>
      <c r="U50" s="223"/>
      <c r="V50" s="224">
        <f>SUM(V45:V49)</f>
        <v>1711.6666666666667</v>
      </c>
    </row>
    <row r="51" spans="2:22" ht="15" customHeight="1" thickTop="1" x14ac:dyDescent="0.15">
      <c r="B51" s="1084"/>
      <c r="C51" s="445"/>
      <c r="D51" s="445"/>
      <c r="E51" s="445"/>
      <c r="F51" s="445"/>
      <c r="G51" s="448">
        <f t="shared" si="11"/>
        <v>0</v>
      </c>
      <c r="H51" s="140"/>
      <c r="I51" s="1086" t="s">
        <v>219</v>
      </c>
      <c r="J51" s="217" t="s">
        <v>54</v>
      </c>
      <c r="K51" s="1099">
        <v>1600</v>
      </c>
      <c r="L51" s="1100"/>
      <c r="M51" s="602">
        <v>20</v>
      </c>
      <c r="N51" s="233">
        <f>+K51/M51</f>
        <v>80</v>
      </c>
      <c r="O51" s="149"/>
      <c r="P51" s="1078"/>
      <c r="Q51" s="1135" t="s">
        <v>235</v>
      </c>
      <c r="R51" s="236" t="s">
        <v>234</v>
      </c>
      <c r="S51" s="217">
        <v>60000</v>
      </c>
      <c r="T51" s="237">
        <v>1</v>
      </c>
      <c r="U51" s="217">
        <v>30</v>
      </c>
      <c r="V51" s="232">
        <f>+S51*T51/U51</f>
        <v>2000</v>
      </c>
    </row>
    <row r="52" spans="2:22" ht="15" customHeight="1" x14ac:dyDescent="0.15">
      <c r="B52" s="1084"/>
      <c r="C52" s="445"/>
      <c r="D52" s="445"/>
      <c r="E52" s="445"/>
      <c r="F52" s="445"/>
      <c r="G52" s="448">
        <f t="shared" si="11"/>
        <v>0</v>
      </c>
      <c r="H52" s="140"/>
      <c r="I52" s="1087"/>
      <c r="J52" s="218" t="s">
        <v>54</v>
      </c>
      <c r="K52" s="1101">
        <v>1600</v>
      </c>
      <c r="L52" s="1102"/>
      <c r="M52" s="316">
        <v>20</v>
      </c>
      <c r="N52" s="221">
        <f t="shared" ref="N52:N54" si="12">+K52/M52</f>
        <v>80</v>
      </c>
      <c r="O52" s="149"/>
      <c r="P52" s="1078"/>
      <c r="Q52" s="1136"/>
      <c r="R52" s="238" t="s">
        <v>230</v>
      </c>
      <c r="S52" s="218">
        <v>25000</v>
      </c>
      <c r="T52" s="235">
        <v>1</v>
      </c>
      <c r="U52" s="218">
        <v>30</v>
      </c>
      <c r="V52" s="221">
        <f>+S52*T52/U52</f>
        <v>833.33333333333337</v>
      </c>
    </row>
    <row r="53" spans="2:22" ht="15" customHeight="1" thickBot="1" x14ac:dyDescent="0.2">
      <c r="B53" s="1085"/>
      <c r="C53" s="132" t="s">
        <v>145</v>
      </c>
      <c r="D53" s="133"/>
      <c r="E53" s="133"/>
      <c r="F53" s="133"/>
      <c r="G53" s="134">
        <f>SUM(G50:G52)</f>
        <v>24330</v>
      </c>
      <c r="H53" s="140"/>
      <c r="I53" s="1087"/>
      <c r="J53" s="218" t="s">
        <v>56</v>
      </c>
      <c r="K53" s="1103">
        <v>1600</v>
      </c>
      <c r="L53" s="1104"/>
      <c r="M53" s="226">
        <v>20</v>
      </c>
      <c r="N53" s="221">
        <f t="shared" si="12"/>
        <v>80</v>
      </c>
      <c r="O53" s="149"/>
      <c r="P53" s="1078"/>
      <c r="Q53" s="1136"/>
      <c r="R53" s="238"/>
      <c r="S53" s="218"/>
      <c r="T53" s="218"/>
      <c r="U53" s="138"/>
      <c r="V53" s="239"/>
    </row>
    <row r="54" spans="2:22" ht="13.9" customHeight="1" thickTop="1" x14ac:dyDescent="0.15">
      <c r="B54" s="1083" t="s">
        <v>293</v>
      </c>
      <c r="C54" s="445" t="s">
        <v>698</v>
      </c>
      <c r="D54" s="459">
        <f>131*50/1000</f>
        <v>6.55</v>
      </c>
      <c r="E54" s="446" t="s">
        <v>702</v>
      </c>
      <c r="F54" s="445">
        <f>9650/3</f>
        <v>3216.6666666666665</v>
      </c>
      <c r="G54" s="605">
        <f>D54*F54</f>
        <v>21069.166666666664</v>
      </c>
      <c r="I54" s="1087"/>
      <c r="J54" s="600" t="s">
        <v>230</v>
      </c>
      <c r="K54" s="1105">
        <v>4000</v>
      </c>
      <c r="L54" s="1106"/>
      <c r="M54" s="316">
        <v>20</v>
      </c>
      <c r="N54" s="221">
        <f t="shared" si="12"/>
        <v>200</v>
      </c>
      <c r="O54" s="149"/>
      <c r="P54" s="1078"/>
      <c r="Q54" s="1136"/>
      <c r="R54" s="238"/>
      <c r="S54" s="218"/>
      <c r="T54" s="235"/>
      <c r="U54" s="218"/>
      <c r="V54" s="221"/>
    </row>
    <row r="55" spans="2:22" x14ac:dyDescent="0.15">
      <c r="B55" s="1084"/>
      <c r="C55" s="445" t="s">
        <v>699</v>
      </c>
      <c r="D55" s="445">
        <v>1000</v>
      </c>
      <c r="E55" s="446" t="s">
        <v>708</v>
      </c>
      <c r="F55" s="445">
        <f>68710/10000</f>
        <v>6.8710000000000004</v>
      </c>
      <c r="G55" s="448">
        <f>D55*F55</f>
        <v>6871</v>
      </c>
      <c r="I55" s="1087"/>
      <c r="J55" s="218"/>
      <c r="K55" s="1103"/>
      <c r="L55" s="1104"/>
      <c r="M55" s="226"/>
      <c r="N55" s="460"/>
      <c r="O55" s="149"/>
      <c r="P55" s="1078"/>
      <c r="Q55" s="1138"/>
      <c r="R55" s="238"/>
      <c r="S55" s="218"/>
      <c r="T55" s="218"/>
      <c r="U55" s="138"/>
      <c r="V55" s="239"/>
    </row>
    <row r="56" spans="2:22" x14ac:dyDescent="0.15">
      <c r="B56" s="1084"/>
      <c r="C56" s="445"/>
      <c r="D56" s="445"/>
      <c r="E56" s="446"/>
      <c r="F56" s="445"/>
      <c r="G56" s="448">
        <f>D56*F56</f>
        <v>0</v>
      </c>
      <c r="I56" s="1080"/>
      <c r="J56" s="614" t="s">
        <v>145</v>
      </c>
      <c r="K56" s="1107"/>
      <c r="L56" s="1108"/>
      <c r="M56" s="615"/>
      <c r="N56" s="463">
        <f>SUM(N51:N55)</f>
        <v>440</v>
      </c>
      <c r="O56" s="149"/>
      <c r="P56" s="1140"/>
      <c r="Q56" s="616" t="s">
        <v>226</v>
      </c>
      <c r="R56" s="617"/>
      <c r="S56" s="617"/>
      <c r="T56" s="617"/>
      <c r="U56" s="617"/>
      <c r="V56" s="242">
        <f>SUM(V51:V55)</f>
        <v>2833.3333333333335</v>
      </c>
    </row>
    <row r="57" spans="2:22" ht="14.25" thickBot="1" x14ac:dyDescent="0.2">
      <c r="B57" s="1111"/>
      <c r="C57" s="135" t="s">
        <v>147</v>
      </c>
      <c r="D57" s="136"/>
      <c r="E57" s="136"/>
      <c r="F57" s="136"/>
      <c r="G57" s="137">
        <f>SUM(G54:G56)</f>
        <v>27940.166666666664</v>
      </c>
      <c r="I57" s="1141" t="s">
        <v>220</v>
      </c>
      <c r="J57" s="1132"/>
      <c r="K57" s="1113"/>
      <c r="L57" s="1114"/>
      <c r="M57" s="152"/>
      <c r="N57" s="241">
        <f>SUM(N42,N46,N50,N56)</f>
        <v>5287.6875</v>
      </c>
      <c r="O57" s="149"/>
      <c r="P57" s="1133" t="s">
        <v>220</v>
      </c>
      <c r="Q57" s="1134"/>
      <c r="R57" s="240"/>
      <c r="S57" s="240"/>
      <c r="T57" s="240"/>
      <c r="U57" s="240"/>
      <c r="V57" s="241">
        <f>SUM(V44,V50,V56)</f>
        <v>8425</v>
      </c>
    </row>
    <row r="58" spans="2:22" x14ac:dyDescent="0.15">
      <c r="O58" s="149"/>
      <c r="V58" s="49"/>
    </row>
    <row r="59" spans="2:22" x14ac:dyDescent="0.15">
      <c r="I59" s="149"/>
      <c r="J59" s="149"/>
      <c r="K59" s="149"/>
      <c r="L59" s="149"/>
      <c r="M59" s="149"/>
      <c r="N59" s="149"/>
      <c r="O59" s="149"/>
    </row>
    <row r="60" spans="2:22" x14ac:dyDescent="0.15">
      <c r="I60" s="149"/>
      <c r="J60" s="149"/>
      <c r="K60" s="149"/>
      <c r="L60" s="149"/>
      <c r="M60" s="149"/>
      <c r="N60" s="149"/>
      <c r="O60" s="149"/>
    </row>
    <row r="61" spans="2:22" x14ac:dyDescent="0.15">
      <c r="I61" s="149"/>
      <c r="J61" s="149"/>
      <c r="K61" s="149"/>
      <c r="L61" s="149"/>
      <c r="M61" s="149"/>
      <c r="N61" s="149"/>
      <c r="O61" s="149"/>
    </row>
    <row r="62" spans="2:22" x14ac:dyDescent="0.15">
      <c r="I62" s="149"/>
      <c r="J62" s="149"/>
      <c r="K62" s="149"/>
      <c r="L62" s="149"/>
      <c r="M62" s="149"/>
      <c r="N62" s="149"/>
      <c r="O62" s="149"/>
    </row>
    <row r="63" spans="2:22" x14ac:dyDescent="0.15">
      <c r="I63" s="149"/>
      <c r="J63" s="149"/>
      <c r="K63" s="149"/>
      <c r="L63" s="149"/>
      <c r="M63" s="149"/>
      <c r="N63" s="149"/>
      <c r="O63" s="149"/>
    </row>
    <row r="64" spans="2:22" x14ac:dyDescent="0.15">
      <c r="I64" s="149"/>
      <c r="J64" s="149"/>
      <c r="K64" s="149"/>
      <c r="L64" s="149"/>
      <c r="M64" s="149"/>
      <c r="N64" s="149"/>
      <c r="O64" s="149"/>
    </row>
    <row r="65" spans="8:22" x14ac:dyDescent="0.15">
      <c r="H65" s="49"/>
      <c r="I65" s="149"/>
      <c r="J65" s="149"/>
      <c r="K65" s="149"/>
      <c r="L65" s="149"/>
      <c r="M65" s="149"/>
      <c r="N65" s="149"/>
      <c r="O65" s="149"/>
      <c r="P65" s="49"/>
      <c r="R65" s="49"/>
      <c r="V65" s="49"/>
    </row>
    <row r="66" spans="8:22" x14ac:dyDescent="0.15">
      <c r="H66" s="49"/>
      <c r="I66" s="149"/>
      <c r="J66" s="149"/>
      <c r="K66" s="149"/>
      <c r="L66" s="149"/>
      <c r="M66" s="149"/>
      <c r="N66" s="149"/>
      <c r="O66" s="149"/>
      <c r="P66" s="49"/>
      <c r="R66" s="49"/>
      <c r="V66" s="49"/>
    </row>
    <row r="67" spans="8:22" x14ac:dyDescent="0.15">
      <c r="H67" s="49"/>
      <c r="I67" s="149"/>
      <c r="J67" s="149"/>
      <c r="K67" s="149"/>
      <c r="L67" s="149"/>
      <c r="M67" s="149"/>
      <c r="N67" s="149"/>
      <c r="O67" s="149"/>
      <c r="P67" s="49"/>
      <c r="R67" s="49"/>
      <c r="V67" s="49"/>
    </row>
    <row r="68" spans="8:22" x14ac:dyDescent="0.15">
      <c r="H68" s="49"/>
      <c r="I68" s="149"/>
      <c r="J68" s="149"/>
      <c r="K68" s="149"/>
      <c r="L68" s="149"/>
      <c r="M68" s="149"/>
      <c r="N68" s="149"/>
      <c r="O68" s="149"/>
      <c r="P68" s="49"/>
      <c r="R68" s="49"/>
      <c r="V68" s="49"/>
    </row>
    <row r="69" spans="8:22" x14ac:dyDescent="0.15">
      <c r="H69" s="49"/>
      <c r="I69" s="149"/>
      <c r="J69" s="149"/>
      <c r="K69" s="149"/>
      <c r="L69" s="149"/>
      <c r="M69" s="149"/>
      <c r="N69" s="149"/>
      <c r="O69" s="149"/>
      <c r="P69" s="49"/>
      <c r="R69" s="49"/>
      <c r="V69" s="49"/>
    </row>
    <row r="70" spans="8:22" x14ac:dyDescent="0.15">
      <c r="H70" s="49"/>
      <c r="I70" s="149"/>
      <c r="J70" s="149"/>
      <c r="K70" s="149"/>
      <c r="L70" s="149"/>
      <c r="M70" s="149"/>
      <c r="N70" s="149"/>
      <c r="O70" s="149"/>
      <c r="P70" s="49"/>
      <c r="R70" s="49"/>
      <c r="V70" s="49"/>
    </row>
    <row r="71" spans="8:22" x14ac:dyDescent="0.15">
      <c r="H71" s="49"/>
      <c r="I71" s="149"/>
      <c r="J71" s="149"/>
      <c r="K71" s="149"/>
      <c r="L71" s="149"/>
      <c r="M71" s="149"/>
      <c r="N71" s="149"/>
      <c r="O71" s="149"/>
      <c r="P71" s="49"/>
      <c r="R71" s="49"/>
      <c r="V71" s="49"/>
    </row>
    <row r="72" spans="8:22" x14ac:dyDescent="0.15">
      <c r="H72" s="49"/>
      <c r="I72" s="149"/>
      <c r="J72" s="149"/>
      <c r="K72" s="149"/>
      <c r="L72" s="149"/>
      <c r="M72" s="149"/>
      <c r="N72" s="149"/>
      <c r="O72" s="149"/>
      <c r="P72" s="49"/>
      <c r="R72" s="49"/>
      <c r="V72" s="49"/>
    </row>
    <row r="73" spans="8:22" x14ac:dyDescent="0.15">
      <c r="H73" s="49"/>
      <c r="I73" s="149"/>
      <c r="J73" s="149"/>
      <c r="K73" s="149"/>
      <c r="L73" s="149"/>
      <c r="M73" s="149"/>
      <c r="N73" s="149"/>
      <c r="O73" s="149"/>
      <c r="P73" s="49"/>
      <c r="R73" s="49"/>
      <c r="V73" s="49"/>
    </row>
    <row r="74" spans="8:22" x14ac:dyDescent="0.15">
      <c r="H74" s="49"/>
      <c r="I74" s="149"/>
      <c r="J74" s="149"/>
      <c r="K74" s="149"/>
      <c r="L74" s="149"/>
      <c r="M74" s="149"/>
      <c r="N74" s="149"/>
      <c r="O74" s="149"/>
      <c r="P74" s="49"/>
      <c r="R74" s="49"/>
      <c r="V74" s="49"/>
    </row>
    <row r="75" spans="8:22" x14ac:dyDescent="0.15">
      <c r="H75" s="49"/>
      <c r="I75" s="149"/>
      <c r="J75" s="149"/>
      <c r="K75" s="149"/>
      <c r="L75" s="149"/>
      <c r="M75" s="149"/>
      <c r="N75" s="149"/>
      <c r="O75" s="149"/>
      <c r="P75" s="49"/>
      <c r="R75" s="49"/>
      <c r="V75" s="49"/>
    </row>
    <row r="76" spans="8:22" x14ac:dyDescent="0.15">
      <c r="H76" s="49"/>
      <c r="I76" s="149"/>
      <c r="J76" s="149"/>
      <c r="K76" s="149"/>
      <c r="L76" s="149"/>
      <c r="M76" s="149"/>
      <c r="N76" s="149"/>
      <c r="O76" s="149"/>
      <c r="P76" s="49"/>
      <c r="R76" s="49"/>
      <c r="V76" s="49"/>
    </row>
    <row r="77" spans="8:22" x14ac:dyDescent="0.15">
      <c r="H77" s="49"/>
      <c r="I77" s="149"/>
      <c r="J77" s="149"/>
      <c r="K77" s="149"/>
      <c r="L77" s="149"/>
      <c r="M77" s="149"/>
      <c r="N77" s="149"/>
      <c r="O77" s="149"/>
      <c r="P77" s="49"/>
      <c r="R77" s="49"/>
      <c r="V77" s="49"/>
    </row>
    <row r="78" spans="8:22" x14ac:dyDescent="0.15">
      <c r="H78" s="49"/>
      <c r="I78" s="149"/>
      <c r="J78" s="149"/>
      <c r="K78" s="149"/>
      <c r="L78" s="149"/>
      <c r="M78" s="149"/>
      <c r="N78" s="149"/>
      <c r="O78" s="149"/>
      <c r="P78" s="49"/>
      <c r="R78" s="49"/>
      <c r="V78" s="49"/>
    </row>
    <row r="79" spans="8:22" x14ac:dyDescent="0.15">
      <c r="H79" s="49"/>
      <c r="I79" s="149"/>
      <c r="J79" s="149"/>
      <c r="K79" s="149"/>
      <c r="L79" s="149"/>
      <c r="M79" s="149"/>
      <c r="N79" s="149"/>
      <c r="O79" s="149"/>
      <c r="P79" s="49"/>
      <c r="R79" s="49"/>
      <c r="V79" s="49"/>
    </row>
    <row r="80" spans="8:22" x14ac:dyDescent="0.15">
      <c r="H80" s="49"/>
      <c r="I80" s="149"/>
      <c r="J80" s="149"/>
      <c r="K80" s="149"/>
      <c r="L80" s="149"/>
      <c r="M80" s="149"/>
      <c r="N80" s="149"/>
      <c r="O80" s="149"/>
      <c r="P80" s="49"/>
      <c r="R80" s="49"/>
      <c r="V80" s="49"/>
    </row>
    <row r="81" spans="2:15" s="49" customFormat="1" x14ac:dyDescent="0.15">
      <c r="H81" s="149"/>
      <c r="I81" s="149"/>
      <c r="J81" s="149"/>
      <c r="K81" s="149"/>
      <c r="L81" s="149"/>
      <c r="M81" s="149"/>
      <c r="N81" s="149"/>
      <c r="O81" s="149"/>
    </row>
    <row r="82" spans="2:15" s="49" customFormat="1" x14ac:dyDescent="0.15">
      <c r="H82" s="149"/>
      <c r="I82" s="149"/>
      <c r="J82" s="149"/>
      <c r="K82" s="149"/>
      <c r="L82" s="149"/>
      <c r="M82" s="149"/>
      <c r="N82" s="149"/>
      <c r="O82" s="149"/>
    </row>
    <row r="83" spans="2:15" s="49" customFormat="1" x14ac:dyDescent="0.15">
      <c r="B83" s="139"/>
      <c r="C83" s="140"/>
      <c r="D83" s="140"/>
      <c r="E83" s="140"/>
      <c r="F83" s="140"/>
      <c r="H83" s="149"/>
      <c r="I83" s="149"/>
      <c r="J83" s="149"/>
      <c r="K83" s="149"/>
      <c r="L83" s="149"/>
      <c r="M83" s="149"/>
      <c r="N83" s="149"/>
      <c r="O83" s="149"/>
    </row>
    <row r="84" spans="2:15" s="49" customFormat="1" x14ac:dyDescent="0.15">
      <c r="B84" s="139"/>
      <c r="C84" s="140"/>
      <c r="D84" s="140"/>
      <c r="E84" s="140"/>
      <c r="F84" s="140"/>
      <c r="H84" s="149"/>
      <c r="I84" s="149"/>
      <c r="J84" s="149"/>
      <c r="K84" s="149"/>
      <c r="L84" s="149"/>
      <c r="M84" s="149"/>
      <c r="N84" s="149"/>
      <c r="O84" s="149"/>
    </row>
    <row r="85" spans="2:15" s="49" customFormat="1" x14ac:dyDescent="0.15">
      <c r="H85" s="149"/>
      <c r="I85" s="149"/>
      <c r="J85" s="149"/>
      <c r="K85" s="149"/>
      <c r="L85" s="149"/>
      <c r="M85" s="149"/>
      <c r="N85" s="149"/>
      <c r="O85" s="149"/>
    </row>
    <row r="86" spans="2:15" s="49" customFormat="1" x14ac:dyDescent="0.15">
      <c r="H86" s="149"/>
      <c r="I86" s="149"/>
      <c r="J86" s="149"/>
      <c r="K86" s="149"/>
      <c r="L86" s="149"/>
      <c r="M86" s="149"/>
      <c r="N86" s="149"/>
      <c r="O86" s="149"/>
    </row>
    <row r="87" spans="2:15" s="49" customFormat="1" x14ac:dyDescent="0.15">
      <c r="H87" s="149"/>
      <c r="I87" s="149"/>
      <c r="J87" s="149"/>
      <c r="K87" s="149"/>
      <c r="L87" s="149"/>
      <c r="M87" s="149"/>
      <c r="N87" s="149"/>
      <c r="O87" s="149"/>
    </row>
    <row r="88" spans="2:15" s="49" customFormat="1" x14ac:dyDescent="0.15">
      <c r="H88" s="149"/>
      <c r="I88" s="149"/>
      <c r="J88" s="149"/>
      <c r="K88" s="149"/>
      <c r="L88" s="149"/>
      <c r="M88" s="149"/>
      <c r="N88" s="149"/>
      <c r="O88" s="149"/>
    </row>
    <row r="89" spans="2:15" s="49" customFormat="1" x14ac:dyDescent="0.15">
      <c r="H89" s="149"/>
      <c r="I89" s="149"/>
      <c r="J89" s="149"/>
      <c r="K89" s="149"/>
      <c r="L89" s="149"/>
      <c r="M89" s="149"/>
      <c r="N89" s="149"/>
      <c r="O89" s="149"/>
    </row>
    <row r="90" spans="2:15" s="49" customFormat="1" x14ac:dyDescent="0.15">
      <c r="H90" s="149"/>
      <c r="I90" s="149"/>
      <c r="J90" s="149"/>
      <c r="K90" s="149"/>
      <c r="L90" s="149"/>
      <c r="M90" s="149"/>
      <c r="N90" s="149"/>
      <c r="O90" s="149"/>
    </row>
    <row r="91" spans="2:15" s="49" customFormat="1" x14ac:dyDescent="0.15">
      <c r="H91" s="149"/>
      <c r="I91" s="149"/>
      <c r="J91" s="149"/>
      <c r="K91" s="149"/>
      <c r="L91" s="149"/>
      <c r="M91" s="149"/>
      <c r="N91" s="149"/>
      <c r="O91" s="149"/>
    </row>
    <row r="92" spans="2:15" s="49" customFormat="1" x14ac:dyDescent="0.15">
      <c r="H92" s="149"/>
      <c r="I92" s="149"/>
      <c r="J92" s="149"/>
      <c r="K92" s="149"/>
      <c r="L92" s="149"/>
      <c r="M92" s="149"/>
      <c r="N92" s="149"/>
      <c r="O92" s="149"/>
    </row>
    <row r="93" spans="2:15" s="49" customFormat="1" x14ac:dyDescent="0.15">
      <c r="H93" s="149"/>
      <c r="I93" s="149"/>
      <c r="J93" s="149"/>
      <c r="K93" s="149"/>
      <c r="L93" s="149"/>
      <c r="M93" s="149"/>
      <c r="N93" s="149"/>
      <c r="O93" s="149"/>
    </row>
    <row r="94" spans="2:15" s="49" customFormat="1" x14ac:dyDescent="0.15">
      <c r="H94" s="149"/>
      <c r="I94" s="149"/>
      <c r="J94" s="149"/>
      <c r="K94" s="149"/>
      <c r="L94" s="149"/>
      <c r="M94" s="149"/>
      <c r="N94" s="149"/>
      <c r="O94" s="149"/>
    </row>
    <row r="95" spans="2:15" s="49" customFormat="1" x14ac:dyDescent="0.15">
      <c r="H95" s="149"/>
      <c r="I95" s="149"/>
      <c r="J95" s="149"/>
      <c r="K95" s="149"/>
      <c r="L95" s="149"/>
      <c r="M95" s="149"/>
      <c r="N95" s="149"/>
      <c r="O95" s="149"/>
    </row>
    <row r="96" spans="2:15" s="49" customFormat="1" x14ac:dyDescent="0.15">
      <c r="H96" s="149"/>
      <c r="I96" s="149"/>
      <c r="J96" s="149"/>
      <c r="K96" s="149"/>
      <c r="L96" s="149"/>
      <c r="M96" s="149"/>
      <c r="N96" s="149"/>
      <c r="O96" s="149"/>
    </row>
    <row r="97" spans="9:15" s="49" customFormat="1" x14ac:dyDescent="0.15">
      <c r="I97" s="149"/>
      <c r="J97" s="149"/>
      <c r="K97" s="149"/>
      <c r="L97" s="149"/>
      <c r="M97" s="149"/>
      <c r="N97" s="149"/>
      <c r="O97" s="149"/>
    </row>
    <row r="98" spans="9:15" s="49" customFormat="1" x14ac:dyDescent="0.15">
      <c r="I98" s="149"/>
      <c r="J98" s="149"/>
      <c r="K98" s="149"/>
      <c r="L98" s="149"/>
      <c r="M98" s="149"/>
      <c r="N98" s="149"/>
      <c r="O98" s="149"/>
    </row>
    <row r="99" spans="9:15" s="49" customFormat="1" x14ac:dyDescent="0.15">
      <c r="I99" s="149"/>
      <c r="J99" s="149"/>
      <c r="K99" s="149"/>
      <c r="L99" s="149"/>
      <c r="M99" s="149"/>
      <c r="N99" s="149"/>
      <c r="O99" s="149"/>
    </row>
    <row r="100" spans="9:15" s="49" customFormat="1" x14ac:dyDescent="0.15">
      <c r="I100" s="149"/>
      <c r="J100" s="149"/>
      <c r="K100" s="149"/>
      <c r="L100" s="149"/>
      <c r="M100" s="149"/>
      <c r="N100" s="149"/>
      <c r="O100" s="149"/>
    </row>
    <row r="101" spans="9:15" s="49" customFormat="1" x14ac:dyDescent="0.15">
      <c r="I101" s="149"/>
      <c r="J101" s="149"/>
      <c r="K101" s="149"/>
      <c r="L101" s="149"/>
      <c r="M101" s="149"/>
      <c r="N101" s="149"/>
      <c r="O101" s="149"/>
    </row>
    <row r="102" spans="9:15" s="49" customFormat="1" x14ac:dyDescent="0.15">
      <c r="I102" s="149"/>
      <c r="J102" s="149"/>
      <c r="K102" s="149"/>
      <c r="L102" s="149"/>
      <c r="M102" s="149"/>
      <c r="N102" s="149"/>
      <c r="O102" s="149"/>
    </row>
    <row r="103" spans="9:15" s="49" customFormat="1" x14ac:dyDescent="0.15">
      <c r="I103" s="149"/>
      <c r="J103" s="149"/>
      <c r="K103" s="149"/>
      <c r="L103" s="149"/>
      <c r="M103" s="149"/>
      <c r="N103" s="149"/>
      <c r="O103" s="149"/>
    </row>
    <row r="104" spans="9:15" s="49" customFormat="1" x14ac:dyDescent="0.15">
      <c r="I104" s="149"/>
      <c r="J104" s="149"/>
      <c r="K104" s="149"/>
      <c r="L104" s="149"/>
      <c r="M104" s="149"/>
      <c r="N104" s="149"/>
      <c r="O104" s="149"/>
    </row>
    <row r="105" spans="9:15" s="49" customFormat="1" x14ac:dyDescent="0.15">
      <c r="I105" s="149"/>
      <c r="J105" s="149"/>
      <c r="K105" s="149"/>
      <c r="L105" s="149"/>
      <c r="M105" s="149"/>
      <c r="N105" s="149"/>
      <c r="O105" s="149"/>
    </row>
    <row r="106" spans="9:15" s="49" customFormat="1" x14ac:dyDescent="0.15">
      <c r="I106" s="149"/>
      <c r="J106" s="149"/>
      <c r="K106" s="149"/>
      <c r="L106" s="149"/>
      <c r="M106" s="149"/>
      <c r="N106" s="149"/>
      <c r="O106" s="149"/>
    </row>
    <row r="107" spans="9:15" s="49" customFormat="1" x14ac:dyDescent="0.15">
      <c r="I107" s="149"/>
      <c r="J107" s="149"/>
      <c r="K107" s="149"/>
      <c r="L107" s="149"/>
      <c r="M107" s="149"/>
      <c r="N107" s="149"/>
      <c r="O107" s="149"/>
    </row>
    <row r="108" spans="9:15" s="49" customFormat="1" x14ac:dyDescent="0.15">
      <c r="I108" s="149"/>
      <c r="J108" s="149"/>
      <c r="K108" s="149"/>
      <c r="L108" s="149"/>
      <c r="M108" s="149"/>
      <c r="N108" s="149"/>
      <c r="O108" s="149"/>
    </row>
    <row r="109" spans="9:15" s="49" customFormat="1" x14ac:dyDescent="0.15">
      <c r="I109" s="149"/>
      <c r="J109" s="149"/>
      <c r="K109" s="149"/>
      <c r="L109" s="149"/>
      <c r="M109" s="149"/>
      <c r="N109" s="149"/>
      <c r="O109" s="149"/>
    </row>
    <row r="110" spans="9:15" s="49" customFormat="1" x14ac:dyDescent="0.15">
      <c r="I110" s="149"/>
      <c r="J110" s="149"/>
      <c r="K110" s="149"/>
      <c r="L110" s="149"/>
      <c r="M110" s="149"/>
      <c r="N110" s="149"/>
      <c r="O110" s="149"/>
    </row>
    <row r="111" spans="9:15" s="49" customFormat="1" x14ac:dyDescent="0.15">
      <c r="I111" s="149"/>
      <c r="J111" s="149"/>
      <c r="K111" s="149"/>
      <c r="L111" s="149"/>
      <c r="M111" s="149"/>
      <c r="N111" s="149"/>
      <c r="O111" s="149"/>
    </row>
    <row r="112" spans="9:15" s="49" customFormat="1" x14ac:dyDescent="0.15">
      <c r="I112" s="149"/>
      <c r="J112" s="149"/>
      <c r="K112" s="149"/>
      <c r="L112" s="149"/>
      <c r="M112" s="149"/>
      <c r="N112" s="149"/>
      <c r="O112" s="149"/>
    </row>
    <row r="113" spans="9:15" s="49" customFormat="1" x14ac:dyDescent="0.15">
      <c r="I113" s="149"/>
      <c r="J113" s="149"/>
      <c r="K113" s="149"/>
      <c r="L113" s="149"/>
      <c r="M113" s="149"/>
      <c r="N113" s="149"/>
      <c r="O113" s="149"/>
    </row>
    <row r="114" spans="9:15" s="49" customFormat="1" x14ac:dyDescent="0.15">
      <c r="I114" s="149"/>
      <c r="J114" s="149"/>
      <c r="K114" s="149"/>
      <c r="L114" s="149"/>
      <c r="M114" s="149"/>
      <c r="N114" s="149"/>
      <c r="O114" s="149"/>
    </row>
    <row r="115" spans="9:15" s="49" customFormat="1" x14ac:dyDescent="0.15">
      <c r="I115" s="149"/>
      <c r="J115" s="149"/>
      <c r="K115" s="149"/>
      <c r="L115" s="149"/>
      <c r="M115" s="149"/>
      <c r="N115" s="149"/>
      <c r="O115" s="149"/>
    </row>
    <row r="116" spans="9:15" s="49" customFormat="1" x14ac:dyDescent="0.15">
      <c r="I116" s="149"/>
      <c r="J116" s="149"/>
      <c r="K116" s="149"/>
      <c r="L116" s="149"/>
      <c r="M116" s="149"/>
      <c r="N116" s="149"/>
      <c r="O116" s="149"/>
    </row>
    <row r="117" spans="9:15" s="49" customFormat="1" x14ac:dyDescent="0.15">
      <c r="I117" s="149"/>
      <c r="J117" s="149"/>
      <c r="K117" s="149"/>
      <c r="L117" s="149"/>
      <c r="M117" s="149"/>
      <c r="N117" s="149"/>
      <c r="O117" s="149"/>
    </row>
    <row r="118" spans="9:15" s="49" customFormat="1" x14ac:dyDescent="0.15">
      <c r="I118" s="149"/>
      <c r="J118" s="149"/>
      <c r="K118" s="149"/>
      <c r="L118" s="149"/>
      <c r="M118" s="149"/>
      <c r="N118" s="149"/>
      <c r="O118" s="149"/>
    </row>
    <row r="119" spans="9:15" s="49" customFormat="1" x14ac:dyDescent="0.15">
      <c r="I119" s="149"/>
      <c r="J119" s="149"/>
      <c r="K119" s="149"/>
      <c r="L119" s="149"/>
      <c r="M119" s="149"/>
      <c r="N119" s="149"/>
      <c r="O119" s="149"/>
    </row>
    <row r="120" spans="9:15" s="49" customFormat="1" x14ac:dyDescent="0.15">
      <c r="I120" s="149"/>
      <c r="J120" s="149"/>
      <c r="K120" s="149"/>
      <c r="L120" s="149"/>
      <c r="M120" s="149"/>
      <c r="N120" s="149"/>
      <c r="O120" s="149"/>
    </row>
    <row r="121" spans="9:15" s="49" customFormat="1" x14ac:dyDescent="0.15">
      <c r="I121" s="149"/>
      <c r="J121" s="149"/>
      <c r="K121" s="149"/>
      <c r="L121" s="149"/>
      <c r="M121" s="149"/>
      <c r="N121" s="149"/>
      <c r="O121" s="149"/>
    </row>
    <row r="122" spans="9:15" s="49" customFormat="1" x14ac:dyDescent="0.15">
      <c r="I122" s="149"/>
      <c r="J122" s="149"/>
      <c r="K122" s="149"/>
      <c r="L122" s="149"/>
      <c r="M122" s="149"/>
      <c r="N122" s="149"/>
      <c r="O122" s="149"/>
    </row>
    <row r="123" spans="9:15" s="49" customFormat="1" x14ac:dyDescent="0.15">
      <c r="I123" s="149"/>
      <c r="J123" s="149"/>
      <c r="K123" s="149"/>
      <c r="L123" s="149"/>
      <c r="M123" s="149"/>
      <c r="N123" s="149"/>
      <c r="O123" s="149"/>
    </row>
    <row r="124" spans="9:15" s="49" customFormat="1" x14ac:dyDescent="0.15">
      <c r="I124" s="149"/>
      <c r="J124" s="149"/>
      <c r="K124" s="149"/>
      <c r="L124" s="149"/>
      <c r="M124" s="149"/>
      <c r="N124" s="149"/>
      <c r="O124" s="149"/>
    </row>
    <row r="125" spans="9:15" s="49" customFormat="1" x14ac:dyDescent="0.15">
      <c r="I125" s="149"/>
      <c r="J125" s="149"/>
      <c r="K125" s="149"/>
      <c r="L125" s="149"/>
      <c r="M125" s="149"/>
      <c r="N125" s="149"/>
      <c r="O125" s="149"/>
    </row>
    <row r="126" spans="9:15" s="49" customFormat="1" x14ac:dyDescent="0.15">
      <c r="I126" s="149"/>
      <c r="J126" s="149"/>
      <c r="K126" s="149"/>
      <c r="L126" s="149"/>
      <c r="M126" s="149"/>
      <c r="N126" s="149"/>
      <c r="O126" s="149"/>
    </row>
    <row r="127" spans="9:15" s="49" customFormat="1" x14ac:dyDescent="0.15">
      <c r="I127" s="149"/>
      <c r="J127" s="149"/>
      <c r="K127" s="149"/>
      <c r="L127" s="149"/>
      <c r="M127" s="149"/>
      <c r="N127" s="149"/>
      <c r="O127" s="149"/>
    </row>
    <row r="128" spans="9:15" s="49" customFormat="1" x14ac:dyDescent="0.15">
      <c r="I128" s="149"/>
      <c r="J128" s="149"/>
      <c r="K128" s="149"/>
      <c r="L128" s="149"/>
      <c r="M128" s="149"/>
      <c r="N128" s="149"/>
      <c r="O128" s="149"/>
    </row>
    <row r="129" spans="9:15" s="49" customFormat="1" x14ac:dyDescent="0.15">
      <c r="I129" s="149"/>
      <c r="J129" s="149"/>
      <c r="K129" s="149"/>
      <c r="L129" s="149"/>
      <c r="M129" s="149"/>
      <c r="N129" s="149"/>
      <c r="O129" s="149"/>
    </row>
    <row r="130" spans="9:15" s="49" customFormat="1" x14ac:dyDescent="0.15">
      <c r="I130" s="149"/>
      <c r="J130" s="149"/>
      <c r="K130" s="149"/>
      <c r="L130" s="149"/>
      <c r="M130" s="149"/>
      <c r="N130" s="149"/>
      <c r="O130" s="149"/>
    </row>
    <row r="131" spans="9:15" s="49" customFormat="1" x14ac:dyDescent="0.15">
      <c r="I131" s="149"/>
      <c r="J131" s="149"/>
      <c r="K131" s="149"/>
      <c r="L131" s="149"/>
      <c r="M131" s="149"/>
      <c r="N131" s="149"/>
      <c r="O131" s="149"/>
    </row>
    <row r="132" spans="9:15" s="49" customFormat="1" x14ac:dyDescent="0.15">
      <c r="I132" s="149"/>
      <c r="J132" s="149"/>
      <c r="K132" s="149"/>
      <c r="L132" s="149"/>
      <c r="M132" s="149"/>
      <c r="N132" s="149"/>
      <c r="O132" s="149"/>
    </row>
    <row r="133" spans="9:15" s="49" customFormat="1" x14ac:dyDescent="0.15">
      <c r="I133" s="149"/>
      <c r="J133" s="149"/>
      <c r="K133" s="149"/>
      <c r="L133" s="149"/>
      <c r="M133" s="149"/>
      <c r="N133" s="149"/>
      <c r="O133" s="149"/>
    </row>
    <row r="134" spans="9:15" s="49" customFormat="1" x14ac:dyDescent="0.15">
      <c r="I134" s="149"/>
      <c r="J134" s="149"/>
      <c r="K134" s="149"/>
      <c r="L134" s="149"/>
      <c r="M134" s="149"/>
      <c r="N134" s="149"/>
      <c r="O134" s="149"/>
    </row>
    <row r="135" spans="9:15" s="49" customFormat="1" x14ac:dyDescent="0.15">
      <c r="I135" s="149"/>
      <c r="J135" s="149"/>
      <c r="K135" s="149"/>
      <c r="L135" s="149"/>
      <c r="M135" s="149"/>
      <c r="N135" s="149"/>
      <c r="O135" s="149"/>
    </row>
    <row r="136" spans="9:15" s="49" customFormat="1" x14ac:dyDescent="0.15">
      <c r="I136" s="149"/>
      <c r="J136" s="149"/>
      <c r="K136" s="149"/>
      <c r="L136" s="149"/>
      <c r="M136" s="149"/>
      <c r="N136" s="149"/>
      <c r="O136" s="149"/>
    </row>
    <row r="137" spans="9:15" s="49" customFormat="1" x14ac:dyDescent="0.15">
      <c r="I137" s="149"/>
      <c r="J137" s="149"/>
      <c r="K137" s="149"/>
      <c r="L137" s="149"/>
      <c r="M137" s="149"/>
      <c r="N137" s="149"/>
      <c r="O137" s="149"/>
    </row>
    <row r="138" spans="9:15" s="49" customFormat="1" x14ac:dyDescent="0.15">
      <c r="I138" s="149"/>
      <c r="J138" s="149"/>
      <c r="K138" s="149"/>
      <c r="L138" s="149"/>
      <c r="M138" s="149"/>
      <c r="N138" s="149"/>
      <c r="O138" s="149"/>
    </row>
    <row r="139" spans="9:15" s="49" customFormat="1" x14ac:dyDescent="0.15">
      <c r="I139" s="149"/>
      <c r="J139" s="149"/>
      <c r="K139" s="149"/>
      <c r="L139" s="149"/>
      <c r="M139" s="149"/>
      <c r="N139" s="149"/>
      <c r="O139" s="149"/>
    </row>
    <row r="140" spans="9:15" s="49" customFormat="1" x14ac:dyDescent="0.15">
      <c r="I140" s="149"/>
      <c r="J140" s="149"/>
      <c r="K140" s="149"/>
      <c r="L140" s="149"/>
      <c r="M140" s="149"/>
      <c r="N140" s="149"/>
    </row>
    <row r="141" spans="9:15" s="49" customFormat="1" x14ac:dyDescent="0.15">
      <c r="I141" s="149"/>
      <c r="J141" s="149"/>
      <c r="K141" s="149"/>
      <c r="L141" s="149"/>
      <c r="M141" s="149"/>
      <c r="N141" s="149"/>
    </row>
    <row r="142" spans="9:15" s="49" customFormat="1" x14ac:dyDescent="0.15">
      <c r="I142" s="149"/>
      <c r="J142" s="149"/>
      <c r="K142" s="149"/>
      <c r="L142" s="149"/>
      <c r="M142" s="149"/>
      <c r="N142" s="149"/>
    </row>
    <row r="143" spans="9:15" s="49" customFormat="1" x14ac:dyDescent="0.15">
      <c r="I143" s="149"/>
      <c r="J143" s="149"/>
      <c r="K143" s="149"/>
      <c r="L143" s="149"/>
      <c r="M143" s="149"/>
      <c r="N143" s="149"/>
    </row>
    <row r="144" spans="9:15" s="49" customFormat="1" x14ac:dyDescent="0.15">
      <c r="I144" s="149"/>
      <c r="J144" s="149"/>
      <c r="K144" s="149"/>
      <c r="L144" s="149"/>
      <c r="M144" s="149"/>
      <c r="N144" s="149"/>
    </row>
    <row r="145" spans="8:22" x14ac:dyDescent="0.15">
      <c r="H145" s="49"/>
      <c r="I145" s="149"/>
      <c r="J145" s="149"/>
      <c r="K145" s="149"/>
      <c r="L145" s="149"/>
      <c r="M145" s="149"/>
      <c r="N145" s="149"/>
      <c r="P145" s="49"/>
      <c r="R145" s="49"/>
      <c r="V145" s="49"/>
    </row>
    <row r="146" spans="8:22" x14ac:dyDescent="0.15">
      <c r="H146" s="49"/>
      <c r="I146" s="149"/>
      <c r="J146" s="149"/>
      <c r="K146" s="149"/>
      <c r="L146" s="149"/>
      <c r="M146" s="149"/>
      <c r="N146" s="149"/>
      <c r="P146" s="49"/>
      <c r="R146" s="49"/>
      <c r="V146" s="49"/>
    </row>
    <row r="147" spans="8:22" x14ac:dyDescent="0.15">
      <c r="H147" s="49"/>
      <c r="I147" s="149"/>
      <c r="J147" s="149"/>
      <c r="K147" s="149"/>
      <c r="L147" s="149"/>
      <c r="M147" s="149"/>
      <c r="N147" s="149"/>
      <c r="P147" s="49"/>
      <c r="R147" s="49"/>
      <c r="V147" s="49"/>
    </row>
    <row r="148" spans="8:22" x14ac:dyDescent="0.15">
      <c r="H148" s="49"/>
      <c r="I148" s="149"/>
      <c r="J148" s="149"/>
      <c r="K148" s="149"/>
      <c r="L148" s="149"/>
      <c r="M148" s="149"/>
      <c r="N148" s="149"/>
      <c r="P148" s="49"/>
      <c r="R148" s="49"/>
      <c r="V148" s="49"/>
    </row>
    <row r="149" spans="8:22" x14ac:dyDescent="0.15">
      <c r="H149" s="49"/>
      <c r="I149" s="149"/>
      <c r="J149" s="149"/>
      <c r="K149" s="149"/>
      <c r="L149" s="149"/>
      <c r="M149" s="149"/>
      <c r="N149" s="149"/>
      <c r="P149" s="49"/>
      <c r="R149" s="49"/>
      <c r="V149" s="49"/>
    </row>
    <row r="150" spans="8:22" x14ac:dyDescent="0.15">
      <c r="H150" s="49"/>
      <c r="I150" s="149"/>
      <c r="J150" s="149"/>
      <c r="K150" s="149"/>
      <c r="L150" s="149"/>
      <c r="M150" s="149"/>
      <c r="N150" s="149"/>
      <c r="P150" s="49"/>
      <c r="R150" s="49"/>
      <c r="V150" s="49"/>
    </row>
    <row r="151" spans="8:22" x14ac:dyDescent="0.15">
      <c r="H151" s="49"/>
      <c r="I151" s="149"/>
      <c r="J151" s="149"/>
      <c r="K151" s="149"/>
      <c r="L151" s="149"/>
      <c r="M151" s="149"/>
      <c r="N151" s="149"/>
      <c r="P151" s="49"/>
      <c r="R151" s="49"/>
      <c r="V151" s="49"/>
    </row>
    <row r="152" spans="8:22" x14ac:dyDescent="0.15">
      <c r="H152" s="49"/>
      <c r="I152" s="149"/>
      <c r="J152" s="149"/>
      <c r="K152" s="149"/>
      <c r="L152" s="149"/>
      <c r="M152" s="149"/>
      <c r="N152" s="149"/>
      <c r="P152" s="49"/>
      <c r="R152" s="49"/>
      <c r="V152" s="49"/>
    </row>
    <row r="153" spans="8:22" x14ac:dyDescent="0.15">
      <c r="H153" s="49"/>
      <c r="I153" s="149"/>
      <c r="J153" s="149"/>
      <c r="K153" s="149"/>
      <c r="L153" s="149"/>
      <c r="M153" s="149"/>
      <c r="N153" s="149"/>
      <c r="P153" s="49"/>
      <c r="R153" s="49"/>
      <c r="V153" s="49"/>
    </row>
    <row r="154" spans="8:22" x14ac:dyDescent="0.15">
      <c r="H154" s="49"/>
      <c r="I154" s="149"/>
      <c r="J154" s="149"/>
      <c r="K154" s="149"/>
      <c r="L154" s="149"/>
      <c r="M154" s="149"/>
      <c r="N154" s="149"/>
      <c r="P154" s="49"/>
      <c r="R154" s="49"/>
      <c r="V154" s="49"/>
    </row>
    <row r="155" spans="8:22" x14ac:dyDescent="0.15">
      <c r="H155" s="49"/>
      <c r="J155" s="149"/>
      <c r="K155" s="149"/>
      <c r="L155" s="149"/>
      <c r="M155" s="149"/>
      <c r="N155" s="149"/>
      <c r="P155" s="49"/>
      <c r="R155" s="49"/>
      <c r="V155" s="49"/>
    </row>
    <row r="156" spans="8:22" x14ac:dyDescent="0.15">
      <c r="H156" s="49"/>
      <c r="J156" s="149"/>
      <c r="K156" s="149"/>
      <c r="L156" s="149"/>
      <c r="M156" s="149"/>
      <c r="N156" s="149"/>
      <c r="P156" s="49"/>
      <c r="R156" s="49"/>
      <c r="V156" s="49"/>
    </row>
    <row r="173" spans="8:22" x14ac:dyDescent="0.15">
      <c r="H173" s="49"/>
      <c r="O173" s="149"/>
      <c r="P173" s="49"/>
      <c r="R173" s="49"/>
      <c r="V173" s="49"/>
    </row>
    <row r="174" spans="8:22" x14ac:dyDescent="0.15">
      <c r="H174" s="49"/>
      <c r="O174" s="149"/>
      <c r="P174" s="49"/>
      <c r="R174" s="49"/>
      <c r="V174" s="49"/>
    </row>
    <row r="175" spans="8:22" x14ac:dyDescent="0.15">
      <c r="H175" s="49"/>
      <c r="O175" s="149"/>
      <c r="P175" s="49"/>
      <c r="R175" s="49"/>
      <c r="V175" s="49"/>
    </row>
    <row r="176" spans="8:22" x14ac:dyDescent="0.15">
      <c r="H176" s="49"/>
      <c r="O176" s="149"/>
      <c r="P176" s="49"/>
      <c r="R176" s="49"/>
      <c r="V176" s="49"/>
    </row>
    <row r="177" spans="15:15" s="49" customFormat="1" x14ac:dyDescent="0.15">
      <c r="O177" s="149"/>
    </row>
    <row r="178" spans="15:15" s="49" customFormat="1" x14ac:dyDescent="0.15">
      <c r="O178" s="149"/>
    </row>
    <row r="179" spans="15:15" s="49" customFormat="1" x14ac:dyDescent="0.15">
      <c r="O179" s="149"/>
    </row>
    <row r="180" spans="15:15" s="49" customFormat="1" x14ac:dyDescent="0.15">
      <c r="O180" s="149"/>
    </row>
    <row r="181" spans="15:15" s="49" customFormat="1" x14ac:dyDescent="0.15">
      <c r="O181" s="149"/>
    </row>
    <row r="182" spans="15:15" s="49" customFormat="1" x14ac:dyDescent="0.15">
      <c r="O182" s="149"/>
    </row>
    <row r="183" spans="15:15" s="49" customFormat="1" x14ac:dyDescent="0.15">
      <c r="O183" s="149"/>
    </row>
    <row r="184" spans="15:15" s="49" customFormat="1" x14ac:dyDescent="0.15">
      <c r="O184" s="149"/>
    </row>
    <row r="185" spans="15:15" s="49" customFormat="1" x14ac:dyDescent="0.15">
      <c r="O185" s="149"/>
    </row>
    <row r="186" spans="15:15" s="49" customFormat="1" x14ac:dyDescent="0.15">
      <c r="O186" s="149"/>
    </row>
    <row r="187" spans="15:15" s="49" customFormat="1" x14ac:dyDescent="0.15">
      <c r="O187" s="149"/>
    </row>
    <row r="188" spans="15:15" s="49" customFormat="1" x14ac:dyDescent="0.15">
      <c r="O188" s="149"/>
    </row>
    <row r="189" spans="15:15" s="49" customFormat="1" x14ac:dyDescent="0.15">
      <c r="O189" s="149"/>
    </row>
    <row r="190" spans="15:15" s="49" customFormat="1" x14ac:dyDescent="0.15">
      <c r="O190" s="149"/>
    </row>
    <row r="191" spans="15:15" s="49" customFormat="1" x14ac:dyDescent="0.15">
      <c r="O191" s="149"/>
    </row>
    <row r="192" spans="15:15" s="49" customFormat="1" x14ac:dyDescent="0.15">
      <c r="O192" s="149"/>
    </row>
  </sheetData>
  <mergeCells count="70">
    <mergeCell ref="T14:U14"/>
    <mergeCell ref="T15:U15"/>
    <mergeCell ref="I25:I28"/>
    <mergeCell ref="B28:B38"/>
    <mergeCell ref="K35:L35"/>
    <mergeCell ref="K36:L36"/>
    <mergeCell ref="K37:L37"/>
    <mergeCell ref="K38:L38"/>
    <mergeCell ref="Q37:R37"/>
    <mergeCell ref="B5:B7"/>
    <mergeCell ref="T5:U5"/>
    <mergeCell ref="I6:I12"/>
    <mergeCell ref="T6:U6"/>
    <mergeCell ref="T7:U7"/>
    <mergeCell ref="I4:I5"/>
    <mergeCell ref="J4:J5"/>
    <mergeCell ref="M4:M5"/>
    <mergeCell ref="N4:N5"/>
    <mergeCell ref="T4:U4"/>
    <mergeCell ref="T8:U8"/>
    <mergeCell ref="T9:U9"/>
    <mergeCell ref="T11:U11"/>
    <mergeCell ref="T12:U12"/>
    <mergeCell ref="B8:B11"/>
    <mergeCell ref="B39:B49"/>
    <mergeCell ref="I36:I42"/>
    <mergeCell ref="T16:U16"/>
    <mergeCell ref="I17:I20"/>
    <mergeCell ref="T17:U17"/>
    <mergeCell ref="B17:B20"/>
    <mergeCell ref="T18:U18"/>
    <mergeCell ref="T19:U19"/>
    <mergeCell ref="T20:U20"/>
    <mergeCell ref="I21:I24"/>
    <mergeCell ref="T21:U21"/>
    <mergeCell ref="B21:B24"/>
    <mergeCell ref="B12:B16"/>
    <mergeCell ref="I13:I16"/>
    <mergeCell ref="T13:U13"/>
    <mergeCell ref="I29:I32"/>
    <mergeCell ref="I43:I46"/>
    <mergeCell ref="K43:L43"/>
    <mergeCell ref="K44:L44"/>
    <mergeCell ref="K45:L45"/>
    <mergeCell ref="P45:P56"/>
    <mergeCell ref="K46:L46"/>
    <mergeCell ref="K49:L49"/>
    <mergeCell ref="K56:L56"/>
    <mergeCell ref="P38:P44"/>
    <mergeCell ref="K39:L39"/>
    <mergeCell ref="K40:L40"/>
    <mergeCell ref="K41:L41"/>
    <mergeCell ref="K42:L42"/>
    <mergeCell ref="K48:L48"/>
    <mergeCell ref="Q45:Q49"/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K47:L47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>
    <oddHeader>&amp;R&amp;A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3" tint="0.79998168889431442"/>
    <pageSetUpPr fitToPage="1"/>
  </sheetPr>
  <dimension ref="B1:V191"/>
  <sheetViews>
    <sheetView topLeftCell="A28"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5.625" style="49" customWidth="1"/>
    <col min="4" max="7" width="8.625" style="49" customWidth="1"/>
    <col min="8" max="8" width="1.625" style="149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24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62" width="9" style="49"/>
    <col min="263" max="263" width="1.375" style="49" customWidth="1"/>
    <col min="264" max="264" width="3.5" style="49" customWidth="1"/>
    <col min="265" max="265" width="22.125" style="49" customWidth="1"/>
    <col min="266" max="266" width="9.75" style="49" customWidth="1"/>
    <col min="267" max="267" width="7.375" style="49" customWidth="1"/>
    <col min="268" max="268" width="9" style="49"/>
    <col min="269" max="269" width="9.25" style="49" customWidth="1"/>
    <col min="270" max="270" width="3.5" style="49" customWidth="1"/>
    <col min="271" max="272" width="12.625" style="49" customWidth="1"/>
    <col min="273" max="273" width="9" style="49"/>
    <col min="274" max="274" width="7.75" style="49" customWidth="1"/>
    <col min="275" max="275" width="13.125" style="49" customWidth="1"/>
    <col min="276" max="276" width="6.125" style="49" customWidth="1"/>
    <col min="277" max="277" width="9.75" style="49" customWidth="1"/>
    <col min="278" max="278" width="1.375" style="49" customWidth="1"/>
    <col min="279" max="518" width="9" style="49"/>
    <col min="519" max="519" width="1.375" style="49" customWidth="1"/>
    <col min="520" max="520" width="3.5" style="49" customWidth="1"/>
    <col min="521" max="521" width="22.125" style="49" customWidth="1"/>
    <col min="522" max="522" width="9.75" style="49" customWidth="1"/>
    <col min="523" max="523" width="7.375" style="49" customWidth="1"/>
    <col min="524" max="524" width="9" style="49"/>
    <col min="525" max="525" width="9.25" style="49" customWidth="1"/>
    <col min="526" max="526" width="3.5" style="49" customWidth="1"/>
    <col min="527" max="528" width="12.625" style="49" customWidth="1"/>
    <col min="529" max="529" width="9" style="49"/>
    <col min="530" max="530" width="7.75" style="49" customWidth="1"/>
    <col min="531" max="531" width="13.125" style="49" customWidth="1"/>
    <col min="532" max="532" width="6.125" style="49" customWidth="1"/>
    <col min="533" max="533" width="9.75" style="49" customWidth="1"/>
    <col min="534" max="534" width="1.375" style="49" customWidth="1"/>
    <col min="535" max="774" width="9" style="49"/>
    <col min="775" max="775" width="1.375" style="49" customWidth="1"/>
    <col min="776" max="776" width="3.5" style="49" customWidth="1"/>
    <col min="777" max="777" width="22.125" style="49" customWidth="1"/>
    <col min="778" max="778" width="9.75" style="49" customWidth="1"/>
    <col min="779" max="779" width="7.375" style="49" customWidth="1"/>
    <col min="780" max="780" width="9" style="49"/>
    <col min="781" max="781" width="9.25" style="49" customWidth="1"/>
    <col min="782" max="782" width="3.5" style="49" customWidth="1"/>
    <col min="783" max="784" width="12.625" style="49" customWidth="1"/>
    <col min="785" max="785" width="9" style="49"/>
    <col min="786" max="786" width="7.75" style="49" customWidth="1"/>
    <col min="787" max="787" width="13.125" style="49" customWidth="1"/>
    <col min="788" max="788" width="6.125" style="49" customWidth="1"/>
    <col min="789" max="789" width="9.75" style="49" customWidth="1"/>
    <col min="790" max="790" width="1.375" style="49" customWidth="1"/>
    <col min="791" max="1030" width="9" style="49"/>
    <col min="1031" max="1031" width="1.375" style="49" customWidth="1"/>
    <col min="1032" max="1032" width="3.5" style="49" customWidth="1"/>
    <col min="1033" max="1033" width="22.125" style="49" customWidth="1"/>
    <col min="1034" max="1034" width="9.75" style="49" customWidth="1"/>
    <col min="1035" max="1035" width="7.375" style="49" customWidth="1"/>
    <col min="1036" max="1036" width="9" style="49"/>
    <col min="1037" max="1037" width="9.25" style="49" customWidth="1"/>
    <col min="1038" max="1038" width="3.5" style="49" customWidth="1"/>
    <col min="1039" max="1040" width="12.625" style="49" customWidth="1"/>
    <col min="1041" max="1041" width="9" style="49"/>
    <col min="1042" max="1042" width="7.75" style="49" customWidth="1"/>
    <col min="1043" max="1043" width="13.125" style="49" customWidth="1"/>
    <col min="1044" max="1044" width="6.125" style="49" customWidth="1"/>
    <col min="1045" max="1045" width="9.75" style="49" customWidth="1"/>
    <col min="1046" max="1046" width="1.375" style="49" customWidth="1"/>
    <col min="1047" max="1286" width="9" style="49"/>
    <col min="1287" max="1287" width="1.375" style="49" customWidth="1"/>
    <col min="1288" max="1288" width="3.5" style="49" customWidth="1"/>
    <col min="1289" max="1289" width="22.125" style="49" customWidth="1"/>
    <col min="1290" max="1290" width="9.75" style="49" customWidth="1"/>
    <col min="1291" max="1291" width="7.375" style="49" customWidth="1"/>
    <col min="1292" max="1292" width="9" style="49"/>
    <col min="1293" max="1293" width="9.25" style="49" customWidth="1"/>
    <col min="1294" max="1294" width="3.5" style="49" customWidth="1"/>
    <col min="1295" max="1296" width="12.625" style="49" customWidth="1"/>
    <col min="1297" max="1297" width="9" style="49"/>
    <col min="1298" max="1298" width="7.75" style="49" customWidth="1"/>
    <col min="1299" max="1299" width="13.125" style="49" customWidth="1"/>
    <col min="1300" max="1300" width="6.125" style="49" customWidth="1"/>
    <col min="1301" max="1301" width="9.75" style="49" customWidth="1"/>
    <col min="1302" max="1302" width="1.375" style="49" customWidth="1"/>
    <col min="1303" max="1542" width="9" style="49"/>
    <col min="1543" max="1543" width="1.375" style="49" customWidth="1"/>
    <col min="1544" max="1544" width="3.5" style="49" customWidth="1"/>
    <col min="1545" max="1545" width="22.125" style="49" customWidth="1"/>
    <col min="1546" max="1546" width="9.75" style="49" customWidth="1"/>
    <col min="1547" max="1547" width="7.375" style="49" customWidth="1"/>
    <col min="1548" max="1548" width="9" style="49"/>
    <col min="1549" max="1549" width="9.25" style="49" customWidth="1"/>
    <col min="1550" max="1550" width="3.5" style="49" customWidth="1"/>
    <col min="1551" max="1552" width="12.625" style="49" customWidth="1"/>
    <col min="1553" max="1553" width="9" style="49"/>
    <col min="1554" max="1554" width="7.75" style="49" customWidth="1"/>
    <col min="1555" max="1555" width="13.125" style="49" customWidth="1"/>
    <col min="1556" max="1556" width="6.125" style="49" customWidth="1"/>
    <col min="1557" max="1557" width="9.75" style="49" customWidth="1"/>
    <col min="1558" max="1558" width="1.375" style="49" customWidth="1"/>
    <col min="1559" max="1798" width="9" style="49"/>
    <col min="1799" max="1799" width="1.375" style="49" customWidth="1"/>
    <col min="1800" max="1800" width="3.5" style="49" customWidth="1"/>
    <col min="1801" max="1801" width="22.125" style="49" customWidth="1"/>
    <col min="1802" max="1802" width="9.75" style="49" customWidth="1"/>
    <col min="1803" max="1803" width="7.375" style="49" customWidth="1"/>
    <col min="1804" max="1804" width="9" style="49"/>
    <col min="1805" max="1805" width="9.25" style="49" customWidth="1"/>
    <col min="1806" max="1806" width="3.5" style="49" customWidth="1"/>
    <col min="1807" max="1808" width="12.625" style="49" customWidth="1"/>
    <col min="1809" max="1809" width="9" style="49"/>
    <col min="1810" max="1810" width="7.75" style="49" customWidth="1"/>
    <col min="1811" max="1811" width="13.125" style="49" customWidth="1"/>
    <col min="1812" max="1812" width="6.125" style="49" customWidth="1"/>
    <col min="1813" max="1813" width="9.75" style="49" customWidth="1"/>
    <col min="1814" max="1814" width="1.375" style="49" customWidth="1"/>
    <col min="1815" max="2054" width="9" style="49"/>
    <col min="2055" max="2055" width="1.375" style="49" customWidth="1"/>
    <col min="2056" max="2056" width="3.5" style="49" customWidth="1"/>
    <col min="2057" max="2057" width="22.125" style="49" customWidth="1"/>
    <col min="2058" max="2058" width="9.75" style="49" customWidth="1"/>
    <col min="2059" max="2059" width="7.375" style="49" customWidth="1"/>
    <col min="2060" max="2060" width="9" style="49"/>
    <col min="2061" max="2061" width="9.25" style="49" customWidth="1"/>
    <col min="2062" max="2062" width="3.5" style="49" customWidth="1"/>
    <col min="2063" max="2064" width="12.625" style="49" customWidth="1"/>
    <col min="2065" max="2065" width="9" style="49"/>
    <col min="2066" max="2066" width="7.75" style="49" customWidth="1"/>
    <col min="2067" max="2067" width="13.125" style="49" customWidth="1"/>
    <col min="2068" max="2068" width="6.125" style="49" customWidth="1"/>
    <col min="2069" max="2069" width="9.75" style="49" customWidth="1"/>
    <col min="2070" max="2070" width="1.375" style="49" customWidth="1"/>
    <col min="2071" max="2310" width="9" style="49"/>
    <col min="2311" max="2311" width="1.375" style="49" customWidth="1"/>
    <col min="2312" max="2312" width="3.5" style="49" customWidth="1"/>
    <col min="2313" max="2313" width="22.125" style="49" customWidth="1"/>
    <col min="2314" max="2314" width="9.75" style="49" customWidth="1"/>
    <col min="2315" max="2315" width="7.375" style="49" customWidth="1"/>
    <col min="2316" max="2316" width="9" style="49"/>
    <col min="2317" max="2317" width="9.25" style="49" customWidth="1"/>
    <col min="2318" max="2318" width="3.5" style="49" customWidth="1"/>
    <col min="2319" max="2320" width="12.625" style="49" customWidth="1"/>
    <col min="2321" max="2321" width="9" style="49"/>
    <col min="2322" max="2322" width="7.75" style="49" customWidth="1"/>
    <col min="2323" max="2323" width="13.125" style="49" customWidth="1"/>
    <col min="2324" max="2324" width="6.125" style="49" customWidth="1"/>
    <col min="2325" max="2325" width="9.75" style="49" customWidth="1"/>
    <col min="2326" max="2326" width="1.375" style="49" customWidth="1"/>
    <col min="2327" max="2566" width="9" style="49"/>
    <col min="2567" max="2567" width="1.375" style="49" customWidth="1"/>
    <col min="2568" max="2568" width="3.5" style="49" customWidth="1"/>
    <col min="2569" max="2569" width="22.125" style="49" customWidth="1"/>
    <col min="2570" max="2570" width="9.75" style="49" customWidth="1"/>
    <col min="2571" max="2571" width="7.375" style="49" customWidth="1"/>
    <col min="2572" max="2572" width="9" style="49"/>
    <col min="2573" max="2573" width="9.25" style="49" customWidth="1"/>
    <col min="2574" max="2574" width="3.5" style="49" customWidth="1"/>
    <col min="2575" max="2576" width="12.625" style="49" customWidth="1"/>
    <col min="2577" max="2577" width="9" style="49"/>
    <col min="2578" max="2578" width="7.75" style="49" customWidth="1"/>
    <col min="2579" max="2579" width="13.125" style="49" customWidth="1"/>
    <col min="2580" max="2580" width="6.125" style="49" customWidth="1"/>
    <col min="2581" max="2581" width="9.75" style="49" customWidth="1"/>
    <col min="2582" max="2582" width="1.375" style="49" customWidth="1"/>
    <col min="2583" max="2822" width="9" style="49"/>
    <col min="2823" max="2823" width="1.375" style="49" customWidth="1"/>
    <col min="2824" max="2824" width="3.5" style="49" customWidth="1"/>
    <col min="2825" max="2825" width="22.125" style="49" customWidth="1"/>
    <col min="2826" max="2826" width="9.75" style="49" customWidth="1"/>
    <col min="2827" max="2827" width="7.375" style="49" customWidth="1"/>
    <col min="2828" max="2828" width="9" style="49"/>
    <col min="2829" max="2829" width="9.25" style="49" customWidth="1"/>
    <col min="2830" max="2830" width="3.5" style="49" customWidth="1"/>
    <col min="2831" max="2832" width="12.625" style="49" customWidth="1"/>
    <col min="2833" max="2833" width="9" style="49"/>
    <col min="2834" max="2834" width="7.75" style="49" customWidth="1"/>
    <col min="2835" max="2835" width="13.125" style="49" customWidth="1"/>
    <col min="2836" max="2836" width="6.125" style="49" customWidth="1"/>
    <col min="2837" max="2837" width="9.75" style="49" customWidth="1"/>
    <col min="2838" max="2838" width="1.375" style="49" customWidth="1"/>
    <col min="2839" max="3078" width="9" style="49"/>
    <col min="3079" max="3079" width="1.375" style="49" customWidth="1"/>
    <col min="3080" max="3080" width="3.5" style="49" customWidth="1"/>
    <col min="3081" max="3081" width="22.125" style="49" customWidth="1"/>
    <col min="3082" max="3082" width="9.75" style="49" customWidth="1"/>
    <col min="3083" max="3083" width="7.375" style="49" customWidth="1"/>
    <col min="3084" max="3084" width="9" style="49"/>
    <col min="3085" max="3085" width="9.25" style="49" customWidth="1"/>
    <col min="3086" max="3086" width="3.5" style="49" customWidth="1"/>
    <col min="3087" max="3088" width="12.625" style="49" customWidth="1"/>
    <col min="3089" max="3089" width="9" style="49"/>
    <col min="3090" max="3090" width="7.75" style="49" customWidth="1"/>
    <col min="3091" max="3091" width="13.125" style="49" customWidth="1"/>
    <col min="3092" max="3092" width="6.125" style="49" customWidth="1"/>
    <col min="3093" max="3093" width="9.75" style="49" customWidth="1"/>
    <col min="3094" max="3094" width="1.375" style="49" customWidth="1"/>
    <col min="3095" max="3334" width="9" style="49"/>
    <col min="3335" max="3335" width="1.375" style="49" customWidth="1"/>
    <col min="3336" max="3336" width="3.5" style="49" customWidth="1"/>
    <col min="3337" max="3337" width="22.125" style="49" customWidth="1"/>
    <col min="3338" max="3338" width="9.75" style="49" customWidth="1"/>
    <col min="3339" max="3339" width="7.375" style="49" customWidth="1"/>
    <col min="3340" max="3340" width="9" style="49"/>
    <col min="3341" max="3341" width="9.25" style="49" customWidth="1"/>
    <col min="3342" max="3342" width="3.5" style="49" customWidth="1"/>
    <col min="3343" max="3344" width="12.625" style="49" customWidth="1"/>
    <col min="3345" max="3345" width="9" style="49"/>
    <col min="3346" max="3346" width="7.75" style="49" customWidth="1"/>
    <col min="3347" max="3347" width="13.125" style="49" customWidth="1"/>
    <col min="3348" max="3348" width="6.125" style="49" customWidth="1"/>
    <col min="3349" max="3349" width="9.75" style="49" customWidth="1"/>
    <col min="3350" max="3350" width="1.375" style="49" customWidth="1"/>
    <col min="3351" max="3590" width="9" style="49"/>
    <col min="3591" max="3591" width="1.375" style="49" customWidth="1"/>
    <col min="3592" max="3592" width="3.5" style="49" customWidth="1"/>
    <col min="3593" max="3593" width="22.125" style="49" customWidth="1"/>
    <col min="3594" max="3594" width="9.75" style="49" customWidth="1"/>
    <col min="3595" max="3595" width="7.375" style="49" customWidth="1"/>
    <col min="3596" max="3596" width="9" style="49"/>
    <col min="3597" max="3597" width="9.25" style="49" customWidth="1"/>
    <col min="3598" max="3598" width="3.5" style="49" customWidth="1"/>
    <col min="3599" max="3600" width="12.625" style="49" customWidth="1"/>
    <col min="3601" max="3601" width="9" style="49"/>
    <col min="3602" max="3602" width="7.75" style="49" customWidth="1"/>
    <col min="3603" max="3603" width="13.125" style="49" customWidth="1"/>
    <col min="3604" max="3604" width="6.125" style="49" customWidth="1"/>
    <col min="3605" max="3605" width="9.75" style="49" customWidth="1"/>
    <col min="3606" max="3606" width="1.375" style="49" customWidth="1"/>
    <col min="3607" max="3846" width="9" style="49"/>
    <col min="3847" max="3847" width="1.375" style="49" customWidth="1"/>
    <col min="3848" max="3848" width="3.5" style="49" customWidth="1"/>
    <col min="3849" max="3849" width="22.125" style="49" customWidth="1"/>
    <col min="3850" max="3850" width="9.75" style="49" customWidth="1"/>
    <col min="3851" max="3851" width="7.375" style="49" customWidth="1"/>
    <col min="3852" max="3852" width="9" style="49"/>
    <col min="3853" max="3853" width="9.25" style="49" customWidth="1"/>
    <col min="3854" max="3854" width="3.5" style="49" customWidth="1"/>
    <col min="3855" max="3856" width="12.625" style="49" customWidth="1"/>
    <col min="3857" max="3857" width="9" style="49"/>
    <col min="3858" max="3858" width="7.75" style="49" customWidth="1"/>
    <col min="3859" max="3859" width="13.125" style="49" customWidth="1"/>
    <col min="3860" max="3860" width="6.125" style="49" customWidth="1"/>
    <col min="3861" max="3861" width="9.75" style="49" customWidth="1"/>
    <col min="3862" max="3862" width="1.375" style="49" customWidth="1"/>
    <col min="3863" max="4102" width="9" style="49"/>
    <col min="4103" max="4103" width="1.375" style="49" customWidth="1"/>
    <col min="4104" max="4104" width="3.5" style="49" customWidth="1"/>
    <col min="4105" max="4105" width="22.125" style="49" customWidth="1"/>
    <col min="4106" max="4106" width="9.75" style="49" customWidth="1"/>
    <col min="4107" max="4107" width="7.375" style="49" customWidth="1"/>
    <col min="4108" max="4108" width="9" style="49"/>
    <col min="4109" max="4109" width="9.25" style="49" customWidth="1"/>
    <col min="4110" max="4110" width="3.5" style="49" customWidth="1"/>
    <col min="4111" max="4112" width="12.625" style="49" customWidth="1"/>
    <col min="4113" max="4113" width="9" style="49"/>
    <col min="4114" max="4114" width="7.75" style="49" customWidth="1"/>
    <col min="4115" max="4115" width="13.125" style="49" customWidth="1"/>
    <col min="4116" max="4116" width="6.125" style="49" customWidth="1"/>
    <col min="4117" max="4117" width="9.75" style="49" customWidth="1"/>
    <col min="4118" max="4118" width="1.375" style="49" customWidth="1"/>
    <col min="4119" max="4358" width="9" style="49"/>
    <col min="4359" max="4359" width="1.375" style="49" customWidth="1"/>
    <col min="4360" max="4360" width="3.5" style="49" customWidth="1"/>
    <col min="4361" max="4361" width="22.125" style="49" customWidth="1"/>
    <col min="4362" max="4362" width="9.75" style="49" customWidth="1"/>
    <col min="4363" max="4363" width="7.375" style="49" customWidth="1"/>
    <col min="4364" max="4364" width="9" style="49"/>
    <col min="4365" max="4365" width="9.25" style="49" customWidth="1"/>
    <col min="4366" max="4366" width="3.5" style="49" customWidth="1"/>
    <col min="4367" max="4368" width="12.625" style="49" customWidth="1"/>
    <col min="4369" max="4369" width="9" style="49"/>
    <col min="4370" max="4370" width="7.75" style="49" customWidth="1"/>
    <col min="4371" max="4371" width="13.125" style="49" customWidth="1"/>
    <col min="4372" max="4372" width="6.125" style="49" customWidth="1"/>
    <col min="4373" max="4373" width="9.75" style="49" customWidth="1"/>
    <col min="4374" max="4374" width="1.375" style="49" customWidth="1"/>
    <col min="4375" max="4614" width="9" style="49"/>
    <col min="4615" max="4615" width="1.375" style="49" customWidth="1"/>
    <col min="4616" max="4616" width="3.5" style="49" customWidth="1"/>
    <col min="4617" max="4617" width="22.125" style="49" customWidth="1"/>
    <col min="4618" max="4618" width="9.75" style="49" customWidth="1"/>
    <col min="4619" max="4619" width="7.375" style="49" customWidth="1"/>
    <col min="4620" max="4620" width="9" style="49"/>
    <col min="4621" max="4621" width="9.25" style="49" customWidth="1"/>
    <col min="4622" max="4622" width="3.5" style="49" customWidth="1"/>
    <col min="4623" max="4624" width="12.625" style="49" customWidth="1"/>
    <col min="4625" max="4625" width="9" style="49"/>
    <col min="4626" max="4626" width="7.75" style="49" customWidth="1"/>
    <col min="4627" max="4627" width="13.125" style="49" customWidth="1"/>
    <col min="4628" max="4628" width="6.125" style="49" customWidth="1"/>
    <col min="4629" max="4629" width="9.75" style="49" customWidth="1"/>
    <col min="4630" max="4630" width="1.375" style="49" customWidth="1"/>
    <col min="4631" max="4870" width="9" style="49"/>
    <col min="4871" max="4871" width="1.375" style="49" customWidth="1"/>
    <col min="4872" max="4872" width="3.5" style="49" customWidth="1"/>
    <col min="4873" max="4873" width="22.125" style="49" customWidth="1"/>
    <col min="4874" max="4874" width="9.75" style="49" customWidth="1"/>
    <col min="4875" max="4875" width="7.375" style="49" customWidth="1"/>
    <col min="4876" max="4876" width="9" style="49"/>
    <col min="4877" max="4877" width="9.25" style="49" customWidth="1"/>
    <col min="4878" max="4878" width="3.5" style="49" customWidth="1"/>
    <col min="4879" max="4880" width="12.625" style="49" customWidth="1"/>
    <col min="4881" max="4881" width="9" style="49"/>
    <col min="4882" max="4882" width="7.75" style="49" customWidth="1"/>
    <col min="4883" max="4883" width="13.125" style="49" customWidth="1"/>
    <col min="4884" max="4884" width="6.125" style="49" customWidth="1"/>
    <col min="4885" max="4885" width="9.75" style="49" customWidth="1"/>
    <col min="4886" max="4886" width="1.375" style="49" customWidth="1"/>
    <col min="4887" max="5126" width="9" style="49"/>
    <col min="5127" max="5127" width="1.375" style="49" customWidth="1"/>
    <col min="5128" max="5128" width="3.5" style="49" customWidth="1"/>
    <col min="5129" max="5129" width="22.125" style="49" customWidth="1"/>
    <col min="5130" max="5130" width="9.75" style="49" customWidth="1"/>
    <col min="5131" max="5131" width="7.375" style="49" customWidth="1"/>
    <col min="5132" max="5132" width="9" style="49"/>
    <col min="5133" max="5133" width="9.25" style="49" customWidth="1"/>
    <col min="5134" max="5134" width="3.5" style="49" customWidth="1"/>
    <col min="5135" max="5136" width="12.625" style="49" customWidth="1"/>
    <col min="5137" max="5137" width="9" style="49"/>
    <col min="5138" max="5138" width="7.75" style="49" customWidth="1"/>
    <col min="5139" max="5139" width="13.125" style="49" customWidth="1"/>
    <col min="5140" max="5140" width="6.125" style="49" customWidth="1"/>
    <col min="5141" max="5141" width="9.75" style="49" customWidth="1"/>
    <col min="5142" max="5142" width="1.375" style="49" customWidth="1"/>
    <col min="5143" max="5382" width="9" style="49"/>
    <col min="5383" max="5383" width="1.375" style="49" customWidth="1"/>
    <col min="5384" max="5384" width="3.5" style="49" customWidth="1"/>
    <col min="5385" max="5385" width="22.125" style="49" customWidth="1"/>
    <col min="5386" max="5386" width="9.75" style="49" customWidth="1"/>
    <col min="5387" max="5387" width="7.375" style="49" customWidth="1"/>
    <col min="5388" max="5388" width="9" style="49"/>
    <col min="5389" max="5389" width="9.25" style="49" customWidth="1"/>
    <col min="5390" max="5390" width="3.5" style="49" customWidth="1"/>
    <col min="5391" max="5392" width="12.625" style="49" customWidth="1"/>
    <col min="5393" max="5393" width="9" style="49"/>
    <col min="5394" max="5394" width="7.75" style="49" customWidth="1"/>
    <col min="5395" max="5395" width="13.125" style="49" customWidth="1"/>
    <col min="5396" max="5396" width="6.125" style="49" customWidth="1"/>
    <col min="5397" max="5397" width="9.75" style="49" customWidth="1"/>
    <col min="5398" max="5398" width="1.375" style="49" customWidth="1"/>
    <col min="5399" max="5638" width="9" style="49"/>
    <col min="5639" max="5639" width="1.375" style="49" customWidth="1"/>
    <col min="5640" max="5640" width="3.5" style="49" customWidth="1"/>
    <col min="5641" max="5641" width="22.125" style="49" customWidth="1"/>
    <col min="5642" max="5642" width="9.75" style="49" customWidth="1"/>
    <col min="5643" max="5643" width="7.375" style="49" customWidth="1"/>
    <col min="5644" max="5644" width="9" style="49"/>
    <col min="5645" max="5645" width="9.25" style="49" customWidth="1"/>
    <col min="5646" max="5646" width="3.5" style="49" customWidth="1"/>
    <col min="5647" max="5648" width="12.625" style="49" customWidth="1"/>
    <col min="5649" max="5649" width="9" style="49"/>
    <col min="5650" max="5650" width="7.75" style="49" customWidth="1"/>
    <col min="5651" max="5651" width="13.125" style="49" customWidth="1"/>
    <col min="5652" max="5652" width="6.125" style="49" customWidth="1"/>
    <col min="5653" max="5653" width="9.75" style="49" customWidth="1"/>
    <col min="5654" max="5654" width="1.375" style="49" customWidth="1"/>
    <col min="5655" max="5894" width="9" style="49"/>
    <col min="5895" max="5895" width="1.375" style="49" customWidth="1"/>
    <col min="5896" max="5896" width="3.5" style="49" customWidth="1"/>
    <col min="5897" max="5897" width="22.125" style="49" customWidth="1"/>
    <col min="5898" max="5898" width="9.75" style="49" customWidth="1"/>
    <col min="5899" max="5899" width="7.375" style="49" customWidth="1"/>
    <col min="5900" max="5900" width="9" style="49"/>
    <col min="5901" max="5901" width="9.25" style="49" customWidth="1"/>
    <col min="5902" max="5902" width="3.5" style="49" customWidth="1"/>
    <col min="5903" max="5904" width="12.625" style="49" customWidth="1"/>
    <col min="5905" max="5905" width="9" style="49"/>
    <col min="5906" max="5906" width="7.75" style="49" customWidth="1"/>
    <col min="5907" max="5907" width="13.125" style="49" customWidth="1"/>
    <col min="5908" max="5908" width="6.125" style="49" customWidth="1"/>
    <col min="5909" max="5909" width="9.75" style="49" customWidth="1"/>
    <col min="5910" max="5910" width="1.375" style="49" customWidth="1"/>
    <col min="5911" max="6150" width="9" style="49"/>
    <col min="6151" max="6151" width="1.375" style="49" customWidth="1"/>
    <col min="6152" max="6152" width="3.5" style="49" customWidth="1"/>
    <col min="6153" max="6153" width="22.125" style="49" customWidth="1"/>
    <col min="6154" max="6154" width="9.75" style="49" customWidth="1"/>
    <col min="6155" max="6155" width="7.375" style="49" customWidth="1"/>
    <col min="6156" max="6156" width="9" style="49"/>
    <col min="6157" max="6157" width="9.25" style="49" customWidth="1"/>
    <col min="6158" max="6158" width="3.5" style="49" customWidth="1"/>
    <col min="6159" max="6160" width="12.625" style="49" customWidth="1"/>
    <col min="6161" max="6161" width="9" style="49"/>
    <col min="6162" max="6162" width="7.75" style="49" customWidth="1"/>
    <col min="6163" max="6163" width="13.125" style="49" customWidth="1"/>
    <col min="6164" max="6164" width="6.125" style="49" customWidth="1"/>
    <col min="6165" max="6165" width="9.75" style="49" customWidth="1"/>
    <col min="6166" max="6166" width="1.375" style="49" customWidth="1"/>
    <col min="6167" max="6406" width="9" style="49"/>
    <col min="6407" max="6407" width="1.375" style="49" customWidth="1"/>
    <col min="6408" max="6408" width="3.5" style="49" customWidth="1"/>
    <col min="6409" max="6409" width="22.125" style="49" customWidth="1"/>
    <col min="6410" max="6410" width="9.75" style="49" customWidth="1"/>
    <col min="6411" max="6411" width="7.375" style="49" customWidth="1"/>
    <col min="6412" max="6412" width="9" style="49"/>
    <col min="6413" max="6413" width="9.25" style="49" customWidth="1"/>
    <col min="6414" max="6414" width="3.5" style="49" customWidth="1"/>
    <col min="6415" max="6416" width="12.625" style="49" customWidth="1"/>
    <col min="6417" max="6417" width="9" style="49"/>
    <col min="6418" max="6418" width="7.75" style="49" customWidth="1"/>
    <col min="6419" max="6419" width="13.125" style="49" customWidth="1"/>
    <col min="6420" max="6420" width="6.125" style="49" customWidth="1"/>
    <col min="6421" max="6421" width="9.75" style="49" customWidth="1"/>
    <col min="6422" max="6422" width="1.375" style="49" customWidth="1"/>
    <col min="6423" max="6662" width="9" style="49"/>
    <col min="6663" max="6663" width="1.375" style="49" customWidth="1"/>
    <col min="6664" max="6664" width="3.5" style="49" customWidth="1"/>
    <col min="6665" max="6665" width="22.125" style="49" customWidth="1"/>
    <col min="6666" max="6666" width="9.75" style="49" customWidth="1"/>
    <col min="6667" max="6667" width="7.375" style="49" customWidth="1"/>
    <col min="6668" max="6668" width="9" style="49"/>
    <col min="6669" max="6669" width="9.25" style="49" customWidth="1"/>
    <col min="6670" max="6670" width="3.5" style="49" customWidth="1"/>
    <col min="6671" max="6672" width="12.625" style="49" customWidth="1"/>
    <col min="6673" max="6673" width="9" style="49"/>
    <col min="6674" max="6674" width="7.75" style="49" customWidth="1"/>
    <col min="6675" max="6675" width="13.125" style="49" customWidth="1"/>
    <col min="6676" max="6676" width="6.125" style="49" customWidth="1"/>
    <col min="6677" max="6677" width="9.75" style="49" customWidth="1"/>
    <col min="6678" max="6678" width="1.375" style="49" customWidth="1"/>
    <col min="6679" max="6918" width="9" style="49"/>
    <col min="6919" max="6919" width="1.375" style="49" customWidth="1"/>
    <col min="6920" max="6920" width="3.5" style="49" customWidth="1"/>
    <col min="6921" max="6921" width="22.125" style="49" customWidth="1"/>
    <col min="6922" max="6922" width="9.75" style="49" customWidth="1"/>
    <col min="6923" max="6923" width="7.375" style="49" customWidth="1"/>
    <col min="6924" max="6924" width="9" style="49"/>
    <col min="6925" max="6925" width="9.25" style="49" customWidth="1"/>
    <col min="6926" max="6926" width="3.5" style="49" customWidth="1"/>
    <col min="6927" max="6928" width="12.625" style="49" customWidth="1"/>
    <col min="6929" max="6929" width="9" style="49"/>
    <col min="6930" max="6930" width="7.75" style="49" customWidth="1"/>
    <col min="6931" max="6931" width="13.125" style="49" customWidth="1"/>
    <col min="6932" max="6932" width="6.125" style="49" customWidth="1"/>
    <col min="6933" max="6933" width="9.75" style="49" customWidth="1"/>
    <col min="6934" max="6934" width="1.375" style="49" customWidth="1"/>
    <col min="6935" max="7174" width="9" style="49"/>
    <col min="7175" max="7175" width="1.375" style="49" customWidth="1"/>
    <col min="7176" max="7176" width="3.5" style="49" customWidth="1"/>
    <col min="7177" max="7177" width="22.125" style="49" customWidth="1"/>
    <col min="7178" max="7178" width="9.75" style="49" customWidth="1"/>
    <col min="7179" max="7179" width="7.375" style="49" customWidth="1"/>
    <col min="7180" max="7180" width="9" style="49"/>
    <col min="7181" max="7181" width="9.25" style="49" customWidth="1"/>
    <col min="7182" max="7182" width="3.5" style="49" customWidth="1"/>
    <col min="7183" max="7184" width="12.625" style="49" customWidth="1"/>
    <col min="7185" max="7185" width="9" style="49"/>
    <col min="7186" max="7186" width="7.75" style="49" customWidth="1"/>
    <col min="7187" max="7187" width="13.125" style="49" customWidth="1"/>
    <col min="7188" max="7188" width="6.125" style="49" customWidth="1"/>
    <col min="7189" max="7189" width="9.75" style="49" customWidth="1"/>
    <col min="7190" max="7190" width="1.375" style="49" customWidth="1"/>
    <col min="7191" max="7430" width="9" style="49"/>
    <col min="7431" max="7431" width="1.375" style="49" customWidth="1"/>
    <col min="7432" max="7432" width="3.5" style="49" customWidth="1"/>
    <col min="7433" max="7433" width="22.125" style="49" customWidth="1"/>
    <col min="7434" max="7434" width="9.75" style="49" customWidth="1"/>
    <col min="7435" max="7435" width="7.375" style="49" customWidth="1"/>
    <col min="7436" max="7436" width="9" style="49"/>
    <col min="7437" max="7437" width="9.25" style="49" customWidth="1"/>
    <col min="7438" max="7438" width="3.5" style="49" customWidth="1"/>
    <col min="7439" max="7440" width="12.625" style="49" customWidth="1"/>
    <col min="7441" max="7441" width="9" style="49"/>
    <col min="7442" max="7442" width="7.75" style="49" customWidth="1"/>
    <col min="7443" max="7443" width="13.125" style="49" customWidth="1"/>
    <col min="7444" max="7444" width="6.125" style="49" customWidth="1"/>
    <col min="7445" max="7445" width="9.75" style="49" customWidth="1"/>
    <col min="7446" max="7446" width="1.375" style="49" customWidth="1"/>
    <col min="7447" max="7686" width="9" style="49"/>
    <col min="7687" max="7687" width="1.375" style="49" customWidth="1"/>
    <col min="7688" max="7688" width="3.5" style="49" customWidth="1"/>
    <col min="7689" max="7689" width="22.125" style="49" customWidth="1"/>
    <col min="7690" max="7690" width="9.75" style="49" customWidth="1"/>
    <col min="7691" max="7691" width="7.375" style="49" customWidth="1"/>
    <col min="7692" max="7692" width="9" style="49"/>
    <col min="7693" max="7693" width="9.25" style="49" customWidth="1"/>
    <col min="7694" max="7694" width="3.5" style="49" customWidth="1"/>
    <col min="7695" max="7696" width="12.625" style="49" customWidth="1"/>
    <col min="7697" max="7697" width="9" style="49"/>
    <col min="7698" max="7698" width="7.75" style="49" customWidth="1"/>
    <col min="7699" max="7699" width="13.125" style="49" customWidth="1"/>
    <col min="7700" max="7700" width="6.125" style="49" customWidth="1"/>
    <col min="7701" max="7701" width="9.75" style="49" customWidth="1"/>
    <col min="7702" max="7702" width="1.375" style="49" customWidth="1"/>
    <col min="7703" max="7942" width="9" style="49"/>
    <col min="7943" max="7943" width="1.375" style="49" customWidth="1"/>
    <col min="7944" max="7944" width="3.5" style="49" customWidth="1"/>
    <col min="7945" max="7945" width="22.125" style="49" customWidth="1"/>
    <col min="7946" max="7946" width="9.75" style="49" customWidth="1"/>
    <col min="7947" max="7947" width="7.375" style="49" customWidth="1"/>
    <col min="7948" max="7948" width="9" style="49"/>
    <col min="7949" max="7949" width="9.25" style="49" customWidth="1"/>
    <col min="7950" max="7950" width="3.5" style="49" customWidth="1"/>
    <col min="7951" max="7952" width="12.625" style="49" customWidth="1"/>
    <col min="7953" max="7953" width="9" style="49"/>
    <col min="7954" max="7954" width="7.75" style="49" customWidth="1"/>
    <col min="7955" max="7955" width="13.125" style="49" customWidth="1"/>
    <col min="7956" max="7956" width="6.125" style="49" customWidth="1"/>
    <col min="7957" max="7957" width="9.75" style="49" customWidth="1"/>
    <col min="7958" max="7958" width="1.375" style="49" customWidth="1"/>
    <col min="7959" max="8198" width="9" style="49"/>
    <col min="8199" max="8199" width="1.375" style="49" customWidth="1"/>
    <col min="8200" max="8200" width="3.5" style="49" customWidth="1"/>
    <col min="8201" max="8201" width="22.125" style="49" customWidth="1"/>
    <col min="8202" max="8202" width="9.75" style="49" customWidth="1"/>
    <col min="8203" max="8203" width="7.375" style="49" customWidth="1"/>
    <col min="8204" max="8204" width="9" style="49"/>
    <col min="8205" max="8205" width="9.25" style="49" customWidth="1"/>
    <col min="8206" max="8206" width="3.5" style="49" customWidth="1"/>
    <col min="8207" max="8208" width="12.625" style="49" customWidth="1"/>
    <col min="8209" max="8209" width="9" style="49"/>
    <col min="8210" max="8210" width="7.75" style="49" customWidth="1"/>
    <col min="8211" max="8211" width="13.125" style="49" customWidth="1"/>
    <col min="8212" max="8212" width="6.125" style="49" customWidth="1"/>
    <col min="8213" max="8213" width="9.75" style="49" customWidth="1"/>
    <col min="8214" max="8214" width="1.375" style="49" customWidth="1"/>
    <col min="8215" max="8454" width="9" style="49"/>
    <col min="8455" max="8455" width="1.375" style="49" customWidth="1"/>
    <col min="8456" max="8456" width="3.5" style="49" customWidth="1"/>
    <col min="8457" max="8457" width="22.125" style="49" customWidth="1"/>
    <col min="8458" max="8458" width="9.75" style="49" customWidth="1"/>
    <col min="8459" max="8459" width="7.375" style="49" customWidth="1"/>
    <col min="8460" max="8460" width="9" style="49"/>
    <col min="8461" max="8461" width="9.25" style="49" customWidth="1"/>
    <col min="8462" max="8462" width="3.5" style="49" customWidth="1"/>
    <col min="8463" max="8464" width="12.625" style="49" customWidth="1"/>
    <col min="8465" max="8465" width="9" style="49"/>
    <col min="8466" max="8466" width="7.75" style="49" customWidth="1"/>
    <col min="8467" max="8467" width="13.125" style="49" customWidth="1"/>
    <col min="8468" max="8468" width="6.125" style="49" customWidth="1"/>
    <col min="8469" max="8469" width="9.75" style="49" customWidth="1"/>
    <col min="8470" max="8470" width="1.375" style="49" customWidth="1"/>
    <col min="8471" max="8710" width="9" style="49"/>
    <col min="8711" max="8711" width="1.375" style="49" customWidth="1"/>
    <col min="8712" max="8712" width="3.5" style="49" customWidth="1"/>
    <col min="8713" max="8713" width="22.125" style="49" customWidth="1"/>
    <col min="8714" max="8714" width="9.75" style="49" customWidth="1"/>
    <col min="8715" max="8715" width="7.375" style="49" customWidth="1"/>
    <col min="8716" max="8716" width="9" style="49"/>
    <col min="8717" max="8717" width="9.25" style="49" customWidth="1"/>
    <col min="8718" max="8718" width="3.5" style="49" customWidth="1"/>
    <col min="8719" max="8720" width="12.625" style="49" customWidth="1"/>
    <col min="8721" max="8721" width="9" style="49"/>
    <col min="8722" max="8722" width="7.75" style="49" customWidth="1"/>
    <col min="8723" max="8723" width="13.125" style="49" customWidth="1"/>
    <col min="8724" max="8724" width="6.125" style="49" customWidth="1"/>
    <col min="8725" max="8725" width="9.75" style="49" customWidth="1"/>
    <col min="8726" max="8726" width="1.375" style="49" customWidth="1"/>
    <col min="8727" max="8966" width="9" style="49"/>
    <col min="8967" max="8967" width="1.375" style="49" customWidth="1"/>
    <col min="8968" max="8968" width="3.5" style="49" customWidth="1"/>
    <col min="8969" max="8969" width="22.125" style="49" customWidth="1"/>
    <col min="8970" max="8970" width="9.75" style="49" customWidth="1"/>
    <col min="8971" max="8971" width="7.375" style="49" customWidth="1"/>
    <col min="8972" max="8972" width="9" style="49"/>
    <col min="8973" max="8973" width="9.25" style="49" customWidth="1"/>
    <col min="8974" max="8974" width="3.5" style="49" customWidth="1"/>
    <col min="8975" max="8976" width="12.625" style="49" customWidth="1"/>
    <col min="8977" max="8977" width="9" style="49"/>
    <col min="8978" max="8978" width="7.75" style="49" customWidth="1"/>
    <col min="8979" max="8979" width="13.125" style="49" customWidth="1"/>
    <col min="8980" max="8980" width="6.125" style="49" customWidth="1"/>
    <col min="8981" max="8981" width="9.75" style="49" customWidth="1"/>
    <col min="8982" max="8982" width="1.375" style="49" customWidth="1"/>
    <col min="8983" max="9222" width="9" style="49"/>
    <col min="9223" max="9223" width="1.375" style="49" customWidth="1"/>
    <col min="9224" max="9224" width="3.5" style="49" customWidth="1"/>
    <col min="9225" max="9225" width="22.125" style="49" customWidth="1"/>
    <col min="9226" max="9226" width="9.75" style="49" customWidth="1"/>
    <col min="9227" max="9227" width="7.375" style="49" customWidth="1"/>
    <col min="9228" max="9228" width="9" style="49"/>
    <col min="9229" max="9229" width="9.25" style="49" customWidth="1"/>
    <col min="9230" max="9230" width="3.5" style="49" customWidth="1"/>
    <col min="9231" max="9232" width="12.625" style="49" customWidth="1"/>
    <col min="9233" max="9233" width="9" style="49"/>
    <col min="9234" max="9234" width="7.75" style="49" customWidth="1"/>
    <col min="9235" max="9235" width="13.125" style="49" customWidth="1"/>
    <col min="9236" max="9236" width="6.125" style="49" customWidth="1"/>
    <col min="9237" max="9237" width="9.75" style="49" customWidth="1"/>
    <col min="9238" max="9238" width="1.375" style="49" customWidth="1"/>
    <col min="9239" max="9478" width="9" style="49"/>
    <col min="9479" max="9479" width="1.375" style="49" customWidth="1"/>
    <col min="9480" max="9480" width="3.5" style="49" customWidth="1"/>
    <col min="9481" max="9481" width="22.125" style="49" customWidth="1"/>
    <col min="9482" max="9482" width="9.75" style="49" customWidth="1"/>
    <col min="9483" max="9483" width="7.375" style="49" customWidth="1"/>
    <col min="9484" max="9484" width="9" style="49"/>
    <col min="9485" max="9485" width="9.25" style="49" customWidth="1"/>
    <col min="9486" max="9486" width="3.5" style="49" customWidth="1"/>
    <col min="9487" max="9488" width="12.625" style="49" customWidth="1"/>
    <col min="9489" max="9489" width="9" style="49"/>
    <col min="9490" max="9490" width="7.75" style="49" customWidth="1"/>
    <col min="9491" max="9491" width="13.125" style="49" customWidth="1"/>
    <col min="9492" max="9492" width="6.125" style="49" customWidth="1"/>
    <col min="9493" max="9493" width="9.75" style="49" customWidth="1"/>
    <col min="9494" max="9494" width="1.375" style="49" customWidth="1"/>
    <col min="9495" max="9734" width="9" style="49"/>
    <col min="9735" max="9735" width="1.375" style="49" customWidth="1"/>
    <col min="9736" max="9736" width="3.5" style="49" customWidth="1"/>
    <col min="9737" max="9737" width="22.125" style="49" customWidth="1"/>
    <col min="9738" max="9738" width="9.75" style="49" customWidth="1"/>
    <col min="9739" max="9739" width="7.375" style="49" customWidth="1"/>
    <col min="9740" max="9740" width="9" style="49"/>
    <col min="9741" max="9741" width="9.25" style="49" customWidth="1"/>
    <col min="9742" max="9742" width="3.5" style="49" customWidth="1"/>
    <col min="9743" max="9744" width="12.625" style="49" customWidth="1"/>
    <col min="9745" max="9745" width="9" style="49"/>
    <col min="9746" max="9746" width="7.75" style="49" customWidth="1"/>
    <col min="9747" max="9747" width="13.125" style="49" customWidth="1"/>
    <col min="9748" max="9748" width="6.125" style="49" customWidth="1"/>
    <col min="9749" max="9749" width="9.75" style="49" customWidth="1"/>
    <col min="9750" max="9750" width="1.375" style="49" customWidth="1"/>
    <col min="9751" max="9990" width="9" style="49"/>
    <col min="9991" max="9991" width="1.375" style="49" customWidth="1"/>
    <col min="9992" max="9992" width="3.5" style="49" customWidth="1"/>
    <col min="9993" max="9993" width="22.125" style="49" customWidth="1"/>
    <col min="9994" max="9994" width="9.75" style="49" customWidth="1"/>
    <col min="9995" max="9995" width="7.375" style="49" customWidth="1"/>
    <col min="9996" max="9996" width="9" style="49"/>
    <col min="9997" max="9997" width="9.25" style="49" customWidth="1"/>
    <col min="9998" max="9998" width="3.5" style="49" customWidth="1"/>
    <col min="9999" max="10000" width="12.625" style="49" customWidth="1"/>
    <col min="10001" max="10001" width="9" style="49"/>
    <col min="10002" max="10002" width="7.75" style="49" customWidth="1"/>
    <col min="10003" max="10003" width="13.125" style="49" customWidth="1"/>
    <col min="10004" max="10004" width="6.125" style="49" customWidth="1"/>
    <col min="10005" max="10005" width="9.75" style="49" customWidth="1"/>
    <col min="10006" max="10006" width="1.375" style="49" customWidth="1"/>
    <col min="10007" max="10246" width="9" style="49"/>
    <col min="10247" max="10247" width="1.375" style="49" customWidth="1"/>
    <col min="10248" max="10248" width="3.5" style="49" customWidth="1"/>
    <col min="10249" max="10249" width="22.125" style="49" customWidth="1"/>
    <col min="10250" max="10250" width="9.75" style="49" customWidth="1"/>
    <col min="10251" max="10251" width="7.375" style="49" customWidth="1"/>
    <col min="10252" max="10252" width="9" style="49"/>
    <col min="10253" max="10253" width="9.25" style="49" customWidth="1"/>
    <col min="10254" max="10254" width="3.5" style="49" customWidth="1"/>
    <col min="10255" max="10256" width="12.625" style="49" customWidth="1"/>
    <col min="10257" max="10257" width="9" style="49"/>
    <col min="10258" max="10258" width="7.75" style="49" customWidth="1"/>
    <col min="10259" max="10259" width="13.125" style="49" customWidth="1"/>
    <col min="10260" max="10260" width="6.125" style="49" customWidth="1"/>
    <col min="10261" max="10261" width="9.75" style="49" customWidth="1"/>
    <col min="10262" max="10262" width="1.375" style="49" customWidth="1"/>
    <col min="10263" max="10502" width="9" style="49"/>
    <col min="10503" max="10503" width="1.375" style="49" customWidth="1"/>
    <col min="10504" max="10504" width="3.5" style="49" customWidth="1"/>
    <col min="10505" max="10505" width="22.125" style="49" customWidth="1"/>
    <col min="10506" max="10506" width="9.75" style="49" customWidth="1"/>
    <col min="10507" max="10507" width="7.375" style="49" customWidth="1"/>
    <col min="10508" max="10508" width="9" style="49"/>
    <col min="10509" max="10509" width="9.25" style="49" customWidth="1"/>
    <col min="10510" max="10510" width="3.5" style="49" customWidth="1"/>
    <col min="10511" max="10512" width="12.625" style="49" customWidth="1"/>
    <col min="10513" max="10513" width="9" style="49"/>
    <col min="10514" max="10514" width="7.75" style="49" customWidth="1"/>
    <col min="10515" max="10515" width="13.125" style="49" customWidth="1"/>
    <col min="10516" max="10516" width="6.125" style="49" customWidth="1"/>
    <col min="10517" max="10517" width="9.75" style="49" customWidth="1"/>
    <col min="10518" max="10518" width="1.375" style="49" customWidth="1"/>
    <col min="10519" max="10758" width="9" style="49"/>
    <col min="10759" max="10759" width="1.375" style="49" customWidth="1"/>
    <col min="10760" max="10760" width="3.5" style="49" customWidth="1"/>
    <col min="10761" max="10761" width="22.125" style="49" customWidth="1"/>
    <col min="10762" max="10762" width="9.75" style="49" customWidth="1"/>
    <col min="10763" max="10763" width="7.375" style="49" customWidth="1"/>
    <col min="10764" max="10764" width="9" style="49"/>
    <col min="10765" max="10765" width="9.25" style="49" customWidth="1"/>
    <col min="10766" max="10766" width="3.5" style="49" customWidth="1"/>
    <col min="10767" max="10768" width="12.625" style="49" customWidth="1"/>
    <col min="10769" max="10769" width="9" style="49"/>
    <col min="10770" max="10770" width="7.75" style="49" customWidth="1"/>
    <col min="10771" max="10771" width="13.125" style="49" customWidth="1"/>
    <col min="10772" max="10772" width="6.125" style="49" customWidth="1"/>
    <col min="10773" max="10773" width="9.75" style="49" customWidth="1"/>
    <col min="10774" max="10774" width="1.375" style="49" customWidth="1"/>
    <col min="10775" max="11014" width="9" style="49"/>
    <col min="11015" max="11015" width="1.375" style="49" customWidth="1"/>
    <col min="11016" max="11016" width="3.5" style="49" customWidth="1"/>
    <col min="11017" max="11017" width="22.125" style="49" customWidth="1"/>
    <col min="11018" max="11018" width="9.75" style="49" customWidth="1"/>
    <col min="11019" max="11019" width="7.375" style="49" customWidth="1"/>
    <col min="11020" max="11020" width="9" style="49"/>
    <col min="11021" max="11021" width="9.25" style="49" customWidth="1"/>
    <col min="11022" max="11022" width="3.5" style="49" customWidth="1"/>
    <col min="11023" max="11024" width="12.625" style="49" customWidth="1"/>
    <col min="11025" max="11025" width="9" style="49"/>
    <col min="11026" max="11026" width="7.75" style="49" customWidth="1"/>
    <col min="11027" max="11027" width="13.125" style="49" customWidth="1"/>
    <col min="11028" max="11028" width="6.125" style="49" customWidth="1"/>
    <col min="11029" max="11029" width="9.75" style="49" customWidth="1"/>
    <col min="11030" max="11030" width="1.375" style="49" customWidth="1"/>
    <col min="11031" max="11270" width="9" style="49"/>
    <col min="11271" max="11271" width="1.375" style="49" customWidth="1"/>
    <col min="11272" max="11272" width="3.5" style="49" customWidth="1"/>
    <col min="11273" max="11273" width="22.125" style="49" customWidth="1"/>
    <col min="11274" max="11274" width="9.75" style="49" customWidth="1"/>
    <col min="11275" max="11275" width="7.375" style="49" customWidth="1"/>
    <col min="11276" max="11276" width="9" style="49"/>
    <col min="11277" max="11277" width="9.25" style="49" customWidth="1"/>
    <col min="11278" max="11278" width="3.5" style="49" customWidth="1"/>
    <col min="11279" max="11280" width="12.625" style="49" customWidth="1"/>
    <col min="11281" max="11281" width="9" style="49"/>
    <col min="11282" max="11282" width="7.75" style="49" customWidth="1"/>
    <col min="11283" max="11283" width="13.125" style="49" customWidth="1"/>
    <col min="11284" max="11284" width="6.125" style="49" customWidth="1"/>
    <col min="11285" max="11285" width="9.75" style="49" customWidth="1"/>
    <col min="11286" max="11286" width="1.375" style="49" customWidth="1"/>
    <col min="11287" max="11526" width="9" style="49"/>
    <col min="11527" max="11527" width="1.375" style="49" customWidth="1"/>
    <col min="11528" max="11528" width="3.5" style="49" customWidth="1"/>
    <col min="11529" max="11529" width="22.125" style="49" customWidth="1"/>
    <col min="11530" max="11530" width="9.75" style="49" customWidth="1"/>
    <col min="11531" max="11531" width="7.375" style="49" customWidth="1"/>
    <col min="11532" max="11532" width="9" style="49"/>
    <col min="11533" max="11533" width="9.25" style="49" customWidth="1"/>
    <col min="11534" max="11534" width="3.5" style="49" customWidth="1"/>
    <col min="11535" max="11536" width="12.625" style="49" customWidth="1"/>
    <col min="11537" max="11537" width="9" style="49"/>
    <col min="11538" max="11538" width="7.75" style="49" customWidth="1"/>
    <col min="11539" max="11539" width="13.125" style="49" customWidth="1"/>
    <col min="11540" max="11540" width="6.125" style="49" customWidth="1"/>
    <col min="11541" max="11541" width="9.75" style="49" customWidth="1"/>
    <col min="11542" max="11542" width="1.375" style="49" customWidth="1"/>
    <col min="11543" max="11782" width="9" style="49"/>
    <col min="11783" max="11783" width="1.375" style="49" customWidth="1"/>
    <col min="11784" max="11784" width="3.5" style="49" customWidth="1"/>
    <col min="11785" max="11785" width="22.125" style="49" customWidth="1"/>
    <col min="11786" max="11786" width="9.75" style="49" customWidth="1"/>
    <col min="11787" max="11787" width="7.375" style="49" customWidth="1"/>
    <col min="11788" max="11788" width="9" style="49"/>
    <col min="11789" max="11789" width="9.25" style="49" customWidth="1"/>
    <col min="11790" max="11790" width="3.5" style="49" customWidth="1"/>
    <col min="11791" max="11792" width="12.625" style="49" customWidth="1"/>
    <col min="11793" max="11793" width="9" style="49"/>
    <col min="11794" max="11794" width="7.75" style="49" customWidth="1"/>
    <col min="11795" max="11795" width="13.125" style="49" customWidth="1"/>
    <col min="11796" max="11796" width="6.125" style="49" customWidth="1"/>
    <col min="11797" max="11797" width="9.75" style="49" customWidth="1"/>
    <col min="11798" max="11798" width="1.375" style="49" customWidth="1"/>
    <col min="11799" max="12038" width="9" style="49"/>
    <col min="12039" max="12039" width="1.375" style="49" customWidth="1"/>
    <col min="12040" max="12040" width="3.5" style="49" customWidth="1"/>
    <col min="12041" max="12041" width="22.125" style="49" customWidth="1"/>
    <col min="12042" max="12042" width="9.75" style="49" customWidth="1"/>
    <col min="12043" max="12043" width="7.375" style="49" customWidth="1"/>
    <col min="12044" max="12044" width="9" style="49"/>
    <col min="12045" max="12045" width="9.25" style="49" customWidth="1"/>
    <col min="12046" max="12046" width="3.5" style="49" customWidth="1"/>
    <col min="12047" max="12048" width="12.625" style="49" customWidth="1"/>
    <col min="12049" max="12049" width="9" style="49"/>
    <col min="12050" max="12050" width="7.75" style="49" customWidth="1"/>
    <col min="12051" max="12051" width="13.125" style="49" customWidth="1"/>
    <col min="12052" max="12052" width="6.125" style="49" customWidth="1"/>
    <col min="12053" max="12053" width="9.75" style="49" customWidth="1"/>
    <col min="12054" max="12054" width="1.375" style="49" customWidth="1"/>
    <col min="12055" max="12294" width="9" style="49"/>
    <col min="12295" max="12295" width="1.375" style="49" customWidth="1"/>
    <col min="12296" max="12296" width="3.5" style="49" customWidth="1"/>
    <col min="12297" max="12297" width="22.125" style="49" customWidth="1"/>
    <col min="12298" max="12298" width="9.75" style="49" customWidth="1"/>
    <col min="12299" max="12299" width="7.375" style="49" customWidth="1"/>
    <col min="12300" max="12300" width="9" style="49"/>
    <col min="12301" max="12301" width="9.25" style="49" customWidth="1"/>
    <col min="12302" max="12302" width="3.5" style="49" customWidth="1"/>
    <col min="12303" max="12304" width="12.625" style="49" customWidth="1"/>
    <col min="12305" max="12305" width="9" style="49"/>
    <col min="12306" max="12306" width="7.75" style="49" customWidth="1"/>
    <col min="12307" max="12307" width="13.125" style="49" customWidth="1"/>
    <col min="12308" max="12308" width="6.125" style="49" customWidth="1"/>
    <col min="12309" max="12309" width="9.75" style="49" customWidth="1"/>
    <col min="12310" max="12310" width="1.375" style="49" customWidth="1"/>
    <col min="12311" max="12550" width="9" style="49"/>
    <col min="12551" max="12551" width="1.375" style="49" customWidth="1"/>
    <col min="12552" max="12552" width="3.5" style="49" customWidth="1"/>
    <col min="12553" max="12553" width="22.125" style="49" customWidth="1"/>
    <col min="12554" max="12554" width="9.75" style="49" customWidth="1"/>
    <col min="12555" max="12555" width="7.375" style="49" customWidth="1"/>
    <col min="12556" max="12556" width="9" style="49"/>
    <col min="12557" max="12557" width="9.25" style="49" customWidth="1"/>
    <col min="12558" max="12558" width="3.5" style="49" customWidth="1"/>
    <col min="12559" max="12560" width="12.625" style="49" customWidth="1"/>
    <col min="12561" max="12561" width="9" style="49"/>
    <col min="12562" max="12562" width="7.75" style="49" customWidth="1"/>
    <col min="12563" max="12563" width="13.125" style="49" customWidth="1"/>
    <col min="12564" max="12564" width="6.125" style="49" customWidth="1"/>
    <col min="12565" max="12565" width="9.75" style="49" customWidth="1"/>
    <col min="12566" max="12566" width="1.375" style="49" customWidth="1"/>
    <col min="12567" max="12806" width="9" style="49"/>
    <col min="12807" max="12807" width="1.375" style="49" customWidth="1"/>
    <col min="12808" max="12808" width="3.5" style="49" customWidth="1"/>
    <col min="12809" max="12809" width="22.125" style="49" customWidth="1"/>
    <col min="12810" max="12810" width="9.75" style="49" customWidth="1"/>
    <col min="12811" max="12811" width="7.375" style="49" customWidth="1"/>
    <col min="12812" max="12812" width="9" style="49"/>
    <col min="12813" max="12813" width="9.25" style="49" customWidth="1"/>
    <col min="12814" max="12814" width="3.5" style="49" customWidth="1"/>
    <col min="12815" max="12816" width="12.625" style="49" customWidth="1"/>
    <col min="12817" max="12817" width="9" style="49"/>
    <col min="12818" max="12818" width="7.75" style="49" customWidth="1"/>
    <col min="12819" max="12819" width="13.125" style="49" customWidth="1"/>
    <col min="12820" max="12820" width="6.125" style="49" customWidth="1"/>
    <col min="12821" max="12821" width="9.75" style="49" customWidth="1"/>
    <col min="12822" max="12822" width="1.375" style="49" customWidth="1"/>
    <col min="12823" max="13062" width="9" style="49"/>
    <col min="13063" max="13063" width="1.375" style="49" customWidth="1"/>
    <col min="13064" max="13064" width="3.5" style="49" customWidth="1"/>
    <col min="13065" max="13065" width="22.125" style="49" customWidth="1"/>
    <col min="13066" max="13066" width="9.75" style="49" customWidth="1"/>
    <col min="13067" max="13067" width="7.375" style="49" customWidth="1"/>
    <col min="13068" max="13068" width="9" style="49"/>
    <col min="13069" max="13069" width="9.25" style="49" customWidth="1"/>
    <col min="13070" max="13070" width="3.5" style="49" customWidth="1"/>
    <col min="13071" max="13072" width="12.625" style="49" customWidth="1"/>
    <col min="13073" max="13073" width="9" style="49"/>
    <col min="13074" max="13074" width="7.75" style="49" customWidth="1"/>
    <col min="13075" max="13075" width="13.125" style="49" customWidth="1"/>
    <col min="13076" max="13076" width="6.125" style="49" customWidth="1"/>
    <col min="13077" max="13077" width="9.75" style="49" customWidth="1"/>
    <col min="13078" max="13078" width="1.375" style="49" customWidth="1"/>
    <col min="13079" max="13318" width="9" style="49"/>
    <col min="13319" max="13319" width="1.375" style="49" customWidth="1"/>
    <col min="13320" max="13320" width="3.5" style="49" customWidth="1"/>
    <col min="13321" max="13321" width="22.125" style="49" customWidth="1"/>
    <col min="13322" max="13322" width="9.75" style="49" customWidth="1"/>
    <col min="13323" max="13323" width="7.375" style="49" customWidth="1"/>
    <col min="13324" max="13324" width="9" style="49"/>
    <col min="13325" max="13325" width="9.25" style="49" customWidth="1"/>
    <col min="13326" max="13326" width="3.5" style="49" customWidth="1"/>
    <col min="13327" max="13328" width="12.625" style="49" customWidth="1"/>
    <col min="13329" max="13329" width="9" style="49"/>
    <col min="13330" max="13330" width="7.75" style="49" customWidth="1"/>
    <col min="13331" max="13331" width="13.125" style="49" customWidth="1"/>
    <col min="13332" max="13332" width="6.125" style="49" customWidth="1"/>
    <col min="13333" max="13333" width="9.75" style="49" customWidth="1"/>
    <col min="13334" max="13334" width="1.375" style="49" customWidth="1"/>
    <col min="13335" max="13574" width="9" style="49"/>
    <col min="13575" max="13575" width="1.375" style="49" customWidth="1"/>
    <col min="13576" max="13576" width="3.5" style="49" customWidth="1"/>
    <col min="13577" max="13577" width="22.125" style="49" customWidth="1"/>
    <col min="13578" max="13578" width="9.75" style="49" customWidth="1"/>
    <col min="13579" max="13579" width="7.375" style="49" customWidth="1"/>
    <col min="13580" max="13580" width="9" style="49"/>
    <col min="13581" max="13581" width="9.25" style="49" customWidth="1"/>
    <col min="13582" max="13582" width="3.5" style="49" customWidth="1"/>
    <col min="13583" max="13584" width="12.625" style="49" customWidth="1"/>
    <col min="13585" max="13585" width="9" style="49"/>
    <col min="13586" max="13586" width="7.75" style="49" customWidth="1"/>
    <col min="13587" max="13587" width="13.125" style="49" customWidth="1"/>
    <col min="13588" max="13588" width="6.125" style="49" customWidth="1"/>
    <col min="13589" max="13589" width="9.75" style="49" customWidth="1"/>
    <col min="13590" max="13590" width="1.375" style="49" customWidth="1"/>
    <col min="13591" max="13830" width="9" style="49"/>
    <col min="13831" max="13831" width="1.375" style="49" customWidth="1"/>
    <col min="13832" max="13832" width="3.5" style="49" customWidth="1"/>
    <col min="13833" max="13833" width="22.125" style="49" customWidth="1"/>
    <col min="13834" max="13834" width="9.75" style="49" customWidth="1"/>
    <col min="13835" max="13835" width="7.375" style="49" customWidth="1"/>
    <col min="13836" max="13836" width="9" style="49"/>
    <col min="13837" max="13837" width="9.25" style="49" customWidth="1"/>
    <col min="13838" max="13838" width="3.5" style="49" customWidth="1"/>
    <col min="13839" max="13840" width="12.625" style="49" customWidth="1"/>
    <col min="13841" max="13841" width="9" style="49"/>
    <col min="13842" max="13842" width="7.75" style="49" customWidth="1"/>
    <col min="13843" max="13843" width="13.125" style="49" customWidth="1"/>
    <col min="13844" max="13844" width="6.125" style="49" customWidth="1"/>
    <col min="13845" max="13845" width="9.75" style="49" customWidth="1"/>
    <col min="13846" max="13846" width="1.375" style="49" customWidth="1"/>
    <col min="13847" max="14086" width="9" style="49"/>
    <col min="14087" max="14087" width="1.375" style="49" customWidth="1"/>
    <col min="14088" max="14088" width="3.5" style="49" customWidth="1"/>
    <col min="14089" max="14089" width="22.125" style="49" customWidth="1"/>
    <col min="14090" max="14090" width="9.75" style="49" customWidth="1"/>
    <col min="14091" max="14091" width="7.375" style="49" customWidth="1"/>
    <col min="14092" max="14092" width="9" style="49"/>
    <col min="14093" max="14093" width="9.25" style="49" customWidth="1"/>
    <col min="14094" max="14094" width="3.5" style="49" customWidth="1"/>
    <col min="14095" max="14096" width="12.625" style="49" customWidth="1"/>
    <col min="14097" max="14097" width="9" style="49"/>
    <col min="14098" max="14098" width="7.75" style="49" customWidth="1"/>
    <col min="14099" max="14099" width="13.125" style="49" customWidth="1"/>
    <col min="14100" max="14100" width="6.125" style="49" customWidth="1"/>
    <col min="14101" max="14101" width="9.75" style="49" customWidth="1"/>
    <col min="14102" max="14102" width="1.375" style="49" customWidth="1"/>
    <col min="14103" max="14342" width="9" style="49"/>
    <col min="14343" max="14343" width="1.375" style="49" customWidth="1"/>
    <col min="14344" max="14344" width="3.5" style="49" customWidth="1"/>
    <col min="14345" max="14345" width="22.125" style="49" customWidth="1"/>
    <col min="14346" max="14346" width="9.75" style="49" customWidth="1"/>
    <col min="14347" max="14347" width="7.375" style="49" customWidth="1"/>
    <col min="14348" max="14348" width="9" style="49"/>
    <col min="14349" max="14349" width="9.25" style="49" customWidth="1"/>
    <col min="14350" max="14350" width="3.5" style="49" customWidth="1"/>
    <col min="14351" max="14352" width="12.625" style="49" customWidth="1"/>
    <col min="14353" max="14353" width="9" style="49"/>
    <col min="14354" max="14354" width="7.75" style="49" customWidth="1"/>
    <col min="14355" max="14355" width="13.125" style="49" customWidth="1"/>
    <col min="14356" max="14356" width="6.125" style="49" customWidth="1"/>
    <col min="14357" max="14357" width="9.75" style="49" customWidth="1"/>
    <col min="14358" max="14358" width="1.375" style="49" customWidth="1"/>
    <col min="14359" max="14598" width="9" style="49"/>
    <col min="14599" max="14599" width="1.375" style="49" customWidth="1"/>
    <col min="14600" max="14600" width="3.5" style="49" customWidth="1"/>
    <col min="14601" max="14601" width="22.125" style="49" customWidth="1"/>
    <col min="14602" max="14602" width="9.75" style="49" customWidth="1"/>
    <col min="14603" max="14603" width="7.375" style="49" customWidth="1"/>
    <col min="14604" max="14604" width="9" style="49"/>
    <col min="14605" max="14605" width="9.25" style="49" customWidth="1"/>
    <col min="14606" max="14606" width="3.5" style="49" customWidth="1"/>
    <col min="14607" max="14608" width="12.625" style="49" customWidth="1"/>
    <col min="14609" max="14609" width="9" style="49"/>
    <col min="14610" max="14610" width="7.75" style="49" customWidth="1"/>
    <col min="14611" max="14611" width="13.125" style="49" customWidth="1"/>
    <col min="14612" max="14612" width="6.125" style="49" customWidth="1"/>
    <col min="14613" max="14613" width="9.75" style="49" customWidth="1"/>
    <col min="14614" max="14614" width="1.375" style="49" customWidth="1"/>
    <col min="14615" max="14854" width="9" style="49"/>
    <col min="14855" max="14855" width="1.375" style="49" customWidth="1"/>
    <col min="14856" max="14856" width="3.5" style="49" customWidth="1"/>
    <col min="14857" max="14857" width="22.125" style="49" customWidth="1"/>
    <col min="14858" max="14858" width="9.75" style="49" customWidth="1"/>
    <col min="14859" max="14859" width="7.375" style="49" customWidth="1"/>
    <col min="14860" max="14860" width="9" style="49"/>
    <col min="14861" max="14861" width="9.25" style="49" customWidth="1"/>
    <col min="14862" max="14862" width="3.5" style="49" customWidth="1"/>
    <col min="14863" max="14864" width="12.625" style="49" customWidth="1"/>
    <col min="14865" max="14865" width="9" style="49"/>
    <col min="14866" max="14866" width="7.75" style="49" customWidth="1"/>
    <col min="14867" max="14867" width="13.125" style="49" customWidth="1"/>
    <col min="14868" max="14868" width="6.125" style="49" customWidth="1"/>
    <col min="14869" max="14869" width="9.75" style="49" customWidth="1"/>
    <col min="14870" max="14870" width="1.375" style="49" customWidth="1"/>
    <col min="14871" max="15110" width="9" style="49"/>
    <col min="15111" max="15111" width="1.375" style="49" customWidth="1"/>
    <col min="15112" max="15112" width="3.5" style="49" customWidth="1"/>
    <col min="15113" max="15113" width="22.125" style="49" customWidth="1"/>
    <col min="15114" max="15114" width="9.75" style="49" customWidth="1"/>
    <col min="15115" max="15115" width="7.375" style="49" customWidth="1"/>
    <col min="15116" max="15116" width="9" style="49"/>
    <col min="15117" max="15117" width="9.25" style="49" customWidth="1"/>
    <col min="15118" max="15118" width="3.5" style="49" customWidth="1"/>
    <col min="15119" max="15120" width="12.625" style="49" customWidth="1"/>
    <col min="15121" max="15121" width="9" style="49"/>
    <col min="15122" max="15122" width="7.75" style="49" customWidth="1"/>
    <col min="15123" max="15123" width="13.125" style="49" customWidth="1"/>
    <col min="15124" max="15124" width="6.125" style="49" customWidth="1"/>
    <col min="15125" max="15125" width="9.75" style="49" customWidth="1"/>
    <col min="15126" max="15126" width="1.375" style="49" customWidth="1"/>
    <col min="15127" max="15366" width="9" style="49"/>
    <col min="15367" max="15367" width="1.375" style="49" customWidth="1"/>
    <col min="15368" max="15368" width="3.5" style="49" customWidth="1"/>
    <col min="15369" max="15369" width="22.125" style="49" customWidth="1"/>
    <col min="15370" max="15370" width="9.75" style="49" customWidth="1"/>
    <col min="15371" max="15371" width="7.375" style="49" customWidth="1"/>
    <col min="15372" max="15372" width="9" style="49"/>
    <col min="15373" max="15373" width="9.25" style="49" customWidth="1"/>
    <col min="15374" max="15374" width="3.5" style="49" customWidth="1"/>
    <col min="15375" max="15376" width="12.625" style="49" customWidth="1"/>
    <col min="15377" max="15377" width="9" style="49"/>
    <col min="15378" max="15378" width="7.75" style="49" customWidth="1"/>
    <col min="15379" max="15379" width="13.125" style="49" customWidth="1"/>
    <col min="15380" max="15380" width="6.125" style="49" customWidth="1"/>
    <col min="15381" max="15381" width="9.75" style="49" customWidth="1"/>
    <col min="15382" max="15382" width="1.375" style="49" customWidth="1"/>
    <col min="15383" max="15622" width="9" style="49"/>
    <col min="15623" max="15623" width="1.375" style="49" customWidth="1"/>
    <col min="15624" max="15624" width="3.5" style="49" customWidth="1"/>
    <col min="15625" max="15625" width="22.125" style="49" customWidth="1"/>
    <col min="15626" max="15626" width="9.75" style="49" customWidth="1"/>
    <col min="15627" max="15627" width="7.375" style="49" customWidth="1"/>
    <col min="15628" max="15628" width="9" style="49"/>
    <col min="15629" max="15629" width="9.25" style="49" customWidth="1"/>
    <col min="15630" max="15630" width="3.5" style="49" customWidth="1"/>
    <col min="15631" max="15632" width="12.625" style="49" customWidth="1"/>
    <col min="15633" max="15633" width="9" style="49"/>
    <col min="15634" max="15634" width="7.75" style="49" customWidth="1"/>
    <col min="15635" max="15635" width="13.125" style="49" customWidth="1"/>
    <col min="15636" max="15636" width="6.125" style="49" customWidth="1"/>
    <col min="15637" max="15637" width="9.75" style="49" customWidth="1"/>
    <col min="15638" max="15638" width="1.375" style="49" customWidth="1"/>
    <col min="15639" max="15878" width="9" style="49"/>
    <col min="15879" max="15879" width="1.375" style="49" customWidth="1"/>
    <col min="15880" max="15880" width="3.5" style="49" customWidth="1"/>
    <col min="15881" max="15881" width="22.125" style="49" customWidth="1"/>
    <col min="15882" max="15882" width="9.75" style="49" customWidth="1"/>
    <col min="15883" max="15883" width="7.375" style="49" customWidth="1"/>
    <col min="15884" max="15884" width="9" style="49"/>
    <col min="15885" max="15885" width="9.25" style="49" customWidth="1"/>
    <col min="15886" max="15886" width="3.5" style="49" customWidth="1"/>
    <col min="15887" max="15888" width="12.625" style="49" customWidth="1"/>
    <col min="15889" max="15889" width="9" style="49"/>
    <col min="15890" max="15890" width="7.75" style="49" customWidth="1"/>
    <col min="15891" max="15891" width="13.125" style="49" customWidth="1"/>
    <col min="15892" max="15892" width="6.125" style="49" customWidth="1"/>
    <col min="15893" max="15893" width="9.75" style="49" customWidth="1"/>
    <col min="15894" max="15894" width="1.375" style="49" customWidth="1"/>
    <col min="15895" max="16134" width="9" style="49"/>
    <col min="16135" max="16135" width="1.375" style="49" customWidth="1"/>
    <col min="16136" max="16136" width="3.5" style="49" customWidth="1"/>
    <col min="16137" max="16137" width="22.125" style="49" customWidth="1"/>
    <col min="16138" max="16138" width="9.75" style="49" customWidth="1"/>
    <col min="16139" max="16139" width="7.375" style="49" customWidth="1"/>
    <col min="16140" max="16140" width="9" style="49"/>
    <col min="16141" max="16141" width="9.25" style="49" customWidth="1"/>
    <col min="16142" max="16142" width="3.5" style="49" customWidth="1"/>
    <col min="16143" max="16144" width="12.625" style="49" customWidth="1"/>
    <col min="16145" max="16145" width="9" style="49"/>
    <col min="16146" max="16146" width="7.75" style="49" customWidth="1"/>
    <col min="16147" max="16147" width="13.125" style="49" customWidth="1"/>
    <col min="16148" max="16148" width="6.125" style="49" customWidth="1"/>
    <col min="16149" max="16149" width="9.75" style="49" customWidth="1"/>
    <col min="16150" max="16150" width="1.375" style="49" customWidth="1"/>
    <col min="16151" max="16384" width="9" style="49"/>
  </cols>
  <sheetData>
    <row r="1" spans="2:22" ht="9.9499999999999993" customHeight="1" x14ac:dyDescent="0.15"/>
    <row r="2" spans="2:22" ht="24.95" customHeight="1" x14ac:dyDescent="0.15">
      <c r="B2" s="1" t="s">
        <v>348</v>
      </c>
      <c r="C2" s="51"/>
      <c r="D2" s="5"/>
      <c r="E2" s="5"/>
      <c r="F2" s="51"/>
      <c r="G2" s="100"/>
      <c r="H2" s="110"/>
      <c r="I2" s="100"/>
      <c r="J2" s="100"/>
      <c r="K2" s="100"/>
      <c r="L2" s="100"/>
      <c r="M2" s="100"/>
      <c r="N2" s="100"/>
      <c r="O2" s="5"/>
    </row>
    <row r="3" spans="2:22" ht="15" customHeight="1" thickBot="1" x14ac:dyDescent="0.2">
      <c r="B3" s="49" t="s">
        <v>206</v>
      </c>
      <c r="I3" s="5" t="s">
        <v>207</v>
      </c>
      <c r="P3" s="49" t="s">
        <v>228</v>
      </c>
    </row>
    <row r="4" spans="2:22" ht="15" customHeight="1" x14ac:dyDescent="0.15">
      <c r="B4" s="515" t="s">
        <v>81</v>
      </c>
      <c r="C4" s="516" t="s">
        <v>170</v>
      </c>
      <c r="D4" s="516" t="s">
        <v>138</v>
      </c>
      <c r="E4" s="516" t="s">
        <v>139</v>
      </c>
      <c r="F4" s="516" t="s">
        <v>24</v>
      </c>
      <c r="G4" s="254" t="s">
        <v>140</v>
      </c>
      <c r="H4" s="139"/>
      <c r="I4" s="1117" t="s">
        <v>81</v>
      </c>
      <c r="J4" s="1142" t="s">
        <v>173</v>
      </c>
      <c r="K4" s="144" t="s">
        <v>676</v>
      </c>
      <c r="L4" s="144" t="s">
        <v>141</v>
      </c>
      <c r="M4" s="1142" t="s">
        <v>24</v>
      </c>
      <c r="N4" s="1143" t="s">
        <v>140</v>
      </c>
      <c r="O4" s="158"/>
      <c r="P4" s="517" t="s">
        <v>176</v>
      </c>
      <c r="Q4" s="518" t="s">
        <v>177</v>
      </c>
      <c r="R4" s="518" t="s">
        <v>178</v>
      </c>
      <c r="S4" s="518" t="s">
        <v>677</v>
      </c>
      <c r="T4" s="1119" t="s">
        <v>179</v>
      </c>
      <c r="U4" s="1120"/>
      <c r="V4" s="519" t="s">
        <v>180</v>
      </c>
    </row>
    <row r="5" spans="2:22" ht="15" customHeight="1" x14ac:dyDescent="0.15">
      <c r="B5" s="1112" t="s">
        <v>165</v>
      </c>
      <c r="C5" s="445"/>
      <c r="D5" s="445"/>
      <c r="E5" s="446"/>
      <c r="F5" s="445"/>
      <c r="G5" s="605">
        <f>D5*F5</f>
        <v>0</v>
      </c>
      <c r="H5" s="140"/>
      <c r="I5" s="1118"/>
      <c r="J5" s="1116"/>
      <c r="K5" s="288" t="s">
        <v>143</v>
      </c>
      <c r="L5" s="288" t="s">
        <v>269</v>
      </c>
      <c r="M5" s="1116"/>
      <c r="N5" s="1130"/>
      <c r="O5" s="158"/>
      <c r="P5" s="545" t="s">
        <v>470</v>
      </c>
      <c r="Q5" s="608"/>
      <c r="R5" s="609" t="s">
        <v>678</v>
      </c>
      <c r="S5" s="608"/>
      <c r="T5" s="1121"/>
      <c r="U5" s="1122"/>
      <c r="V5" s="610">
        <v>2000</v>
      </c>
    </row>
    <row r="6" spans="2:22" ht="15" customHeight="1" x14ac:dyDescent="0.15">
      <c r="B6" s="1084"/>
      <c r="C6" s="445"/>
      <c r="D6" s="445"/>
      <c r="E6" s="446"/>
      <c r="F6" s="445"/>
      <c r="G6" s="448">
        <f t="shared" ref="G6" si="0">D6*F6</f>
        <v>0</v>
      </c>
      <c r="H6" s="140"/>
      <c r="I6" s="1144" t="s">
        <v>172</v>
      </c>
      <c r="J6" s="445" t="s">
        <v>266</v>
      </c>
      <c r="K6" s="449">
        <v>17.399999999999999</v>
      </c>
      <c r="L6" s="449">
        <v>13</v>
      </c>
      <c r="M6" s="449">
        <v>123.2</v>
      </c>
      <c r="N6" s="303">
        <f>K6*L6*M6</f>
        <v>27867.84</v>
      </c>
      <c r="O6" s="158"/>
      <c r="P6" s="607"/>
      <c r="Q6" s="608"/>
      <c r="R6" s="609"/>
      <c r="S6" s="608"/>
      <c r="T6" s="1109"/>
      <c r="U6" s="1110"/>
      <c r="V6" s="610"/>
    </row>
    <row r="7" spans="2:22" ht="15" customHeight="1" thickBot="1" x14ac:dyDescent="0.2">
      <c r="B7" s="1085"/>
      <c r="C7" s="130" t="s">
        <v>144</v>
      </c>
      <c r="D7" s="130"/>
      <c r="E7" s="130"/>
      <c r="F7" s="130"/>
      <c r="G7" s="131">
        <f>SUM(G5:G6)</f>
        <v>0</v>
      </c>
      <c r="H7" s="140"/>
      <c r="I7" s="1094"/>
      <c r="J7" s="445" t="s">
        <v>559</v>
      </c>
      <c r="K7" s="449">
        <v>1.5</v>
      </c>
      <c r="L7" s="449">
        <v>11.5</v>
      </c>
      <c r="M7" s="449">
        <v>123.2</v>
      </c>
      <c r="N7" s="303">
        <f t="shared" ref="N7:N10" si="1">K7*L7*M7</f>
        <v>2125.2000000000003</v>
      </c>
      <c r="O7" s="158"/>
      <c r="P7" s="607"/>
      <c r="Q7" s="608"/>
      <c r="R7" s="609"/>
      <c r="S7" s="608"/>
      <c r="T7" s="1109"/>
      <c r="U7" s="1110"/>
      <c r="V7" s="610"/>
    </row>
    <row r="8" spans="2:22" ht="15" customHeight="1" thickTop="1" x14ac:dyDescent="0.15">
      <c r="B8" s="1083" t="s">
        <v>163</v>
      </c>
      <c r="C8" s="445" t="s">
        <v>482</v>
      </c>
      <c r="D8" s="445">
        <v>10</v>
      </c>
      <c r="E8" s="446" t="s">
        <v>142</v>
      </c>
      <c r="F8" s="445">
        <v>600</v>
      </c>
      <c r="G8" s="448">
        <f>D8*F8</f>
        <v>6000</v>
      </c>
      <c r="H8" s="140"/>
      <c r="I8" s="1094"/>
      <c r="J8" s="445" t="s">
        <v>275</v>
      </c>
      <c r="K8" s="449">
        <v>1.2</v>
      </c>
      <c r="L8" s="449">
        <v>3</v>
      </c>
      <c r="M8" s="449">
        <v>123.2</v>
      </c>
      <c r="N8" s="303">
        <f t="shared" si="1"/>
        <v>443.52</v>
      </c>
      <c r="O8" s="158"/>
      <c r="P8" s="607"/>
      <c r="Q8" s="608"/>
      <c r="R8" s="609"/>
      <c r="S8" s="608"/>
      <c r="T8" s="1109"/>
      <c r="U8" s="1110"/>
      <c r="V8" s="610"/>
    </row>
    <row r="9" spans="2:22" ht="15" customHeight="1" x14ac:dyDescent="0.15">
      <c r="B9" s="1084"/>
      <c r="C9" s="445"/>
      <c r="D9" s="445"/>
      <c r="E9" s="446"/>
      <c r="F9" s="445"/>
      <c r="G9" s="448">
        <f>D9*F9</f>
        <v>0</v>
      </c>
      <c r="H9" s="140"/>
      <c r="I9" s="1094"/>
      <c r="J9" s="296" t="s">
        <v>270</v>
      </c>
      <c r="K9" s="297">
        <v>2.6</v>
      </c>
      <c r="L9" s="297">
        <v>5</v>
      </c>
      <c r="M9" s="449">
        <v>123.2</v>
      </c>
      <c r="N9" s="298">
        <f t="shared" si="1"/>
        <v>1601.6000000000001</v>
      </c>
      <c r="O9" s="158"/>
      <c r="P9" s="607"/>
      <c r="Q9" s="608"/>
      <c r="R9" s="609"/>
      <c r="S9" s="608"/>
      <c r="T9" s="1109"/>
      <c r="U9" s="1110"/>
      <c r="V9" s="610"/>
    </row>
    <row r="10" spans="2:22" ht="15" customHeight="1" x14ac:dyDescent="0.15">
      <c r="B10" s="1084"/>
      <c r="C10" s="445"/>
      <c r="D10" s="445"/>
      <c r="E10" s="446"/>
      <c r="F10" s="445"/>
      <c r="G10" s="448">
        <f>D10*F10</f>
        <v>0</v>
      </c>
      <c r="H10" s="140"/>
      <c r="I10" s="1094"/>
      <c r="J10" s="300" t="s">
        <v>560</v>
      </c>
      <c r="K10" s="301">
        <v>1.6</v>
      </c>
      <c r="L10" s="301">
        <v>3.5</v>
      </c>
      <c r="M10" s="449">
        <v>123.2</v>
      </c>
      <c r="N10" s="302">
        <f t="shared" si="1"/>
        <v>689.92000000000007</v>
      </c>
      <c r="O10" s="158"/>
      <c r="P10" s="607"/>
      <c r="Q10" s="608"/>
      <c r="R10" s="609"/>
      <c r="S10" s="608"/>
      <c r="T10" s="1109"/>
      <c r="U10" s="1110"/>
      <c r="V10" s="610"/>
    </row>
    <row r="11" spans="2:22" ht="15" customHeight="1" thickBot="1" x14ac:dyDescent="0.2">
      <c r="B11" s="1085"/>
      <c r="C11" s="132" t="s">
        <v>145</v>
      </c>
      <c r="D11" s="133"/>
      <c r="E11" s="133"/>
      <c r="F11" s="133"/>
      <c r="G11" s="134">
        <f>SUM(G8:G10)</f>
        <v>6000</v>
      </c>
      <c r="H11" s="140"/>
      <c r="I11" s="1095"/>
      <c r="J11" s="285" t="s">
        <v>683</v>
      </c>
      <c r="K11" s="286">
        <f>SUM(K6:K9)</f>
        <v>22.7</v>
      </c>
      <c r="L11" s="286">
        <f>SUM(L6:L10)</f>
        <v>36</v>
      </c>
      <c r="M11" s="286"/>
      <c r="N11" s="289">
        <f>SUM(N6:N10)</f>
        <v>32728.080000000002</v>
      </c>
      <c r="O11" s="158"/>
      <c r="P11" s="607"/>
      <c r="Q11" s="608"/>
      <c r="R11" s="609"/>
      <c r="S11" s="608"/>
      <c r="T11" s="1109"/>
      <c r="U11" s="1110"/>
      <c r="V11" s="610"/>
    </row>
    <row r="12" spans="2:22" ht="15" customHeight="1" thickTop="1" x14ac:dyDescent="0.15">
      <c r="B12" s="1083" t="s">
        <v>164</v>
      </c>
      <c r="C12" s="445" t="s">
        <v>681</v>
      </c>
      <c r="D12" s="445">
        <v>10</v>
      </c>
      <c r="E12" s="446" t="s">
        <v>142</v>
      </c>
      <c r="F12" s="445">
        <v>2070</v>
      </c>
      <c r="G12" s="448">
        <f>D12*F12</f>
        <v>20700</v>
      </c>
      <c r="H12" s="140"/>
      <c r="I12" s="1093" t="s">
        <v>684</v>
      </c>
      <c r="J12" s="445"/>
      <c r="K12" s="449"/>
      <c r="L12" s="449"/>
      <c r="M12" s="449"/>
      <c r="N12" s="303"/>
      <c r="O12" s="158"/>
      <c r="P12" s="607"/>
      <c r="Q12" s="608"/>
      <c r="R12" s="609"/>
      <c r="S12" s="608"/>
      <c r="T12" s="1109"/>
      <c r="U12" s="1110"/>
      <c r="V12" s="610"/>
    </row>
    <row r="13" spans="2:22" ht="15" customHeight="1" x14ac:dyDescent="0.15">
      <c r="B13" s="1084"/>
      <c r="C13" s="445"/>
      <c r="D13" s="445"/>
      <c r="E13" s="446"/>
      <c r="F13" s="445"/>
      <c r="G13" s="448">
        <f>D13*F13</f>
        <v>0</v>
      </c>
      <c r="H13" s="140"/>
      <c r="I13" s="1094"/>
      <c r="J13" s="445"/>
      <c r="K13" s="449"/>
      <c r="L13" s="449"/>
      <c r="M13" s="449"/>
      <c r="N13" s="303">
        <f t="shared" ref="N13:N14" si="2">K13*L13*M13</f>
        <v>0</v>
      </c>
      <c r="O13" s="158"/>
      <c r="P13" s="607"/>
      <c r="Q13" s="608"/>
      <c r="R13" s="609"/>
      <c r="S13" s="608"/>
      <c r="T13" s="1109"/>
      <c r="U13" s="1110"/>
      <c r="V13" s="610"/>
    </row>
    <row r="14" spans="2:22" ht="15" customHeight="1" x14ac:dyDescent="0.15">
      <c r="B14" s="1084"/>
      <c r="C14" s="445"/>
      <c r="D14" s="445"/>
      <c r="E14" s="446"/>
      <c r="F14" s="445"/>
      <c r="G14" s="448">
        <f>D14*F14</f>
        <v>0</v>
      </c>
      <c r="H14" s="140"/>
      <c r="I14" s="1094"/>
      <c r="J14" s="445"/>
      <c r="K14" s="449"/>
      <c r="L14" s="449"/>
      <c r="M14" s="449"/>
      <c r="N14" s="303">
        <f t="shared" si="2"/>
        <v>0</v>
      </c>
      <c r="O14" s="158"/>
      <c r="P14" s="607"/>
      <c r="Q14" s="608"/>
      <c r="R14" s="609"/>
      <c r="S14" s="608"/>
      <c r="T14" s="1109"/>
      <c r="U14" s="1110"/>
      <c r="V14" s="610"/>
    </row>
    <row r="15" spans="2:22" ht="15" customHeight="1" thickBot="1" x14ac:dyDescent="0.2">
      <c r="B15" s="1084"/>
      <c r="C15" s="445"/>
      <c r="D15" s="445"/>
      <c r="E15" s="445"/>
      <c r="F15" s="445"/>
      <c r="G15" s="448">
        <f t="shared" ref="G15" si="3">D15*F15</f>
        <v>0</v>
      </c>
      <c r="H15" s="140"/>
      <c r="I15" s="1095"/>
      <c r="J15" s="228" t="s">
        <v>683</v>
      </c>
      <c r="K15" s="145">
        <f>SUM(K12:K14)</f>
        <v>0</v>
      </c>
      <c r="L15" s="145">
        <f>SUM(L12:L14)</f>
        <v>0</v>
      </c>
      <c r="M15" s="145"/>
      <c r="N15" s="290">
        <f>SUM(N12:N14)</f>
        <v>0</v>
      </c>
      <c r="O15" s="158"/>
      <c r="P15" s="607"/>
      <c r="Q15" s="608"/>
      <c r="R15" s="609"/>
      <c r="S15" s="608"/>
      <c r="T15" s="1109"/>
      <c r="U15" s="1110"/>
      <c r="V15" s="610"/>
    </row>
    <row r="16" spans="2:22" ht="15" customHeight="1" thickTop="1" thickBot="1" x14ac:dyDescent="0.2">
      <c r="B16" s="1085"/>
      <c r="C16" s="132" t="s">
        <v>145</v>
      </c>
      <c r="D16" s="133"/>
      <c r="E16" s="133"/>
      <c r="F16" s="133"/>
      <c r="G16" s="134">
        <f>SUM(G12:G15)</f>
        <v>20700</v>
      </c>
      <c r="H16" s="140"/>
      <c r="I16" s="1083" t="s">
        <v>174</v>
      </c>
      <c r="J16" s="445"/>
      <c r="K16" s="449"/>
      <c r="L16" s="449"/>
      <c r="M16" s="449"/>
      <c r="N16" s="448">
        <f t="shared" ref="N16:N22" si="4">K16*L16*M16</f>
        <v>0</v>
      </c>
      <c r="O16" s="158"/>
      <c r="P16" s="607"/>
      <c r="Q16" s="608"/>
      <c r="R16" s="609"/>
      <c r="S16" s="608"/>
      <c r="T16" s="1109"/>
      <c r="U16" s="1110"/>
      <c r="V16" s="610"/>
    </row>
    <row r="17" spans="2:22" ht="15" customHeight="1" thickTop="1" x14ac:dyDescent="0.15">
      <c r="B17" s="1083" t="s">
        <v>166</v>
      </c>
      <c r="C17" s="445"/>
      <c r="D17" s="445"/>
      <c r="E17" s="446"/>
      <c r="F17" s="445"/>
      <c r="G17" s="448">
        <f t="shared" ref="G17" si="5">D17*F17</f>
        <v>0</v>
      </c>
      <c r="H17" s="140"/>
      <c r="I17" s="1084"/>
      <c r="J17" s="445"/>
      <c r="K17" s="449"/>
      <c r="L17" s="449"/>
      <c r="M17" s="449"/>
      <c r="N17" s="448">
        <f t="shared" si="4"/>
        <v>0</v>
      </c>
      <c r="O17" s="158"/>
      <c r="P17" s="607"/>
      <c r="Q17" s="608"/>
      <c r="R17" s="609"/>
      <c r="S17" s="608"/>
      <c r="T17" s="1109"/>
      <c r="U17" s="1110"/>
      <c r="V17" s="610"/>
    </row>
    <row r="18" spans="2:22" ht="15" customHeight="1" x14ac:dyDescent="0.15">
      <c r="B18" s="1084"/>
      <c r="C18" s="445"/>
      <c r="D18" s="445"/>
      <c r="E18" s="446"/>
      <c r="F18" s="445"/>
      <c r="G18" s="448">
        <f>D18*F18</f>
        <v>0</v>
      </c>
      <c r="H18" s="140"/>
      <c r="I18" s="1084"/>
      <c r="J18" s="445"/>
      <c r="K18" s="449"/>
      <c r="L18" s="449"/>
      <c r="M18" s="449"/>
      <c r="N18" s="448">
        <f t="shared" si="4"/>
        <v>0</v>
      </c>
      <c r="O18" s="158"/>
      <c r="P18" s="607"/>
      <c r="Q18" s="608"/>
      <c r="R18" s="609"/>
      <c r="S18" s="608"/>
      <c r="T18" s="1109"/>
      <c r="U18" s="1110"/>
      <c r="V18" s="610"/>
    </row>
    <row r="19" spans="2:22" ht="15" customHeight="1" thickBot="1" x14ac:dyDescent="0.2">
      <c r="B19" s="1084"/>
      <c r="C19" s="445"/>
      <c r="D19" s="445"/>
      <c r="E19" s="445"/>
      <c r="F19" s="445"/>
      <c r="G19" s="448">
        <f t="shared" ref="G19" si="6">D19*F19</f>
        <v>0</v>
      </c>
      <c r="H19" s="140"/>
      <c r="I19" s="1085"/>
      <c r="J19" s="228" t="s">
        <v>685</v>
      </c>
      <c r="K19" s="145">
        <f>SUM(K16:K18)</f>
        <v>0</v>
      </c>
      <c r="L19" s="146">
        <f>SUM(L16:L18)</f>
        <v>0</v>
      </c>
      <c r="M19" s="147"/>
      <c r="N19" s="143">
        <f>SUM(N16:N18)</f>
        <v>0</v>
      </c>
      <c r="O19" s="158"/>
      <c r="P19" s="607"/>
      <c r="Q19" s="608"/>
      <c r="R19" s="609"/>
      <c r="S19" s="608"/>
      <c r="T19" s="1109"/>
      <c r="U19" s="1110"/>
      <c r="V19" s="610"/>
    </row>
    <row r="20" spans="2:22" ht="15" customHeight="1" thickTop="1" thickBot="1" x14ac:dyDescent="0.2">
      <c r="B20" s="1085"/>
      <c r="C20" s="132" t="s">
        <v>145</v>
      </c>
      <c r="D20" s="133"/>
      <c r="E20" s="133"/>
      <c r="F20" s="133"/>
      <c r="G20" s="134">
        <f>SUM(G17:G19)</f>
        <v>0</v>
      </c>
      <c r="H20" s="140"/>
      <c r="I20" s="1083" t="s">
        <v>175</v>
      </c>
      <c r="J20" s="445" t="s">
        <v>271</v>
      </c>
      <c r="K20" s="449">
        <v>3.5</v>
      </c>
      <c r="L20" s="449">
        <v>6.1</v>
      </c>
      <c r="M20" s="449">
        <v>107.8</v>
      </c>
      <c r="N20" s="448">
        <f t="shared" si="4"/>
        <v>2301.5299999999997</v>
      </c>
      <c r="O20" s="158"/>
      <c r="P20" s="454" t="s">
        <v>29</v>
      </c>
      <c r="Q20" s="240"/>
      <c r="R20" s="240"/>
      <c r="S20" s="240"/>
      <c r="T20" s="1131"/>
      <c r="U20" s="1132"/>
      <c r="V20" s="455">
        <f>SUM(V5:V19)</f>
        <v>2000</v>
      </c>
    </row>
    <row r="21" spans="2:22" ht="15" customHeight="1" thickTop="1" x14ac:dyDescent="0.15">
      <c r="B21" s="1083" t="s">
        <v>167</v>
      </c>
      <c r="C21" s="445"/>
      <c r="D21" s="445"/>
      <c r="E21" s="446"/>
      <c r="F21" s="445"/>
      <c r="G21" s="448">
        <f>D21*F21</f>
        <v>0</v>
      </c>
      <c r="H21" s="140"/>
      <c r="I21" s="1084"/>
      <c r="J21" s="445"/>
      <c r="K21" s="449"/>
      <c r="L21" s="449"/>
      <c r="M21" s="449"/>
      <c r="N21" s="448">
        <f t="shared" si="4"/>
        <v>0</v>
      </c>
      <c r="O21" s="158"/>
    </row>
    <row r="22" spans="2:22" ht="15" customHeight="1" thickBot="1" x14ac:dyDescent="0.2">
      <c r="B22" s="1084"/>
      <c r="C22" s="445"/>
      <c r="D22" s="445"/>
      <c r="E22" s="446"/>
      <c r="F22" s="445"/>
      <c r="G22" s="448">
        <f>D22*F22</f>
        <v>0</v>
      </c>
      <c r="H22" s="140"/>
      <c r="I22" s="1084"/>
      <c r="J22" s="445"/>
      <c r="K22" s="449"/>
      <c r="L22" s="449"/>
      <c r="M22" s="449"/>
      <c r="N22" s="448">
        <f t="shared" si="4"/>
        <v>0</v>
      </c>
      <c r="O22" s="158"/>
      <c r="P22" s="49" t="s">
        <v>229</v>
      </c>
    </row>
    <row r="23" spans="2:22" ht="15" customHeight="1" thickBot="1" x14ac:dyDescent="0.2">
      <c r="B23" s="1084"/>
      <c r="C23" s="445"/>
      <c r="D23" s="445"/>
      <c r="E23" s="446"/>
      <c r="F23" s="445"/>
      <c r="G23" s="448">
        <f>D23*F23</f>
        <v>0</v>
      </c>
      <c r="H23" s="140"/>
      <c r="I23" s="1085"/>
      <c r="J23" s="228" t="s">
        <v>688</v>
      </c>
      <c r="K23" s="145">
        <f>SUM(K20:K22)</f>
        <v>3.5</v>
      </c>
      <c r="L23" s="146">
        <f>SUM(L20:L22)</f>
        <v>6.1</v>
      </c>
      <c r="M23" s="147"/>
      <c r="N23" s="143">
        <f>SUM(N20:N22)</f>
        <v>2301.5299999999997</v>
      </c>
      <c r="O23" s="158"/>
      <c r="P23" s="517" t="s">
        <v>181</v>
      </c>
      <c r="Q23" s="518" t="s">
        <v>177</v>
      </c>
      <c r="R23" s="518" t="s">
        <v>178</v>
      </c>
      <c r="S23" s="518" t="s">
        <v>677</v>
      </c>
      <c r="T23" s="518" t="s">
        <v>179</v>
      </c>
      <c r="U23" s="603" t="s">
        <v>182</v>
      </c>
      <c r="V23" s="519" t="s">
        <v>180</v>
      </c>
    </row>
    <row r="24" spans="2:22" ht="15" customHeight="1" thickTop="1" thickBot="1" x14ac:dyDescent="0.2">
      <c r="B24" s="1111"/>
      <c r="C24" s="135" t="s">
        <v>147</v>
      </c>
      <c r="D24" s="136"/>
      <c r="E24" s="136"/>
      <c r="F24" s="142"/>
      <c r="G24" s="137">
        <f>SUM(G21:G23)</f>
        <v>0</v>
      </c>
      <c r="I24" s="1083" t="s">
        <v>246</v>
      </c>
      <c r="J24" s="445"/>
      <c r="K24" s="449"/>
      <c r="L24" s="449"/>
      <c r="M24" s="449"/>
      <c r="N24" s="448">
        <f t="shared" ref="N24:N26" si="7">K24*L24*M24</f>
        <v>0</v>
      </c>
      <c r="O24" s="158"/>
      <c r="P24" s="607" t="s">
        <v>473</v>
      </c>
      <c r="Q24" s="608">
        <v>10</v>
      </c>
      <c r="R24" s="609" t="s">
        <v>689</v>
      </c>
      <c r="S24" s="546">
        <v>500</v>
      </c>
      <c r="T24" s="608">
        <v>2</v>
      </c>
      <c r="U24" s="613">
        <v>30</v>
      </c>
      <c r="V24" s="610">
        <f>Q24*S24/T24/U24</f>
        <v>83.333333333333329</v>
      </c>
    </row>
    <row r="25" spans="2:22" ht="15" customHeight="1" x14ac:dyDescent="0.15">
      <c r="H25" s="141"/>
      <c r="I25" s="1084"/>
      <c r="J25" s="445"/>
      <c r="K25" s="449"/>
      <c r="L25" s="449"/>
      <c r="M25" s="449"/>
      <c r="N25" s="448">
        <f t="shared" si="7"/>
        <v>0</v>
      </c>
      <c r="O25" s="158"/>
      <c r="P25" s="607"/>
      <c r="Q25" s="608"/>
      <c r="R25" s="609"/>
      <c r="S25" s="608"/>
      <c r="T25" s="608"/>
      <c r="U25" s="613"/>
      <c r="V25" s="610"/>
    </row>
    <row r="26" spans="2:22" ht="15" customHeight="1" thickBot="1" x14ac:dyDescent="0.2">
      <c r="B26" s="5" t="s">
        <v>690</v>
      </c>
      <c r="C26" s="5"/>
      <c r="D26" s="51"/>
      <c r="E26" s="5"/>
      <c r="F26" s="51"/>
      <c r="G26" s="598"/>
      <c r="H26" s="139"/>
      <c r="I26" s="1084"/>
      <c r="J26" s="445"/>
      <c r="K26" s="449"/>
      <c r="L26" s="449"/>
      <c r="M26" s="449"/>
      <c r="N26" s="448">
        <f t="shared" si="7"/>
        <v>0</v>
      </c>
      <c r="O26" s="158"/>
      <c r="P26" s="607"/>
      <c r="Q26" s="608"/>
      <c r="R26" s="609"/>
      <c r="S26" s="608"/>
      <c r="T26" s="608"/>
      <c r="U26" s="613"/>
      <c r="V26" s="610"/>
    </row>
    <row r="27" spans="2:22" ht="15" customHeight="1" thickBot="1" x14ac:dyDescent="0.2">
      <c r="B27" s="515" t="s">
        <v>81</v>
      </c>
      <c r="C27" s="516" t="s">
        <v>137</v>
      </c>
      <c r="D27" s="516" t="s">
        <v>138</v>
      </c>
      <c r="E27" s="516" t="s">
        <v>139</v>
      </c>
      <c r="F27" s="516" t="s">
        <v>24</v>
      </c>
      <c r="G27" s="254" t="s">
        <v>140</v>
      </c>
      <c r="H27" s="140"/>
      <c r="I27" s="1085"/>
      <c r="J27" s="228" t="s">
        <v>714</v>
      </c>
      <c r="K27" s="145">
        <f>SUM(K24:K26)</f>
        <v>0</v>
      </c>
      <c r="L27" s="146">
        <f>SUM(L24:L26)</f>
        <v>0</v>
      </c>
      <c r="M27" s="147"/>
      <c r="N27" s="143">
        <f>SUM(N24:N26)</f>
        <v>0</v>
      </c>
      <c r="O27" s="158"/>
      <c r="P27" s="607"/>
      <c r="Q27" s="608"/>
      <c r="R27" s="609"/>
      <c r="S27" s="608"/>
      <c r="T27" s="608"/>
      <c r="U27" s="613"/>
      <c r="V27" s="610"/>
    </row>
    <row r="28" spans="2:22" ht="15" customHeight="1" thickTop="1" x14ac:dyDescent="0.15">
      <c r="B28" s="1112" t="s">
        <v>30</v>
      </c>
      <c r="C28" s="445" t="s">
        <v>30</v>
      </c>
      <c r="D28" s="445">
        <v>2.6</v>
      </c>
      <c r="E28" s="446" t="s">
        <v>142</v>
      </c>
      <c r="F28" s="445">
        <v>2580</v>
      </c>
      <c r="G28" s="605">
        <f t="shared" ref="G28:G37" si="8">D28*F28</f>
        <v>6708</v>
      </c>
      <c r="H28" s="140"/>
      <c r="I28" s="1083" t="s">
        <v>171</v>
      </c>
      <c r="J28" s="445" t="s">
        <v>271</v>
      </c>
      <c r="K28" s="449">
        <v>3.5</v>
      </c>
      <c r="L28" s="449">
        <v>5</v>
      </c>
      <c r="M28" s="449">
        <v>22</v>
      </c>
      <c r="N28" s="448">
        <f>K28*L28*M28</f>
        <v>385</v>
      </c>
      <c r="O28" s="158"/>
      <c r="P28" s="607"/>
      <c r="Q28" s="608"/>
      <c r="R28" s="609"/>
      <c r="S28" s="608"/>
      <c r="T28" s="608"/>
      <c r="U28" s="613"/>
      <c r="V28" s="610"/>
    </row>
    <row r="29" spans="2:22" ht="15" customHeight="1" x14ac:dyDescent="0.15">
      <c r="B29" s="1084"/>
      <c r="C29" s="445" t="s">
        <v>30</v>
      </c>
      <c r="D29" s="445">
        <v>2</v>
      </c>
      <c r="E29" s="446" t="s">
        <v>142</v>
      </c>
      <c r="F29" s="445">
        <v>5190</v>
      </c>
      <c r="G29" s="448">
        <f t="shared" si="8"/>
        <v>10380</v>
      </c>
      <c r="H29" s="140"/>
      <c r="I29" s="1084"/>
      <c r="J29" s="445"/>
      <c r="K29" s="449"/>
      <c r="L29" s="449"/>
      <c r="M29" s="449"/>
      <c r="N29" s="448">
        <f t="shared" ref="N29:N30" si="9">K29*L29*M29</f>
        <v>0</v>
      </c>
      <c r="O29" s="50"/>
      <c r="P29" s="607"/>
      <c r="Q29" s="608"/>
      <c r="R29" s="609"/>
      <c r="S29" s="608"/>
      <c r="T29" s="608"/>
      <c r="U29" s="613"/>
      <c r="V29" s="610"/>
    </row>
    <row r="30" spans="2:22" ht="15" customHeight="1" x14ac:dyDescent="0.15">
      <c r="B30" s="1084"/>
      <c r="C30" s="445"/>
      <c r="D30" s="445"/>
      <c r="E30" s="446"/>
      <c r="F30" s="445"/>
      <c r="G30" s="448">
        <f t="shared" si="8"/>
        <v>0</v>
      </c>
      <c r="H30" s="140"/>
      <c r="I30" s="1084"/>
      <c r="J30" s="445"/>
      <c r="K30" s="449"/>
      <c r="L30" s="449"/>
      <c r="M30" s="449"/>
      <c r="N30" s="448">
        <f t="shared" si="9"/>
        <v>0</v>
      </c>
      <c r="P30" s="607"/>
      <c r="Q30" s="608"/>
      <c r="R30" s="609"/>
      <c r="S30" s="608"/>
      <c r="T30" s="608"/>
      <c r="U30" s="613"/>
      <c r="V30" s="610"/>
    </row>
    <row r="31" spans="2:22" ht="15" customHeight="1" thickBot="1" x14ac:dyDescent="0.2">
      <c r="B31" s="1084"/>
      <c r="C31" s="445"/>
      <c r="D31" s="445"/>
      <c r="E31" s="446"/>
      <c r="F31" s="445"/>
      <c r="G31" s="448">
        <f t="shared" si="8"/>
        <v>0</v>
      </c>
      <c r="H31" s="140"/>
      <c r="I31" s="1111"/>
      <c r="J31" s="229" t="s">
        <v>715</v>
      </c>
      <c r="K31" s="148">
        <f>SUM(K28:K30)</f>
        <v>3.5</v>
      </c>
      <c r="L31" s="520">
        <f>SUM(L28:L30)</f>
        <v>5</v>
      </c>
      <c r="M31" s="150"/>
      <c r="N31" s="521">
        <f>SUM(N28:N30)</f>
        <v>385</v>
      </c>
      <c r="P31" s="607"/>
      <c r="Q31" s="608"/>
      <c r="R31" s="609"/>
      <c r="S31" s="608"/>
      <c r="T31" s="608"/>
      <c r="U31" s="613"/>
      <c r="V31" s="610"/>
    </row>
    <row r="32" spans="2:22" ht="15" customHeight="1" x14ac:dyDescent="0.15">
      <c r="B32" s="1084"/>
      <c r="C32" s="445"/>
      <c r="D32" s="445"/>
      <c r="E32" s="446"/>
      <c r="F32" s="445"/>
      <c r="G32" s="448">
        <f t="shared" si="8"/>
        <v>0</v>
      </c>
      <c r="H32" s="140"/>
      <c r="I32" s="125"/>
      <c r="J32" s="125"/>
      <c r="K32" s="125"/>
      <c r="L32" s="125"/>
      <c r="M32" s="125"/>
      <c r="N32" s="125"/>
      <c r="P32" s="607"/>
      <c r="Q32" s="608"/>
      <c r="R32" s="609"/>
      <c r="S32" s="608"/>
      <c r="T32" s="608"/>
      <c r="U32" s="613"/>
      <c r="V32" s="610"/>
    </row>
    <row r="33" spans="2:22" ht="15" customHeight="1" thickBot="1" x14ac:dyDescent="0.2">
      <c r="B33" s="1084"/>
      <c r="C33" s="445"/>
      <c r="D33" s="445"/>
      <c r="E33" s="446"/>
      <c r="F33" s="445"/>
      <c r="G33" s="448">
        <f t="shared" si="8"/>
        <v>0</v>
      </c>
      <c r="H33" s="140"/>
      <c r="I33" s="115" t="s">
        <v>227</v>
      </c>
      <c r="J33" s="115"/>
      <c r="K33" s="115"/>
      <c r="L33" s="115"/>
      <c r="M33" s="115"/>
      <c r="P33" s="607"/>
      <c r="Q33" s="608"/>
      <c r="R33" s="609"/>
      <c r="S33" s="608"/>
      <c r="T33" s="608"/>
      <c r="U33" s="613"/>
      <c r="V33" s="610"/>
    </row>
    <row r="34" spans="2:22" ht="15" customHeight="1" thickBot="1" x14ac:dyDescent="0.2">
      <c r="B34" s="1084"/>
      <c r="C34" s="445"/>
      <c r="D34" s="445"/>
      <c r="E34" s="446"/>
      <c r="F34" s="445"/>
      <c r="G34" s="448">
        <f t="shared" si="8"/>
        <v>0</v>
      </c>
      <c r="H34" s="140"/>
      <c r="I34" s="214" t="s">
        <v>215</v>
      </c>
      <c r="J34" s="457" t="s">
        <v>5</v>
      </c>
      <c r="K34" s="1096" t="s">
        <v>216</v>
      </c>
      <c r="L34" s="1097"/>
      <c r="M34" s="230" t="s">
        <v>182</v>
      </c>
      <c r="N34" s="458" t="s">
        <v>716</v>
      </c>
      <c r="P34" s="599" t="s">
        <v>220</v>
      </c>
      <c r="Q34" s="240"/>
      <c r="R34" s="240"/>
      <c r="S34" s="240"/>
      <c r="T34" s="240"/>
      <c r="U34" s="152"/>
      <c r="V34" s="455">
        <f>SUM(V24:V33)</f>
        <v>83.333333333333329</v>
      </c>
    </row>
    <row r="35" spans="2:22" ht="15" customHeight="1" x14ac:dyDescent="0.15">
      <c r="B35" s="1084"/>
      <c r="C35" s="445"/>
      <c r="D35" s="445"/>
      <c r="E35" s="446"/>
      <c r="F35" s="445"/>
      <c r="G35" s="448">
        <f t="shared" si="8"/>
        <v>0</v>
      </c>
      <c r="H35" s="140"/>
      <c r="I35" s="1080" t="s">
        <v>2</v>
      </c>
      <c r="J35" s="138" t="s">
        <v>280</v>
      </c>
      <c r="K35" s="1147">
        <v>5940000</v>
      </c>
      <c r="L35" s="1148"/>
      <c r="M35" s="316">
        <v>10</v>
      </c>
      <c r="N35" s="221">
        <f>+K35/M35*0.014*0.3</f>
        <v>2494.7999999999997</v>
      </c>
    </row>
    <row r="36" spans="2:22" ht="15" customHeight="1" thickBot="1" x14ac:dyDescent="0.2">
      <c r="B36" s="1084"/>
      <c r="C36" s="445"/>
      <c r="D36" s="445"/>
      <c r="E36" s="446"/>
      <c r="F36" s="445"/>
      <c r="G36" s="448">
        <f t="shared" si="8"/>
        <v>0</v>
      </c>
      <c r="H36" s="140"/>
      <c r="I36" s="1145"/>
      <c r="J36" s="138" t="s">
        <v>279</v>
      </c>
      <c r="K36" s="1147">
        <v>10692000</v>
      </c>
      <c r="L36" s="1148"/>
      <c r="M36" s="316">
        <v>10</v>
      </c>
      <c r="N36" s="221">
        <f>+K36/M36*0.014*0.3</f>
        <v>4490.6400000000003</v>
      </c>
      <c r="P36" s="115" t="s">
        <v>221</v>
      </c>
      <c r="Q36" s="115"/>
      <c r="R36" s="115"/>
      <c r="S36" s="115"/>
      <c r="T36" s="115"/>
    </row>
    <row r="37" spans="2:22" ht="15" customHeight="1" x14ac:dyDescent="0.15">
      <c r="B37" s="1084"/>
      <c r="C37" s="445"/>
      <c r="D37" s="445"/>
      <c r="E37" s="446"/>
      <c r="F37" s="445"/>
      <c r="G37" s="448">
        <f t="shared" si="8"/>
        <v>0</v>
      </c>
      <c r="H37" s="140"/>
      <c r="I37" s="1145"/>
      <c r="J37" s="138"/>
      <c r="K37" s="1147"/>
      <c r="L37" s="1148"/>
      <c r="M37" s="600"/>
      <c r="N37" s="221"/>
      <c r="O37" s="149"/>
      <c r="P37" s="214" t="s">
        <v>214</v>
      </c>
      <c r="Q37" s="1126" t="s">
        <v>222</v>
      </c>
      <c r="R37" s="1126"/>
      <c r="S37" s="601" t="s">
        <v>225</v>
      </c>
      <c r="T37" s="601" t="s">
        <v>224</v>
      </c>
      <c r="U37" s="230" t="s">
        <v>182</v>
      </c>
      <c r="V37" s="231" t="s">
        <v>711</v>
      </c>
    </row>
    <row r="38" spans="2:22" ht="15" customHeight="1" thickBot="1" x14ac:dyDescent="0.2">
      <c r="B38" s="1085"/>
      <c r="C38" s="130" t="s">
        <v>144</v>
      </c>
      <c r="D38" s="130"/>
      <c r="E38" s="130"/>
      <c r="F38" s="130"/>
      <c r="G38" s="131">
        <f>SUM(G28:G37)</f>
        <v>17088</v>
      </c>
      <c r="H38" s="140"/>
      <c r="I38" s="1145"/>
      <c r="J38" s="138"/>
      <c r="K38" s="1147"/>
      <c r="L38" s="1148"/>
      <c r="M38" s="600"/>
      <c r="N38" s="221"/>
      <c r="O38" s="149"/>
      <c r="P38" s="1077" t="s">
        <v>223</v>
      </c>
      <c r="Q38" s="218" t="s">
        <v>617</v>
      </c>
      <c r="R38" s="234"/>
      <c r="S38" s="219"/>
      <c r="T38" s="235"/>
      <c r="U38" s="219"/>
      <c r="V38" s="221">
        <v>9360</v>
      </c>
    </row>
    <row r="39" spans="2:22" ht="15" customHeight="1" thickTop="1" x14ac:dyDescent="0.15">
      <c r="B39" s="1083" t="s">
        <v>168</v>
      </c>
      <c r="C39" s="445" t="s">
        <v>294</v>
      </c>
      <c r="D39" s="445">
        <v>2</v>
      </c>
      <c r="E39" s="446" t="s">
        <v>142</v>
      </c>
      <c r="F39" s="445">
        <v>2580</v>
      </c>
      <c r="G39" s="448">
        <f>D39*F39</f>
        <v>5160</v>
      </c>
      <c r="H39" s="140"/>
      <c r="I39" s="1145"/>
      <c r="J39" s="138"/>
      <c r="K39" s="1147"/>
      <c r="L39" s="1148"/>
      <c r="M39" s="600"/>
      <c r="N39" s="221"/>
      <c r="O39" s="149"/>
      <c r="P39" s="1078"/>
      <c r="Q39" s="218"/>
      <c r="R39" s="234"/>
      <c r="S39" s="219"/>
      <c r="T39" s="235"/>
      <c r="U39" s="219"/>
      <c r="V39" s="221"/>
    </row>
    <row r="40" spans="2:22" ht="15" customHeight="1" x14ac:dyDescent="0.15">
      <c r="B40" s="1084"/>
      <c r="C40" s="445"/>
      <c r="D40" s="445"/>
      <c r="E40" s="446"/>
      <c r="F40" s="445"/>
      <c r="G40" s="448">
        <f>D40*F40</f>
        <v>0</v>
      </c>
      <c r="H40" s="140"/>
      <c r="I40" s="1145"/>
      <c r="J40" s="138"/>
      <c r="K40" s="1147"/>
      <c r="L40" s="1148"/>
      <c r="M40" s="600"/>
      <c r="N40" s="221"/>
      <c r="O40" s="149"/>
      <c r="P40" s="1078"/>
      <c r="Q40" s="218"/>
      <c r="R40" s="234"/>
      <c r="S40" s="219"/>
      <c r="T40" s="235"/>
      <c r="U40" s="219"/>
      <c r="V40" s="221"/>
    </row>
    <row r="41" spans="2:22" ht="15" customHeight="1" x14ac:dyDescent="0.15">
      <c r="B41" s="1084"/>
      <c r="C41" s="445"/>
      <c r="D41" s="445"/>
      <c r="E41" s="446"/>
      <c r="F41" s="445"/>
      <c r="G41" s="448">
        <f t="shared" ref="G41:G51" si="10">D41*F41</f>
        <v>0</v>
      </c>
      <c r="H41" s="140"/>
      <c r="I41" s="1145"/>
      <c r="J41" s="138"/>
      <c r="K41" s="1147"/>
      <c r="L41" s="1148"/>
      <c r="M41" s="600"/>
      <c r="N41" s="221"/>
      <c r="O41" s="149"/>
      <c r="P41" s="1078"/>
      <c r="Q41" s="218"/>
      <c r="R41" s="234"/>
      <c r="S41" s="219"/>
      <c r="T41" s="235"/>
      <c r="U41" s="219"/>
      <c r="V41" s="221"/>
    </row>
    <row r="42" spans="2:22" ht="15" customHeight="1" thickBot="1" x14ac:dyDescent="0.2">
      <c r="B42" s="1084"/>
      <c r="C42" s="445"/>
      <c r="D42" s="445"/>
      <c r="E42" s="446"/>
      <c r="F42" s="445"/>
      <c r="G42" s="448">
        <f t="shared" si="10"/>
        <v>0</v>
      </c>
      <c r="H42" s="140"/>
      <c r="I42" s="1146"/>
      <c r="J42" s="215" t="s">
        <v>145</v>
      </c>
      <c r="K42" s="1149"/>
      <c r="L42" s="1150"/>
      <c r="M42" s="216"/>
      <c r="N42" s="220">
        <f>SUM(N35:N41)</f>
        <v>6985.4400000000005</v>
      </c>
      <c r="O42" s="149"/>
      <c r="P42" s="1078"/>
      <c r="Q42" s="218"/>
      <c r="R42" s="234"/>
      <c r="S42" s="219"/>
      <c r="T42" s="235"/>
      <c r="U42" s="219"/>
      <c r="V42" s="221"/>
    </row>
    <row r="43" spans="2:22" ht="15" customHeight="1" thickTop="1" x14ac:dyDescent="0.15">
      <c r="B43" s="1084"/>
      <c r="C43" s="445"/>
      <c r="D43" s="445"/>
      <c r="E43" s="446"/>
      <c r="F43" s="445"/>
      <c r="G43" s="448">
        <f t="shared" si="10"/>
        <v>0</v>
      </c>
      <c r="H43" s="140"/>
      <c r="I43" s="1086" t="s">
        <v>217</v>
      </c>
      <c r="J43" s="217" t="s">
        <v>713</v>
      </c>
      <c r="K43" s="1151">
        <v>8200</v>
      </c>
      <c r="L43" s="1152"/>
      <c r="M43" s="602">
        <v>10</v>
      </c>
      <c r="N43" s="232">
        <f>+K43/M43</f>
        <v>820</v>
      </c>
      <c r="O43" s="149"/>
      <c r="P43" s="1078"/>
      <c r="Q43" s="218"/>
      <c r="R43" s="234"/>
      <c r="S43" s="219"/>
      <c r="T43" s="235"/>
      <c r="U43" s="219"/>
      <c r="V43" s="221"/>
    </row>
    <row r="44" spans="2:22" ht="15" customHeight="1" thickBot="1" x14ac:dyDescent="0.2">
      <c r="B44" s="1084"/>
      <c r="C44" s="445"/>
      <c r="D44" s="445"/>
      <c r="E44" s="446"/>
      <c r="F44" s="445"/>
      <c r="G44" s="448">
        <f t="shared" si="10"/>
        <v>0</v>
      </c>
      <c r="H44" s="140"/>
      <c r="I44" s="1087"/>
      <c r="J44" s="218"/>
      <c r="K44" s="1147"/>
      <c r="L44" s="1148"/>
      <c r="M44" s="600"/>
      <c r="N44" s="221"/>
      <c r="O44" s="149"/>
      <c r="P44" s="1079"/>
      <c r="Q44" s="222" t="s">
        <v>226</v>
      </c>
      <c r="R44" s="223"/>
      <c r="S44" s="223"/>
      <c r="T44" s="223"/>
      <c r="U44" s="223"/>
      <c r="V44" s="224">
        <f>SUM(V38:V43)</f>
        <v>9360</v>
      </c>
    </row>
    <row r="45" spans="2:22" ht="15" customHeight="1" thickTop="1" x14ac:dyDescent="0.15">
      <c r="B45" s="1084"/>
      <c r="C45" s="445"/>
      <c r="D45" s="445"/>
      <c r="E45" s="446"/>
      <c r="F45" s="445"/>
      <c r="G45" s="448">
        <f t="shared" si="10"/>
        <v>0</v>
      </c>
      <c r="H45" s="140"/>
      <c r="I45" s="1087"/>
      <c r="J45" s="138"/>
      <c r="K45" s="1147"/>
      <c r="L45" s="1148"/>
      <c r="M45" s="600"/>
      <c r="N45" s="221"/>
      <c r="O45" s="149"/>
      <c r="P45" s="1139" t="s">
        <v>231</v>
      </c>
      <c r="Q45" s="1135" t="s">
        <v>233</v>
      </c>
      <c r="R45" s="236" t="s">
        <v>234</v>
      </c>
      <c r="S45" s="217">
        <v>35750</v>
      </c>
      <c r="T45" s="237">
        <v>1</v>
      </c>
      <c r="U45" s="217">
        <v>10</v>
      </c>
      <c r="V45" s="232">
        <f>+S45*T45/U45</f>
        <v>3575</v>
      </c>
    </row>
    <row r="46" spans="2:22" ht="15" customHeight="1" thickBot="1" x14ac:dyDescent="0.2">
      <c r="B46" s="1084"/>
      <c r="C46" s="445"/>
      <c r="D46" s="445"/>
      <c r="E46" s="445"/>
      <c r="F46" s="445"/>
      <c r="G46" s="448">
        <f t="shared" si="10"/>
        <v>0</v>
      </c>
      <c r="H46" s="140"/>
      <c r="I46" s="1088"/>
      <c r="J46" s="215" t="s">
        <v>145</v>
      </c>
      <c r="K46" s="1149"/>
      <c r="L46" s="1150"/>
      <c r="M46" s="216"/>
      <c r="N46" s="220">
        <f>SUM(N43:N45)</f>
        <v>820</v>
      </c>
      <c r="O46" s="149"/>
      <c r="P46" s="1078"/>
      <c r="Q46" s="1136"/>
      <c r="R46" s="238" t="s">
        <v>230</v>
      </c>
      <c r="S46" s="218">
        <v>15600</v>
      </c>
      <c r="T46" s="235">
        <v>1</v>
      </c>
      <c r="U46" s="218">
        <v>10</v>
      </c>
      <c r="V46" s="221">
        <f>+S46*T46/U46</f>
        <v>1560</v>
      </c>
    </row>
    <row r="47" spans="2:22" ht="15" customHeight="1" thickTop="1" x14ac:dyDescent="0.15">
      <c r="B47" s="1084"/>
      <c r="C47" s="445"/>
      <c r="D47" s="445"/>
      <c r="E47" s="445"/>
      <c r="F47" s="445"/>
      <c r="G47" s="448">
        <f t="shared" si="10"/>
        <v>0</v>
      </c>
      <c r="H47" s="140"/>
      <c r="I47" s="1086" t="s">
        <v>218</v>
      </c>
      <c r="J47" s="217" t="s">
        <v>713</v>
      </c>
      <c r="K47" s="1151">
        <v>11500</v>
      </c>
      <c r="L47" s="1152"/>
      <c r="M47" s="602">
        <v>10</v>
      </c>
      <c r="N47" s="232">
        <f>+K47/M47</f>
        <v>1150</v>
      </c>
      <c r="O47" s="149"/>
      <c r="P47" s="1078"/>
      <c r="Q47" s="1136"/>
      <c r="R47" s="238"/>
      <c r="S47" s="218"/>
      <c r="T47" s="218"/>
      <c r="U47" s="138"/>
      <c r="V47" s="239"/>
    </row>
    <row r="48" spans="2:22" ht="15" customHeight="1" thickBot="1" x14ac:dyDescent="0.2">
      <c r="B48" s="1153"/>
      <c r="C48" s="132" t="s">
        <v>145</v>
      </c>
      <c r="D48" s="133"/>
      <c r="E48" s="133"/>
      <c r="F48" s="133"/>
      <c r="G48" s="134">
        <f>SUM(G39:G47)</f>
        <v>5160</v>
      </c>
      <c r="H48" s="140"/>
      <c r="I48" s="1087"/>
      <c r="J48" s="218"/>
      <c r="K48" s="1147"/>
      <c r="L48" s="1148"/>
      <c r="M48" s="600"/>
      <c r="N48" s="221"/>
      <c r="O48" s="149"/>
      <c r="P48" s="1078"/>
      <c r="Q48" s="1136"/>
      <c r="R48" s="238"/>
      <c r="S48" s="218"/>
      <c r="T48" s="235"/>
      <c r="U48" s="218"/>
      <c r="V48" s="221"/>
    </row>
    <row r="49" spans="2:22" ht="15" customHeight="1" thickTop="1" x14ac:dyDescent="0.15">
      <c r="B49" s="1084" t="s">
        <v>32</v>
      </c>
      <c r="C49" s="445" t="s">
        <v>32</v>
      </c>
      <c r="D49" s="445">
        <v>15</v>
      </c>
      <c r="E49" s="446" t="s">
        <v>146</v>
      </c>
      <c r="F49" s="445">
        <v>2000</v>
      </c>
      <c r="G49" s="448">
        <f t="shared" si="10"/>
        <v>30000</v>
      </c>
      <c r="H49" s="140"/>
      <c r="I49" s="1087"/>
      <c r="J49" s="138"/>
      <c r="K49" s="1147"/>
      <c r="L49" s="1148"/>
      <c r="M49" s="600"/>
      <c r="N49" s="221"/>
      <c r="O49" s="149"/>
      <c r="P49" s="1078"/>
      <c r="Q49" s="1138"/>
      <c r="R49" s="238"/>
      <c r="S49" s="218"/>
      <c r="T49" s="218"/>
      <c r="U49" s="138"/>
      <c r="V49" s="239"/>
    </row>
    <row r="50" spans="2:22" ht="15" customHeight="1" thickBot="1" x14ac:dyDescent="0.2">
      <c r="B50" s="1084"/>
      <c r="C50" s="445" t="s">
        <v>32</v>
      </c>
      <c r="D50" s="445">
        <v>15</v>
      </c>
      <c r="E50" s="446" t="s">
        <v>146</v>
      </c>
      <c r="F50" s="445">
        <v>5000</v>
      </c>
      <c r="G50" s="448">
        <f t="shared" si="10"/>
        <v>75000</v>
      </c>
      <c r="H50" s="140"/>
      <c r="I50" s="1088"/>
      <c r="J50" s="215" t="s">
        <v>145</v>
      </c>
      <c r="K50" s="1149"/>
      <c r="L50" s="1150"/>
      <c r="M50" s="216"/>
      <c r="N50" s="220">
        <f>SUM(N47:N49)</f>
        <v>1150</v>
      </c>
      <c r="O50" s="149"/>
      <c r="P50" s="1078"/>
      <c r="Q50" s="222" t="s">
        <v>226</v>
      </c>
      <c r="R50" s="223"/>
      <c r="S50" s="223"/>
      <c r="T50" s="223"/>
      <c r="U50" s="223"/>
      <c r="V50" s="224">
        <f>SUM(V45:V49)</f>
        <v>5135</v>
      </c>
    </row>
    <row r="51" spans="2:22" ht="15" customHeight="1" thickTop="1" x14ac:dyDescent="0.15">
      <c r="B51" s="1084"/>
      <c r="C51" s="445" t="s">
        <v>32</v>
      </c>
      <c r="D51" s="445">
        <v>15</v>
      </c>
      <c r="E51" s="446" t="s">
        <v>146</v>
      </c>
      <c r="F51" s="445">
        <v>2000</v>
      </c>
      <c r="G51" s="448">
        <f t="shared" si="10"/>
        <v>30000</v>
      </c>
      <c r="H51" s="140"/>
      <c r="I51" s="1086" t="s">
        <v>219</v>
      </c>
      <c r="J51" s="217" t="s">
        <v>54</v>
      </c>
      <c r="K51" s="1099">
        <v>1600</v>
      </c>
      <c r="L51" s="1100"/>
      <c r="M51" s="602">
        <v>10</v>
      </c>
      <c r="N51" s="233">
        <f>+K51/M51</f>
        <v>160</v>
      </c>
      <c r="O51" s="149"/>
      <c r="P51" s="1078"/>
      <c r="Q51" s="1135" t="s">
        <v>235</v>
      </c>
      <c r="R51" s="236" t="s">
        <v>234</v>
      </c>
      <c r="S51" s="217">
        <v>60000</v>
      </c>
      <c r="T51" s="237">
        <v>1</v>
      </c>
      <c r="U51" s="217">
        <v>10</v>
      </c>
      <c r="V51" s="232">
        <f>+S51*T51/U51</f>
        <v>6000</v>
      </c>
    </row>
    <row r="52" spans="2:22" ht="15" customHeight="1" x14ac:dyDescent="0.15">
      <c r="B52" s="1084"/>
      <c r="C52" s="445"/>
      <c r="D52" s="445"/>
      <c r="E52" s="446"/>
      <c r="F52" s="445"/>
      <c r="G52" s="448"/>
      <c r="H52" s="140"/>
      <c r="I52" s="1087"/>
      <c r="J52" s="218" t="s">
        <v>54</v>
      </c>
      <c r="K52" s="1103">
        <v>1600</v>
      </c>
      <c r="L52" s="1104"/>
      <c r="M52" s="316">
        <v>10</v>
      </c>
      <c r="N52" s="221">
        <f t="shared" ref="N52:N54" si="11">+K52/M52</f>
        <v>160</v>
      </c>
      <c r="O52" s="149"/>
      <c r="P52" s="1078"/>
      <c r="Q52" s="1136"/>
      <c r="R52" s="238" t="s">
        <v>230</v>
      </c>
      <c r="S52" s="218">
        <v>25000</v>
      </c>
      <c r="T52" s="235">
        <v>1</v>
      </c>
      <c r="U52" s="218">
        <v>10</v>
      </c>
      <c r="V52" s="221">
        <f>+S52*T52/U52</f>
        <v>2500</v>
      </c>
    </row>
    <row r="53" spans="2:22" ht="14.25" thickBot="1" x14ac:dyDescent="0.2">
      <c r="B53" s="1085"/>
      <c r="C53" s="132" t="s">
        <v>145</v>
      </c>
      <c r="D53" s="133"/>
      <c r="E53" s="133"/>
      <c r="F53" s="133"/>
      <c r="G53" s="134">
        <f>SUM(G49:G52)</f>
        <v>135000</v>
      </c>
      <c r="I53" s="1087"/>
      <c r="J53" s="218"/>
      <c r="K53" s="1103"/>
      <c r="L53" s="1104"/>
      <c r="M53" s="226"/>
      <c r="N53" s="221"/>
      <c r="O53" s="149"/>
      <c r="P53" s="1078"/>
      <c r="Q53" s="1136"/>
      <c r="R53" s="238"/>
      <c r="S53" s="218"/>
      <c r="T53" s="218"/>
      <c r="U53" s="138"/>
      <c r="V53" s="239"/>
    </row>
    <row r="54" spans="2:22" ht="14.25" customHeight="1" thickTop="1" x14ac:dyDescent="0.15">
      <c r="B54" s="1083" t="s">
        <v>169</v>
      </c>
      <c r="C54" s="445"/>
      <c r="D54" s="445"/>
      <c r="E54" s="446"/>
      <c r="F54" s="445"/>
      <c r="G54" s="448">
        <v>0</v>
      </c>
      <c r="I54" s="1087"/>
      <c r="J54" s="600" t="s">
        <v>230</v>
      </c>
      <c r="K54" s="1105">
        <v>4000</v>
      </c>
      <c r="L54" s="1106"/>
      <c r="M54" s="226">
        <v>10</v>
      </c>
      <c r="N54" s="221">
        <f t="shared" si="11"/>
        <v>400</v>
      </c>
      <c r="O54" s="149"/>
      <c r="P54" s="1078"/>
      <c r="Q54" s="1136"/>
      <c r="R54" s="238"/>
      <c r="S54" s="218"/>
      <c r="T54" s="235"/>
      <c r="U54" s="218"/>
      <c r="V54" s="221"/>
    </row>
    <row r="55" spans="2:22" x14ac:dyDescent="0.15">
      <c r="B55" s="1084"/>
      <c r="C55" s="445"/>
      <c r="D55" s="445"/>
      <c r="E55" s="446"/>
      <c r="F55" s="445"/>
      <c r="G55" s="448">
        <v>0</v>
      </c>
      <c r="I55" s="1087"/>
      <c r="J55" s="218"/>
      <c r="K55" s="1103"/>
      <c r="L55" s="1104"/>
      <c r="M55" s="226"/>
      <c r="N55" s="467"/>
      <c r="O55" s="149"/>
      <c r="P55" s="1078"/>
      <c r="Q55" s="1138"/>
      <c r="R55" s="238"/>
      <c r="S55" s="218"/>
      <c r="T55" s="218"/>
      <c r="U55" s="138"/>
      <c r="V55" s="239"/>
    </row>
    <row r="56" spans="2:22" x14ac:dyDescent="0.15">
      <c r="B56" s="1084"/>
      <c r="C56" s="445"/>
      <c r="D56" s="445"/>
      <c r="E56" s="446"/>
      <c r="F56" s="445"/>
      <c r="G56" s="448">
        <v>0</v>
      </c>
      <c r="I56" s="1080"/>
      <c r="J56" s="614" t="s">
        <v>145</v>
      </c>
      <c r="K56" s="1107"/>
      <c r="L56" s="1108"/>
      <c r="M56" s="615"/>
      <c r="N56" s="463">
        <f>SUM(N51:N55)</f>
        <v>720</v>
      </c>
      <c r="O56" s="149"/>
      <c r="P56" s="1140"/>
      <c r="Q56" s="616" t="s">
        <v>226</v>
      </c>
      <c r="R56" s="617"/>
      <c r="S56" s="617"/>
      <c r="T56" s="617"/>
      <c r="U56" s="617"/>
      <c r="V56" s="242">
        <f>SUM(V51:V55)</f>
        <v>8500</v>
      </c>
    </row>
    <row r="57" spans="2:22" ht="14.25" thickBot="1" x14ac:dyDescent="0.2">
      <c r="B57" s="1111"/>
      <c r="C57" s="135" t="s">
        <v>147</v>
      </c>
      <c r="D57" s="136"/>
      <c r="E57" s="136"/>
      <c r="F57" s="136"/>
      <c r="G57" s="137">
        <f>SUM(G54:G56)</f>
        <v>0</v>
      </c>
      <c r="I57" s="1141" t="s">
        <v>220</v>
      </c>
      <c r="J57" s="1132"/>
      <c r="K57" s="1113"/>
      <c r="L57" s="1114"/>
      <c r="M57" s="152"/>
      <c r="N57" s="241">
        <f>SUM(N42,N46,N50,N56)</f>
        <v>9675.44</v>
      </c>
      <c r="O57" s="149"/>
      <c r="P57" s="1133" t="s">
        <v>220</v>
      </c>
      <c r="Q57" s="1134"/>
      <c r="R57" s="240"/>
      <c r="S57" s="240"/>
      <c r="T57" s="240"/>
      <c r="U57" s="240"/>
      <c r="V57" s="241">
        <f>SUM(V44,V50,V56)</f>
        <v>22995</v>
      </c>
    </row>
    <row r="58" spans="2:22" x14ac:dyDescent="0.15">
      <c r="O58" s="149"/>
      <c r="V58" s="49"/>
    </row>
    <row r="59" spans="2:22" x14ac:dyDescent="0.15">
      <c r="I59" s="149"/>
      <c r="J59" s="149"/>
      <c r="K59" s="149"/>
      <c r="L59" s="149"/>
      <c r="M59" s="149"/>
      <c r="N59" s="149"/>
      <c r="O59" s="149"/>
    </row>
    <row r="60" spans="2:22" x14ac:dyDescent="0.15">
      <c r="I60" s="149"/>
      <c r="J60" s="149"/>
      <c r="K60" s="149"/>
      <c r="L60" s="149"/>
      <c r="M60" s="149"/>
      <c r="N60" s="149"/>
      <c r="O60" s="149"/>
    </row>
    <row r="61" spans="2:22" x14ac:dyDescent="0.15">
      <c r="I61" s="149"/>
      <c r="J61" s="149"/>
      <c r="K61" s="149"/>
      <c r="L61" s="149"/>
      <c r="M61" s="149"/>
      <c r="N61" s="149"/>
      <c r="O61" s="149"/>
    </row>
    <row r="62" spans="2:22" x14ac:dyDescent="0.15">
      <c r="I62" s="149"/>
      <c r="J62" s="149"/>
      <c r="K62" s="149"/>
      <c r="L62" s="149"/>
      <c r="M62" s="149"/>
      <c r="N62" s="149"/>
      <c r="O62" s="149"/>
    </row>
    <row r="63" spans="2:22" x14ac:dyDescent="0.15">
      <c r="I63" s="149"/>
      <c r="J63" s="149"/>
      <c r="K63" s="149"/>
      <c r="L63" s="149"/>
      <c r="M63" s="149"/>
      <c r="N63" s="149"/>
      <c r="O63" s="149"/>
    </row>
    <row r="64" spans="2:22" x14ac:dyDescent="0.15">
      <c r="I64" s="149"/>
      <c r="J64" s="149"/>
      <c r="K64" s="149"/>
      <c r="L64" s="149"/>
      <c r="M64" s="149"/>
      <c r="N64" s="149"/>
      <c r="O64" s="149"/>
    </row>
    <row r="65" spans="8:22" x14ac:dyDescent="0.15">
      <c r="H65" s="49"/>
      <c r="I65" s="149"/>
      <c r="J65" s="149"/>
      <c r="K65" s="149"/>
      <c r="L65" s="149"/>
      <c r="M65" s="149"/>
      <c r="N65" s="149"/>
      <c r="O65" s="149"/>
      <c r="P65" s="49"/>
      <c r="R65" s="49"/>
      <c r="V65" s="49"/>
    </row>
    <row r="66" spans="8:22" x14ac:dyDescent="0.15">
      <c r="H66" s="49"/>
      <c r="I66" s="149"/>
      <c r="J66" s="149"/>
      <c r="K66" s="149"/>
      <c r="L66" s="149"/>
      <c r="M66" s="149"/>
      <c r="N66" s="149"/>
      <c r="O66" s="149"/>
      <c r="P66" s="49"/>
      <c r="R66" s="49"/>
      <c r="V66" s="49"/>
    </row>
    <row r="67" spans="8:22" x14ac:dyDescent="0.15">
      <c r="H67" s="49"/>
      <c r="I67" s="149"/>
      <c r="J67" s="149"/>
      <c r="K67" s="149"/>
      <c r="L67" s="149"/>
      <c r="M67" s="149"/>
      <c r="N67" s="149"/>
      <c r="O67" s="149"/>
      <c r="P67" s="49"/>
      <c r="R67" s="49"/>
      <c r="V67" s="49"/>
    </row>
    <row r="68" spans="8:22" x14ac:dyDescent="0.15">
      <c r="H68" s="49"/>
      <c r="I68" s="149"/>
      <c r="J68" s="149"/>
      <c r="K68" s="149"/>
      <c r="L68" s="149"/>
      <c r="M68" s="149"/>
      <c r="N68" s="149"/>
      <c r="O68" s="149"/>
      <c r="P68" s="49"/>
      <c r="R68" s="49"/>
      <c r="V68" s="49"/>
    </row>
    <row r="69" spans="8:22" x14ac:dyDescent="0.15">
      <c r="H69" s="49"/>
      <c r="I69" s="149"/>
      <c r="J69" s="149"/>
      <c r="K69" s="149"/>
      <c r="L69" s="149"/>
      <c r="M69" s="149"/>
      <c r="N69" s="149"/>
      <c r="O69" s="149"/>
      <c r="P69" s="49"/>
      <c r="R69" s="49"/>
      <c r="V69" s="49"/>
    </row>
    <row r="70" spans="8:22" x14ac:dyDescent="0.15">
      <c r="H70" s="49"/>
      <c r="I70" s="149"/>
      <c r="J70" s="149"/>
      <c r="K70" s="149"/>
      <c r="L70" s="149"/>
      <c r="M70" s="149"/>
      <c r="N70" s="149"/>
      <c r="O70" s="149"/>
      <c r="P70" s="49"/>
      <c r="R70" s="49"/>
      <c r="V70" s="49"/>
    </row>
    <row r="71" spans="8:22" x14ac:dyDescent="0.15">
      <c r="H71" s="49"/>
      <c r="I71" s="149"/>
      <c r="J71" s="149"/>
      <c r="K71" s="149"/>
      <c r="L71" s="149"/>
      <c r="M71" s="149"/>
      <c r="N71" s="149"/>
      <c r="O71" s="149"/>
      <c r="P71" s="49"/>
      <c r="R71" s="49"/>
      <c r="V71" s="49"/>
    </row>
    <row r="72" spans="8:22" x14ac:dyDescent="0.15">
      <c r="H72" s="49"/>
      <c r="I72" s="149"/>
      <c r="J72" s="149"/>
      <c r="K72" s="149"/>
      <c r="L72" s="149"/>
      <c r="M72" s="149"/>
      <c r="N72" s="149"/>
      <c r="O72" s="149"/>
      <c r="P72" s="49"/>
      <c r="R72" s="49"/>
      <c r="V72" s="49"/>
    </row>
    <row r="73" spans="8:22" x14ac:dyDescent="0.15">
      <c r="H73" s="49"/>
      <c r="I73" s="149"/>
      <c r="J73" s="149"/>
      <c r="K73" s="149"/>
      <c r="L73" s="149"/>
      <c r="M73" s="149"/>
      <c r="N73" s="149"/>
      <c r="O73" s="149"/>
      <c r="P73" s="49"/>
      <c r="R73" s="49"/>
      <c r="V73" s="49"/>
    </row>
    <row r="74" spans="8:22" x14ac:dyDescent="0.15">
      <c r="H74" s="49"/>
      <c r="I74" s="149"/>
      <c r="J74" s="149"/>
      <c r="K74" s="149"/>
      <c r="L74" s="149"/>
      <c r="M74" s="149"/>
      <c r="N74" s="149"/>
      <c r="O74" s="149"/>
      <c r="P74" s="49"/>
      <c r="R74" s="49"/>
      <c r="V74" s="49"/>
    </row>
    <row r="75" spans="8:22" x14ac:dyDescent="0.15">
      <c r="H75" s="49"/>
      <c r="I75" s="149"/>
      <c r="J75" s="149"/>
      <c r="K75" s="149"/>
      <c r="L75" s="149"/>
      <c r="M75" s="149"/>
      <c r="N75" s="149"/>
      <c r="O75" s="149"/>
      <c r="P75" s="49"/>
      <c r="R75" s="49"/>
      <c r="V75" s="49"/>
    </row>
    <row r="76" spans="8:22" x14ac:dyDescent="0.15">
      <c r="H76" s="49"/>
      <c r="I76" s="149"/>
      <c r="J76" s="149"/>
      <c r="K76" s="149"/>
      <c r="L76" s="149"/>
      <c r="M76" s="149"/>
      <c r="N76" s="149"/>
      <c r="O76" s="149"/>
      <c r="P76" s="49"/>
      <c r="R76" s="49"/>
      <c r="V76" s="49"/>
    </row>
    <row r="77" spans="8:22" x14ac:dyDescent="0.15">
      <c r="H77" s="49"/>
      <c r="I77" s="149"/>
      <c r="J77" s="149"/>
      <c r="K77" s="149"/>
      <c r="L77" s="149"/>
      <c r="M77" s="149"/>
      <c r="N77" s="149"/>
      <c r="O77" s="149"/>
      <c r="P77" s="49"/>
      <c r="R77" s="49"/>
      <c r="V77" s="49"/>
    </row>
    <row r="78" spans="8:22" x14ac:dyDescent="0.15">
      <c r="H78" s="49"/>
      <c r="I78" s="149"/>
      <c r="J78" s="149"/>
      <c r="K78" s="149"/>
      <c r="L78" s="149"/>
      <c r="M78" s="149"/>
      <c r="N78" s="149"/>
      <c r="O78" s="149"/>
      <c r="P78" s="49"/>
      <c r="R78" s="49"/>
      <c r="V78" s="49"/>
    </row>
    <row r="79" spans="8:22" x14ac:dyDescent="0.15">
      <c r="H79" s="49"/>
      <c r="I79" s="149"/>
      <c r="J79" s="149"/>
      <c r="K79" s="149"/>
      <c r="L79" s="149"/>
      <c r="M79" s="149"/>
      <c r="N79" s="149"/>
      <c r="O79" s="149"/>
      <c r="P79" s="49"/>
      <c r="R79" s="49"/>
      <c r="V79" s="49"/>
    </row>
    <row r="80" spans="8:22" x14ac:dyDescent="0.15">
      <c r="H80" s="49"/>
      <c r="I80" s="149"/>
      <c r="J80" s="149"/>
      <c r="K80" s="149"/>
      <c r="L80" s="149"/>
      <c r="M80" s="149"/>
      <c r="N80" s="149"/>
      <c r="O80" s="149"/>
      <c r="P80" s="49"/>
      <c r="R80" s="49"/>
      <c r="V80" s="49"/>
    </row>
    <row r="81" spans="2:22" x14ac:dyDescent="0.15">
      <c r="I81" s="149"/>
      <c r="J81" s="149"/>
      <c r="K81" s="149"/>
      <c r="L81" s="149"/>
      <c r="M81" s="149"/>
      <c r="N81" s="149"/>
      <c r="O81" s="149"/>
      <c r="P81" s="49"/>
      <c r="R81" s="49"/>
      <c r="V81" s="49"/>
    </row>
    <row r="82" spans="2:22" x14ac:dyDescent="0.15">
      <c r="I82" s="149"/>
      <c r="J82" s="149"/>
      <c r="K82" s="149"/>
      <c r="L82" s="149"/>
      <c r="M82" s="149"/>
      <c r="N82" s="149"/>
      <c r="O82" s="149"/>
      <c r="P82" s="49"/>
      <c r="R82" s="49"/>
      <c r="V82" s="49"/>
    </row>
    <row r="83" spans="2:22" x14ac:dyDescent="0.15">
      <c r="B83" s="139"/>
      <c r="C83" s="140"/>
      <c r="D83" s="140"/>
      <c r="E83" s="140"/>
      <c r="F83" s="140"/>
      <c r="I83" s="149"/>
      <c r="J83" s="149"/>
      <c r="K83" s="149"/>
      <c r="L83" s="149"/>
      <c r="M83" s="149"/>
      <c r="N83" s="149"/>
      <c r="O83" s="149"/>
      <c r="P83" s="49"/>
      <c r="R83" s="49"/>
      <c r="V83" s="49"/>
    </row>
    <row r="84" spans="2:22" x14ac:dyDescent="0.15">
      <c r="B84" s="139"/>
      <c r="C84" s="140"/>
      <c r="D84" s="140"/>
      <c r="E84" s="140"/>
      <c r="F84" s="140"/>
      <c r="I84" s="149"/>
      <c r="J84" s="149"/>
      <c r="K84" s="149"/>
      <c r="L84" s="149"/>
      <c r="M84" s="149"/>
      <c r="N84" s="149"/>
      <c r="O84" s="149"/>
      <c r="P84" s="49"/>
      <c r="R84" s="49"/>
      <c r="V84" s="49"/>
    </row>
    <row r="85" spans="2:22" x14ac:dyDescent="0.15">
      <c r="I85" s="149"/>
      <c r="J85" s="149"/>
      <c r="K85" s="149"/>
      <c r="L85" s="149"/>
      <c r="M85" s="149"/>
      <c r="N85" s="149"/>
      <c r="O85" s="149"/>
      <c r="P85" s="49"/>
      <c r="R85" s="49"/>
      <c r="V85" s="49"/>
    </row>
    <row r="86" spans="2:22" x14ac:dyDescent="0.15">
      <c r="I86" s="149"/>
      <c r="J86" s="149"/>
      <c r="K86" s="149"/>
      <c r="L86" s="149"/>
      <c r="M86" s="149"/>
      <c r="N86" s="149"/>
      <c r="O86" s="149"/>
      <c r="P86" s="49"/>
      <c r="R86" s="49"/>
      <c r="V86" s="49"/>
    </row>
    <row r="87" spans="2:22" x14ac:dyDescent="0.15">
      <c r="I87" s="149"/>
      <c r="J87" s="149"/>
      <c r="K87" s="149"/>
      <c r="L87" s="149"/>
      <c r="M87" s="149"/>
      <c r="N87" s="149"/>
      <c r="O87" s="149"/>
      <c r="P87" s="49"/>
      <c r="R87" s="49"/>
      <c r="V87" s="49"/>
    </row>
    <row r="88" spans="2:22" x14ac:dyDescent="0.15">
      <c r="I88" s="149"/>
      <c r="J88" s="149"/>
      <c r="K88" s="149"/>
      <c r="L88" s="149"/>
      <c r="M88" s="149"/>
      <c r="N88" s="149"/>
      <c r="O88" s="149"/>
      <c r="P88" s="49"/>
      <c r="R88" s="49"/>
      <c r="V88" s="49"/>
    </row>
    <row r="89" spans="2:22" x14ac:dyDescent="0.15">
      <c r="I89" s="149"/>
      <c r="J89" s="149"/>
      <c r="K89" s="149"/>
      <c r="L89" s="149"/>
      <c r="M89" s="149"/>
      <c r="N89" s="149"/>
      <c r="O89" s="149"/>
      <c r="P89" s="49"/>
      <c r="R89" s="49"/>
      <c r="V89" s="49"/>
    </row>
    <row r="90" spans="2:22" x14ac:dyDescent="0.15">
      <c r="I90" s="149"/>
      <c r="J90" s="149"/>
      <c r="K90" s="149"/>
      <c r="L90" s="149"/>
      <c r="M90" s="149"/>
      <c r="N90" s="149"/>
      <c r="O90" s="149"/>
      <c r="P90" s="49"/>
      <c r="R90" s="49"/>
      <c r="V90" s="49"/>
    </row>
    <row r="91" spans="2:22" x14ac:dyDescent="0.15">
      <c r="I91" s="149"/>
      <c r="J91" s="149"/>
      <c r="K91" s="149"/>
      <c r="L91" s="149"/>
      <c r="M91" s="149"/>
      <c r="N91" s="149"/>
      <c r="O91" s="149"/>
      <c r="P91" s="49"/>
      <c r="R91" s="49"/>
      <c r="V91" s="49"/>
    </row>
    <row r="92" spans="2:22" x14ac:dyDescent="0.15">
      <c r="I92" s="149"/>
      <c r="J92" s="149"/>
      <c r="K92" s="149"/>
      <c r="L92" s="149"/>
      <c r="M92" s="149"/>
      <c r="N92" s="149"/>
      <c r="O92" s="149"/>
      <c r="P92" s="49"/>
      <c r="R92" s="49"/>
      <c r="V92" s="49"/>
    </row>
    <row r="93" spans="2:22" x14ac:dyDescent="0.15">
      <c r="I93" s="149"/>
      <c r="J93" s="149"/>
      <c r="K93" s="149"/>
      <c r="L93" s="149"/>
      <c r="M93" s="149"/>
      <c r="N93" s="149"/>
      <c r="O93" s="149"/>
      <c r="P93" s="49"/>
      <c r="R93" s="49"/>
      <c r="V93" s="49"/>
    </row>
    <row r="94" spans="2:22" x14ac:dyDescent="0.15">
      <c r="I94" s="149"/>
      <c r="J94" s="149"/>
      <c r="K94" s="149"/>
      <c r="L94" s="149"/>
      <c r="M94" s="149"/>
      <c r="N94" s="149"/>
      <c r="O94" s="149"/>
      <c r="P94" s="49"/>
      <c r="R94" s="49"/>
      <c r="V94" s="49"/>
    </row>
    <row r="95" spans="2:22" x14ac:dyDescent="0.15">
      <c r="I95" s="149"/>
      <c r="J95" s="149"/>
      <c r="K95" s="149"/>
      <c r="L95" s="149"/>
      <c r="M95" s="149"/>
      <c r="N95" s="149"/>
      <c r="O95" s="149"/>
      <c r="P95" s="49"/>
      <c r="R95" s="49"/>
      <c r="V95" s="49"/>
    </row>
    <row r="96" spans="2:22" x14ac:dyDescent="0.15">
      <c r="I96" s="149"/>
      <c r="J96" s="149"/>
      <c r="K96" s="149"/>
      <c r="L96" s="149"/>
      <c r="M96" s="149"/>
      <c r="N96" s="149"/>
      <c r="O96" s="149"/>
      <c r="P96" s="49"/>
      <c r="R96" s="49"/>
      <c r="V96" s="49"/>
    </row>
    <row r="97" spans="8:22" x14ac:dyDescent="0.15">
      <c r="H97" s="49"/>
      <c r="I97" s="149"/>
      <c r="J97" s="149"/>
      <c r="K97" s="149"/>
      <c r="L97" s="149"/>
      <c r="M97" s="149"/>
      <c r="N97" s="149"/>
      <c r="O97" s="149"/>
      <c r="P97" s="49"/>
      <c r="R97" s="49"/>
      <c r="V97" s="49"/>
    </row>
    <row r="98" spans="8:22" x14ac:dyDescent="0.15">
      <c r="H98" s="49"/>
      <c r="I98" s="149"/>
      <c r="J98" s="149"/>
      <c r="K98" s="149"/>
      <c r="L98" s="149"/>
      <c r="M98" s="149"/>
      <c r="N98" s="149"/>
      <c r="O98" s="149"/>
      <c r="P98" s="49"/>
      <c r="R98" s="49"/>
      <c r="V98" s="49"/>
    </row>
    <row r="99" spans="8:22" x14ac:dyDescent="0.15">
      <c r="H99" s="49"/>
      <c r="I99" s="149"/>
      <c r="J99" s="149"/>
      <c r="K99" s="149"/>
      <c r="L99" s="149"/>
      <c r="M99" s="149"/>
      <c r="N99" s="149"/>
      <c r="O99" s="149"/>
      <c r="P99" s="49"/>
      <c r="R99" s="49"/>
      <c r="V99" s="49"/>
    </row>
    <row r="100" spans="8:22" x14ac:dyDescent="0.15">
      <c r="H100" s="49"/>
      <c r="I100" s="149"/>
      <c r="J100" s="149"/>
      <c r="K100" s="149"/>
      <c r="L100" s="149"/>
      <c r="M100" s="149"/>
      <c r="N100" s="149"/>
      <c r="O100" s="149"/>
      <c r="P100" s="49"/>
      <c r="R100" s="49"/>
      <c r="V100" s="49"/>
    </row>
    <row r="101" spans="8:22" x14ac:dyDescent="0.15">
      <c r="H101" s="49"/>
      <c r="I101" s="149"/>
      <c r="J101" s="149"/>
      <c r="K101" s="149"/>
      <c r="L101" s="149"/>
      <c r="M101" s="149"/>
      <c r="N101" s="149"/>
      <c r="O101" s="149"/>
      <c r="P101" s="49"/>
      <c r="R101" s="49"/>
      <c r="V101" s="49"/>
    </row>
    <row r="102" spans="8:22" x14ac:dyDescent="0.15">
      <c r="H102" s="49"/>
      <c r="I102" s="149"/>
      <c r="J102" s="149"/>
      <c r="K102" s="149"/>
      <c r="L102" s="149"/>
      <c r="M102" s="149"/>
      <c r="N102" s="149"/>
      <c r="O102" s="149"/>
      <c r="P102" s="49"/>
      <c r="R102" s="49"/>
      <c r="V102" s="49"/>
    </row>
    <row r="103" spans="8:22" x14ac:dyDescent="0.15">
      <c r="H103" s="49"/>
      <c r="I103" s="149"/>
      <c r="J103" s="149"/>
      <c r="K103" s="149"/>
      <c r="L103" s="149"/>
      <c r="M103" s="149"/>
      <c r="N103" s="149"/>
      <c r="O103" s="149"/>
      <c r="P103" s="49"/>
      <c r="R103" s="49"/>
      <c r="V103" s="49"/>
    </row>
    <row r="104" spans="8:22" x14ac:dyDescent="0.15">
      <c r="H104" s="49"/>
      <c r="I104" s="149"/>
      <c r="J104" s="149"/>
      <c r="K104" s="149"/>
      <c r="L104" s="149"/>
      <c r="M104" s="149"/>
      <c r="N104" s="149"/>
      <c r="O104" s="149"/>
      <c r="P104" s="49"/>
      <c r="R104" s="49"/>
      <c r="V104" s="49"/>
    </row>
    <row r="105" spans="8:22" x14ac:dyDescent="0.15">
      <c r="H105" s="49"/>
      <c r="I105" s="149"/>
      <c r="J105" s="149"/>
      <c r="K105" s="149"/>
      <c r="L105" s="149"/>
      <c r="M105" s="149"/>
      <c r="N105" s="149"/>
      <c r="O105" s="149"/>
      <c r="P105" s="49"/>
      <c r="R105" s="49"/>
      <c r="V105" s="49"/>
    </row>
    <row r="106" spans="8:22" x14ac:dyDescent="0.15">
      <c r="H106" s="49"/>
      <c r="I106" s="149"/>
      <c r="J106" s="149"/>
      <c r="K106" s="149"/>
      <c r="L106" s="149"/>
      <c r="M106" s="149"/>
      <c r="N106" s="149"/>
      <c r="O106" s="149"/>
      <c r="P106" s="49"/>
      <c r="R106" s="49"/>
      <c r="V106" s="49"/>
    </row>
    <row r="107" spans="8:22" x14ac:dyDescent="0.15">
      <c r="H107" s="49"/>
      <c r="I107" s="149"/>
      <c r="J107" s="149"/>
      <c r="K107" s="149"/>
      <c r="L107" s="149"/>
      <c r="M107" s="149"/>
      <c r="N107" s="149"/>
      <c r="O107" s="149"/>
      <c r="P107" s="49"/>
      <c r="R107" s="49"/>
      <c r="V107" s="49"/>
    </row>
    <row r="108" spans="8:22" x14ac:dyDescent="0.15">
      <c r="H108" s="49"/>
      <c r="I108" s="149"/>
      <c r="J108" s="149"/>
      <c r="K108" s="149"/>
      <c r="L108" s="149"/>
      <c r="M108" s="149"/>
      <c r="N108" s="149"/>
      <c r="O108" s="149"/>
      <c r="P108" s="49"/>
      <c r="R108" s="49"/>
      <c r="V108" s="49"/>
    </row>
    <row r="109" spans="8:22" x14ac:dyDescent="0.15">
      <c r="H109" s="49"/>
      <c r="I109" s="149"/>
      <c r="J109" s="149"/>
      <c r="K109" s="149"/>
      <c r="L109" s="149"/>
      <c r="M109" s="149"/>
      <c r="N109" s="149"/>
      <c r="O109" s="149"/>
      <c r="P109" s="49"/>
      <c r="R109" s="49"/>
      <c r="V109" s="49"/>
    </row>
    <row r="110" spans="8:22" x14ac:dyDescent="0.15">
      <c r="H110" s="49"/>
      <c r="I110" s="149"/>
      <c r="J110" s="149"/>
      <c r="K110" s="149"/>
      <c r="L110" s="149"/>
      <c r="M110" s="149"/>
      <c r="N110" s="149"/>
      <c r="O110" s="149"/>
      <c r="P110" s="49"/>
      <c r="R110" s="49"/>
      <c r="V110" s="49"/>
    </row>
    <row r="111" spans="8:22" x14ac:dyDescent="0.15">
      <c r="H111" s="49"/>
      <c r="I111" s="149"/>
      <c r="J111" s="149"/>
      <c r="K111" s="149"/>
      <c r="L111" s="149"/>
      <c r="M111" s="149"/>
      <c r="N111" s="149"/>
      <c r="O111" s="149"/>
      <c r="P111" s="49"/>
      <c r="R111" s="49"/>
      <c r="V111" s="49"/>
    </row>
    <row r="112" spans="8:22" x14ac:dyDescent="0.15">
      <c r="H112" s="49"/>
      <c r="I112" s="149"/>
      <c r="J112" s="149"/>
      <c r="K112" s="149"/>
      <c r="L112" s="149"/>
      <c r="M112" s="149"/>
      <c r="N112" s="149"/>
      <c r="O112" s="149"/>
      <c r="P112" s="49"/>
      <c r="R112" s="49"/>
      <c r="V112" s="49"/>
    </row>
    <row r="113" spans="8:22" x14ac:dyDescent="0.15">
      <c r="H113" s="49"/>
      <c r="I113" s="149"/>
      <c r="J113" s="149"/>
      <c r="K113" s="149"/>
      <c r="L113" s="149"/>
      <c r="M113" s="149"/>
      <c r="N113" s="149"/>
      <c r="O113" s="149"/>
      <c r="P113" s="49"/>
      <c r="R113" s="49"/>
      <c r="V113" s="49"/>
    </row>
    <row r="114" spans="8:22" x14ac:dyDescent="0.15">
      <c r="H114" s="49"/>
      <c r="I114" s="149"/>
      <c r="J114" s="149"/>
      <c r="K114" s="149"/>
      <c r="L114" s="149"/>
      <c r="M114" s="149"/>
      <c r="N114" s="149"/>
      <c r="O114" s="149"/>
      <c r="P114" s="49"/>
      <c r="R114" s="49"/>
      <c r="V114" s="49"/>
    </row>
    <row r="115" spans="8:22" x14ac:dyDescent="0.15">
      <c r="H115" s="49"/>
      <c r="I115" s="149"/>
      <c r="J115" s="149"/>
      <c r="K115" s="149"/>
      <c r="L115" s="149"/>
      <c r="M115" s="149"/>
      <c r="N115" s="149"/>
      <c r="O115" s="149"/>
      <c r="P115" s="49"/>
      <c r="R115" s="49"/>
      <c r="V115" s="49"/>
    </row>
    <row r="116" spans="8:22" x14ac:dyDescent="0.15">
      <c r="H116" s="49"/>
      <c r="I116" s="149"/>
      <c r="J116" s="149"/>
      <c r="K116" s="149"/>
      <c r="L116" s="149"/>
      <c r="M116" s="149"/>
      <c r="N116" s="149"/>
      <c r="O116" s="149"/>
      <c r="P116" s="49"/>
      <c r="R116" s="49"/>
      <c r="V116" s="49"/>
    </row>
    <row r="117" spans="8:22" x14ac:dyDescent="0.15">
      <c r="H117" s="49"/>
      <c r="I117" s="149"/>
      <c r="J117" s="149"/>
      <c r="K117" s="149"/>
      <c r="L117" s="149"/>
      <c r="M117" s="149"/>
      <c r="N117" s="149"/>
      <c r="O117" s="149"/>
      <c r="P117" s="49"/>
      <c r="R117" s="49"/>
      <c r="V117" s="49"/>
    </row>
    <row r="118" spans="8:22" x14ac:dyDescent="0.15">
      <c r="H118" s="49"/>
      <c r="I118" s="149"/>
      <c r="J118" s="149"/>
      <c r="K118" s="149"/>
      <c r="L118" s="149"/>
      <c r="M118" s="149"/>
      <c r="N118" s="149"/>
      <c r="O118" s="149"/>
      <c r="P118" s="49"/>
      <c r="R118" s="49"/>
      <c r="V118" s="49"/>
    </row>
    <row r="119" spans="8:22" x14ac:dyDescent="0.15">
      <c r="H119" s="49"/>
      <c r="I119" s="149"/>
      <c r="J119" s="149"/>
      <c r="K119" s="149"/>
      <c r="L119" s="149"/>
      <c r="M119" s="149"/>
      <c r="N119" s="149"/>
      <c r="O119" s="149"/>
      <c r="P119" s="49"/>
      <c r="R119" s="49"/>
      <c r="V119" s="49"/>
    </row>
    <row r="120" spans="8:22" x14ac:dyDescent="0.15">
      <c r="H120" s="49"/>
      <c r="I120" s="149"/>
      <c r="J120" s="149"/>
      <c r="K120" s="149"/>
      <c r="L120" s="149"/>
      <c r="M120" s="149"/>
      <c r="N120" s="149"/>
      <c r="O120" s="149"/>
      <c r="P120" s="49"/>
      <c r="R120" s="49"/>
      <c r="V120" s="49"/>
    </row>
    <row r="121" spans="8:22" x14ac:dyDescent="0.15">
      <c r="H121" s="49"/>
      <c r="I121" s="149"/>
      <c r="J121" s="149"/>
      <c r="K121" s="149"/>
      <c r="L121" s="149"/>
      <c r="M121" s="149"/>
      <c r="N121" s="149"/>
      <c r="O121" s="149"/>
      <c r="P121" s="49"/>
      <c r="R121" s="49"/>
      <c r="V121" s="49"/>
    </row>
    <row r="122" spans="8:22" x14ac:dyDescent="0.15">
      <c r="H122" s="49"/>
      <c r="I122" s="149"/>
      <c r="J122" s="149"/>
      <c r="K122" s="149"/>
      <c r="L122" s="149"/>
      <c r="M122" s="149"/>
      <c r="N122" s="149"/>
      <c r="O122" s="149"/>
      <c r="P122" s="49"/>
      <c r="R122" s="49"/>
      <c r="V122" s="49"/>
    </row>
    <row r="123" spans="8:22" x14ac:dyDescent="0.15">
      <c r="H123" s="49"/>
      <c r="I123" s="149"/>
      <c r="J123" s="149"/>
      <c r="K123" s="149"/>
      <c r="L123" s="149"/>
      <c r="M123" s="149"/>
      <c r="N123" s="149"/>
      <c r="O123" s="149"/>
      <c r="P123" s="49"/>
      <c r="R123" s="49"/>
      <c r="V123" s="49"/>
    </row>
    <row r="124" spans="8:22" x14ac:dyDescent="0.15">
      <c r="H124" s="49"/>
      <c r="I124" s="149"/>
      <c r="J124" s="149"/>
      <c r="K124" s="149"/>
      <c r="L124" s="149"/>
      <c r="M124" s="149"/>
      <c r="N124" s="149"/>
      <c r="O124" s="149"/>
      <c r="P124" s="49"/>
      <c r="R124" s="49"/>
      <c r="V124" s="49"/>
    </row>
    <row r="125" spans="8:22" x14ac:dyDescent="0.15">
      <c r="H125" s="49"/>
      <c r="I125" s="149"/>
      <c r="J125" s="149"/>
      <c r="K125" s="149"/>
      <c r="L125" s="149"/>
      <c r="M125" s="149"/>
      <c r="N125" s="149"/>
      <c r="O125" s="149"/>
      <c r="P125" s="49"/>
      <c r="R125" s="49"/>
      <c r="V125" s="49"/>
    </row>
    <row r="126" spans="8:22" x14ac:dyDescent="0.15">
      <c r="H126" s="49"/>
      <c r="I126" s="149"/>
      <c r="J126" s="149"/>
      <c r="K126" s="149"/>
      <c r="L126" s="149"/>
      <c r="M126" s="149"/>
      <c r="N126" s="149"/>
      <c r="O126" s="149"/>
      <c r="P126" s="49"/>
      <c r="R126" s="49"/>
      <c r="V126" s="49"/>
    </row>
    <row r="127" spans="8:22" x14ac:dyDescent="0.15">
      <c r="H127" s="49"/>
      <c r="I127" s="149"/>
      <c r="J127" s="149"/>
      <c r="K127" s="149"/>
      <c r="L127" s="149"/>
      <c r="M127" s="149"/>
      <c r="N127" s="149"/>
      <c r="O127" s="149"/>
      <c r="P127" s="49"/>
      <c r="R127" s="49"/>
      <c r="V127" s="49"/>
    </row>
    <row r="128" spans="8:22" x14ac:dyDescent="0.15">
      <c r="H128" s="49"/>
      <c r="I128" s="149"/>
      <c r="J128" s="149"/>
      <c r="K128" s="149"/>
      <c r="L128" s="149"/>
      <c r="M128" s="149"/>
      <c r="N128" s="149"/>
      <c r="O128" s="149"/>
      <c r="P128" s="49"/>
      <c r="R128" s="49"/>
      <c r="V128" s="49"/>
    </row>
    <row r="129" spans="8:22" x14ac:dyDescent="0.15">
      <c r="H129" s="49"/>
      <c r="I129" s="149"/>
      <c r="J129" s="149"/>
      <c r="K129" s="149"/>
      <c r="L129" s="149"/>
      <c r="M129" s="149"/>
      <c r="N129" s="149"/>
      <c r="O129" s="149"/>
      <c r="P129" s="49"/>
      <c r="R129" s="49"/>
      <c r="V129" s="49"/>
    </row>
    <row r="130" spans="8:22" x14ac:dyDescent="0.15">
      <c r="H130" s="49"/>
      <c r="I130" s="149"/>
      <c r="J130" s="149"/>
      <c r="K130" s="149"/>
      <c r="L130" s="149"/>
      <c r="M130" s="149"/>
      <c r="N130" s="149"/>
      <c r="O130" s="149"/>
      <c r="P130" s="49"/>
      <c r="R130" s="49"/>
      <c r="V130" s="49"/>
    </row>
    <row r="131" spans="8:22" x14ac:dyDescent="0.15">
      <c r="H131" s="49"/>
      <c r="I131" s="149"/>
      <c r="J131" s="149"/>
      <c r="K131" s="149"/>
      <c r="L131" s="149"/>
      <c r="M131" s="149"/>
      <c r="N131" s="149"/>
      <c r="O131" s="149"/>
      <c r="P131" s="49"/>
      <c r="R131" s="49"/>
      <c r="V131" s="49"/>
    </row>
    <row r="132" spans="8:22" x14ac:dyDescent="0.15">
      <c r="H132" s="49"/>
      <c r="I132" s="149"/>
      <c r="J132" s="149"/>
      <c r="K132" s="149"/>
      <c r="L132" s="149"/>
      <c r="M132" s="149"/>
      <c r="N132" s="149"/>
      <c r="O132" s="149"/>
      <c r="P132" s="49"/>
      <c r="R132" s="49"/>
      <c r="V132" s="49"/>
    </row>
    <row r="133" spans="8:22" x14ac:dyDescent="0.15">
      <c r="H133" s="49"/>
      <c r="I133" s="149"/>
      <c r="J133" s="149"/>
      <c r="K133" s="149"/>
      <c r="L133" s="149"/>
      <c r="M133" s="149"/>
      <c r="N133" s="149"/>
      <c r="O133" s="149"/>
      <c r="P133" s="49"/>
      <c r="R133" s="49"/>
      <c r="V133" s="49"/>
    </row>
    <row r="134" spans="8:22" x14ac:dyDescent="0.15">
      <c r="H134" s="49"/>
      <c r="I134" s="149"/>
      <c r="J134" s="149"/>
      <c r="K134" s="149"/>
      <c r="L134" s="149"/>
      <c r="M134" s="149"/>
      <c r="N134" s="149"/>
      <c r="O134" s="149"/>
      <c r="P134" s="49"/>
      <c r="R134" s="49"/>
      <c r="V134" s="49"/>
    </row>
    <row r="135" spans="8:22" x14ac:dyDescent="0.15">
      <c r="H135" s="49"/>
      <c r="I135" s="149"/>
      <c r="J135" s="149"/>
      <c r="K135" s="149"/>
      <c r="L135" s="149"/>
      <c r="M135" s="149"/>
      <c r="N135" s="149"/>
      <c r="O135" s="149"/>
      <c r="P135" s="49"/>
      <c r="R135" s="49"/>
      <c r="V135" s="49"/>
    </row>
    <row r="136" spans="8:22" x14ac:dyDescent="0.15">
      <c r="H136" s="49"/>
      <c r="I136" s="149"/>
      <c r="J136" s="149"/>
      <c r="K136" s="149"/>
      <c r="L136" s="149"/>
      <c r="M136" s="149"/>
      <c r="N136" s="149"/>
      <c r="O136" s="149"/>
      <c r="P136" s="49"/>
      <c r="R136" s="49"/>
      <c r="V136" s="49"/>
    </row>
    <row r="137" spans="8:22" x14ac:dyDescent="0.15">
      <c r="H137" s="49"/>
      <c r="I137" s="149"/>
      <c r="J137" s="149"/>
      <c r="K137" s="149"/>
      <c r="L137" s="149"/>
      <c r="M137" s="149"/>
      <c r="N137" s="149"/>
      <c r="O137" s="149"/>
      <c r="P137" s="49"/>
      <c r="R137" s="49"/>
      <c r="V137" s="49"/>
    </row>
    <row r="138" spans="8:22" x14ac:dyDescent="0.15">
      <c r="H138" s="49"/>
      <c r="I138" s="149"/>
      <c r="J138" s="149"/>
      <c r="K138" s="149"/>
      <c r="L138" s="149"/>
      <c r="M138" s="149"/>
      <c r="N138" s="149"/>
      <c r="O138" s="149"/>
      <c r="P138" s="49"/>
      <c r="R138" s="49"/>
      <c r="V138" s="49"/>
    </row>
    <row r="139" spans="8:22" x14ac:dyDescent="0.15">
      <c r="H139" s="49"/>
      <c r="I139" s="149"/>
      <c r="J139" s="149"/>
      <c r="K139" s="149"/>
      <c r="L139" s="149"/>
      <c r="M139" s="149"/>
      <c r="N139" s="149"/>
      <c r="P139" s="49"/>
      <c r="R139" s="49"/>
      <c r="V139" s="49"/>
    </row>
    <row r="140" spans="8:22" x14ac:dyDescent="0.15">
      <c r="H140" s="49"/>
      <c r="I140" s="149"/>
      <c r="J140" s="149"/>
      <c r="K140" s="149"/>
      <c r="L140" s="149"/>
      <c r="M140" s="149"/>
      <c r="N140" s="149"/>
      <c r="P140" s="49"/>
      <c r="R140" s="49"/>
      <c r="V140" s="49"/>
    </row>
    <row r="141" spans="8:22" x14ac:dyDescent="0.15">
      <c r="H141" s="49"/>
      <c r="I141" s="149"/>
      <c r="J141" s="149"/>
      <c r="K141" s="149"/>
      <c r="L141" s="149"/>
      <c r="M141" s="149"/>
      <c r="N141" s="149"/>
      <c r="P141" s="49"/>
      <c r="R141" s="49"/>
      <c r="V141" s="49"/>
    </row>
    <row r="142" spans="8:22" x14ac:dyDescent="0.15">
      <c r="H142" s="49"/>
      <c r="I142" s="149"/>
      <c r="J142" s="149"/>
      <c r="K142" s="149"/>
      <c r="L142" s="149"/>
      <c r="M142" s="149"/>
      <c r="N142" s="149"/>
      <c r="P142" s="49"/>
      <c r="R142" s="49"/>
      <c r="V142" s="49"/>
    </row>
    <row r="143" spans="8:22" x14ac:dyDescent="0.15">
      <c r="H143" s="49"/>
      <c r="I143" s="149"/>
      <c r="J143" s="149"/>
      <c r="K143" s="149"/>
      <c r="L143" s="149"/>
      <c r="M143" s="149"/>
      <c r="N143" s="149"/>
      <c r="P143" s="49"/>
      <c r="R143" s="49"/>
      <c r="V143" s="49"/>
    </row>
    <row r="144" spans="8:22" x14ac:dyDescent="0.15">
      <c r="H144" s="49"/>
      <c r="I144" s="149"/>
      <c r="J144" s="149"/>
      <c r="K144" s="149"/>
      <c r="L144" s="149"/>
      <c r="M144" s="149"/>
      <c r="N144" s="149"/>
      <c r="P144" s="49"/>
      <c r="R144" s="49"/>
      <c r="V144" s="49"/>
    </row>
    <row r="145" spans="8:22" x14ac:dyDescent="0.15">
      <c r="H145" s="49"/>
      <c r="I145" s="149"/>
      <c r="J145" s="149"/>
      <c r="K145" s="149"/>
      <c r="L145" s="149"/>
      <c r="M145" s="149"/>
      <c r="N145" s="149"/>
      <c r="P145" s="49"/>
      <c r="R145" s="49"/>
      <c r="V145" s="49"/>
    </row>
    <row r="146" spans="8:22" x14ac:dyDescent="0.15">
      <c r="H146" s="49"/>
      <c r="I146" s="149"/>
      <c r="J146" s="149"/>
      <c r="K146" s="149"/>
      <c r="L146" s="149"/>
      <c r="M146" s="149"/>
      <c r="N146" s="149"/>
      <c r="P146" s="49"/>
      <c r="R146" s="49"/>
      <c r="V146" s="49"/>
    </row>
    <row r="147" spans="8:22" x14ac:dyDescent="0.15">
      <c r="H147" s="49"/>
      <c r="I147" s="149"/>
      <c r="J147" s="149"/>
      <c r="K147" s="149"/>
      <c r="L147" s="149"/>
      <c r="M147" s="149"/>
      <c r="N147" s="149"/>
      <c r="P147" s="49"/>
      <c r="R147" s="49"/>
      <c r="V147" s="49"/>
    </row>
    <row r="148" spans="8:22" x14ac:dyDescent="0.15">
      <c r="H148" s="49"/>
      <c r="I148" s="149"/>
      <c r="J148" s="149"/>
      <c r="K148" s="149"/>
      <c r="L148" s="149"/>
      <c r="M148" s="149"/>
      <c r="N148" s="149"/>
      <c r="P148" s="49"/>
      <c r="R148" s="49"/>
      <c r="V148" s="49"/>
    </row>
    <row r="149" spans="8:22" x14ac:dyDescent="0.15">
      <c r="H149" s="49"/>
      <c r="I149" s="149"/>
      <c r="J149" s="149"/>
      <c r="K149" s="149"/>
      <c r="L149" s="149"/>
      <c r="M149" s="149"/>
      <c r="N149" s="149"/>
      <c r="P149" s="49"/>
      <c r="R149" s="49"/>
      <c r="V149" s="49"/>
    </row>
    <row r="150" spans="8:22" x14ac:dyDescent="0.15">
      <c r="H150" s="49"/>
      <c r="I150" s="149"/>
      <c r="J150" s="149"/>
      <c r="K150" s="149"/>
      <c r="L150" s="149"/>
      <c r="M150" s="149"/>
      <c r="N150" s="149"/>
      <c r="P150" s="49"/>
      <c r="R150" s="49"/>
      <c r="V150" s="49"/>
    </row>
    <row r="151" spans="8:22" x14ac:dyDescent="0.15">
      <c r="H151" s="49"/>
      <c r="I151" s="149"/>
      <c r="J151" s="149"/>
      <c r="K151" s="149"/>
      <c r="L151" s="149"/>
      <c r="M151" s="149"/>
      <c r="N151" s="149"/>
      <c r="P151" s="49"/>
      <c r="R151" s="49"/>
      <c r="V151" s="49"/>
    </row>
    <row r="152" spans="8:22" x14ac:dyDescent="0.15">
      <c r="H152" s="49"/>
      <c r="I152" s="149"/>
      <c r="J152" s="149"/>
      <c r="K152" s="149"/>
      <c r="L152" s="149"/>
      <c r="M152" s="149"/>
      <c r="N152" s="149"/>
      <c r="P152" s="49"/>
      <c r="R152" s="49"/>
      <c r="V152" s="49"/>
    </row>
    <row r="153" spans="8:22" x14ac:dyDescent="0.15">
      <c r="H153" s="49"/>
      <c r="I153" s="149"/>
      <c r="J153" s="149"/>
      <c r="K153" s="149"/>
      <c r="L153" s="149"/>
      <c r="M153" s="149"/>
      <c r="N153" s="149"/>
      <c r="P153" s="49"/>
      <c r="R153" s="49"/>
      <c r="V153" s="49"/>
    </row>
    <row r="154" spans="8:22" x14ac:dyDescent="0.15">
      <c r="H154" s="49"/>
      <c r="I154" s="149"/>
      <c r="J154" s="149"/>
      <c r="K154" s="149"/>
      <c r="L154" s="149"/>
      <c r="M154" s="149"/>
      <c r="N154" s="149"/>
      <c r="P154" s="49"/>
      <c r="R154" s="49"/>
      <c r="V154" s="49"/>
    </row>
    <row r="155" spans="8:22" x14ac:dyDescent="0.15">
      <c r="H155" s="49"/>
      <c r="J155" s="149"/>
      <c r="K155" s="149"/>
      <c r="L155" s="149"/>
      <c r="M155" s="149"/>
      <c r="N155" s="149"/>
      <c r="P155" s="49"/>
      <c r="R155" s="49"/>
      <c r="V155" s="49"/>
    </row>
    <row r="156" spans="8:22" x14ac:dyDescent="0.15">
      <c r="H156" s="49"/>
      <c r="J156" s="149"/>
      <c r="K156" s="149"/>
      <c r="L156" s="149"/>
      <c r="M156" s="149"/>
      <c r="N156" s="149"/>
      <c r="P156" s="49"/>
      <c r="R156" s="49"/>
      <c r="V156" s="49"/>
    </row>
    <row r="172" spans="8:22" x14ac:dyDescent="0.15">
      <c r="H172" s="49"/>
      <c r="O172" s="149"/>
      <c r="P172" s="49"/>
      <c r="R172" s="49"/>
      <c r="V172" s="49"/>
    </row>
    <row r="173" spans="8:22" x14ac:dyDescent="0.15">
      <c r="H173" s="49"/>
      <c r="O173" s="149"/>
      <c r="P173" s="49"/>
      <c r="R173" s="49"/>
      <c r="V173" s="49"/>
    </row>
    <row r="174" spans="8:22" x14ac:dyDescent="0.15">
      <c r="H174" s="49"/>
      <c r="O174" s="149"/>
      <c r="P174" s="49"/>
      <c r="R174" s="49"/>
      <c r="V174" s="49"/>
    </row>
    <row r="175" spans="8:22" x14ac:dyDescent="0.15">
      <c r="H175" s="49"/>
      <c r="O175" s="149"/>
      <c r="P175" s="49"/>
      <c r="R175" s="49"/>
      <c r="V175" s="49"/>
    </row>
    <row r="176" spans="8:22" x14ac:dyDescent="0.15">
      <c r="H176" s="49"/>
      <c r="O176" s="149"/>
      <c r="P176" s="49"/>
      <c r="R176" s="49"/>
      <c r="V176" s="49"/>
    </row>
    <row r="177" spans="8:22" x14ac:dyDescent="0.15">
      <c r="H177" s="49"/>
      <c r="O177" s="149"/>
      <c r="P177" s="49"/>
      <c r="R177" s="49"/>
      <c r="V177" s="49"/>
    </row>
    <row r="178" spans="8:22" x14ac:dyDescent="0.15">
      <c r="H178" s="49"/>
      <c r="O178" s="149"/>
      <c r="P178" s="49"/>
      <c r="R178" s="49"/>
      <c r="V178" s="49"/>
    </row>
    <row r="179" spans="8:22" x14ac:dyDescent="0.15">
      <c r="H179" s="49"/>
      <c r="O179" s="149"/>
      <c r="P179" s="49"/>
      <c r="R179" s="49"/>
      <c r="V179" s="49"/>
    </row>
    <row r="180" spans="8:22" x14ac:dyDescent="0.15">
      <c r="H180" s="49"/>
      <c r="O180" s="149"/>
      <c r="P180" s="49"/>
      <c r="R180" s="49"/>
      <c r="V180" s="49"/>
    </row>
    <row r="181" spans="8:22" x14ac:dyDescent="0.15">
      <c r="H181" s="49"/>
      <c r="O181" s="149"/>
      <c r="P181" s="49"/>
      <c r="R181" s="49"/>
      <c r="V181" s="49"/>
    </row>
    <row r="182" spans="8:22" x14ac:dyDescent="0.15">
      <c r="H182" s="49"/>
      <c r="O182" s="149"/>
      <c r="P182" s="49"/>
      <c r="R182" s="49"/>
      <c r="V182" s="49"/>
    </row>
    <row r="183" spans="8:22" x14ac:dyDescent="0.15">
      <c r="H183" s="49"/>
      <c r="O183" s="149"/>
      <c r="P183" s="49"/>
      <c r="R183" s="49"/>
      <c r="V183" s="49"/>
    </row>
    <row r="184" spans="8:22" x14ac:dyDescent="0.15">
      <c r="H184" s="49"/>
      <c r="O184" s="149"/>
      <c r="P184" s="49"/>
      <c r="R184" s="49"/>
      <c r="V184" s="49"/>
    </row>
    <row r="185" spans="8:22" x14ac:dyDescent="0.15">
      <c r="H185" s="49"/>
      <c r="O185" s="149"/>
      <c r="P185" s="49"/>
      <c r="R185" s="49"/>
      <c r="V185" s="49"/>
    </row>
    <row r="186" spans="8:22" x14ac:dyDescent="0.15">
      <c r="H186" s="49"/>
      <c r="O186" s="149"/>
      <c r="P186" s="49"/>
      <c r="R186" s="49"/>
      <c r="V186" s="49"/>
    </row>
    <row r="187" spans="8:22" x14ac:dyDescent="0.15">
      <c r="H187" s="49"/>
      <c r="O187" s="149"/>
      <c r="P187" s="49"/>
      <c r="R187" s="49"/>
      <c r="V187" s="49"/>
    </row>
    <row r="188" spans="8:22" x14ac:dyDescent="0.15">
      <c r="H188" s="49"/>
      <c r="O188" s="149"/>
      <c r="P188" s="49"/>
      <c r="R188" s="49"/>
      <c r="V188" s="49"/>
    </row>
    <row r="189" spans="8:22" x14ac:dyDescent="0.15">
      <c r="H189" s="49"/>
      <c r="O189" s="149"/>
      <c r="P189" s="49"/>
      <c r="R189" s="49"/>
      <c r="V189" s="49"/>
    </row>
    <row r="190" spans="8:22" x14ac:dyDescent="0.15">
      <c r="H190" s="49"/>
      <c r="O190" s="149"/>
      <c r="P190" s="49"/>
      <c r="R190" s="49"/>
      <c r="V190" s="49"/>
    </row>
    <row r="191" spans="8:22" x14ac:dyDescent="0.15">
      <c r="H191" s="49"/>
      <c r="O191" s="149"/>
      <c r="P191" s="49"/>
      <c r="R191" s="49"/>
      <c r="V191" s="49"/>
    </row>
  </sheetData>
  <mergeCells count="71">
    <mergeCell ref="P57:Q57"/>
    <mergeCell ref="K50:L50"/>
    <mergeCell ref="I51:I56"/>
    <mergeCell ref="K51:L51"/>
    <mergeCell ref="Q51:Q55"/>
    <mergeCell ref="K52:L52"/>
    <mergeCell ref="K53:L53"/>
    <mergeCell ref="P45:P56"/>
    <mergeCell ref="Q45:Q49"/>
    <mergeCell ref="B54:B57"/>
    <mergeCell ref="K54:L54"/>
    <mergeCell ref="K55:L55"/>
    <mergeCell ref="I47:I50"/>
    <mergeCell ref="B39:B48"/>
    <mergeCell ref="B49:B53"/>
    <mergeCell ref="I43:I46"/>
    <mergeCell ref="K45:L45"/>
    <mergeCell ref="K46:L46"/>
    <mergeCell ref="K47:L47"/>
    <mergeCell ref="K48:L48"/>
    <mergeCell ref="K49:L49"/>
    <mergeCell ref="K56:L56"/>
    <mergeCell ref="I57:J57"/>
    <mergeCell ref="K57:L57"/>
    <mergeCell ref="Q37:R37"/>
    <mergeCell ref="K38:L38"/>
    <mergeCell ref="P38:P44"/>
    <mergeCell ref="K39:L39"/>
    <mergeCell ref="K40:L40"/>
    <mergeCell ref="K41:L41"/>
    <mergeCell ref="K42:L42"/>
    <mergeCell ref="K43:L43"/>
    <mergeCell ref="K44:L44"/>
    <mergeCell ref="I24:I27"/>
    <mergeCell ref="K34:L34"/>
    <mergeCell ref="I35:I42"/>
    <mergeCell ref="K35:L35"/>
    <mergeCell ref="K36:L36"/>
    <mergeCell ref="K37:L37"/>
    <mergeCell ref="T9:U9"/>
    <mergeCell ref="T10:U10"/>
    <mergeCell ref="B28:B38"/>
    <mergeCell ref="B12:B16"/>
    <mergeCell ref="T12:U12"/>
    <mergeCell ref="T13:U13"/>
    <mergeCell ref="T14:U14"/>
    <mergeCell ref="T15:U15"/>
    <mergeCell ref="I16:I19"/>
    <mergeCell ref="T18:U18"/>
    <mergeCell ref="B17:B20"/>
    <mergeCell ref="T19:U19"/>
    <mergeCell ref="T20:U20"/>
    <mergeCell ref="I20:I23"/>
    <mergeCell ref="B21:B24"/>
    <mergeCell ref="I28:I31"/>
    <mergeCell ref="I12:I15"/>
    <mergeCell ref="T11:U11"/>
    <mergeCell ref="T16:U16"/>
    <mergeCell ref="T17:U17"/>
    <mergeCell ref="B5:B7"/>
    <mergeCell ref="T5:U5"/>
    <mergeCell ref="T6:U6"/>
    <mergeCell ref="T7:U7"/>
    <mergeCell ref="I4:I5"/>
    <mergeCell ref="J4:J5"/>
    <mergeCell ref="M4:M5"/>
    <mergeCell ref="N4:N5"/>
    <mergeCell ref="T4:U4"/>
    <mergeCell ref="I6:I11"/>
    <mergeCell ref="B8:B11"/>
    <mergeCell ref="T8:U8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3" tint="0.79998168889431442"/>
    <pageSetUpPr fitToPage="1"/>
  </sheetPr>
  <dimension ref="B1:V191"/>
  <sheetViews>
    <sheetView zoomScale="75" zoomScaleNormal="75" workbookViewId="0"/>
  </sheetViews>
  <sheetFormatPr defaultRowHeight="13.5" x14ac:dyDescent="0.15"/>
  <cols>
    <col min="1" max="1" width="1.625" style="49" customWidth="1"/>
    <col min="2" max="2" width="3.625" style="49" customWidth="1"/>
    <col min="3" max="3" width="15.625" style="49" customWidth="1"/>
    <col min="4" max="7" width="8.625" style="49" customWidth="1"/>
    <col min="8" max="8" width="1.625" style="149" customWidth="1"/>
    <col min="9" max="9" width="3.625" style="49" customWidth="1"/>
    <col min="10" max="10" width="15.625" style="49" customWidth="1"/>
    <col min="11" max="14" width="8.625" style="49" customWidth="1"/>
    <col min="15" max="15" width="3.5" style="49" customWidth="1"/>
    <col min="16" max="16" width="15.625" style="124" customWidth="1"/>
    <col min="17" max="17" width="8.625" style="49" customWidth="1"/>
    <col min="18" max="18" width="8.625" style="50" customWidth="1"/>
    <col min="19" max="21" width="8.625" style="49" customWidth="1"/>
    <col min="22" max="22" width="10.625" style="50" customWidth="1"/>
    <col min="23" max="257" width="9" style="49"/>
    <col min="258" max="258" width="1.375" style="49" customWidth="1"/>
    <col min="259" max="259" width="3.5" style="49" customWidth="1"/>
    <col min="260" max="260" width="22.125" style="49" customWidth="1"/>
    <col min="261" max="261" width="9.75" style="49" customWidth="1"/>
    <col min="262" max="262" width="7.375" style="49" customWidth="1"/>
    <col min="263" max="263" width="9" style="49"/>
    <col min="264" max="264" width="9.25" style="49" customWidth="1"/>
    <col min="265" max="265" width="3.5" style="49" customWidth="1"/>
    <col min="266" max="267" width="12.625" style="49" customWidth="1"/>
    <col min="268" max="268" width="9" style="49"/>
    <col min="269" max="269" width="7.75" style="49" customWidth="1"/>
    <col min="270" max="270" width="13.125" style="49" customWidth="1"/>
    <col min="271" max="271" width="6.125" style="49" customWidth="1"/>
    <col min="272" max="272" width="9.75" style="49" customWidth="1"/>
    <col min="273" max="273" width="1.375" style="49" customWidth="1"/>
    <col min="274" max="513" width="9" style="49"/>
    <col min="514" max="514" width="1.375" style="49" customWidth="1"/>
    <col min="515" max="515" width="3.5" style="49" customWidth="1"/>
    <col min="516" max="516" width="22.125" style="49" customWidth="1"/>
    <col min="517" max="517" width="9.75" style="49" customWidth="1"/>
    <col min="518" max="518" width="7.375" style="49" customWidth="1"/>
    <col min="519" max="519" width="9" style="49"/>
    <col min="520" max="520" width="9.25" style="49" customWidth="1"/>
    <col min="521" max="521" width="3.5" style="49" customWidth="1"/>
    <col min="522" max="523" width="12.625" style="49" customWidth="1"/>
    <col min="524" max="524" width="9" style="49"/>
    <col min="525" max="525" width="7.75" style="49" customWidth="1"/>
    <col min="526" max="526" width="13.125" style="49" customWidth="1"/>
    <col min="527" max="527" width="6.125" style="49" customWidth="1"/>
    <col min="528" max="528" width="9.75" style="49" customWidth="1"/>
    <col min="529" max="529" width="1.375" style="49" customWidth="1"/>
    <col min="530" max="769" width="9" style="49"/>
    <col min="770" max="770" width="1.375" style="49" customWidth="1"/>
    <col min="771" max="771" width="3.5" style="49" customWidth="1"/>
    <col min="772" max="772" width="22.125" style="49" customWidth="1"/>
    <col min="773" max="773" width="9.75" style="49" customWidth="1"/>
    <col min="774" max="774" width="7.375" style="49" customWidth="1"/>
    <col min="775" max="775" width="9" style="49"/>
    <col min="776" max="776" width="9.25" style="49" customWidth="1"/>
    <col min="777" max="777" width="3.5" style="49" customWidth="1"/>
    <col min="778" max="779" width="12.625" style="49" customWidth="1"/>
    <col min="780" max="780" width="9" style="49"/>
    <col min="781" max="781" width="7.75" style="49" customWidth="1"/>
    <col min="782" max="782" width="13.125" style="49" customWidth="1"/>
    <col min="783" max="783" width="6.125" style="49" customWidth="1"/>
    <col min="784" max="784" width="9.75" style="49" customWidth="1"/>
    <col min="785" max="785" width="1.375" style="49" customWidth="1"/>
    <col min="786" max="1025" width="9" style="49"/>
    <col min="1026" max="1026" width="1.375" style="49" customWidth="1"/>
    <col min="1027" max="1027" width="3.5" style="49" customWidth="1"/>
    <col min="1028" max="1028" width="22.125" style="49" customWidth="1"/>
    <col min="1029" max="1029" width="9.75" style="49" customWidth="1"/>
    <col min="1030" max="1030" width="7.375" style="49" customWidth="1"/>
    <col min="1031" max="1031" width="9" style="49"/>
    <col min="1032" max="1032" width="9.25" style="49" customWidth="1"/>
    <col min="1033" max="1033" width="3.5" style="49" customWidth="1"/>
    <col min="1034" max="1035" width="12.625" style="49" customWidth="1"/>
    <col min="1036" max="1036" width="9" style="49"/>
    <col min="1037" max="1037" width="7.75" style="49" customWidth="1"/>
    <col min="1038" max="1038" width="13.125" style="49" customWidth="1"/>
    <col min="1039" max="1039" width="6.125" style="49" customWidth="1"/>
    <col min="1040" max="1040" width="9.75" style="49" customWidth="1"/>
    <col min="1041" max="1041" width="1.375" style="49" customWidth="1"/>
    <col min="1042" max="1281" width="9" style="49"/>
    <col min="1282" max="1282" width="1.375" style="49" customWidth="1"/>
    <col min="1283" max="1283" width="3.5" style="49" customWidth="1"/>
    <col min="1284" max="1284" width="22.125" style="49" customWidth="1"/>
    <col min="1285" max="1285" width="9.75" style="49" customWidth="1"/>
    <col min="1286" max="1286" width="7.375" style="49" customWidth="1"/>
    <col min="1287" max="1287" width="9" style="49"/>
    <col min="1288" max="1288" width="9.25" style="49" customWidth="1"/>
    <col min="1289" max="1289" width="3.5" style="49" customWidth="1"/>
    <col min="1290" max="1291" width="12.625" style="49" customWidth="1"/>
    <col min="1292" max="1292" width="9" style="49"/>
    <col min="1293" max="1293" width="7.75" style="49" customWidth="1"/>
    <col min="1294" max="1294" width="13.125" style="49" customWidth="1"/>
    <col min="1295" max="1295" width="6.125" style="49" customWidth="1"/>
    <col min="1296" max="1296" width="9.75" style="49" customWidth="1"/>
    <col min="1297" max="1297" width="1.375" style="49" customWidth="1"/>
    <col min="1298" max="1537" width="9" style="49"/>
    <col min="1538" max="1538" width="1.375" style="49" customWidth="1"/>
    <col min="1539" max="1539" width="3.5" style="49" customWidth="1"/>
    <col min="1540" max="1540" width="22.125" style="49" customWidth="1"/>
    <col min="1541" max="1541" width="9.75" style="49" customWidth="1"/>
    <col min="1542" max="1542" width="7.375" style="49" customWidth="1"/>
    <col min="1543" max="1543" width="9" style="49"/>
    <col min="1544" max="1544" width="9.25" style="49" customWidth="1"/>
    <col min="1545" max="1545" width="3.5" style="49" customWidth="1"/>
    <col min="1546" max="1547" width="12.625" style="49" customWidth="1"/>
    <col min="1548" max="1548" width="9" style="49"/>
    <col min="1549" max="1549" width="7.75" style="49" customWidth="1"/>
    <col min="1550" max="1550" width="13.125" style="49" customWidth="1"/>
    <col min="1551" max="1551" width="6.125" style="49" customWidth="1"/>
    <col min="1552" max="1552" width="9.75" style="49" customWidth="1"/>
    <col min="1553" max="1553" width="1.375" style="49" customWidth="1"/>
    <col min="1554" max="1793" width="9" style="49"/>
    <col min="1794" max="1794" width="1.375" style="49" customWidth="1"/>
    <col min="1795" max="1795" width="3.5" style="49" customWidth="1"/>
    <col min="1796" max="1796" width="22.125" style="49" customWidth="1"/>
    <col min="1797" max="1797" width="9.75" style="49" customWidth="1"/>
    <col min="1798" max="1798" width="7.375" style="49" customWidth="1"/>
    <col min="1799" max="1799" width="9" style="49"/>
    <col min="1800" max="1800" width="9.25" style="49" customWidth="1"/>
    <col min="1801" max="1801" width="3.5" style="49" customWidth="1"/>
    <col min="1802" max="1803" width="12.625" style="49" customWidth="1"/>
    <col min="1804" max="1804" width="9" style="49"/>
    <col min="1805" max="1805" width="7.75" style="49" customWidth="1"/>
    <col min="1806" max="1806" width="13.125" style="49" customWidth="1"/>
    <col min="1807" max="1807" width="6.125" style="49" customWidth="1"/>
    <col min="1808" max="1808" width="9.75" style="49" customWidth="1"/>
    <col min="1809" max="1809" width="1.375" style="49" customWidth="1"/>
    <col min="1810" max="2049" width="9" style="49"/>
    <col min="2050" max="2050" width="1.375" style="49" customWidth="1"/>
    <col min="2051" max="2051" width="3.5" style="49" customWidth="1"/>
    <col min="2052" max="2052" width="22.125" style="49" customWidth="1"/>
    <col min="2053" max="2053" width="9.75" style="49" customWidth="1"/>
    <col min="2054" max="2054" width="7.375" style="49" customWidth="1"/>
    <col min="2055" max="2055" width="9" style="49"/>
    <col min="2056" max="2056" width="9.25" style="49" customWidth="1"/>
    <col min="2057" max="2057" width="3.5" style="49" customWidth="1"/>
    <col min="2058" max="2059" width="12.625" style="49" customWidth="1"/>
    <col min="2060" max="2060" width="9" style="49"/>
    <col min="2061" max="2061" width="7.75" style="49" customWidth="1"/>
    <col min="2062" max="2062" width="13.125" style="49" customWidth="1"/>
    <col min="2063" max="2063" width="6.125" style="49" customWidth="1"/>
    <col min="2064" max="2064" width="9.75" style="49" customWidth="1"/>
    <col min="2065" max="2065" width="1.375" style="49" customWidth="1"/>
    <col min="2066" max="2305" width="9" style="49"/>
    <col min="2306" max="2306" width="1.375" style="49" customWidth="1"/>
    <col min="2307" max="2307" width="3.5" style="49" customWidth="1"/>
    <col min="2308" max="2308" width="22.125" style="49" customWidth="1"/>
    <col min="2309" max="2309" width="9.75" style="49" customWidth="1"/>
    <col min="2310" max="2310" width="7.375" style="49" customWidth="1"/>
    <col min="2311" max="2311" width="9" style="49"/>
    <col min="2312" max="2312" width="9.25" style="49" customWidth="1"/>
    <col min="2313" max="2313" width="3.5" style="49" customWidth="1"/>
    <col min="2314" max="2315" width="12.625" style="49" customWidth="1"/>
    <col min="2316" max="2316" width="9" style="49"/>
    <col min="2317" max="2317" width="7.75" style="49" customWidth="1"/>
    <col min="2318" max="2318" width="13.125" style="49" customWidth="1"/>
    <col min="2319" max="2319" width="6.125" style="49" customWidth="1"/>
    <col min="2320" max="2320" width="9.75" style="49" customWidth="1"/>
    <col min="2321" max="2321" width="1.375" style="49" customWidth="1"/>
    <col min="2322" max="2561" width="9" style="49"/>
    <col min="2562" max="2562" width="1.375" style="49" customWidth="1"/>
    <col min="2563" max="2563" width="3.5" style="49" customWidth="1"/>
    <col min="2564" max="2564" width="22.125" style="49" customWidth="1"/>
    <col min="2565" max="2565" width="9.75" style="49" customWidth="1"/>
    <col min="2566" max="2566" width="7.375" style="49" customWidth="1"/>
    <col min="2567" max="2567" width="9" style="49"/>
    <col min="2568" max="2568" width="9.25" style="49" customWidth="1"/>
    <col min="2569" max="2569" width="3.5" style="49" customWidth="1"/>
    <col min="2570" max="2571" width="12.625" style="49" customWidth="1"/>
    <col min="2572" max="2572" width="9" style="49"/>
    <col min="2573" max="2573" width="7.75" style="49" customWidth="1"/>
    <col min="2574" max="2574" width="13.125" style="49" customWidth="1"/>
    <col min="2575" max="2575" width="6.125" style="49" customWidth="1"/>
    <col min="2576" max="2576" width="9.75" style="49" customWidth="1"/>
    <col min="2577" max="2577" width="1.375" style="49" customWidth="1"/>
    <col min="2578" max="2817" width="9" style="49"/>
    <col min="2818" max="2818" width="1.375" style="49" customWidth="1"/>
    <col min="2819" max="2819" width="3.5" style="49" customWidth="1"/>
    <col min="2820" max="2820" width="22.125" style="49" customWidth="1"/>
    <col min="2821" max="2821" width="9.75" style="49" customWidth="1"/>
    <col min="2822" max="2822" width="7.375" style="49" customWidth="1"/>
    <col min="2823" max="2823" width="9" style="49"/>
    <col min="2824" max="2824" width="9.25" style="49" customWidth="1"/>
    <col min="2825" max="2825" width="3.5" style="49" customWidth="1"/>
    <col min="2826" max="2827" width="12.625" style="49" customWidth="1"/>
    <col min="2828" max="2828" width="9" style="49"/>
    <col min="2829" max="2829" width="7.75" style="49" customWidth="1"/>
    <col min="2830" max="2830" width="13.125" style="49" customWidth="1"/>
    <col min="2831" max="2831" width="6.125" style="49" customWidth="1"/>
    <col min="2832" max="2832" width="9.75" style="49" customWidth="1"/>
    <col min="2833" max="2833" width="1.375" style="49" customWidth="1"/>
    <col min="2834" max="3073" width="9" style="49"/>
    <col min="3074" max="3074" width="1.375" style="49" customWidth="1"/>
    <col min="3075" max="3075" width="3.5" style="49" customWidth="1"/>
    <col min="3076" max="3076" width="22.125" style="49" customWidth="1"/>
    <col min="3077" max="3077" width="9.75" style="49" customWidth="1"/>
    <col min="3078" max="3078" width="7.375" style="49" customWidth="1"/>
    <col min="3079" max="3079" width="9" style="49"/>
    <col min="3080" max="3080" width="9.25" style="49" customWidth="1"/>
    <col min="3081" max="3081" width="3.5" style="49" customWidth="1"/>
    <col min="3082" max="3083" width="12.625" style="49" customWidth="1"/>
    <col min="3084" max="3084" width="9" style="49"/>
    <col min="3085" max="3085" width="7.75" style="49" customWidth="1"/>
    <col min="3086" max="3086" width="13.125" style="49" customWidth="1"/>
    <col min="3087" max="3087" width="6.125" style="49" customWidth="1"/>
    <col min="3088" max="3088" width="9.75" style="49" customWidth="1"/>
    <col min="3089" max="3089" width="1.375" style="49" customWidth="1"/>
    <col min="3090" max="3329" width="9" style="49"/>
    <col min="3330" max="3330" width="1.375" style="49" customWidth="1"/>
    <col min="3331" max="3331" width="3.5" style="49" customWidth="1"/>
    <col min="3332" max="3332" width="22.125" style="49" customWidth="1"/>
    <col min="3333" max="3333" width="9.75" style="49" customWidth="1"/>
    <col min="3334" max="3334" width="7.375" style="49" customWidth="1"/>
    <col min="3335" max="3335" width="9" style="49"/>
    <col min="3336" max="3336" width="9.25" style="49" customWidth="1"/>
    <col min="3337" max="3337" width="3.5" style="49" customWidth="1"/>
    <col min="3338" max="3339" width="12.625" style="49" customWidth="1"/>
    <col min="3340" max="3340" width="9" style="49"/>
    <col min="3341" max="3341" width="7.75" style="49" customWidth="1"/>
    <col min="3342" max="3342" width="13.125" style="49" customWidth="1"/>
    <col min="3343" max="3343" width="6.125" style="49" customWidth="1"/>
    <col min="3344" max="3344" width="9.75" style="49" customWidth="1"/>
    <col min="3345" max="3345" width="1.375" style="49" customWidth="1"/>
    <col min="3346" max="3585" width="9" style="49"/>
    <col min="3586" max="3586" width="1.375" style="49" customWidth="1"/>
    <col min="3587" max="3587" width="3.5" style="49" customWidth="1"/>
    <col min="3588" max="3588" width="22.125" style="49" customWidth="1"/>
    <col min="3589" max="3589" width="9.75" style="49" customWidth="1"/>
    <col min="3590" max="3590" width="7.375" style="49" customWidth="1"/>
    <col min="3591" max="3591" width="9" style="49"/>
    <col min="3592" max="3592" width="9.25" style="49" customWidth="1"/>
    <col min="3593" max="3593" width="3.5" style="49" customWidth="1"/>
    <col min="3594" max="3595" width="12.625" style="49" customWidth="1"/>
    <col min="3596" max="3596" width="9" style="49"/>
    <col min="3597" max="3597" width="7.75" style="49" customWidth="1"/>
    <col min="3598" max="3598" width="13.125" style="49" customWidth="1"/>
    <col min="3599" max="3599" width="6.125" style="49" customWidth="1"/>
    <col min="3600" max="3600" width="9.75" style="49" customWidth="1"/>
    <col min="3601" max="3601" width="1.375" style="49" customWidth="1"/>
    <col min="3602" max="3841" width="9" style="49"/>
    <col min="3842" max="3842" width="1.375" style="49" customWidth="1"/>
    <col min="3843" max="3843" width="3.5" style="49" customWidth="1"/>
    <col min="3844" max="3844" width="22.125" style="49" customWidth="1"/>
    <col min="3845" max="3845" width="9.75" style="49" customWidth="1"/>
    <col min="3846" max="3846" width="7.375" style="49" customWidth="1"/>
    <col min="3847" max="3847" width="9" style="49"/>
    <col min="3848" max="3848" width="9.25" style="49" customWidth="1"/>
    <col min="3849" max="3849" width="3.5" style="49" customWidth="1"/>
    <col min="3850" max="3851" width="12.625" style="49" customWidth="1"/>
    <col min="3852" max="3852" width="9" style="49"/>
    <col min="3853" max="3853" width="7.75" style="49" customWidth="1"/>
    <col min="3854" max="3854" width="13.125" style="49" customWidth="1"/>
    <col min="3855" max="3855" width="6.125" style="49" customWidth="1"/>
    <col min="3856" max="3856" width="9.75" style="49" customWidth="1"/>
    <col min="3857" max="3857" width="1.375" style="49" customWidth="1"/>
    <col min="3858" max="4097" width="9" style="49"/>
    <col min="4098" max="4098" width="1.375" style="49" customWidth="1"/>
    <col min="4099" max="4099" width="3.5" style="49" customWidth="1"/>
    <col min="4100" max="4100" width="22.125" style="49" customWidth="1"/>
    <col min="4101" max="4101" width="9.75" style="49" customWidth="1"/>
    <col min="4102" max="4102" width="7.375" style="49" customWidth="1"/>
    <col min="4103" max="4103" width="9" style="49"/>
    <col min="4104" max="4104" width="9.25" style="49" customWidth="1"/>
    <col min="4105" max="4105" width="3.5" style="49" customWidth="1"/>
    <col min="4106" max="4107" width="12.625" style="49" customWidth="1"/>
    <col min="4108" max="4108" width="9" style="49"/>
    <col min="4109" max="4109" width="7.75" style="49" customWidth="1"/>
    <col min="4110" max="4110" width="13.125" style="49" customWidth="1"/>
    <col min="4111" max="4111" width="6.125" style="49" customWidth="1"/>
    <col min="4112" max="4112" width="9.75" style="49" customWidth="1"/>
    <col min="4113" max="4113" width="1.375" style="49" customWidth="1"/>
    <col min="4114" max="4353" width="9" style="49"/>
    <col min="4354" max="4354" width="1.375" style="49" customWidth="1"/>
    <col min="4355" max="4355" width="3.5" style="49" customWidth="1"/>
    <col min="4356" max="4356" width="22.125" style="49" customWidth="1"/>
    <col min="4357" max="4357" width="9.75" style="49" customWidth="1"/>
    <col min="4358" max="4358" width="7.375" style="49" customWidth="1"/>
    <col min="4359" max="4359" width="9" style="49"/>
    <col min="4360" max="4360" width="9.25" style="49" customWidth="1"/>
    <col min="4361" max="4361" width="3.5" style="49" customWidth="1"/>
    <col min="4362" max="4363" width="12.625" style="49" customWidth="1"/>
    <col min="4364" max="4364" width="9" style="49"/>
    <col min="4365" max="4365" width="7.75" style="49" customWidth="1"/>
    <col min="4366" max="4366" width="13.125" style="49" customWidth="1"/>
    <col min="4367" max="4367" width="6.125" style="49" customWidth="1"/>
    <col min="4368" max="4368" width="9.75" style="49" customWidth="1"/>
    <col min="4369" max="4369" width="1.375" style="49" customWidth="1"/>
    <col min="4370" max="4609" width="9" style="49"/>
    <col min="4610" max="4610" width="1.375" style="49" customWidth="1"/>
    <col min="4611" max="4611" width="3.5" style="49" customWidth="1"/>
    <col min="4612" max="4612" width="22.125" style="49" customWidth="1"/>
    <col min="4613" max="4613" width="9.75" style="49" customWidth="1"/>
    <col min="4614" max="4614" width="7.375" style="49" customWidth="1"/>
    <col min="4615" max="4615" width="9" style="49"/>
    <col min="4616" max="4616" width="9.25" style="49" customWidth="1"/>
    <col min="4617" max="4617" width="3.5" style="49" customWidth="1"/>
    <col min="4618" max="4619" width="12.625" style="49" customWidth="1"/>
    <col min="4620" max="4620" width="9" style="49"/>
    <col min="4621" max="4621" width="7.75" style="49" customWidth="1"/>
    <col min="4622" max="4622" width="13.125" style="49" customWidth="1"/>
    <col min="4623" max="4623" width="6.125" style="49" customWidth="1"/>
    <col min="4624" max="4624" width="9.75" style="49" customWidth="1"/>
    <col min="4625" max="4625" width="1.375" style="49" customWidth="1"/>
    <col min="4626" max="4865" width="9" style="49"/>
    <col min="4866" max="4866" width="1.375" style="49" customWidth="1"/>
    <col min="4867" max="4867" width="3.5" style="49" customWidth="1"/>
    <col min="4868" max="4868" width="22.125" style="49" customWidth="1"/>
    <col min="4869" max="4869" width="9.75" style="49" customWidth="1"/>
    <col min="4870" max="4870" width="7.375" style="49" customWidth="1"/>
    <col min="4871" max="4871" width="9" style="49"/>
    <col min="4872" max="4872" width="9.25" style="49" customWidth="1"/>
    <col min="4873" max="4873" width="3.5" style="49" customWidth="1"/>
    <col min="4874" max="4875" width="12.625" style="49" customWidth="1"/>
    <col min="4876" max="4876" width="9" style="49"/>
    <col min="4877" max="4877" width="7.75" style="49" customWidth="1"/>
    <col min="4878" max="4878" width="13.125" style="49" customWidth="1"/>
    <col min="4879" max="4879" width="6.125" style="49" customWidth="1"/>
    <col min="4880" max="4880" width="9.75" style="49" customWidth="1"/>
    <col min="4881" max="4881" width="1.375" style="49" customWidth="1"/>
    <col min="4882" max="5121" width="9" style="49"/>
    <col min="5122" max="5122" width="1.375" style="49" customWidth="1"/>
    <col min="5123" max="5123" width="3.5" style="49" customWidth="1"/>
    <col min="5124" max="5124" width="22.125" style="49" customWidth="1"/>
    <col min="5125" max="5125" width="9.75" style="49" customWidth="1"/>
    <col min="5126" max="5126" width="7.375" style="49" customWidth="1"/>
    <col min="5127" max="5127" width="9" style="49"/>
    <col min="5128" max="5128" width="9.25" style="49" customWidth="1"/>
    <col min="5129" max="5129" width="3.5" style="49" customWidth="1"/>
    <col min="5130" max="5131" width="12.625" style="49" customWidth="1"/>
    <col min="5132" max="5132" width="9" style="49"/>
    <col min="5133" max="5133" width="7.75" style="49" customWidth="1"/>
    <col min="5134" max="5134" width="13.125" style="49" customWidth="1"/>
    <col min="5135" max="5135" width="6.125" style="49" customWidth="1"/>
    <col min="5136" max="5136" width="9.75" style="49" customWidth="1"/>
    <col min="5137" max="5137" width="1.375" style="49" customWidth="1"/>
    <col min="5138" max="5377" width="9" style="49"/>
    <col min="5378" max="5378" width="1.375" style="49" customWidth="1"/>
    <col min="5379" max="5379" width="3.5" style="49" customWidth="1"/>
    <col min="5380" max="5380" width="22.125" style="49" customWidth="1"/>
    <col min="5381" max="5381" width="9.75" style="49" customWidth="1"/>
    <col min="5382" max="5382" width="7.375" style="49" customWidth="1"/>
    <col min="5383" max="5383" width="9" style="49"/>
    <col min="5384" max="5384" width="9.25" style="49" customWidth="1"/>
    <col min="5385" max="5385" width="3.5" style="49" customWidth="1"/>
    <col min="5386" max="5387" width="12.625" style="49" customWidth="1"/>
    <col min="5388" max="5388" width="9" style="49"/>
    <col min="5389" max="5389" width="7.75" style="49" customWidth="1"/>
    <col min="5390" max="5390" width="13.125" style="49" customWidth="1"/>
    <col min="5391" max="5391" width="6.125" style="49" customWidth="1"/>
    <col min="5392" max="5392" width="9.75" style="49" customWidth="1"/>
    <col min="5393" max="5393" width="1.375" style="49" customWidth="1"/>
    <col min="5394" max="5633" width="9" style="49"/>
    <col min="5634" max="5634" width="1.375" style="49" customWidth="1"/>
    <col min="5635" max="5635" width="3.5" style="49" customWidth="1"/>
    <col min="5636" max="5636" width="22.125" style="49" customWidth="1"/>
    <col min="5637" max="5637" width="9.75" style="49" customWidth="1"/>
    <col min="5638" max="5638" width="7.375" style="49" customWidth="1"/>
    <col min="5639" max="5639" width="9" style="49"/>
    <col min="5640" max="5640" width="9.25" style="49" customWidth="1"/>
    <col min="5641" max="5641" width="3.5" style="49" customWidth="1"/>
    <col min="5642" max="5643" width="12.625" style="49" customWidth="1"/>
    <col min="5644" max="5644" width="9" style="49"/>
    <col min="5645" max="5645" width="7.75" style="49" customWidth="1"/>
    <col min="5646" max="5646" width="13.125" style="49" customWidth="1"/>
    <col min="5647" max="5647" width="6.125" style="49" customWidth="1"/>
    <col min="5648" max="5648" width="9.75" style="49" customWidth="1"/>
    <col min="5649" max="5649" width="1.375" style="49" customWidth="1"/>
    <col min="5650" max="5889" width="9" style="49"/>
    <col min="5890" max="5890" width="1.375" style="49" customWidth="1"/>
    <col min="5891" max="5891" width="3.5" style="49" customWidth="1"/>
    <col min="5892" max="5892" width="22.125" style="49" customWidth="1"/>
    <col min="5893" max="5893" width="9.75" style="49" customWidth="1"/>
    <col min="5894" max="5894" width="7.375" style="49" customWidth="1"/>
    <col min="5895" max="5895" width="9" style="49"/>
    <col min="5896" max="5896" width="9.25" style="49" customWidth="1"/>
    <col min="5897" max="5897" width="3.5" style="49" customWidth="1"/>
    <col min="5898" max="5899" width="12.625" style="49" customWidth="1"/>
    <col min="5900" max="5900" width="9" style="49"/>
    <col min="5901" max="5901" width="7.75" style="49" customWidth="1"/>
    <col min="5902" max="5902" width="13.125" style="49" customWidth="1"/>
    <col min="5903" max="5903" width="6.125" style="49" customWidth="1"/>
    <col min="5904" max="5904" width="9.75" style="49" customWidth="1"/>
    <col min="5905" max="5905" width="1.375" style="49" customWidth="1"/>
    <col min="5906" max="6145" width="9" style="49"/>
    <col min="6146" max="6146" width="1.375" style="49" customWidth="1"/>
    <col min="6147" max="6147" width="3.5" style="49" customWidth="1"/>
    <col min="6148" max="6148" width="22.125" style="49" customWidth="1"/>
    <col min="6149" max="6149" width="9.75" style="49" customWidth="1"/>
    <col min="6150" max="6150" width="7.375" style="49" customWidth="1"/>
    <col min="6151" max="6151" width="9" style="49"/>
    <col min="6152" max="6152" width="9.25" style="49" customWidth="1"/>
    <col min="6153" max="6153" width="3.5" style="49" customWidth="1"/>
    <col min="6154" max="6155" width="12.625" style="49" customWidth="1"/>
    <col min="6156" max="6156" width="9" style="49"/>
    <col min="6157" max="6157" width="7.75" style="49" customWidth="1"/>
    <col min="6158" max="6158" width="13.125" style="49" customWidth="1"/>
    <col min="6159" max="6159" width="6.125" style="49" customWidth="1"/>
    <col min="6160" max="6160" width="9.75" style="49" customWidth="1"/>
    <col min="6161" max="6161" width="1.375" style="49" customWidth="1"/>
    <col min="6162" max="6401" width="9" style="49"/>
    <col min="6402" max="6402" width="1.375" style="49" customWidth="1"/>
    <col min="6403" max="6403" width="3.5" style="49" customWidth="1"/>
    <col min="6404" max="6404" width="22.125" style="49" customWidth="1"/>
    <col min="6405" max="6405" width="9.75" style="49" customWidth="1"/>
    <col min="6406" max="6406" width="7.375" style="49" customWidth="1"/>
    <col min="6407" max="6407" width="9" style="49"/>
    <col min="6408" max="6408" width="9.25" style="49" customWidth="1"/>
    <col min="6409" max="6409" width="3.5" style="49" customWidth="1"/>
    <col min="6410" max="6411" width="12.625" style="49" customWidth="1"/>
    <col min="6412" max="6412" width="9" style="49"/>
    <col min="6413" max="6413" width="7.75" style="49" customWidth="1"/>
    <col min="6414" max="6414" width="13.125" style="49" customWidth="1"/>
    <col min="6415" max="6415" width="6.125" style="49" customWidth="1"/>
    <col min="6416" max="6416" width="9.75" style="49" customWidth="1"/>
    <col min="6417" max="6417" width="1.375" style="49" customWidth="1"/>
    <col min="6418" max="6657" width="9" style="49"/>
    <col min="6658" max="6658" width="1.375" style="49" customWidth="1"/>
    <col min="6659" max="6659" width="3.5" style="49" customWidth="1"/>
    <col min="6660" max="6660" width="22.125" style="49" customWidth="1"/>
    <col min="6661" max="6661" width="9.75" style="49" customWidth="1"/>
    <col min="6662" max="6662" width="7.375" style="49" customWidth="1"/>
    <col min="6663" max="6663" width="9" style="49"/>
    <col min="6664" max="6664" width="9.25" style="49" customWidth="1"/>
    <col min="6665" max="6665" width="3.5" style="49" customWidth="1"/>
    <col min="6666" max="6667" width="12.625" style="49" customWidth="1"/>
    <col min="6668" max="6668" width="9" style="49"/>
    <col min="6669" max="6669" width="7.75" style="49" customWidth="1"/>
    <col min="6670" max="6670" width="13.125" style="49" customWidth="1"/>
    <col min="6671" max="6671" width="6.125" style="49" customWidth="1"/>
    <col min="6672" max="6672" width="9.75" style="49" customWidth="1"/>
    <col min="6673" max="6673" width="1.375" style="49" customWidth="1"/>
    <col min="6674" max="6913" width="9" style="49"/>
    <col min="6914" max="6914" width="1.375" style="49" customWidth="1"/>
    <col min="6915" max="6915" width="3.5" style="49" customWidth="1"/>
    <col min="6916" max="6916" width="22.125" style="49" customWidth="1"/>
    <col min="6917" max="6917" width="9.75" style="49" customWidth="1"/>
    <col min="6918" max="6918" width="7.375" style="49" customWidth="1"/>
    <col min="6919" max="6919" width="9" style="49"/>
    <col min="6920" max="6920" width="9.25" style="49" customWidth="1"/>
    <col min="6921" max="6921" width="3.5" style="49" customWidth="1"/>
    <col min="6922" max="6923" width="12.625" style="49" customWidth="1"/>
    <col min="6924" max="6924" width="9" style="49"/>
    <col min="6925" max="6925" width="7.75" style="49" customWidth="1"/>
    <col min="6926" max="6926" width="13.125" style="49" customWidth="1"/>
    <col min="6927" max="6927" width="6.125" style="49" customWidth="1"/>
    <col min="6928" max="6928" width="9.75" style="49" customWidth="1"/>
    <col min="6929" max="6929" width="1.375" style="49" customWidth="1"/>
    <col min="6930" max="7169" width="9" style="49"/>
    <col min="7170" max="7170" width="1.375" style="49" customWidth="1"/>
    <col min="7171" max="7171" width="3.5" style="49" customWidth="1"/>
    <col min="7172" max="7172" width="22.125" style="49" customWidth="1"/>
    <col min="7173" max="7173" width="9.75" style="49" customWidth="1"/>
    <col min="7174" max="7174" width="7.375" style="49" customWidth="1"/>
    <col min="7175" max="7175" width="9" style="49"/>
    <col min="7176" max="7176" width="9.25" style="49" customWidth="1"/>
    <col min="7177" max="7177" width="3.5" style="49" customWidth="1"/>
    <col min="7178" max="7179" width="12.625" style="49" customWidth="1"/>
    <col min="7180" max="7180" width="9" style="49"/>
    <col min="7181" max="7181" width="7.75" style="49" customWidth="1"/>
    <col min="7182" max="7182" width="13.125" style="49" customWidth="1"/>
    <col min="7183" max="7183" width="6.125" style="49" customWidth="1"/>
    <col min="7184" max="7184" width="9.75" style="49" customWidth="1"/>
    <col min="7185" max="7185" width="1.375" style="49" customWidth="1"/>
    <col min="7186" max="7425" width="9" style="49"/>
    <col min="7426" max="7426" width="1.375" style="49" customWidth="1"/>
    <col min="7427" max="7427" width="3.5" style="49" customWidth="1"/>
    <col min="7428" max="7428" width="22.125" style="49" customWidth="1"/>
    <col min="7429" max="7429" width="9.75" style="49" customWidth="1"/>
    <col min="7430" max="7430" width="7.375" style="49" customWidth="1"/>
    <col min="7431" max="7431" width="9" style="49"/>
    <col min="7432" max="7432" width="9.25" style="49" customWidth="1"/>
    <col min="7433" max="7433" width="3.5" style="49" customWidth="1"/>
    <col min="7434" max="7435" width="12.625" style="49" customWidth="1"/>
    <col min="7436" max="7436" width="9" style="49"/>
    <col min="7437" max="7437" width="7.75" style="49" customWidth="1"/>
    <col min="7438" max="7438" width="13.125" style="49" customWidth="1"/>
    <col min="7439" max="7439" width="6.125" style="49" customWidth="1"/>
    <col min="7440" max="7440" width="9.75" style="49" customWidth="1"/>
    <col min="7441" max="7441" width="1.375" style="49" customWidth="1"/>
    <col min="7442" max="7681" width="9" style="49"/>
    <col min="7682" max="7682" width="1.375" style="49" customWidth="1"/>
    <col min="7683" max="7683" width="3.5" style="49" customWidth="1"/>
    <col min="7684" max="7684" width="22.125" style="49" customWidth="1"/>
    <col min="7685" max="7685" width="9.75" style="49" customWidth="1"/>
    <col min="7686" max="7686" width="7.375" style="49" customWidth="1"/>
    <col min="7687" max="7687" width="9" style="49"/>
    <col min="7688" max="7688" width="9.25" style="49" customWidth="1"/>
    <col min="7689" max="7689" width="3.5" style="49" customWidth="1"/>
    <col min="7690" max="7691" width="12.625" style="49" customWidth="1"/>
    <col min="7692" max="7692" width="9" style="49"/>
    <col min="7693" max="7693" width="7.75" style="49" customWidth="1"/>
    <col min="7694" max="7694" width="13.125" style="49" customWidth="1"/>
    <col min="7695" max="7695" width="6.125" style="49" customWidth="1"/>
    <col min="7696" max="7696" width="9.75" style="49" customWidth="1"/>
    <col min="7697" max="7697" width="1.375" style="49" customWidth="1"/>
    <col min="7698" max="7937" width="9" style="49"/>
    <col min="7938" max="7938" width="1.375" style="49" customWidth="1"/>
    <col min="7939" max="7939" width="3.5" style="49" customWidth="1"/>
    <col min="7940" max="7940" width="22.125" style="49" customWidth="1"/>
    <col min="7941" max="7941" width="9.75" style="49" customWidth="1"/>
    <col min="7942" max="7942" width="7.375" style="49" customWidth="1"/>
    <col min="7943" max="7943" width="9" style="49"/>
    <col min="7944" max="7944" width="9.25" style="49" customWidth="1"/>
    <col min="7945" max="7945" width="3.5" style="49" customWidth="1"/>
    <col min="7946" max="7947" width="12.625" style="49" customWidth="1"/>
    <col min="7948" max="7948" width="9" style="49"/>
    <col min="7949" max="7949" width="7.75" style="49" customWidth="1"/>
    <col min="7950" max="7950" width="13.125" style="49" customWidth="1"/>
    <col min="7951" max="7951" width="6.125" style="49" customWidth="1"/>
    <col min="7952" max="7952" width="9.75" style="49" customWidth="1"/>
    <col min="7953" max="7953" width="1.375" style="49" customWidth="1"/>
    <col min="7954" max="8193" width="9" style="49"/>
    <col min="8194" max="8194" width="1.375" style="49" customWidth="1"/>
    <col min="8195" max="8195" width="3.5" style="49" customWidth="1"/>
    <col min="8196" max="8196" width="22.125" style="49" customWidth="1"/>
    <col min="8197" max="8197" width="9.75" style="49" customWidth="1"/>
    <col min="8198" max="8198" width="7.375" style="49" customWidth="1"/>
    <col min="8199" max="8199" width="9" style="49"/>
    <col min="8200" max="8200" width="9.25" style="49" customWidth="1"/>
    <col min="8201" max="8201" width="3.5" style="49" customWidth="1"/>
    <col min="8202" max="8203" width="12.625" style="49" customWidth="1"/>
    <col min="8204" max="8204" width="9" style="49"/>
    <col min="8205" max="8205" width="7.75" style="49" customWidth="1"/>
    <col min="8206" max="8206" width="13.125" style="49" customWidth="1"/>
    <col min="8207" max="8207" width="6.125" style="49" customWidth="1"/>
    <col min="8208" max="8208" width="9.75" style="49" customWidth="1"/>
    <col min="8209" max="8209" width="1.375" style="49" customWidth="1"/>
    <col min="8210" max="8449" width="9" style="49"/>
    <col min="8450" max="8450" width="1.375" style="49" customWidth="1"/>
    <col min="8451" max="8451" width="3.5" style="49" customWidth="1"/>
    <col min="8452" max="8452" width="22.125" style="49" customWidth="1"/>
    <col min="8453" max="8453" width="9.75" style="49" customWidth="1"/>
    <col min="8454" max="8454" width="7.375" style="49" customWidth="1"/>
    <col min="8455" max="8455" width="9" style="49"/>
    <col min="8456" max="8456" width="9.25" style="49" customWidth="1"/>
    <col min="8457" max="8457" width="3.5" style="49" customWidth="1"/>
    <col min="8458" max="8459" width="12.625" style="49" customWidth="1"/>
    <col min="8460" max="8460" width="9" style="49"/>
    <col min="8461" max="8461" width="7.75" style="49" customWidth="1"/>
    <col min="8462" max="8462" width="13.125" style="49" customWidth="1"/>
    <col min="8463" max="8463" width="6.125" style="49" customWidth="1"/>
    <col min="8464" max="8464" width="9.75" style="49" customWidth="1"/>
    <col min="8465" max="8465" width="1.375" style="49" customWidth="1"/>
    <col min="8466" max="8705" width="9" style="49"/>
    <col min="8706" max="8706" width="1.375" style="49" customWidth="1"/>
    <col min="8707" max="8707" width="3.5" style="49" customWidth="1"/>
    <col min="8708" max="8708" width="22.125" style="49" customWidth="1"/>
    <col min="8709" max="8709" width="9.75" style="49" customWidth="1"/>
    <col min="8710" max="8710" width="7.375" style="49" customWidth="1"/>
    <col min="8711" max="8711" width="9" style="49"/>
    <col min="8712" max="8712" width="9.25" style="49" customWidth="1"/>
    <col min="8713" max="8713" width="3.5" style="49" customWidth="1"/>
    <col min="8714" max="8715" width="12.625" style="49" customWidth="1"/>
    <col min="8716" max="8716" width="9" style="49"/>
    <col min="8717" max="8717" width="7.75" style="49" customWidth="1"/>
    <col min="8718" max="8718" width="13.125" style="49" customWidth="1"/>
    <col min="8719" max="8719" width="6.125" style="49" customWidth="1"/>
    <col min="8720" max="8720" width="9.75" style="49" customWidth="1"/>
    <col min="8721" max="8721" width="1.375" style="49" customWidth="1"/>
    <col min="8722" max="8961" width="9" style="49"/>
    <col min="8962" max="8962" width="1.375" style="49" customWidth="1"/>
    <col min="8963" max="8963" width="3.5" style="49" customWidth="1"/>
    <col min="8964" max="8964" width="22.125" style="49" customWidth="1"/>
    <col min="8965" max="8965" width="9.75" style="49" customWidth="1"/>
    <col min="8966" max="8966" width="7.375" style="49" customWidth="1"/>
    <col min="8967" max="8967" width="9" style="49"/>
    <col min="8968" max="8968" width="9.25" style="49" customWidth="1"/>
    <col min="8969" max="8969" width="3.5" style="49" customWidth="1"/>
    <col min="8970" max="8971" width="12.625" style="49" customWidth="1"/>
    <col min="8972" max="8972" width="9" style="49"/>
    <col min="8973" max="8973" width="7.75" style="49" customWidth="1"/>
    <col min="8974" max="8974" width="13.125" style="49" customWidth="1"/>
    <col min="8975" max="8975" width="6.125" style="49" customWidth="1"/>
    <col min="8976" max="8976" width="9.75" style="49" customWidth="1"/>
    <col min="8977" max="8977" width="1.375" style="49" customWidth="1"/>
    <col min="8978" max="9217" width="9" style="49"/>
    <col min="9218" max="9218" width="1.375" style="49" customWidth="1"/>
    <col min="9219" max="9219" width="3.5" style="49" customWidth="1"/>
    <col min="9220" max="9220" width="22.125" style="49" customWidth="1"/>
    <col min="9221" max="9221" width="9.75" style="49" customWidth="1"/>
    <col min="9222" max="9222" width="7.375" style="49" customWidth="1"/>
    <col min="9223" max="9223" width="9" style="49"/>
    <col min="9224" max="9224" width="9.25" style="49" customWidth="1"/>
    <col min="9225" max="9225" width="3.5" style="49" customWidth="1"/>
    <col min="9226" max="9227" width="12.625" style="49" customWidth="1"/>
    <col min="9228" max="9228" width="9" style="49"/>
    <col min="9229" max="9229" width="7.75" style="49" customWidth="1"/>
    <col min="9230" max="9230" width="13.125" style="49" customWidth="1"/>
    <col min="9231" max="9231" width="6.125" style="49" customWidth="1"/>
    <col min="9232" max="9232" width="9.75" style="49" customWidth="1"/>
    <col min="9233" max="9233" width="1.375" style="49" customWidth="1"/>
    <col min="9234" max="9473" width="9" style="49"/>
    <col min="9474" max="9474" width="1.375" style="49" customWidth="1"/>
    <col min="9475" max="9475" width="3.5" style="49" customWidth="1"/>
    <col min="9476" max="9476" width="22.125" style="49" customWidth="1"/>
    <col min="9477" max="9477" width="9.75" style="49" customWidth="1"/>
    <col min="9478" max="9478" width="7.375" style="49" customWidth="1"/>
    <col min="9479" max="9479" width="9" style="49"/>
    <col min="9480" max="9480" width="9.25" style="49" customWidth="1"/>
    <col min="9481" max="9481" width="3.5" style="49" customWidth="1"/>
    <col min="9482" max="9483" width="12.625" style="49" customWidth="1"/>
    <col min="9484" max="9484" width="9" style="49"/>
    <col min="9485" max="9485" width="7.75" style="49" customWidth="1"/>
    <col min="9486" max="9486" width="13.125" style="49" customWidth="1"/>
    <col min="9487" max="9487" width="6.125" style="49" customWidth="1"/>
    <col min="9488" max="9488" width="9.75" style="49" customWidth="1"/>
    <col min="9489" max="9489" width="1.375" style="49" customWidth="1"/>
    <col min="9490" max="9729" width="9" style="49"/>
    <col min="9730" max="9730" width="1.375" style="49" customWidth="1"/>
    <col min="9731" max="9731" width="3.5" style="49" customWidth="1"/>
    <col min="9732" max="9732" width="22.125" style="49" customWidth="1"/>
    <col min="9733" max="9733" width="9.75" style="49" customWidth="1"/>
    <col min="9734" max="9734" width="7.375" style="49" customWidth="1"/>
    <col min="9735" max="9735" width="9" style="49"/>
    <col min="9736" max="9736" width="9.25" style="49" customWidth="1"/>
    <col min="9737" max="9737" width="3.5" style="49" customWidth="1"/>
    <col min="9738" max="9739" width="12.625" style="49" customWidth="1"/>
    <col min="9740" max="9740" width="9" style="49"/>
    <col min="9741" max="9741" width="7.75" style="49" customWidth="1"/>
    <col min="9742" max="9742" width="13.125" style="49" customWidth="1"/>
    <col min="9743" max="9743" width="6.125" style="49" customWidth="1"/>
    <col min="9744" max="9744" width="9.75" style="49" customWidth="1"/>
    <col min="9745" max="9745" width="1.375" style="49" customWidth="1"/>
    <col min="9746" max="9985" width="9" style="49"/>
    <col min="9986" max="9986" width="1.375" style="49" customWidth="1"/>
    <col min="9987" max="9987" width="3.5" style="49" customWidth="1"/>
    <col min="9988" max="9988" width="22.125" style="49" customWidth="1"/>
    <col min="9989" max="9989" width="9.75" style="49" customWidth="1"/>
    <col min="9990" max="9990" width="7.375" style="49" customWidth="1"/>
    <col min="9991" max="9991" width="9" style="49"/>
    <col min="9992" max="9992" width="9.25" style="49" customWidth="1"/>
    <col min="9993" max="9993" width="3.5" style="49" customWidth="1"/>
    <col min="9994" max="9995" width="12.625" style="49" customWidth="1"/>
    <col min="9996" max="9996" width="9" style="49"/>
    <col min="9997" max="9997" width="7.75" style="49" customWidth="1"/>
    <col min="9998" max="9998" width="13.125" style="49" customWidth="1"/>
    <col min="9999" max="9999" width="6.125" style="49" customWidth="1"/>
    <col min="10000" max="10000" width="9.75" style="49" customWidth="1"/>
    <col min="10001" max="10001" width="1.375" style="49" customWidth="1"/>
    <col min="10002" max="10241" width="9" style="49"/>
    <col min="10242" max="10242" width="1.375" style="49" customWidth="1"/>
    <col min="10243" max="10243" width="3.5" style="49" customWidth="1"/>
    <col min="10244" max="10244" width="22.125" style="49" customWidth="1"/>
    <col min="10245" max="10245" width="9.75" style="49" customWidth="1"/>
    <col min="10246" max="10246" width="7.375" style="49" customWidth="1"/>
    <col min="10247" max="10247" width="9" style="49"/>
    <col min="10248" max="10248" width="9.25" style="49" customWidth="1"/>
    <col min="10249" max="10249" width="3.5" style="49" customWidth="1"/>
    <col min="10250" max="10251" width="12.625" style="49" customWidth="1"/>
    <col min="10252" max="10252" width="9" style="49"/>
    <col min="10253" max="10253" width="7.75" style="49" customWidth="1"/>
    <col min="10254" max="10254" width="13.125" style="49" customWidth="1"/>
    <col min="10255" max="10255" width="6.125" style="49" customWidth="1"/>
    <col min="10256" max="10256" width="9.75" style="49" customWidth="1"/>
    <col min="10257" max="10257" width="1.375" style="49" customWidth="1"/>
    <col min="10258" max="10497" width="9" style="49"/>
    <col min="10498" max="10498" width="1.375" style="49" customWidth="1"/>
    <col min="10499" max="10499" width="3.5" style="49" customWidth="1"/>
    <col min="10500" max="10500" width="22.125" style="49" customWidth="1"/>
    <col min="10501" max="10501" width="9.75" style="49" customWidth="1"/>
    <col min="10502" max="10502" width="7.375" style="49" customWidth="1"/>
    <col min="10503" max="10503" width="9" style="49"/>
    <col min="10504" max="10504" width="9.25" style="49" customWidth="1"/>
    <col min="10505" max="10505" width="3.5" style="49" customWidth="1"/>
    <col min="10506" max="10507" width="12.625" style="49" customWidth="1"/>
    <col min="10508" max="10508" width="9" style="49"/>
    <col min="10509" max="10509" width="7.75" style="49" customWidth="1"/>
    <col min="10510" max="10510" width="13.125" style="49" customWidth="1"/>
    <col min="10511" max="10511" width="6.125" style="49" customWidth="1"/>
    <col min="10512" max="10512" width="9.75" style="49" customWidth="1"/>
    <col min="10513" max="10513" width="1.375" style="49" customWidth="1"/>
    <col min="10514" max="10753" width="9" style="49"/>
    <col min="10754" max="10754" width="1.375" style="49" customWidth="1"/>
    <col min="10755" max="10755" width="3.5" style="49" customWidth="1"/>
    <col min="10756" max="10756" width="22.125" style="49" customWidth="1"/>
    <col min="10757" max="10757" width="9.75" style="49" customWidth="1"/>
    <col min="10758" max="10758" width="7.375" style="49" customWidth="1"/>
    <col min="10759" max="10759" width="9" style="49"/>
    <col min="10760" max="10760" width="9.25" style="49" customWidth="1"/>
    <col min="10761" max="10761" width="3.5" style="49" customWidth="1"/>
    <col min="10762" max="10763" width="12.625" style="49" customWidth="1"/>
    <col min="10764" max="10764" width="9" style="49"/>
    <col min="10765" max="10765" width="7.75" style="49" customWidth="1"/>
    <col min="10766" max="10766" width="13.125" style="49" customWidth="1"/>
    <col min="10767" max="10767" width="6.125" style="49" customWidth="1"/>
    <col min="10768" max="10768" width="9.75" style="49" customWidth="1"/>
    <col min="10769" max="10769" width="1.375" style="49" customWidth="1"/>
    <col min="10770" max="11009" width="9" style="49"/>
    <col min="11010" max="11010" width="1.375" style="49" customWidth="1"/>
    <col min="11011" max="11011" width="3.5" style="49" customWidth="1"/>
    <col min="11012" max="11012" width="22.125" style="49" customWidth="1"/>
    <col min="11013" max="11013" width="9.75" style="49" customWidth="1"/>
    <col min="11014" max="11014" width="7.375" style="49" customWidth="1"/>
    <col min="11015" max="11015" width="9" style="49"/>
    <col min="11016" max="11016" width="9.25" style="49" customWidth="1"/>
    <col min="11017" max="11017" width="3.5" style="49" customWidth="1"/>
    <col min="11018" max="11019" width="12.625" style="49" customWidth="1"/>
    <col min="11020" max="11020" width="9" style="49"/>
    <col min="11021" max="11021" width="7.75" style="49" customWidth="1"/>
    <col min="11022" max="11022" width="13.125" style="49" customWidth="1"/>
    <col min="11023" max="11023" width="6.125" style="49" customWidth="1"/>
    <col min="11024" max="11024" width="9.75" style="49" customWidth="1"/>
    <col min="11025" max="11025" width="1.375" style="49" customWidth="1"/>
    <col min="11026" max="11265" width="9" style="49"/>
    <col min="11266" max="11266" width="1.375" style="49" customWidth="1"/>
    <col min="11267" max="11267" width="3.5" style="49" customWidth="1"/>
    <col min="11268" max="11268" width="22.125" style="49" customWidth="1"/>
    <col min="11269" max="11269" width="9.75" style="49" customWidth="1"/>
    <col min="11270" max="11270" width="7.375" style="49" customWidth="1"/>
    <col min="11271" max="11271" width="9" style="49"/>
    <col min="11272" max="11272" width="9.25" style="49" customWidth="1"/>
    <col min="11273" max="11273" width="3.5" style="49" customWidth="1"/>
    <col min="11274" max="11275" width="12.625" style="49" customWidth="1"/>
    <col min="11276" max="11276" width="9" style="49"/>
    <col min="11277" max="11277" width="7.75" style="49" customWidth="1"/>
    <col min="11278" max="11278" width="13.125" style="49" customWidth="1"/>
    <col min="11279" max="11279" width="6.125" style="49" customWidth="1"/>
    <col min="11280" max="11280" width="9.75" style="49" customWidth="1"/>
    <col min="11281" max="11281" width="1.375" style="49" customWidth="1"/>
    <col min="11282" max="11521" width="9" style="49"/>
    <col min="11522" max="11522" width="1.375" style="49" customWidth="1"/>
    <col min="11523" max="11523" width="3.5" style="49" customWidth="1"/>
    <col min="11524" max="11524" width="22.125" style="49" customWidth="1"/>
    <col min="11525" max="11525" width="9.75" style="49" customWidth="1"/>
    <col min="11526" max="11526" width="7.375" style="49" customWidth="1"/>
    <col min="11527" max="11527" width="9" style="49"/>
    <col min="11528" max="11528" width="9.25" style="49" customWidth="1"/>
    <col min="11529" max="11529" width="3.5" style="49" customWidth="1"/>
    <col min="11530" max="11531" width="12.625" style="49" customWidth="1"/>
    <col min="11532" max="11532" width="9" style="49"/>
    <col min="11533" max="11533" width="7.75" style="49" customWidth="1"/>
    <col min="11534" max="11534" width="13.125" style="49" customWidth="1"/>
    <col min="11535" max="11535" width="6.125" style="49" customWidth="1"/>
    <col min="11536" max="11536" width="9.75" style="49" customWidth="1"/>
    <col min="11537" max="11537" width="1.375" style="49" customWidth="1"/>
    <col min="11538" max="11777" width="9" style="49"/>
    <col min="11778" max="11778" width="1.375" style="49" customWidth="1"/>
    <col min="11779" max="11779" width="3.5" style="49" customWidth="1"/>
    <col min="11780" max="11780" width="22.125" style="49" customWidth="1"/>
    <col min="11781" max="11781" width="9.75" style="49" customWidth="1"/>
    <col min="11782" max="11782" width="7.375" style="49" customWidth="1"/>
    <col min="11783" max="11783" width="9" style="49"/>
    <col min="11784" max="11784" width="9.25" style="49" customWidth="1"/>
    <col min="11785" max="11785" width="3.5" style="49" customWidth="1"/>
    <col min="11786" max="11787" width="12.625" style="49" customWidth="1"/>
    <col min="11788" max="11788" width="9" style="49"/>
    <col min="11789" max="11789" width="7.75" style="49" customWidth="1"/>
    <col min="11790" max="11790" width="13.125" style="49" customWidth="1"/>
    <col min="11791" max="11791" width="6.125" style="49" customWidth="1"/>
    <col min="11792" max="11792" width="9.75" style="49" customWidth="1"/>
    <col min="11793" max="11793" width="1.375" style="49" customWidth="1"/>
    <col min="11794" max="12033" width="9" style="49"/>
    <col min="12034" max="12034" width="1.375" style="49" customWidth="1"/>
    <col min="12035" max="12035" width="3.5" style="49" customWidth="1"/>
    <col min="12036" max="12036" width="22.125" style="49" customWidth="1"/>
    <col min="12037" max="12037" width="9.75" style="49" customWidth="1"/>
    <col min="12038" max="12038" width="7.375" style="49" customWidth="1"/>
    <col min="12039" max="12039" width="9" style="49"/>
    <col min="12040" max="12040" width="9.25" style="49" customWidth="1"/>
    <col min="12041" max="12041" width="3.5" style="49" customWidth="1"/>
    <col min="12042" max="12043" width="12.625" style="49" customWidth="1"/>
    <col min="12044" max="12044" width="9" style="49"/>
    <col min="12045" max="12045" width="7.75" style="49" customWidth="1"/>
    <col min="12046" max="12046" width="13.125" style="49" customWidth="1"/>
    <col min="12047" max="12047" width="6.125" style="49" customWidth="1"/>
    <col min="12048" max="12048" width="9.75" style="49" customWidth="1"/>
    <col min="12049" max="12049" width="1.375" style="49" customWidth="1"/>
    <col min="12050" max="12289" width="9" style="49"/>
    <col min="12290" max="12290" width="1.375" style="49" customWidth="1"/>
    <col min="12291" max="12291" width="3.5" style="49" customWidth="1"/>
    <col min="12292" max="12292" width="22.125" style="49" customWidth="1"/>
    <col min="12293" max="12293" width="9.75" style="49" customWidth="1"/>
    <col min="12294" max="12294" width="7.375" style="49" customWidth="1"/>
    <col min="12295" max="12295" width="9" style="49"/>
    <col min="12296" max="12296" width="9.25" style="49" customWidth="1"/>
    <col min="12297" max="12297" width="3.5" style="49" customWidth="1"/>
    <col min="12298" max="12299" width="12.625" style="49" customWidth="1"/>
    <col min="12300" max="12300" width="9" style="49"/>
    <col min="12301" max="12301" width="7.75" style="49" customWidth="1"/>
    <col min="12302" max="12302" width="13.125" style="49" customWidth="1"/>
    <col min="12303" max="12303" width="6.125" style="49" customWidth="1"/>
    <col min="12304" max="12304" width="9.75" style="49" customWidth="1"/>
    <col min="12305" max="12305" width="1.375" style="49" customWidth="1"/>
    <col min="12306" max="12545" width="9" style="49"/>
    <col min="12546" max="12546" width="1.375" style="49" customWidth="1"/>
    <col min="12547" max="12547" width="3.5" style="49" customWidth="1"/>
    <col min="12548" max="12548" width="22.125" style="49" customWidth="1"/>
    <col min="12549" max="12549" width="9.75" style="49" customWidth="1"/>
    <col min="12550" max="12550" width="7.375" style="49" customWidth="1"/>
    <col min="12551" max="12551" width="9" style="49"/>
    <col min="12552" max="12552" width="9.25" style="49" customWidth="1"/>
    <col min="12553" max="12553" width="3.5" style="49" customWidth="1"/>
    <col min="12554" max="12555" width="12.625" style="49" customWidth="1"/>
    <col min="12556" max="12556" width="9" style="49"/>
    <col min="12557" max="12557" width="7.75" style="49" customWidth="1"/>
    <col min="12558" max="12558" width="13.125" style="49" customWidth="1"/>
    <col min="12559" max="12559" width="6.125" style="49" customWidth="1"/>
    <col min="12560" max="12560" width="9.75" style="49" customWidth="1"/>
    <col min="12561" max="12561" width="1.375" style="49" customWidth="1"/>
    <col min="12562" max="12801" width="9" style="49"/>
    <col min="12802" max="12802" width="1.375" style="49" customWidth="1"/>
    <col min="12803" max="12803" width="3.5" style="49" customWidth="1"/>
    <col min="12804" max="12804" width="22.125" style="49" customWidth="1"/>
    <col min="12805" max="12805" width="9.75" style="49" customWidth="1"/>
    <col min="12806" max="12806" width="7.375" style="49" customWidth="1"/>
    <col min="12807" max="12807" width="9" style="49"/>
    <col min="12808" max="12808" width="9.25" style="49" customWidth="1"/>
    <col min="12809" max="12809" width="3.5" style="49" customWidth="1"/>
    <col min="12810" max="12811" width="12.625" style="49" customWidth="1"/>
    <col min="12812" max="12812" width="9" style="49"/>
    <col min="12813" max="12813" width="7.75" style="49" customWidth="1"/>
    <col min="12814" max="12814" width="13.125" style="49" customWidth="1"/>
    <col min="12815" max="12815" width="6.125" style="49" customWidth="1"/>
    <col min="12816" max="12816" width="9.75" style="49" customWidth="1"/>
    <col min="12817" max="12817" width="1.375" style="49" customWidth="1"/>
    <col min="12818" max="13057" width="9" style="49"/>
    <col min="13058" max="13058" width="1.375" style="49" customWidth="1"/>
    <col min="13059" max="13059" width="3.5" style="49" customWidth="1"/>
    <col min="13060" max="13060" width="22.125" style="49" customWidth="1"/>
    <col min="13061" max="13061" width="9.75" style="49" customWidth="1"/>
    <col min="13062" max="13062" width="7.375" style="49" customWidth="1"/>
    <col min="13063" max="13063" width="9" style="49"/>
    <col min="13064" max="13064" width="9.25" style="49" customWidth="1"/>
    <col min="13065" max="13065" width="3.5" style="49" customWidth="1"/>
    <col min="13066" max="13067" width="12.625" style="49" customWidth="1"/>
    <col min="13068" max="13068" width="9" style="49"/>
    <col min="13069" max="13069" width="7.75" style="49" customWidth="1"/>
    <col min="13070" max="13070" width="13.125" style="49" customWidth="1"/>
    <col min="13071" max="13071" width="6.125" style="49" customWidth="1"/>
    <col min="13072" max="13072" width="9.75" style="49" customWidth="1"/>
    <col min="13073" max="13073" width="1.375" style="49" customWidth="1"/>
    <col min="13074" max="13313" width="9" style="49"/>
    <col min="13314" max="13314" width="1.375" style="49" customWidth="1"/>
    <col min="13315" max="13315" width="3.5" style="49" customWidth="1"/>
    <col min="13316" max="13316" width="22.125" style="49" customWidth="1"/>
    <col min="13317" max="13317" width="9.75" style="49" customWidth="1"/>
    <col min="13318" max="13318" width="7.375" style="49" customWidth="1"/>
    <col min="13319" max="13319" width="9" style="49"/>
    <col min="13320" max="13320" width="9.25" style="49" customWidth="1"/>
    <col min="13321" max="13321" width="3.5" style="49" customWidth="1"/>
    <col min="13322" max="13323" width="12.625" style="49" customWidth="1"/>
    <col min="13324" max="13324" width="9" style="49"/>
    <col min="13325" max="13325" width="7.75" style="49" customWidth="1"/>
    <col min="13326" max="13326" width="13.125" style="49" customWidth="1"/>
    <col min="13327" max="13327" width="6.125" style="49" customWidth="1"/>
    <col min="13328" max="13328" width="9.75" style="49" customWidth="1"/>
    <col min="13329" max="13329" width="1.375" style="49" customWidth="1"/>
    <col min="13330" max="13569" width="9" style="49"/>
    <col min="13570" max="13570" width="1.375" style="49" customWidth="1"/>
    <col min="13571" max="13571" width="3.5" style="49" customWidth="1"/>
    <col min="13572" max="13572" width="22.125" style="49" customWidth="1"/>
    <col min="13573" max="13573" width="9.75" style="49" customWidth="1"/>
    <col min="13574" max="13574" width="7.375" style="49" customWidth="1"/>
    <col min="13575" max="13575" width="9" style="49"/>
    <col min="13576" max="13576" width="9.25" style="49" customWidth="1"/>
    <col min="13577" max="13577" width="3.5" style="49" customWidth="1"/>
    <col min="13578" max="13579" width="12.625" style="49" customWidth="1"/>
    <col min="13580" max="13580" width="9" style="49"/>
    <col min="13581" max="13581" width="7.75" style="49" customWidth="1"/>
    <col min="13582" max="13582" width="13.125" style="49" customWidth="1"/>
    <col min="13583" max="13583" width="6.125" style="49" customWidth="1"/>
    <col min="13584" max="13584" width="9.75" style="49" customWidth="1"/>
    <col min="13585" max="13585" width="1.375" style="49" customWidth="1"/>
    <col min="13586" max="13825" width="9" style="49"/>
    <col min="13826" max="13826" width="1.375" style="49" customWidth="1"/>
    <col min="13827" max="13827" width="3.5" style="49" customWidth="1"/>
    <col min="13828" max="13828" width="22.125" style="49" customWidth="1"/>
    <col min="13829" max="13829" width="9.75" style="49" customWidth="1"/>
    <col min="13830" max="13830" width="7.375" style="49" customWidth="1"/>
    <col min="13831" max="13831" width="9" style="49"/>
    <col min="13832" max="13832" width="9.25" style="49" customWidth="1"/>
    <col min="13833" max="13833" width="3.5" style="49" customWidth="1"/>
    <col min="13834" max="13835" width="12.625" style="49" customWidth="1"/>
    <col min="13836" max="13836" width="9" style="49"/>
    <col min="13837" max="13837" width="7.75" style="49" customWidth="1"/>
    <col min="13838" max="13838" width="13.125" style="49" customWidth="1"/>
    <col min="13839" max="13839" width="6.125" style="49" customWidth="1"/>
    <col min="13840" max="13840" width="9.75" style="49" customWidth="1"/>
    <col min="13841" max="13841" width="1.375" style="49" customWidth="1"/>
    <col min="13842" max="14081" width="9" style="49"/>
    <col min="14082" max="14082" width="1.375" style="49" customWidth="1"/>
    <col min="14083" max="14083" width="3.5" style="49" customWidth="1"/>
    <col min="14084" max="14084" width="22.125" style="49" customWidth="1"/>
    <col min="14085" max="14085" width="9.75" style="49" customWidth="1"/>
    <col min="14086" max="14086" width="7.375" style="49" customWidth="1"/>
    <col min="14087" max="14087" width="9" style="49"/>
    <col min="14088" max="14088" width="9.25" style="49" customWidth="1"/>
    <col min="14089" max="14089" width="3.5" style="49" customWidth="1"/>
    <col min="14090" max="14091" width="12.625" style="49" customWidth="1"/>
    <col min="14092" max="14092" width="9" style="49"/>
    <col min="14093" max="14093" width="7.75" style="49" customWidth="1"/>
    <col min="14094" max="14094" width="13.125" style="49" customWidth="1"/>
    <col min="14095" max="14095" width="6.125" style="49" customWidth="1"/>
    <col min="14096" max="14096" width="9.75" style="49" customWidth="1"/>
    <col min="14097" max="14097" width="1.375" style="49" customWidth="1"/>
    <col min="14098" max="14337" width="9" style="49"/>
    <col min="14338" max="14338" width="1.375" style="49" customWidth="1"/>
    <col min="14339" max="14339" width="3.5" style="49" customWidth="1"/>
    <col min="14340" max="14340" width="22.125" style="49" customWidth="1"/>
    <col min="14341" max="14341" width="9.75" style="49" customWidth="1"/>
    <col min="14342" max="14342" width="7.375" style="49" customWidth="1"/>
    <col min="14343" max="14343" width="9" style="49"/>
    <col min="14344" max="14344" width="9.25" style="49" customWidth="1"/>
    <col min="14345" max="14345" width="3.5" style="49" customWidth="1"/>
    <col min="14346" max="14347" width="12.625" style="49" customWidth="1"/>
    <col min="14348" max="14348" width="9" style="49"/>
    <col min="14349" max="14349" width="7.75" style="49" customWidth="1"/>
    <col min="14350" max="14350" width="13.125" style="49" customWidth="1"/>
    <col min="14351" max="14351" width="6.125" style="49" customWidth="1"/>
    <col min="14352" max="14352" width="9.75" style="49" customWidth="1"/>
    <col min="14353" max="14353" width="1.375" style="49" customWidth="1"/>
    <col min="14354" max="14593" width="9" style="49"/>
    <col min="14594" max="14594" width="1.375" style="49" customWidth="1"/>
    <col min="14595" max="14595" width="3.5" style="49" customWidth="1"/>
    <col min="14596" max="14596" width="22.125" style="49" customWidth="1"/>
    <col min="14597" max="14597" width="9.75" style="49" customWidth="1"/>
    <col min="14598" max="14598" width="7.375" style="49" customWidth="1"/>
    <col min="14599" max="14599" width="9" style="49"/>
    <col min="14600" max="14600" width="9.25" style="49" customWidth="1"/>
    <col min="14601" max="14601" width="3.5" style="49" customWidth="1"/>
    <col min="14602" max="14603" width="12.625" style="49" customWidth="1"/>
    <col min="14604" max="14604" width="9" style="49"/>
    <col min="14605" max="14605" width="7.75" style="49" customWidth="1"/>
    <col min="14606" max="14606" width="13.125" style="49" customWidth="1"/>
    <col min="14607" max="14607" width="6.125" style="49" customWidth="1"/>
    <col min="14608" max="14608" width="9.75" style="49" customWidth="1"/>
    <col min="14609" max="14609" width="1.375" style="49" customWidth="1"/>
    <col min="14610" max="14849" width="9" style="49"/>
    <col min="14850" max="14850" width="1.375" style="49" customWidth="1"/>
    <col min="14851" max="14851" width="3.5" style="49" customWidth="1"/>
    <col min="14852" max="14852" width="22.125" style="49" customWidth="1"/>
    <col min="14853" max="14853" width="9.75" style="49" customWidth="1"/>
    <col min="14854" max="14854" width="7.375" style="49" customWidth="1"/>
    <col min="14855" max="14855" width="9" style="49"/>
    <col min="14856" max="14856" width="9.25" style="49" customWidth="1"/>
    <col min="14857" max="14857" width="3.5" style="49" customWidth="1"/>
    <col min="14858" max="14859" width="12.625" style="49" customWidth="1"/>
    <col min="14860" max="14860" width="9" style="49"/>
    <col min="14861" max="14861" width="7.75" style="49" customWidth="1"/>
    <col min="14862" max="14862" width="13.125" style="49" customWidth="1"/>
    <col min="14863" max="14863" width="6.125" style="49" customWidth="1"/>
    <col min="14864" max="14864" width="9.75" style="49" customWidth="1"/>
    <col min="14865" max="14865" width="1.375" style="49" customWidth="1"/>
    <col min="14866" max="15105" width="9" style="49"/>
    <col min="15106" max="15106" width="1.375" style="49" customWidth="1"/>
    <col min="15107" max="15107" width="3.5" style="49" customWidth="1"/>
    <col min="15108" max="15108" width="22.125" style="49" customWidth="1"/>
    <col min="15109" max="15109" width="9.75" style="49" customWidth="1"/>
    <col min="15110" max="15110" width="7.375" style="49" customWidth="1"/>
    <col min="15111" max="15111" width="9" style="49"/>
    <col min="15112" max="15112" width="9.25" style="49" customWidth="1"/>
    <col min="15113" max="15113" width="3.5" style="49" customWidth="1"/>
    <col min="15114" max="15115" width="12.625" style="49" customWidth="1"/>
    <col min="15116" max="15116" width="9" style="49"/>
    <col min="15117" max="15117" width="7.75" style="49" customWidth="1"/>
    <col min="15118" max="15118" width="13.125" style="49" customWidth="1"/>
    <col min="15119" max="15119" width="6.125" style="49" customWidth="1"/>
    <col min="15120" max="15120" width="9.75" style="49" customWidth="1"/>
    <col min="15121" max="15121" width="1.375" style="49" customWidth="1"/>
    <col min="15122" max="15361" width="9" style="49"/>
    <col min="15362" max="15362" width="1.375" style="49" customWidth="1"/>
    <col min="15363" max="15363" width="3.5" style="49" customWidth="1"/>
    <col min="15364" max="15364" width="22.125" style="49" customWidth="1"/>
    <col min="15365" max="15365" width="9.75" style="49" customWidth="1"/>
    <col min="15366" max="15366" width="7.375" style="49" customWidth="1"/>
    <col min="15367" max="15367" width="9" style="49"/>
    <col min="15368" max="15368" width="9.25" style="49" customWidth="1"/>
    <col min="15369" max="15369" width="3.5" style="49" customWidth="1"/>
    <col min="15370" max="15371" width="12.625" style="49" customWidth="1"/>
    <col min="15372" max="15372" width="9" style="49"/>
    <col min="15373" max="15373" width="7.75" style="49" customWidth="1"/>
    <col min="15374" max="15374" width="13.125" style="49" customWidth="1"/>
    <col min="15375" max="15375" width="6.125" style="49" customWidth="1"/>
    <col min="15376" max="15376" width="9.75" style="49" customWidth="1"/>
    <col min="15377" max="15377" width="1.375" style="49" customWidth="1"/>
    <col min="15378" max="15617" width="9" style="49"/>
    <col min="15618" max="15618" width="1.375" style="49" customWidth="1"/>
    <col min="15619" max="15619" width="3.5" style="49" customWidth="1"/>
    <col min="15620" max="15620" width="22.125" style="49" customWidth="1"/>
    <col min="15621" max="15621" width="9.75" style="49" customWidth="1"/>
    <col min="15622" max="15622" width="7.375" style="49" customWidth="1"/>
    <col min="15623" max="15623" width="9" style="49"/>
    <col min="15624" max="15624" width="9.25" style="49" customWidth="1"/>
    <col min="15625" max="15625" width="3.5" style="49" customWidth="1"/>
    <col min="15626" max="15627" width="12.625" style="49" customWidth="1"/>
    <col min="15628" max="15628" width="9" style="49"/>
    <col min="15629" max="15629" width="7.75" style="49" customWidth="1"/>
    <col min="15630" max="15630" width="13.125" style="49" customWidth="1"/>
    <col min="15631" max="15631" width="6.125" style="49" customWidth="1"/>
    <col min="15632" max="15632" width="9.75" style="49" customWidth="1"/>
    <col min="15633" max="15633" width="1.375" style="49" customWidth="1"/>
    <col min="15634" max="15873" width="9" style="49"/>
    <col min="15874" max="15874" width="1.375" style="49" customWidth="1"/>
    <col min="15875" max="15875" width="3.5" style="49" customWidth="1"/>
    <col min="15876" max="15876" width="22.125" style="49" customWidth="1"/>
    <col min="15877" max="15877" width="9.75" style="49" customWidth="1"/>
    <col min="15878" max="15878" width="7.375" style="49" customWidth="1"/>
    <col min="15879" max="15879" width="9" style="49"/>
    <col min="15880" max="15880" width="9.25" style="49" customWidth="1"/>
    <col min="15881" max="15881" width="3.5" style="49" customWidth="1"/>
    <col min="15882" max="15883" width="12.625" style="49" customWidth="1"/>
    <col min="15884" max="15884" width="9" style="49"/>
    <col min="15885" max="15885" width="7.75" style="49" customWidth="1"/>
    <col min="15886" max="15886" width="13.125" style="49" customWidth="1"/>
    <col min="15887" max="15887" width="6.125" style="49" customWidth="1"/>
    <col min="15888" max="15888" width="9.75" style="49" customWidth="1"/>
    <col min="15889" max="15889" width="1.375" style="49" customWidth="1"/>
    <col min="15890" max="16129" width="9" style="49"/>
    <col min="16130" max="16130" width="1.375" style="49" customWidth="1"/>
    <col min="16131" max="16131" width="3.5" style="49" customWidth="1"/>
    <col min="16132" max="16132" width="22.125" style="49" customWidth="1"/>
    <col min="16133" max="16133" width="9.75" style="49" customWidth="1"/>
    <col min="16134" max="16134" width="7.375" style="49" customWidth="1"/>
    <col min="16135" max="16135" width="9" style="49"/>
    <col min="16136" max="16136" width="9.25" style="49" customWidth="1"/>
    <col min="16137" max="16137" width="3.5" style="49" customWidth="1"/>
    <col min="16138" max="16139" width="12.625" style="49" customWidth="1"/>
    <col min="16140" max="16140" width="9" style="49"/>
    <col min="16141" max="16141" width="7.75" style="49" customWidth="1"/>
    <col min="16142" max="16142" width="13.125" style="49" customWidth="1"/>
    <col min="16143" max="16143" width="6.125" style="49" customWidth="1"/>
    <col min="16144" max="16144" width="9.75" style="49" customWidth="1"/>
    <col min="16145" max="16145" width="1.375" style="49" customWidth="1"/>
    <col min="16146" max="16384" width="9" style="49"/>
  </cols>
  <sheetData>
    <row r="1" spans="2:22" ht="9.9499999999999993" customHeight="1" x14ac:dyDescent="0.15"/>
    <row r="2" spans="2:22" ht="24.95" customHeight="1" x14ac:dyDescent="0.15">
      <c r="B2" s="1" t="s">
        <v>558</v>
      </c>
      <c r="C2" s="51"/>
      <c r="D2" s="5"/>
      <c r="E2" s="5"/>
      <c r="F2" s="51"/>
      <c r="G2" s="100"/>
      <c r="H2" s="110"/>
      <c r="I2" s="100"/>
      <c r="J2" s="100"/>
      <c r="K2" s="100"/>
      <c r="L2" s="100"/>
      <c r="M2" s="100"/>
      <c r="N2" s="100"/>
      <c r="O2" s="5"/>
    </row>
    <row r="3" spans="2:22" ht="15" customHeight="1" thickBot="1" x14ac:dyDescent="0.2">
      <c r="B3" s="49" t="s">
        <v>206</v>
      </c>
      <c r="I3" s="5" t="s">
        <v>207</v>
      </c>
      <c r="P3" s="49" t="s">
        <v>228</v>
      </c>
    </row>
    <row r="4" spans="2:22" ht="15" customHeight="1" x14ac:dyDescent="0.15">
      <c r="B4" s="515" t="s">
        <v>81</v>
      </c>
      <c r="C4" s="516" t="s">
        <v>170</v>
      </c>
      <c r="D4" s="516" t="s">
        <v>138</v>
      </c>
      <c r="E4" s="516" t="s">
        <v>139</v>
      </c>
      <c r="F4" s="516" t="s">
        <v>24</v>
      </c>
      <c r="G4" s="254" t="s">
        <v>140</v>
      </c>
      <c r="H4" s="139"/>
      <c r="I4" s="1117" t="s">
        <v>81</v>
      </c>
      <c r="J4" s="1142" t="s">
        <v>173</v>
      </c>
      <c r="K4" s="144" t="s">
        <v>561</v>
      </c>
      <c r="L4" s="144" t="s">
        <v>141</v>
      </c>
      <c r="M4" s="1142" t="s">
        <v>24</v>
      </c>
      <c r="N4" s="1143" t="s">
        <v>140</v>
      </c>
      <c r="O4" s="158"/>
      <c r="P4" s="517" t="s">
        <v>176</v>
      </c>
      <c r="Q4" s="518" t="s">
        <v>177</v>
      </c>
      <c r="R4" s="518" t="s">
        <v>178</v>
      </c>
      <c r="S4" s="518" t="s">
        <v>562</v>
      </c>
      <c r="T4" s="1119" t="s">
        <v>179</v>
      </c>
      <c r="U4" s="1120"/>
      <c r="V4" s="519" t="s">
        <v>180</v>
      </c>
    </row>
    <row r="5" spans="2:22" ht="15" customHeight="1" x14ac:dyDescent="0.15">
      <c r="B5" s="1154" t="s">
        <v>165</v>
      </c>
      <c r="C5" s="445"/>
      <c r="D5" s="445"/>
      <c r="E5" s="446"/>
      <c r="F5" s="445"/>
      <c r="G5" s="128">
        <f t="shared" ref="G5:G6" si="0">D5*F5</f>
        <v>0</v>
      </c>
      <c r="H5" s="140"/>
      <c r="I5" s="1118"/>
      <c r="J5" s="1116"/>
      <c r="K5" s="288" t="s">
        <v>143</v>
      </c>
      <c r="L5" s="288" t="s">
        <v>269</v>
      </c>
      <c r="M5" s="1116"/>
      <c r="N5" s="1130"/>
      <c r="O5" s="158"/>
      <c r="P5" s="447" t="s">
        <v>470</v>
      </c>
      <c r="Q5" s="299"/>
      <c r="R5" s="523" t="s">
        <v>563</v>
      </c>
      <c r="S5" s="299"/>
      <c r="T5" s="1155"/>
      <c r="U5" s="1156"/>
      <c r="V5" s="151">
        <v>2000</v>
      </c>
    </row>
    <row r="6" spans="2:22" ht="15" customHeight="1" x14ac:dyDescent="0.15">
      <c r="B6" s="1084"/>
      <c r="C6" s="445"/>
      <c r="D6" s="445"/>
      <c r="E6" s="446"/>
      <c r="F6" s="445"/>
      <c r="G6" s="448">
        <f t="shared" si="0"/>
        <v>0</v>
      </c>
      <c r="H6" s="140"/>
      <c r="I6" s="1144" t="s">
        <v>172</v>
      </c>
      <c r="J6" s="445" t="s">
        <v>266</v>
      </c>
      <c r="K6" s="449">
        <v>10.6</v>
      </c>
      <c r="L6" s="449">
        <v>13</v>
      </c>
      <c r="M6" s="449">
        <v>123.2</v>
      </c>
      <c r="N6" s="303">
        <f>K6*L6*M6</f>
        <v>16976.96</v>
      </c>
      <c r="O6" s="158"/>
      <c r="P6" s="227"/>
      <c r="Q6" s="299"/>
      <c r="R6" s="523"/>
      <c r="S6" s="299"/>
      <c r="T6" s="1157"/>
      <c r="U6" s="1158"/>
      <c r="V6" s="151"/>
    </row>
    <row r="7" spans="2:22" ht="15" customHeight="1" thickBot="1" x14ac:dyDescent="0.2">
      <c r="B7" s="1085"/>
      <c r="C7" s="130" t="s">
        <v>144</v>
      </c>
      <c r="D7" s="130"/>
      <c r="E7" s="130"/>
      <c r="F7" s="130"/>
      <c r="G7" s="131">
        <f>SUM(G5:G6)</f>
        <v>0</v>
      </c>
      <c r="H7" s="140"/>
      <c r="I7" s="1094"/>
      <c r="J7" s="445" t="s">
        <v>559</v>
      </c>
      <c r="K7" s="449">
        <v>1</v>
      </c>
      <c r="L7" s="449">
        <v>11.5</v>
      </c>
      <c r="M7" s="449">
        <v>123.2</v>
      </c>
      <c r="N7" s="303">
        <f t="shared" ref="N7:N10" si="1">K7*L7*M7</f>
        <v>1416.8</v>
      </c>
      <c r="O7" s="158"/>
      <c r="P7" s="227"/>
      <c r="Q7" s="299"/>
      <c r="R7" s="523"/>
      <c r="S7" s="299"/>
      <c r="T7" s="1157"/>
      <c r="U7" s="1158"/>
      <c r="V7" s="151"/>
    </row>
    <row r="8" spans="2:22" ht="15" customHeight="1" thickTop="1" x14ac:dyDescent="0.15">
      <c r="B8" s="1083" t="s">
        <v>163</v>
      </c>
      <c r="C8" s="445" t="s">
        <v>573</v>
      </c>
      <c r="D8" s="445">
        <v>50</v>
      </c>
      <c r="E8" s="446" t="s">
        <v>142</v>
      </c>
      <c r="F8" s="445">
        <v>440</v>
      </c>
      <c r="G8" s="448">
        <f>D8*F8</f>
        <v>22000</v>
      </c>
      <c r="H8" s="140"/>
      <c r="I8" s="1094"/>
      <c r="J8" s="445" t="s">
        <v>275</v>
      </c>
      <c r="K8" s="449">
        <v>1.2</v>
      </c>
      <c r="L8" s="449">
        <v>3</v>
      </c>
      <c r="M8" s="449">
        <v>123.2</v>
      </c>
      <c r="N8" s="303">
        <f t="shared" si="1"/>
        <v>443.52</v>
      </c>
      <c r="O8" s="158"/>
      <c r="P8" s="227"/>
      <c r="Q8" s="299"/>
      <c r="R8" s="523"/>
      <c r="S8" s="299"/>
      <c r="T8" s="1157"/>
      <c r="U8" s="1158"/>
      <c r="V8" s="151"/>
    </row>
    <row r="9" spans="2:22" ht="15" customHeight="1" x14ac:dyDescent="0.15">
      <c r="B9" s="1084"/>
      <c r="C9" s="445"/>
      <c r="D9" s="445"/>
      <c r="E9" s="446"/>
      <c r="F9" s="445"/>
      <c r="G9" s="448">
        <f>D9*F9</f>
        <v>0</v>
      </c>
      <c r="H9" s="140"/>
      <c r="I9" s="1094"/>
      <c r="J9" s="296" t="s">
        <v>270</v>
      </c>
      <c r="K9" s="297">
        <v>2.2000000000000002</v>
      </c>
      <c r="L9" s="297">
        <v>5</v>
      </c>
      <c r="M9" s="449">
        <v>123.2</v>
      </c>
      <c r="N9" s="298">
        <f t="shared" si="1"/>
        <v>1355.2</v>
      </c>
      <c r="O9" s="158"/>
      <c r="P9" s="227"/>
      <c r="Q9" s="299"/>
      <c r="R9" s="523"/>
      <c r="S9" s="299"/>
      <c r="T9" s="1157"/>
      <c r="U9" s="1158"/>
      <c r="V9" s="151"/>
    </row>
    <row r="10" spans="2:22" ht="15" customHeight="1" x14ac:dyDescent="0.15">
      <c r="B10" s="1084"/>
      <c r="C10" s="445"/>
      <c r="D10" s="445"/>
      <c r="E10" s="446"/>
      <c r="F10" s="445"/>
      <c r="G10" s="448">
        <f>D10*F10</f>
        <v>0</v>
      </c>
      <c r="H10" s="140"/>
      <c r="I10" s="1094"/>
      <c r="J10" s="300" t="s">
        <v>560</v>
      </c>
      <c r="K10" s="301">
        <v>1.3</v>
      </c>
      <c r="L10" s="301">
        <v>3.5</v>
      </c>
      <c r="M10" s="449">
        <v>123.2</v>
      </c>
      <c r="N10" s="302">
        <f t="shared" si="1"/>
        <v>560.55999999999995</v>
      </c>
      <c r="O10" s="158"/>
      <c r="P10" s="227"/>
      <c r="Q10" s="299"/>
      <c r="R10" s="523"/>
      <c r="S10" s="299"/>
      <c r="T10" s="1157"/>
      <c r="U10" s="1158"/>
      <c r="V10" s="151"/>
    </row>
    <row r="11" spans="2:22" ht="15" customHeight="1" thickBot="1" x14ac:dyDescent="0.2">
      <c r="B11" s="1085"/>
      <c r="C11" s="132" t="s">
        <v>145</v>
      </c>
      <c r="D11" s="133"/>
      <c r="E11" s="133"/>
      <c r="F11" s="133"/>
      <c r="G11" s="134">
        <f>SUM(G8:G10)</f>
        <v>22000</v>
      </c>
      <c r="H11" s="140"/>
      <c r="I11" s="1095"/>
      <c r="J11" s="285" t="s">
        <v>564</v>
      </c>
      <c r="K11" s="286">
        <f>SUM(K6:K9)</f>
        <v>15</v>
      </c>
      <c r="L11" s="286">
        <f>SUM(L6:L10)</f>
        <v>36</v>
      </c>
      <c r="M11" s="286"/>
      <c r="N11" s="289">
        <f>SUM(N6:N10)</f>
        <v>20753.04</v>
      </c>
      <c r="O11" s="158"/>
      <c r="P11" s="227"/>
      <c r="Q11" s="299"/>
      <c r="R11" s="523"/>
      <c r="S11" s="299"/>
      <c r="T11" s="1157"/>
      <c r="U11" s="1158"/>
      <c r="V11" s="151"/>
    </row>
    <row r="12" spans="2:22" ht="15" customHeight="1" thickTop="1" x14ac:dyDescent="0.15">
      <c r="B12" s="1083" t="s">
        <v>164</v>
      </c>
      <c r="C12" s="445" t="s">
        <v>717</v>
      </c>
      <c r="D12" s="445">
        <v>28.5</v>
      </c>
      <c r="E12" s="446" t="s">
        <v>142</v>
      </c>
      <c r="F12" s="445">
        <v>2070</v>
      </c>
      <c r="G12" s="448">
        <f>D12*F12</f>
        <v>58995</v>
      </c>
      <c r="H12" s="140"/>
      <c r="I12" s="1093" t="s">
        <v>565</v>
      </c>
      <c r="J12" s="445"/>
      <c r="K12" s="449"/>
      <c r="L12" s="449"/>
      <c r="M12" s="449"/>
      <c r="N12" s="303"/>
      <c r="O12" s="158"/>
      <c r="P12" s="227"/>
      <c r="Q12" s="299"/>
      <c r="R12" s="523"/>
      <c r="S12" s="299"/>
      <c r="T12" s="1157"/>
      <c r="U12" s="1158"/>
      <c r="V12" s="151"/>
    </row>
    <row r="13" spans="2:22" ht="15" customHeight="1" x14ac:dyDescent="0.15">
      <c r="B13" s="1084"/>
      <c r="C13" s="445" t="s">
        <v>717</v>
      </c>
      <c r="D13" s="445">
        <v>7.5</v>
      </c>
      <c r="E13" s="446" t="s">
        <v>142</v>
      </c>
      <c r="F13" s="445">
        <v>1970</v>
      </c>
      <c r="G13" s="448">
        <f>D13*F13</f>
        <v>14775</v>
      </c>
      <c r="H13" s="140"/>
      <c r="I13" s="1094"/>
      <c r="J13" s="445"/>
      <c r="K13" s="449"/>
      <c r="L13" s="449"/>
      <c r="M13" s="449"/>
      <c r="N13" s="303">
        <f t="shared" ref="N13:N14" si="2">K13*L13*M13</f>
        <v>0</v>
      </c>
      <c r="O13" s="158"/>
      <c r="P13" s="227"/>
      <c r="Q13" s="299"/>
      <c r="R13" s="523"/>
      <c r="S13" s="299"/>
      <c r="T13" s="1157"/>
      <c r="U13" s="1158"/>
      <c r="V13" s="151"/>
    </row>
    <row r="14" spans="2:22" ht="15" customHeight="1" x14ac:dyDescent="0.15">
      <c r="B14" s="1084"/>
      <c r="C14" s="445"/>
      <c r="D14" s="445"/>
      <c r="E14" s="446"/>
      <c r="F14" s="445"/>
      <c r="G14" s="448">
        <f>D14*F14</f>
        <v>0</v>
      </c>
      <c r="H14" s="140"/>
      <c r="I14" s="1094"/>
      <c r="J14" s="445"/>
      <c r="K14" s="449"/>
      <c r="L14" s="449"/>
      <c r="M14" s="449"/>
      <c r="N14" s="303">
        <f t="shared" si="2"/>
        <v>0</v>
      </c>
      <c r="O14" s="158"/>
      <c r="P14" s="227"/>
      <c r="Q14" s="299"/>
      <c r="R14" s="523"/>
      <c r="S14" s="299"/>
      <c r="T14" s="1157"/>
      <c r="U14" s="1158"/>
      <c r="V14" s="151"/>
    </row>
    <row r="15" spans="2:22" ht="15" customHeight="1" thickBot="1" x14ac:dyDescent="0.2">
      <c r="B15" s="1084"/>
      <c r="C15" s="445"/>
      <c r="D15" s="445"/>
      <c r="E15" s="445"/>
      <c r="F15" s="445"/>
      <c r="G15" s="448">
        <f t="shared" ref="G15" si="3">D15*F15</f>
        <v>0</v>
      </c>
      <c r="H15" s="140"/>
      <c r="I15" s="1095"/>
      <c r="J15" s="228" t="s">
        <v>564</v>
      </c>
      <c r="K15" s="145">
        <f>SUM(K12:K14)</f>
        <v>0</v>
      </c>
      <c r="L15" s="145">
        <f>SUM(L12:L14)</f>
        <v>0</v>
      </c>
      <c r="M15" s="145"/>
      <c r="N15" s="290">
        <f>SUM(N12:N14)</f>
        <v>0</v>
      </c>
      <c r="O15" s="158"/>
      <c r="P15" s="227"/>
      <c r="Q15" s="299"/>
      <c r="R15" s="523"/>
      <c r="S15" s="299"/>
      <c r="T15" s="1157"/>
      <c r="U15" s="1158"/>
      <c r="V15" s="151"/>
    </row>
    <row r="16" spans="2:22" ht="15" customHeight="1" thickTop="1" thickBot="1" x14ac:dyDescent="0.2">
      <c r="B16" s="1085"/>
      <c r="C16" s="132" t="s">
        <v>145</v>
      </c>
      <c r="D16" s="133"/>
      <c r="E16" s="133"/>
      <c r="F16" s="133"/>
      <c r="G16" s="134">
        <f>SUM(G12:G15)</f>
        <v>73770</v>
      </c>
      <c r="H16" s="140"/>
      <c r="I16" s="1083" t="s">
        <v>174</v>
      </c>
      <c r="J16" s="445"/>
      <c r="K16" s="449"/>
      <c r="L16" s="449"/>
      <c r="M16" s="449"/>
      <c r="N16" s="448">
        <f t="shared" ref="N16:N22" si="4">K16*L16*M16</f>
        <v>0</v>
      </c>
      <c r="O16" s="158"/>
      <c r="P16" s="227"/>
      <c r="Q16" s="299"/>
      <c r="R16" s="523"/>
      <c r="S16" s="299"/>
      <c r="T16" s="1157"/>
      <c r="U16" s="1158"/>
      <c r="V16" s="151"/>
    </row>
    <row r="17" spans="2:22" ht="15" customHeight="1" thickTop="1" x14ac:dyDescent="0.15">
      <c r="B17" s="1083" t="s">
        <v>166</v>
      </c>
      <c r="C17" s="445"/>
      <c r="D17" s="445"/>
      <c r="E17" s="446"/>
      <c r="F17" s="445"/>
      <c r="G17" s="448">
        <f t="shared" ref="G17" si="5">D17*F17</f>
        <v>0</v>
      </c>
      <c r="H17" s="140"/>
      <c r="I17" s="1084"/>
      <c r="J17" s="445"/>
      <c r="K17" s="449"/>
      <c r="L17" s="449"/>
      <c r="M17" s="449"/>
      <c r="N17" s="448">
        <f t="shared" si="4"/>
        <v>0</v>
      </c>
      <c r="O17" s="158"/>
      <c r="P17" s="227"/>
      <c r="Q17" s="299"/>
      <c r="R17" s="523"/>
      <c r="S17" s="299"/>
      <c r="T17" s="1157"/>
      <c r="U17" s="1158"/>
      <c r="V17" s="151"/>
    </row>
    <row r="18" spans="2:22" ht="15" customHeight="1" x14ac:dyDescent="0.15">
      <c r="B18" s="1084"/>
      <c r="C18" s="445"/>
      <c r="D18" s="445"/>
      <c r="E18" s="446"/>
      <c r="F18" s="445"/>
      <c r="G18" s="448">
        <f>D18*F18</f>
        <v>0</v>
      </c>
      <c r="H18" s="140"/>
      <c r="I18" s="1084"/>
      <c r="J18" s="445"/>
      <c r="K18" s="449"/>
      <c r="L18" s="449"/>
      <c r="M18" s="449"/>
      <c r="N18" s="448">
        <f t="shared" si="4"/>
        <v>0</v>
      </c>
      <c r="O18" s="158"/>
      <c r="P18" s="227"/>
      <c r="Q18" s="299"/>
      <c r="R18" s="523"/>
      <c r="S18" s="299"/>
      <c r="T18" s="1157"/>
      <c r="U18" s="1158"/>
      <c r="V18" s="151"/>
    </row>
    <row r="19" spans="2:22" ht="15" customHeight="1" thickBot="1" x14ac:dyDescent="0.2">
      <c r="B19" s="1084"/>
      <c r="C19" s="445"/>
      <c r="D19" s="445"/>
      <c r="E19" s="445"/>
      <c r="F19" s="445"/>
      <c r="G19" s="448">
        <f t="shared" ref="G19" si="6">D19*F19</f>
        <v>0</v>
      </c>
      <c r="H19" s="140"/>
      <c r="I19" s="1085"/>
      <c r="J19" s="228" t="s">
        <v>564</v>
      </c>
      <c r="K19" s="145">
        <f>SUM(K16:K18)</f>
        <v>0</v>
      </c>
      <c r="L19" s="146">
        <f>SUM(L16:L18)</f>
        <v>0</v>
      </c>
      <c r="M19" s="147"/>
      <c r="N19" s="143">
        <f>SUM(N16:N18)</f>
        <v>0</v>
      </c>
      <c r="O19" s="158"/>
      <c r="P19" s="227"/>
      <c r="Q19" s="299"/>
      <c r="R19" s="523"/>
      <c r="S19" s="299"/>
      <c r="T19" s="1157"/>
      <c r="U19" s="1158"/>
      <c r="V19" s="151"/>
    </row>
    <row r="20" spans="2:22" ht="15" customHeight="1" thickTop="1" thickBot="1" x14ac:dyDescent="0.2">
      <c r="B20" s="1085"/>
      <c r="C20" s="132" t="s">
        <v>145</v>
      </c>
      <c r="D20" s="133"/>
      <c r="E20" s="133"/>
      <c r="F20" s="133"/>
      <c r="G20" s="134">
        <f>SUM(G17:G19)</f>
        <v>0</v>
      </c>
      <c r="H20" s="140"/>
      <c r="I20" s="1083" t="s">
        <v>175</v>
      </c>
      <c r="J20" s="445" t="s">
        <v>271</v>
      </c>
      <c r="K20" s="449">
        <v>3.5</v>
      </c>
      <c r="L20" s="449">
        <v>6.1</v>
      </c>
      <c r="M20" s="449">
        <v>107.8</v>
      </c>
      <c r="N20" s="448">
        <f t="shared" si="4"/>
        <v>2301.5299999999997</v>
      </c>
      <c r="O20" s="158"/>
      <c r="P20" s="454" t="s">
        <v>29</v>
      </c>
      <c r="Q20" s="240"/>
      <c r="R20" s="240"/>
      <c r="S20" s="240"/>
      <c r="T20" s="1131"/>
      <c r="U20" s="1132"/>
      <c r="V20" s="455">
        <f>SUM(V5:V19)</f>
        <v>2000</v>
      </c>
    </row>
    <row r="21" spans="2:22" ht="15" customHeight="1" thickTop="1" x14ac:dyDescent="0.15">
      <c r="B21" s="1083" t="s">
        <v>167</v>
      </c>
      <c r="C21" s="445"/>
      <c r="D21" s="445"/>
      <c r="E21" s="446"/>
      <c r="F21" s="445"/>
      <c r="G21" s="448">
        <f>D21*F21</f>
        <v>0</v>
      </c>
      <c r="H21" s="140"/>
      <c r="I21" s="1084"/>
      <c r="J21" s="445"/>
      <c r="K21" s="449"/>
      <c r="L21" s="449"/>
      <c r="M21" s="449"/>
      <c r="N21" s="448">
        <f t="shared" si="4"/>
        <v>0</v>
      </c>
      <c r="O21" s="158"/>
    </row>
    <row r="22" spans="2:22" ht="15" customHeight="1" thickBot="1" x14ac:dyDescent="0.2">
      <c r="B22" s="1084"/>
      <c r="C22" s="445"/>
      <c r="D22" s="445"/>
      <c r="E22" s="446"/>
      <c r="F22" s="445"/>
      <c r="G22" s="448">
        <f>D22*F22</f>
        <v>0</v>
      </c>
      <c r="H22" s="140"/>
      <c r="I22" s="1084"/>
      <c r="J22" s="445"/>
      <c r="K22" s="449"/>
      <c r="L22" s="449"/>
      <c r="M22" s="449"/>
      <c r="N22" s="448">
        <f t="shared" si="4"/>
        <v>0</v>
      </c>
      <c r="O22" s="158"/>
      <c r="P22" s="49" t="s">
        <v>229</v>
      </c>
    </row>
    <row r="23" spans="2:22" ht="15" customHeight="1" thickBot="1" x14ac:dyDescent="0.2">
      <c r="B23" s="1084"/>
      <c r="C23" s="445"/>
      <c r="D23" s="445"/>
      <c r="E23" s="446"/>
      <c r="F23" s="445"/>
      <c r="G23" s="448">
        <f>D23*F23</f>
        <v>0</v>
      </c>
      <c r="H23" s="140"/>
      <c r="I23" s="1085"/>
      <c r="J23" s="228" t="s">
        <v>564</v>
      </c>
      <c r="K23" s="145">
        <f>SUM(K20:K22)</f>
        <v>3.5</v>
      </c>
      <c r="L23" s="146">
        <f>SUM(L20:L22)</f>
        <v>6.1</v>
      </c>
      <c r="M23" s="147"/>
      <c r="N23" s="143">
        <f>SUM(N20:N22)</f>
        <v>2301.5299999999997</v>
      </c>
      <c r="O23" s="158"/>
      <c r="P23" s="517" t="s">
        <v>181</v>
      </c>
      <c r="Q23" s="518" t="s">
        <v>177</v>
      </c>
      <c r="R23" s="518" t="s">
        <v>178</v>
      </c>
      <c r="S23" s="518" t="s">
        <v>562</v>
      </c>
      <c r="T23" s="518" t="s">
        <v>179</v>
      </c>
      <c r="U23" s="527" t="s">
        <v>182</v>
      </c>
      <c r="V23" s="519" t="s">
        <v>180</v>
      </c>
    </row>
    <row r="24" spans="2:22" ht="15" customHeight="1" thickTop="1" thickBot="1" x14ac:dyDescent="0.2">
      <c r="B24" s="1111"/>
      <c r="C24" s="135" t="s">
        <v>147</v>
      </c>
      <c r="D24" s="136"/>
      <c r="E24" s="136"/>
      <c r="F24" s="142"/>
      <c r="G24" s="137">
        <f>SUM(G21:G23)</f>
        <v>0</v>
      </c>
      <c r="I24" s="1083" t="s">
        <v>246</v>
      </c>
      <c r="J24" s="445"/>
      <c r="K24" s="449"/>
      <c r="L24" s="449"/>
      <c r="M24" s="449"/>
      <c r="N24" s="448">
        <f t="shared" ref="N24:N26" si="7">K24*L24*M24</f>
        <v>0</v>
      </c>
      <c r="O24" s="158"/>
      <c r="P24" s="227" t="s">
        <v>473</v>
      </c>
      <c r="Q24" s="299">
        <v>10</v>
      </c>
      <c r="R24" s="523" t="s">
        <v>566</v>
      </c>
      <c r="S24" s="522">
        <v>500</v>
      </c>
      <c r="T24" s="299">
        <v>2</v>
      </c>
      <c r="U24" s="253">
        <v>30</v>
      </c>
      <c r="V24" s="151">
        <f>Q24*S24/T24/U24</f>
        <v>83.333333333333329</v>
      </c>
    </row>
    <row r="25" spans="2:22" ht="15" customHeight="1" x14ac:dyDescent="0.15">
      <c r="H25" s="141"/>
      <c r="I25" s="1084"/>
      <c r="J25" s="445"/>
      <c r="K25" s="449"/>
      <c r="L25" s="449"/>
      <c r="M25" s="449"/>
      <c r="N25" s="448">
        <f t="shared" si="7"/>
        <v>0</v>
      </c>
      <c r="O25" s="158"/>
      <c r="P25" s="227"/>
      <c r="Q25" s="299"/>
      <c r="R25" s="523"/>
      <c r="S25" s="299"/>
      <c r="T25" s="299"/>
      <c r="U25" s="253"/>
      <c r="V25" s="151"/>
    </row>
    <row r="26" spans="2:22" ht="15" customHeight="1" thickBot="1" x14ac:dyDescent="0.2">
      <c r="B26" s="5" t="s">
        <v>567</v>
      </c>
      <c r="C26" s="5"/>
      <c r="D26" s="51"/>
      <c r="E26" s="5"/>
      <c r="F26" s="51"/>
      <c r="G26" s="53"/>
      <c r="H26" s="139"/>
      <c r="I26" s="1084"/>
      <c r="J26" s="445"/>
      <c r="K26" s="449"/>
      <c r="L26" s="449"/>
      <c r="M26" s="449"/>
      <c r="N26" s="448">
        <f t="shared" si="7"/>
        <v>0</v>
      </c>
      <c r="O26" s="158"/>
      <c r="P26" s="227"/>
      <c r="Q26" s="299"/>
      <c r="R26" s="523"/>
      <c r="S26" s="299"/>
      <c r="T26" s="299"/>
      <c r="U26" s="253"/>
      <c r="V26" s="151"/>
    </row>
    <row r="27" spans="2:22" ht="15" customHeight="1" thickBot="1" x14ac:dyDescent="0.2">
      <c r="B27" s="515" t="s">
        <v>81</v>
      </c>
      <c r="C27" s="516" t="s">
        <v>137</v>
      </c>
      <c r="D27" s="516" t="s">
        <v>138</v>
      </c>
      <c r="E27" s="516" t="s">
        <v>139</v>
      </c>
      <c r="F27" s="516" t="s">
        <v>24</v>
      </c>
      <c r="G27" s="254" t="s">
        <v>140</v>
      </c>
      <c r="H27" s="140"/>
      <c r="I27" s="1085"/>
      <c r="J27" s="228" t="s">
        <v>564</v>
      </c>
      <c r="K27" s="145">
        <f>SUM(K24:K26)</f>
        <v>0</v>
      </c>
      <c r="L27" s="146">
        <f>SUM(L24:L26)</f>
        <v>0</v>
      </c>
      <c r="M27" s="147"/>
      <c r="N27" s="143">
        <f>SUM(N24:N26)</f>
        <v>0</v>
      </c>
      <c r="O27" s="158"/>
      <c r="P27" s="227"/>
      <c r="Q27" s="299"/>
      <c r="R27" s="523"/>
      <c r="S27" s="299"/>
      <c r="T27" s="299"/>
      <c r="U27" s="253"/>
      <c r="V27" s="151"/>
    </row>
    <row r="28" spans="2:22" ht="15" customHeight="1" thickTop="1" x14ac:dyDescent="0.15">
      <c r="B28" s="1154" t="s">
        <v>30</v>
      </c>
      <c r="C28" s="445" t="s">
        <v>30</v>
      </c>
      <c r="D28" s="445">
        <v>4</v>
      </c>
      <c r="E28" s="446" t="s">
        <v>142</v>
      </c>
      <c r="F28" s="445">
        <v>5000</v>
      </c>
      <c r="G28" s="128">
        <f t="shared" ref="G28:G37" si="8">D28*F28</f>
        <v>20000</v>
      </c>
      <c r="H28" s="140"/>
      <c r="I28" s="1083" t="s">
        <v>171</v>
      </c>
      <c r="J28" s="445" t="s">
        <v>271</v>
      </c>
      <c r="K28" s="449">
        <v>3.5</v>
      </c>
      <c r="L28" s="449">
        <v>5</v>
      </c>
      <c r="M28" s="449">
        <v>22</v>
      </c>
      <c r="N28" s="448">
        <f>K28*L28*M28</f>
        <v>385</v>
      </c>
      <c r="O28" s="158"/>
      <c r="P28" s="227"/>
      <c r="Q28" s="299"/>
      <c r="R28" s="523"/>
      <c r="S28" s="299"/>
      <c r="T28" s="299"/>
      <c r="U28" s="253"/>
      <c r="V28" s="151"/>
    </row>
    <row r="29" spans="2:22" ht="15" customHeight="1" x14ac:dyDescent="0.15">
      <c r="B29" s="1084"/>
      <c r="C29" s="445" t="s">
        <v>30</v>
      </c>
      <c r="D29" s="445">
        <v>2</v>
      </c>
      <c r="E29" s="446" t="s">
        <v>142</v>
      </c>
      <c r="F29" s="445"/>
      <c r="G29" s="448">
        <f t="shared" si="8"/>
        <v>0</v>
      </c>
      <c r="H29" s="140"/>
      <c r="I29" s="1084"/>
      <c r="J29" s="445"/>
      <c r="K29" s="449"/>
      <c r="L29" s="449"/>
      <c r="M29" s="449"/>
      <c r="N29" s="448">
        <f t="shared" ref="N29:N30" si="9">K29*L29*M29</f>
        <v>0</v>
      </c>
      <c r="O29" s="50"/>
      <c r="P29" s="227"/>
      <c r="Q29" s="299"/>
      <c r="R29" s="523"/>
      <c r="S29" s="299"/>
      <c r="T29" s="299"/>
      <c r="U29" s="253"/>
      <c r="V29" s="151"/>
    </row>
    <row r="30" spans="2:22" ht="15" customHeight="1" x14ac:dyDescent="0.15">
      <c r="B30" s="1084"/>
      <c r="C30" s="445"/>
      <c r="D30" s="445"/>
      <c r="E30" s="446"/>
      <c r="F30" s="445"/>
      <c r="G30" s="448">
        <f t="shared" si="8"/>
        <v>0</v>
      </c>
      <c r="H30" s="140"/>
      <c r="I30" s="1084"/>
      <c r="J30" s="445"/>
      <c r="K30" s="449"/>
      <c r="L30" s="449"/>
      <c r="M30" s="449"/>
      <c r="N30" s="448">
        <f t="shared" si="9"/>
        <v>0</v>
      </c>
      <c r="P30" s="227"/>
      <c r="Q30" s="299"/>
      <c r="R30" s="523"/>
      <c r="S30" s="299"/>
      <c r="T30" s="299"/>
      <c r="U30" s="253"/>
      <c r="V30" s="151"/>
    </row>
    <row r="31" spans="2:22" ht="15" customHeight="1" thickBot="1" x14ac:dyDescent="0.2">
      <c r="B31" s="1084"/>
      <c r="C31" s="445"/>
      <c r="D31" s="445"/>
      <c r="E31" s="446"/>
      <c r="F31" s="445"/>
      <c r="G31" s="448">
        <f t="shared" si="8"/>
        <v>0</v>
      </c>
      <c r="H31" s="140"/>
      <c r="I31" s="1111"/>
      <c r="J31" s="229" t="s">
        <v>564</v>
      </c>
      <c r="K31" s="148">
        <f>SUM(K28:K30)</f>
        <v>3.5</v>
      </c>
      <c r="L31" s="520">
        <f>SUM(L28:L30)</f>
        <v>5</v>
      </c>
      <c r="M31" s="150"/>
      <c r="N31" s="521">
        <f>SUM(N28:N30)</f>
        <v>385</v>
      </c>
      <c r="P31" s="227"/>
      <c r="Q31" s="299"/>
      <c r="R31" s="523"/>
      <c r="S31" s="299"/>
      <c r="T31" s="299"/>
      <c r="U31" s="253"/>
      <c r="V31" s="151"/>
    </row>
    <row r="32" spans="2:22" ht="15" customHeight="1" x14ac:dyDescent="0.15">
      <c r="B32" s="1084"/>
      <c r="C32" s="445"/>
      <c r="D32" s="445"/>
      <c r="E32" s="446"/>
      <c r="F32" s="445"/>
      <c r="G32" s="448">
        <f t="shared" si="8"/>
        <v>0</v>
      </c>
      <c r="H32" s="140"/>
      <c r="I32" s="125"/>
      <c r="J32" s="125"/>
      <c r="K32" s="125"/>
      <c r="L32" s="125"/>
      <c r="M32" s="125"/>
      <c r="N32" s="125"/>
      <c r="P32" s="227"/>
      <c r="Q32" s="299"/>
      <c r="R32" s="523"/>
      <c r="S32" s="299"/>
      <c r="T32" s="299"/>
      <c r="U32" s="253"/>
      <c r="V32" s="151"/>
    </row>
    <row r="33" spans="2:22" ht="15" customHeight="1" thickBot="1" x14ac:dyDescent="0.2">
      <c r="B33" s="1084"/>
      <c r="C33" s="445"/>
      <c r="D33" s="445"/>
      <c r="E33" s="446"/>
      <c r="F33" s="445"/>
      <c r="G33" s="448">
        <f t="shared" si="8"/>
        <v>0</v>
      </c>
      <c r="H33" s="140"/>
      <c r="I33" s="115" t="s">
        <v>227</v>
      </c>
      <c r="J33" s="115"/>
      <c r="K33" s="115"/>
      <c r="L33" s="115"/>
      <c r="M33" s="115"/>
      <c r="P33" s="227"/>
      <c r="Q33" s="299"/>
      <c r="R33" s="523"/>
      <c r="S33" s="299"/>
      <c r="T33" s="299"/>
      <c r="U33" s="253"/>
      <c r="V33" s="151"/>
    </row>
    <row r="34" spans="2:22" ht="15" customHeight="1" thickBot="1" x14ac:dyDescent="0.2">
      <c r="B34" s="1084"/>
      <c r="C34" s="445"/>
      <c r="D34" s="445"/>
      <c r="E34" s="446"/>
      <c r="F34" s="445"/>
      <c r="G34" s="448">
        <f t="shared" si="8"/>
        <v>0</v>
      </c>
      <c r="H34" s="140"/>
      <c r="I34" s="214" t="s">
        <v>215</v>
      </c>
      <c r="J34" s="457" t="s">
        <v>5</v>
      </c>
      <c r="K34" s="1096" t="s">
        <v>216</v>
      </c>
      <c r="L34" s="1097"/>
      <c r="M34" s="230" t="s">
        <v>182</v>
      </c>
      <c r="N34" s="458" t="s">
        <v>568</v>
      </c>
      <c r="P34" s="526" t="s">
        <v>220</v>
      </c>
      <c r="Q34" s="240"/>
      <c r="R34" s="240"/>
      <c r="S34" s="240"/>
      <c r="T34" s="240"/>
      <c r="U34" s="152"/>
      <c r="V34" s="455">
        <f>SUM(V24:V33)</f>
        <v>83.333333333333329</v>
      </c>
    </row>
    <row r="35" spans="2:22" ht="15" customHeight="1" x14ac:dyDescent="0.15">
      <c r="B35" s="1084"/>
      <c r="C35" s="445"/>
      <c r="D35" s="445"/>
      <c r="E35" s="446"/>
      <c r="F35" s="445"/>
      <c r="G35" s="448">
        <f t="shared" si="8"/>
        <v>0</v>
      </c>
      <c r="H35" s="140"/>
      <c r="I35" s="1080" t="s">
        <v>2</v>
      </c>
      <c r="J35" s="138" t="s">
        <v>280</v>
      </c>
      <c r="K35" s="1090">
        <v>5940000</v>
      </c>
      <c r="L35" s="1090"/>
      <c r="M35" s="316">
        <f>'１　対象経営の概要，２　前提条件'!$Y$7</f>
        <v>10</v>
      </c>
      <c r="N35" s="221">
        <f>+K35/M35*0.014*0.3</f>
        <v>2494.7999999999997</v>
      </c>
    </row>
    <row r="36" spans="2:22" ht="15" customHeight="1" thickBot="1" x14ac:dyDescent="0.2">
      <c r="B36" s="1084"/>
      <c r="C36" s="445"/>
      <c r="D36" s="445"/>
      <c r="E36" s="446"/>
      <c r="F36" s="445"/>
      <c r="G36" s="448">
        <f t="shared" si="8"/>
        <v>0</v>
      </c>
      <c r="H36" s="140"/>
      <c r="I36" s="1145"/>
      <c r="J36" s="138" t="s">
        <v>279</v>
      </c>
      <c r="K36" s="1090">
        <v>13662000</v>
      </c>
      <c r="L36" s="1090"/>
      <c r="M36" s="316">
        <f>'１　対象経営の概要，２　前提条件'!$Y$7</f>
        <v>10</v>
      </c>
      <c r="N36" s="221">
        <f>+K36/M36*0.014*0.3</f>
        <v>5738.04</v>
      </c>
      <c r="P36" s="115" t="s">
        <v>221</v>
      </c>
      <c r="Q36" s="115"/>
      <c r="R36" s="115"/>
      <c r="S36" s="115"/>
      <c r="T36" s="115"/>
    </row>
    <row r="37" spans="2:22" ht="15" customHeight="1" x14ac:dyDescent="0.15">
      <c r="B37" s="1084"/>
      <c r="C37" s="445"/>
      <c r="D37" s="445"/>
      <c r="E37" s="446"/>
      <c r="F37" s="445"/>
      <c r="G37" s="448">
        <f t="shared" si="8"/>
        <v>0</v>
      </c>
      <c r="H37" s="140"/>
      <c r="I37" s="1145"/>
      <c r="J37" s="138"/>
      <c r="K37" s="1090"/>
      <c r="L37" s="1090"/>
      <c r="M37" s="525"/>
      <c r="N37" s="221"/>
      <c r="O37" s="149"/>
      <c r="P37" s="214" t="s">
        <v>214</v>
      </c>
      <c r="Q37" s="1126" t="s">
        <v>222</v>
      </c>
      <c r="R37" s="1126"/>
      <c r="S37" s="532" t="s">
        <v>225</v>
      </c>
      <c r="T37" s="532" t="s">
        <v>224</v>
      </c>
      <c r="U37" s="230" t="s">
        <v>182</v>
      </c>
      <c r="V37" s="231" t="s">
        <v>474</v>
      </c>
    </row>
    <row r="38" spans="2:22" ht="15" customHeight="1" thickBot="1" x14ac:dyDescent="0.2">
      <c r="B38" s="1085"/>
      <c r="C38" s="130" t="s">
        <v>144</v>
      </c>
      <c r="D38" s="130"/>
      <c r="E38" s="130"/>
      <c r="F38" s="130"/>
      <c r="G38" s="131">
        <f>SUM(G28:G37)</f>
        <v>20000</v>
      </c>
      <c r="H38" s="140"/>
      <c r="I38" s="1145"/>
      <c r="J38" s="138"/>
      <c r="K38" s="1090"/>
      <c r="L38" s="1090"/>
      <c r="M38" s="525"/>
      <c r="N38" s="221"/>
      <c r="O38" s="149"/>
      <c r="P38" s="1077" t="s">
        <v>223</v>
      </c>
      <c r="Q38" s="218" t="s">
        <v>618</v>
      </c>
      <c r="R38" s="234"/>
      <c r="S38" s="219"/>
      <c r="T38" s="235"/>
      <c r="U38" s="219"/>
      <c r="V38" s="221">
        <v>3130</v>
      </c>
    </row>
    <row r="39" spans="2:22" ht="15" customHeight="1" thickTop="1" x14ac:dyDescent="0.15">
      <c r="B39" s="1083" t="s">
        <v>168</v>
      </c>
      <c r="C39" s="445"/>
      <c r="D39" s="445"/>
      <c r="E39" s="446"/>
      <c r="F39" s="445"/>
      <c r="G39" s="448">
        <f>D39*F39</f>
        <v>0</v>
      </c>
      <c r="H39" s="140"/>
      <c r="I39" s="1145"/>
      <c r="J39" s="138"/>
      <c r="K39" s="1090"/>
      <c r="L39" s="1090"/>
      <c r="M39" s="525"/>
      <c r="N39" s="221"/>
      <c r="O39" s="149"/>
      <c r="P39" s="1078"/>
      <c r="Q39" s="218"/>
      <c r="R39" s="234"/>
      <c r="S39" s="219"/>
      <c r="T39" s="235"/>
      <c r="U39" s="219"/>
      <c r="V39" s="221"/>
    </row>
    <row r="40" spans="2:22" ht="15" customHeight="1" x14ac:dyDescent="0.15">
      <c r="B40" s="1084"/>
      <c r="C40" s="445"/>
      <c r="D40" s="445"/>
      <c r="E40" s="446"/>
      <c r="F40" s="445"/>
      <c r="G40" s="448">
        <f>D40*F40</f>
        <v>0</v>
      </c>
      <c r="H40" s="140"/>
      <c r="I40" s="1145"/>
      <c r="J40" s="138"/>
      <c r="K40" s="1090"/>
      <c r="L40" s="1090"/>
      <c r="M40" s="525"/>
      <c r="N40" s="221"/>
      <c r="O40" s="149"/>
      <c r="P40" s="1078"/>
      <c r="Q40" s="218"/>
      <c r="R40" s="234"/>
      <c r="S40" s="219"/>
      <c r="T40" s="235"/>
      <c r="U40" s="219"/>
      <c r="V40" s="221"/>
    </row>
    <row r="41" spans="2:22" ht="15" customHeight="1" x14ac:dyDescent="0.15">
      <c r="B41" s="1084"/>
      <c r="C41" s="445"/>
      <c r="D41" s="445"/>
      <c r="E41" s="446"/>
      <c r="F41" s="445"/>
      <c r="G41" s="448">
        <f t="shared" ref="G41:G52" si="10">D41*F41</f>
        <v>0</v>
      </c>
      <c r="H41" s="140"/>
      <c r="I41" s="1145"/>
      <c r="J41" s="138"/>
      <c r="K41" s="1090"/>
      <c r="L41" s="1090"/>
      <c r="M41" s="525"/>
      <c r="N41" s="221"/>
      <c r="O41" s="149"/>
      <c r="P41" s="1078"/>
      <c r="Q41" s="218"/>
      <c r="R41" s="234"/>
      <c r="S41" s="219"/>
      <c r="T41" s="235"/>
      <c r="U41" s="219"/>
      <c r="V41" s="221"/>
    </row>
    <row r="42" spans="2:22" ht="15" customHeight="1" thickBot="1" x14ac:dyDescent="0.2">
      <c r="B42" s="1084"/>
      <c r="C42" s="445"/>
      <c r="D42" s="445"/>
      <c r="E42" s="446"/>
      <c r="F42" s="445"/>
      <c r="G42" s="448">
        <f t="shared" si="10"/>
        <v>0</v>
      </c>
      <c r="H42" s="140"/>
      <c r="I42" s="1146"/>
      <c r="J42" s="215" t="s">
        <v>145</v>
      </c>
      <c r="K42" s="1091"/>
      <c r="L42" s="1092"/>
      <c r="M42" s="216"/>
      <c r="N42" s="220">
        <f>SUM(N35:N41)</f>
        <v>8232.84</v>
      </c>
      <c r="O42" s="149"/>
      <c r="P42" s="1078"/>
      <c r="Q42" s="218"/>
      <c r="R42" s="234"/>
      <c r="S42" s="219"/>
      <c r="T42" s="235"/>
      <c r="U42" s="219"/>
      <c r="V42" s="221"/>
    </row>
    <row r="43" spans="2:22" ht="15" customHeight="1" thickTop="1" x14ac:dyDescent="0.15">
      <c r="B43" s="1084"/>
      <c r="C43" s="445"/>
      <c r="D43" s="445"/>
      <c r="E43" s="446"/>
      <c r="F43" s="445"/>
      <c r="G43" s="448">
        <f t="shared" si="10"/>
        <v>0</v>
      </c>
      <c r="H43" s="140"/>
      <c r="I43" s="1086" t="s">
        <v>217</v>
      </c>
      <c r="J43" s="217" t="s">
        <v>569</v>
      </c>
      <c r="K43" s="1089">
        <v>8200</v>
      </c>
      <c r="L43" s="1089"/>
      <c r="M43" s="524">
        <f>'１　対象経営の概要，２　前提条件'!$Y$7</f>
        <v>10</v>
      </c>
      <c r="N43" s="232">
        <f>+K43/M43</f>
        <v>820</v>
      </c>
      <c r="O43" s="149"/>
      <c r="P43" s="1078"/>
      <c r="Q43" s="218"/>
      <c r="R43" s="234"/>
      <c r="S43" s="219"/>
      <c r="T43" s="235"/>
      <c r="U43" s="219"/>
      <c r="V43" s="221"/>
    </row>
    <row r="44" spans="2:22" ht="15" customHeight="1" thickBot="1" x14ac:dyDescent="0.2">
      <c r="B44" s="1084"/>
      <c r="C44" s="445"/>
      <c r="D44" s="445"/>
      <c r="E44" s="446"/>
      <c r="F44" s="445"/>
      <c r="G44" s="448">
        <f t="shared" si="10"/>
        <v>0</v>
      </c>
      <c r="H44" s="140"/>
      <c r="I44" s="1087"/>
      <c r="J44" s="218"/>
      <c r="K44" s="1090"/>
      <c r="L44" s="1090"/>
      <c r="M44" s="525"/>
      <c r="N44" s="221"/>
      <c r="O44" s="149"/>
      <c r="P44" s="1079"/>
      <c r="Q44" s="222" t="s">
        <v>226</v>
      </c>
      <c r="R44" s="223"/>
      <c r="S44" s="223"/>
      <c r="T44" s="223"/>
      <c r="U44" s="223"/>
      <c r="V44" s="224">
        <f>SUM(V38:V43)</f>
        <v>3130</v>
      </c>
    </row>
    <row r="45" spans="2:22" ht="15" customHeight="1" thickTop="1" x14ac:dyDescent="0.15">
      <c r="B45" s="1084"/>
      <c r="C45" s="445"/>
      <c r="D45" s="445"/>
      <c r="E45" s="446"/>
      <c r="F45" s="445"/>
      <c r="G45" s="448">
        <f t="shared" si="10"/>
        <v>0</v>
      </c>
      <c r="H45" s="140"/>
      <c r="I45" s="1087"/>
      <c r="J45" s="138"/>
      <c r="K45" s="1090"/>
      <c r="L45" s="1090"/>
      <c r="M45" s="525"/>
      <c r="N45" s="221"/>
      <c r="O45" s="149"/>
      <c r="P45" s="1139" t="s">
        <v>231</v>
      </c>
      <c r="Q45" s="1135" t="s">
        <v>233</v>
      </c>
      <c r="R45" s="236" t="s">
        <v>234</v>
      </c>
      <c r="S45" s="217">
        <v>35750</v>
      </c>
      <c r="T45" s="237">
        <v>1</v>
      </c>
      <c r="U45" s="217">
        <v>10</v>
      </c>
      <c r="V45" s="232">
        <f>+S45*T45/U45</f>
        <v>3575</v>
      </c>
    </row>
    <row r="46" spans="2:22" ht="15" customHeight="1" thickBot="1" x14ac:dyDescent="0.2">
      <c r="B46" s="1084"/>
      <c r="C46" s="445"/>
      <c r="D46" s="445"/>
      <c r="E46" s="445"/>
      <c r="F46" s="445"/>
      <c r="G46" s="448">
        <f t="shared" si="10"/>
        <v>0</v>
      </c>
      <c r="H46" s="140"/>
      <c r="I46" s="1088"/>
      <c r="J46" s="215" t="s">
        <v>145</v>
      </c>
      <c r="K46" s="1091"/>
      <c r="L46" s="1092"/>
      <c r="M46" s="216"/>
      <c r="N46" s="220">
        <f>SUM(N43:N45)</f>
        <v>820</v>
      </c>
      <c r="O46" s="149"/>
      <c r="P46" s="1078"/>
      <c r="Q46" s="1136"/>
      <c r="R46" s="238" t="s">
        <v>230</v>
      </c>
      <c r="S46" s="218">
        <v>15600</v>
      </c>
      <c r="T46" s="235">
        <v>1</v>
      </c>
      <c r="U46" s="218">
        <v>10</v>
      </c>
      <c r="V46" s="221">
        <f>+S46*T46/U46</f>
        <v>1560</v>
      </c>
    </row>
    <row r="47" spans="2:22" ht="15" customHeight="1" thickTop="1" x14ac:dyDescent="0.15">
      <c r="B47" s="1084"/>
      <c r="C47" s="445"/>
      <c r="D47" s="445"/>
      <c r="E47" s="445"/>
      <c r="F47" s="445"/>
      <c r="G47" s="448">
        <f t="shared" si="10"/>
        <v>0</v>
      </c>
      <c r="H47" s="140"/>
      <c r="I47" s="1086" t="s">
        <v>218</v>
      </c>
      <c r="J47" s="217" t="s">
        <v>569</v>
      </c>
      <c r="K47" s="1089">
        <v>11500</v>
      </c>
      <c r="L47" s="1089"/>
      <c r="M47" s="524">
        <f>'１　対象経営の概要，２　前提条件'!$Y$7</f>
        <v>10</v>
      </c>
      <c r="N47" s="232">
        <f>+K47/M47</f>
        <v>1150</v>
      </c>
      <c r="O47" s="149"/>
      <c r="P47" s="1078"/>
      <c r="Q47" s="1136"/>
      <c r="R47" s="238"/>
      <c r="S47" s="218"/>
      <c r="T47" s="218"/>
      <c r="U47" s="138"/>
      <c r="V47" s="239"/>
    </row>
    <row r="48" spans="2:22" ht="15" customHeight="1" x14ac:dyDescent="0.15">
      <c r="B48" s="1084"/>
      <c r="C48" s="445"/>
      <c r="D48" s="445"/>
      <c r="E48" s="445"/>
      <c r="F48" s="445"/>
      <c r="G48" s="448">
        <f t="shared" si="10"/>
        <v>0</v>
      </c>
      <c r="H48" s="140"/>
      <c r="I48" s="1087"/>
      <c r="J48" s="218"/>
      <c r="K48" s="1090"/>
      <c r="L48" s="1090"/>
      <c r="M48" s="525"/>
      <c r="N48" s="221"/>
      <c r="O48" s="149"/>
      <c r="P48" s="1078"/>
      <c r="Q48" s="1136"/>
      <c r="R48" s="238"/>
      <c r="S48" s="218"/>
      <c r="T48" s="235"/>
      <c r="U48" s="218"/>
      <c r="V48" s="221"/>
    </row>
    <row r="49" spans="2:22" ht="15" customHeight="1" thickBot="1" x14ac:dyDescent="0.2">
      <c r="B49" s="1085"/>
      <c r="C49" s="132" t="s">
        <v>145</v>
      </c>
      <c r="D49" s="133"/>
      <c r="E49" s="133"/>
      <c r="F49" s="133"/>
      <c r="G49" s="134">
        <f>SUM(G39:G48)</f>
        <v>0</v>
      </c>
      <c r="H49" s="140"/>
      <c r="I49" s="1087"/>
      <c r="J49" s="138"/>
      <c r="K49" s="1090"/>
      <c r="L49" s="1090"/>
      <c r="M49" s="525"/>
      <c r="N49" s="221"/>
      <c r="O49" s="149"/>
      <c r="P49" s="1078"/>
      <c r="Q49" s="1138"/>
      <c r="R49" s="238"/>
      <c r="S49" s="218"/>
      <c r="T49" s="218"/>
      <c r="U49" s="138"/>
      <c r="V49" s="239"/>
    </row>
    <row r="50" spans="2:22" ht="15" customHeight="1" thickTop="1" thickBot="1" x14ac:dyDescent="0.2">
      <c r="B50" s="1083" t="s">
        <v>32</v>
      </c>
      <c r="C50" s="445" t="s">
        <v>32</v>
      </c>
      <c r="D50" s="445">
        <v>15</v>
      </c>
      <c r="E50" s="446" t="s">
        <v>146</v>
      </c>
      <c r="F50" s="445">
        <v>3000</v>
      </c>
      <c r="G50" s="448">
        <f t="shared" si="10"/>
        <v>45000</v>
      </c>
      <c r="H50" s="140"/>
      <c r="I50" s="1088"/>
      <c r="J50" s="215" t="s">
        <v>145</v>
      </c>
      <c r="K50" s="1091"/>
      <c r="L50" s="1092"/>
      <c r="M50" s="216"/>
      <c r="N50" s="220">
        <f>SUM(N47:N49)</f>
        <v>1150</v>
      </c>
      <c r="O50" s="149"/>
      <c r="P50" s="1078"/>
      <c r="Q50" s="222" t="s">
        <v>226</v>
      </c>
      <c r="R50" s="223"/>
      <c r="S50" s="223"/>
      <c r="T50" s="223"/>
      <c r="U50" s="223"/>
      <c r="V50" s="224">
        <f>SUM(V45:V49)</f>
        <v>5135</v>
      </c>
    </row>
    <row r="51" spans="2:22" ht="15" customHeight="1" thickTop="1" x14ac:dyDescent="0.15">
      <c r="B51" s="1084"/>
      <c r="C51" s="445" t="s">
        <v>32</v>
      </c>
      <c r="D51" s="445"/>
      <c r="E51" s="445"/>
      <c r="F51" s="445"/>
      <c r="G51" s="448">
        <f t="shared" si="10"/>
        <v>0</v>
      </c>
      <c r="H51" s="140"/>
      <c r="I51" s="1086" t="s">
        <v>219</v>
      </c>
      <c r="J51" s="217" t="s">
        <v>54</v>
      </c>
      <c r="K51" s="1099">
        <v>1600</v>
      </c>
      <c r="L51" s="1100"/>
      <c r="M51" s="225">
        <f>'１　対象経営の概要，２　前提条件'!$Y$7</f>
        <v>10</v>
      </c>
      <c r="N51" s="233">
        <f>+K51/M51</f>
        <v>160</v>
      </c>
      <c r="O51" s="149"/>
      <c r="P51" s="1078"/>
      <c r="Q51" s="1135" t="s">
        <v>235</v>
      </c>
      <c r="R51" s="236" t="s">
        <v>234</v>
      </c>
      <c r="S51" s="217">
        <v>60000</v>
      </c>
      <c r="T51" s="237">
        <v>1</v>
      </c>
      <c r="U51" s="217">
        <v>10</v>
      </c>
      <c r="V51" s="232">
        <f>+S51*T51/U51</f>
        <v>6000</v>
      </c>
    </row>
    <row r="52" spans="2:22" ht="15" customHeight="1" x14ac:dyDescent="0.15">
      <c r="B52" s="1084"/>
      <c r="C52" s="445"/>
      <c r="D52" s="445"/>
      <c r="E52" s="445"/>
      <c r="F52" s="445"/>
      <c r="G52" s="448">
        <f t="shared" si="10"/>
        <v>0</v>
      </c>
      <c r="H52" s="140"/>
      <c r="I52" s="1087"/>
      <c r="J52" s="218" t="s">
        <v>54</v>
      </c>
      <c r="K52" s="1103">
        <v>1600</v>
      </c>
      <c r="L52" s="1104"/>
      <c r="M52" s="226">
        <f>'１　対象経営の概要，２　前提条件'!$Y$7</f>
        <v>10</v>
      </c>
      <c r="N52" s="221">
        <f t="shared" ref="N52:N54" si="11">+K52/M52</f>
        <v>160</v>
      </c>
      <c r="O52" s="149"/>
      <c r="P52" s="1078"/>
      <c r="Q52" s="1136"/>
      <c r="R52" s="238" t="s">
        <v>230</v>
      </c>
      <c r="S52" s="218">
        <v>25000</v>
      </c>
      <c r="T52" s="235">
        <v>1</v>
      </c>
      <c r="U52" s="218">
        <v>10</v>
      </c>
      <c r="V52" s="221">
        <f>+S52*T52/U52</f>
        <v>2500</v>
      </c>
    </row>
    <row r="53" spans="2:22" ht="14.25" thickBot="1" x14ac:dyDescent="0.2">
      <c r="B53" s="1085"/>
      <c r="C53" s="132" t="s">
        <v>145</v>
      </c>
      <c r="D53" s="133"/>
      <c r="E53" s="133"/>
      <c r="F53" s="133"/>
      <c r="G53" s="134">
        <f>SUM(G50:G52)</f>
        <v>45000</v>
      </c>
      <c r="I53" s="1087"/>
      <c r="J53" s="218" t="s">
        <v>56</v>
      </c>
      <c r="K53" s="1103">
        <v>1600</v>
      </c>
      <c r="L53" s="1104"/>
      <c r="M53" s="226">
        <f>'１　対象経営の概要，２　前提条件'!$Y$7</f>
        <v>10</v>
      </c>
      <c r="N53" s="221">
        <f t="shared" si="11"/>
        <v>160</v>
      </c>
      <c r="O53" s="149"/>
      <c r="P53" s="1078"/>
      <c r="Q53" s="1136"/>
      <c r="R53" s="238"/>
      <c r="S53" s="218"/>
      <c r="T53" s="218"/>
      <c r="U53" s="138"/>
      <c r="V53" s="239"/>
    </row>
    <row r="54" spans="2:22" ht="14.25" customHeight="1" thickTop="1" x14ac:dyDescent="0.15">
      <c r="B54" s="1083" t="s">
        <v>169</v>
      </c>
      <c r="C54" s="445"/>
      <c r="D54" s="445"/>
      <c r="E54" s="446"/>
      <c r="F54" s="445"/>
      <c r="G54" s="448">
        <f>D54*F54</f>
        <v>0</v>
      </c>
      <c r="I54" s="1087"/>
      <c r="J54" s="525" t="s">
        <v>230</v>
      </c>
      <c r="K54" s="1105">
        <v>4000</v>
      </c>
      <c r="L54" s="1106"/>
      <c r="M54" s="226">
        <f>'１　対象経営の概要，２　前提条件'!$Y$7</f>
        <v>10</v>
      </c>
      <c r="N54" s="221">
        <f t="shared" si="11"/>
        <v>400</v>
      </c>
      <c r="O54" s="149"/>
      <c r="P54" s="1078"/>
      <c r="Q54" s="1136"/>
      <c r="R54" s="238"/>
      <c r="S54" s="218"/>
      <c r="T54" s="235"/>
      <c r="U54" s="218"/>
      <c r="V54" s="221"/>
    </row>
    <row r="55" spans="2:22" x14ac:dyDescent="0.15">
      <c r="B55" s="1084"/>
      <c r="C55" s="445"/>
      <c r="D55" s="445"/>
      <c r="E55" s="446"/>
      <c r="F55" s="445"/>
      <c r="G55" s="448">
        <f>D55*F55</f>
        <v>0</v>
      </c>
      <c r="I55" s="1087"/>
      <c r="J55" s="218"/>
      <c r="K55" s="1103"/>
      <c r="L55" s="1104"/>
      <c r="M55" s="226"/>
      <c r="N55" s="467"/>
      <c r="O55" s="149"/>
      <c r="P55" s="1078"/>
      <c r="Q55" s="1138"/>
      <c r="R55" s="238"/>
      <c r="S55" s="218"/>
      <c r="T55" s="218"/>
      <c r="U55" s="138"/>
      <c r="V55" s="239"/>
    </row>
    <row r="56" spans="2:22" x14ac:dyDescent="0.15">
      <c r="B56" s="1084"/>
      <c r="C56" s="445"/>
      <c r="D56" s="445"/>
      <c r="E56" s="446"/>
      <c r="F56" s="445"/>
      <c r="G56" s="448">
        <f>D56*F56</f>
        <v>0</v>
      </c>
      <c r="I56" s="1080"/>
      <c r="J56" s="461" t="s">
        <v>145</v>
      </c>
      <c r="K56" s="1159"/>
      <c r="L56" s="1160"/>
      <c r="M56" s="462"/>
      <c r="N56" s="463">
        <f>SUM(N51:N55)</f>
        <v>880</v>
      </c>
      <c r="O56" s="149"/>
      <c r="P56" s="1140"/>
      <c r="Q56" s="464" t="s">
        <v>226</v>
      </c>
      <c r="R56" s="465"/>
      <c r="S56" s="465"/>
      <c r="T56" s="465"/>
      <c r="U56" s="465"/>
      <c r="V56" s="242">
        <f>SUM(V51:V55)</f>
        <v>8500</v>
      </c>
    </row>
    <row r="57" spans="2:22" ht="14.25" thickBot="1" x14ac:dyDescent="0.2">
      <c r="B57" s="1111"/>
      <c r="C57" s="135" t="s">
        <v>147</v>
      </c>
      <c r="D57" s="136"/>
      <c r="E57" s="136"/>
      <c r="F57" s="136"/>
      <c r="G57" s="137">
        <f>SUM(G54:G56)</f>
        <v>0</v>
      </c>
      <c r="I57" s="1141" t="s">
        <v>220</v>
      </c>
      <c r="J57" s="1132"/>
      <c r="K57" s="1113"/>
      <c r="L57" s="1114"/>
      <c r="M57" s="152"/>
      <c r="N57" s="241">
        <f>SUM(N42,N46,N50,N56)</f>
        <v>11082.84</v>
      </c>
      <c r="O57" s="149"/>
      <c r="P57" s="1133" t="s">
        <v>220</v>
      </c>
      <c r="Q57" s="1134"/>
      <c r="R57" s="240"/>
      <c r="S57" s="240"/>
      <c r="T57" s="240"/>
      <c r="U57" s="240"/>
      <c r="V57" s="241">
        <f>SUM(V44,V50,V56)</f>
        <v>16765</v>
      </c>
    </row>
    <row r="58" spans="2:22" x14ac:dyDescent="0.15">
      <c r="O58" s="149"/>
      <c r="V58" s="49"/>
    </row>
    <row r="59" spans="2:22" x14ac:dyDescent="0.15">
      <c r="I59" s="149"/>
      <c r="J59" s="149"/>
      <c r="K59" s="149"/>
      <c r="L59" s="149"/>
      <c r="M59" s="149"/>
      <c r="N59" s="149"/>
      <c r="O59" s="149"/>
    </row>
    <row r="60" spans="2:22" x14ac:dyDescent="0.15">
      <c r="I60" s="149"/>
      <c r="J60" s="149"/>
      <c r="K60" s="149"/>
      <c r="L60" s="149"/>
      <c r="M60" s="149"/>
      <c r="N60" s="149"/>
      <c r="O60" s="149"/>
    </row>
    <row r="61" spans="2:22" x14ac:dyDescent="0.15">
      <c r="I61" s="149"/>
      <c r="J61" s="149"/>
      <c r="K61" s="149"/>
      <c r="L61" s="149"/>
      <c r="M61" s="149"/>
      <c r="N61" s="149"/>
      <c r="O61" s="149"/>
    </row>
    <row r="62" spans="2:22" x14ac:dyDescent="0.15">
      <c r="I62" s="149"/>
      <c r="J62" s="149"/>
      <c r="K62" s="149"/>
      <c r="L62" s="149"/>
      <c r="M62" s="149"/>
      <c r="N62" s="149"/>
      <c r="O62" s="149"/>
    </row>
    <row r="63" spans="2:22" x14ac:dyDescent="0.15">
      <c r="I63" s="149"/>
      <c r="J63" s="149"/>
      <c r="K63" s="149"/>
      <c r="L63" s="149"/>
      <c r="M63" s="149"/>
      <c r="N63" s="149"/>
      <c r="O63" s="149"/>
    </row>
    <row r="64" spans="2:22" x14ac:dyDescent="0.15">
      <c r="I64" s="149"/>
      <c r="J64" s="149"/>
      <c r="K64" s="149"/>
      <c r="L64" s="149"/>
      <c r="M64" s="149"/>
      <c r="N64" s="149"/>
      <c r="O64" s="149"/>
    </row>
    <row r="65" spans="9:15" s="49" customFormat="1" x14ac:dyDescent="0.15">
      <c r="I65" s="149"/>
      <c r="J65" s="149"/>
      <c r="K65" s="149"/>
      <c r="L65" s="149"/>
      <c r="M65" s="149"/>
      <c r="N65" s="149"/>
      <c r="O65" s="149"/>
    </row>
    <row r="66" spans="9:15" s="49" customFormat="1" x14ac:dyDescent="0.15">
      <c r="I66" s="149"/>
      <c r="J66" s="149"/>
      <c r="K66" s="149"/>
      <c r="L66" s="149"/>
      <c r="M66" s="149"/>
      <c r="N66" s="149"/>
      <c r="O66" s="149"/>
    </row>
    <row r="67" spans="9:15" s="49" customFormat="1" x14ac:dyDescent="0.15">
      <c r="I67" s="149"/>
      <c r="J67" s="149"/>
      <c r="K67" s="149"/>
      <c r="L67" s="149"/>
      <c r="M67" s="149"/>
      <c r="N67" s="149"/>
      <c r="O67" s="149"/>
    </row>
    <row r="68" spans="9:15" s="49" customFormat="1" x14ac:dyDescent="0.15">
      <c r="I68" s="149"/>
      <c r="J68" s="149"/>
      <c r="K68" s="149"/>
      <c r="L68" s="149"/>
      <c r="M68" s="149"/>
      <c r="N68" s="149"/>
      <c r="O68" s="149"/>
    </row>
    <row r="69" spans="9:15" s="49" customFormat="1" x14ac:dyDescent="0.15">
      <c r="I69" s="149"/>
      <c r="J69" s="149"/>
      <c r="K69" s="149"/>
      <c r="L69" s="149"/>
      <c r="M69" s="149"/>
      <c r="N69" s="149"/>
      <c r="O69" s="149"/>
    </row>
    <row r="70" spans="9:15" s="49" customFormat="1" x14ac:dyDescent="0.15">
      <c r="I70" s="149"/>
      <c r="J70" s="149"/>
      <c r="K70" s="149"/>
      <c r="L70" s="149"/>
      <c r="M70" s="149"/>
      <c r="N70" s="149"/>
      <c r="O70" s="149"/>
    </row>
    <row r="71" spans="9:15" s="49" customFormat="1" x14ac:dyDescent="0.15">
      <c r="I71" s="149"/>
      <c r="J71" s="149"/>
      <c r="K71" s="149"/>
      <c r="L71" s="149"/>
      <c r="M71" s="149"/>
      <c r="N71" s="149"/>
      <c r="O71" s="149"/>
    </row>
    <row r="72" spans="9:15" s="49" customFormat="1" x14ac:dyDescent="0.15">
      <c r="I72" s="149"/>
      <c r="J72" s="149"/>
      <c r="K72" s="149"/>
      <c r="L72" s="149"/>
      <c r="M72" s="149"/>
      <c r="N72" s="149"/>
      <c r="O72" s="149"/>
    </row>
    <row r="73" spans="9:15" s="49" customFormat="1" x14ac:dyDescent="0.15">
      <c r="I73" s="149"/>
      <c r="J73" s="149"/>
      <c r="K73" s="149"/>
      <c r="L73" s="149"/>
      <c r="M73" s="149"/>
      <c r="N73" s="149"/>
      <c r="O73" s="149"/>
    </row>
    <row r="74" spans="9:15" s="49" customFormat="1" x14ac:dyDescent="0.15">
      <c r="I74" s="149"/>
      <c r="J74" s="149"/>
      <c r="K74" s="149"/>
      <c r="L74" s="149"/>
      <c r="M74" s="149"/>
      <c r="N74" s="149"/>
      <c r="O74" s="149"/>
    </row>
    <row r="75" spans="9:15" s="49" customFormat="1" x14ac:dyDescent="0.15">
      <c r="I75" s="149"/>
      <c r="J75" s="149"/>
      <c r="K75" s="149"/>
      <c r="L75" s="149"/>
      <c r="M75" s="149"/>
      <c r="N75" s="149"/>
      <c r="O75" s="149"/>
    </row>
    <row r="76" spans="9:15" s="49" customFormat="1" x14ac:dyDescent="0.15">
      <c r="I76" s="149"/>
      <c r="J76" s="149"/>
      <c r="K76" s="149"/>
      <c r="L76" s="149"/>
      <c r="M76" s="149"/>
      <c r="N76" s="149"/>
      <c r="O76" s="149"/>
    </row>
    <row r="77" spans="9:15" s="49" customFormat="1" x14ac:dyDescent="0.15">
      <c r="I77" s="149"/>
      <c r="J77" s="149"/>
      <c r="K77" s="149"/>
      <c r="L77" s="149"/>
      <c r="M77" s="149"/>
      <c r="N77" s="149"/>
      <c r="O77" s="149"/>
    </row>
    <row r="78" spans="9:15" s="49" customFormat="1" x14ac:dyDescent="0.15">
      <c r="I78" s="149"/>
      <c r="J78" s="149"/>
      <c r="K78" s="149"/>
      <c r="L78" s="149"/>
      <c r="M78" s="149"/>
      <c r="N78" s="149"/>
      <c r="O78" s="149"/>
    </row>
    <row r="79" spans="9:15" s="49" customFormat="1" x14ac:dyDescent="0.15">
      <c r="I79" s="149"/>
      <c r="J79" s="149"/>
      <c r="K79" s="149"/>
      <c r="L79" s="149"/>
      <c r="M79" s="149"/>
      <c r="N79" s="149"/>
      <c r="O79" s="149"/>
    </row>
    <row r="80" spans="9:15" s="49" customFormat="1" x14ac:dyDescent="0.15">
      <c r="I80" s="149"/>
      <c r="J80" s="149"/>
      <c r="K80" s="149"/>
      <c r="L80" s="149"/>
      <c r="M80" s="149"/>
      <c r="N80" s="149"/>
      <c r="O80" s="149"/>
    </row>
    <row r="81" spans="2:22" x14ac:dyDescent="0.15">
      <c r="I81" s="149"/>
      <c r="J81" s="149"/>
      <c r="K81" s="149"/>
      <c r="L81" s="149"/>
      <c r="M81" s="149"/>
      <c r="N81" s="149"/>
      <c r="O81" s="149"/>
      <c r="P81" s="49"/>
      <c r="R81" s="49"/>
      <c r="V81" s="49"/>
    </row>
    <row r="82" spans="2:22" x14ac:dyDescent="0.15">
      <c r="I82" s="149"/>
      <c r="J82" s="149"/>
      <c r="K82" s="149"/>
      <c r="L82" s="149"/>
      <c r="M82" s="149"/>
      <c r="N82" s="149"/>
      <c r="O82" s="149"/>
      <c r="P82" s="49"/>
      <c r="R82" s="49"/>
      <c r="V82" s="49"/>
    </row>
    <row r="83" spans="2:22" x14ac:dyDescent="0.15">
      <c r="B83" s="139"/>
      <c r="C83" s="140"/>
      <c r="D83" s="140"/>
      <c r="E83" s="140"/>
      <c r="F83" s="140"/>
      <c r="I83" s="149"/>
      <c r="J83" s="149"/>
      <c r="K83" s="149"/>
      <c r="L83" s="149"/>
      <c r="M83" s="149"/>
      <c r="N83" s="149"/>
      <c r="O83" s="149"/>
      <c r="P83" s="49"/>
      <c r="R83" s="49"/>
      <c r="V83" s="49"/>
    </row>
    <row r="84" spans="2:22" x14ac:dyDescent="0.15">
      <c r="B84" s="139"/>
      <c r="C84" s="140"/>
      <c r="D84" s="140"/>
      <c r="E84" s="140"/>
      <c r="F84" s="140"/>
      <c r="I84" s="149"/>
      <c r="J84" s="149"/>
      <c r="K84" s="149"/>
      <c r="L84" s="149"/>
      <c r="M84" s="149"/>
      <c r="N84" s="149"/>
      <c r="O84" s="149"/>
      <c r="P84" s="49"/>
      <c r="R84" s="49"/>
      <c r="V84" s="49"/>
    </row>
    <row r="85" spans="2:22" x14ac:dyDescent="0.15">
      <c r="I85" s="149"/>
      <c r="J85" s="149"/>
      <c r="K85" s="149"/>
      <c r="L85" s="149"/>
      <c r="M85" s="149"/>
      <c r="N85" s="149"/>
      <c r="O85" s="149"/>
      <c r="P85" s="49"/>
      <c r="R85" s="49"/>
      <c r="V85" s="49"/>
    </row>
    <row r="86" spans="2:22" x14ac:dyDescent="0.15">
      <c r="I86" s="149"/>
      <c r="J86" s="149"/>
      <c r="K86" s="149"/>
      <c r="L86" s="149"/>
      <c r="M86" s="149"/>
      <c r="N86" s="149"/>
      <c r="O86" s="149"/>
      <c r="P86" s="49"/>
      <c r="R86" s="49"/>
      <c r="V86" s="49"/>
    </row>
    <row r="87" spans="2:22" x14ac:dyDescent="0.15">
      <c r="I87" s="149"/>
      <c r="J87" s="149"/>
      <c r="K87" s="149"/>
      <c r="L87" s="149"/>
      <c r="M87" s="149"/>
      <c r="N87" s="149"/>
      <c r="O87" s="149"/>
      <c r="P87" s="49"/>
      <c r="R87" s="49"/>
      <c r="V87" s="49"/>
    </row>
    <row r="88" spans="2:22" x14ac:dyDescent="0.15">
      <c r="I88" s="149"/>
      <c r="J88" s="149"/>
      <c r="K88" s="149"/>
      <c r="L88" s="149"/>
      <c r="M88" s="149"/>
      <c r="N88" s="149"/>
      <c r="O88" s="149"/>
      <c r="P88" s="49"/>
      <c r="R88" s="49"/>
      <c r="V88" s="49"/>
    </row>
    <row r="89" spans="2:22" x14ac:dyDescent="0.15">
      <c r="I89" s="149"/>
      <c r="J89" s="149"/>
      <c r="K89" s="149"/>
      <c r="L89" s="149"/>
      <c r="M89" s="149"/>
      <c r="N89" s="149"/>
      <c r="O89" s="149"/>
      <c r="P89" s="49"/>
      <c r="R89" s="49"/>
      <c r="V89" s="49"/>
    </row>
    <row r="90" spans="2:22" x14ac:dyDescent="0.15">
      <c r="I90" s="149"/>
      <c r="J90" s="149"/>
      <c r="K90" s="149"/>
      <c r="L90" s="149"/>
      <c r="M90" s="149"/>
      <c r="N90" s="149"/>
      <c r="O90" s="149"/>
      <c r="P90" s="49"/>
      <c r="R90" s="49"/>
      <c r="V90" s="49"/>
    </row>
    <row r="91" spans="2:22" x14ac:dyDescent="0.15">
      <c r="I91" s="149"/>
      <c r="J91" s="149"/>
      <c r="K91" s="149"/>
      <c r="L91" s="149"/>
      <c r="M91" s="149"/>
      <c r="N91" s="149"/>
      <c r="O91" s="149"/>
      <c r="P91" s="49"/>
      <c r="R91" s="49"/>
      <c r="V91" s="49"/>
    </row>
    <row r="92" spans="2:22" x14ac:dyDescent="0.15">
      <c r="I92" s="149"/>
      <c r="J92" s="149"/>
      <c r="K92" s="149"/>
      <c r="L92" s="149"/>
      <c r="M92" s="149"/>
      <c r="N92" s="149"/>
      <c r="O92" s="149"/>
      <c r="P92" s="49"/>
      <c r="R92" s="49"/>
      <c r="V92" s="49"/>
    </row>
    <row r="93" spans="2:22" x14ac:dyDescent="0.15">
      <c r="I93" s="149"/>
      <c r="J93" s="149"/>
      <c r="K93" s="149"/>
      <c r="L93" s="149"/>
      <c r="M93" s="149"/>
      <c r="N93" s="149"/>
      <c r="O93" s="149"/>
      <c r="P93" s="49"/>
      <c r="R93" s="49"/>
      <c r="V93" s="49"/>
    </row>
    <row r="94" spans="2:22" x14ac:dyDescent="0.15">
      <c r="I94" s="149"/>
      <c r="J94" s="149"/>
      <c r="K94" s="149"/>
      <c r="L94" s="149"/>
      <c r="M94" s="149"/>
      <c r="N94" s="149"/>
      <c r="O94" s="149"/>
      <c r="P94" s="49"/>
      <c r="R94" s="49"/>
      <c r="V94" s="49"/>
    </row>
    <row r="95" spans="2:22" x14ac:dyDescent="0.15">
      <c r="I95" s="149"/>
      <c r="J95" s="149"/>
      <c r="K95" s="149"/>
      <c r="L95" s="149"/>
      <c r="M95" s="149"/>
      <c r="N95" s="149"/>
      <c r="O95" s="149"/>
      <c r="P95" s="49"/>
      <c r="R95" s="49"/>
      <c r="V95" s="49"/>
    </row>
    <row r="96" spans="2:22" x14ac:dyDescent="0.15">
      <c r="I96" s="149"/>
      <c r="J96" s="149"/>
      <c r="K96" s="149"/>
      <c r="L96" s="149"/>
      <c r="M96" s="149"/>
      <c r="N96" s="149"/>
      <c r="O96" s="149"/>
      <c r="P96" s="49"/>
      <c r="R96" s="49"/>
      <c r="V96" s="49"/>
    </row>
    <row r="97" spans="9:15" s="49" customFormat="1" x14ac:dyDescent="0.15">
      <c r="I97" s="149"/>
      <c r="J97" s="149"/>
      <c r="K97" s="149"/>
      <c r="L97" s="149"/>
      <c r="M97" s="149"/>
      <c r="N97" s="149"/>
      <c r="O97" s="149"/>
    </row>
    <row r="98" spans="9:15" s="49" customFormat="1" x14ac:dyDescent="0.15">
      <c r="I98" s="149"/>
      <c r="J98" s="149"/>
      <c r="K98" s="149"/>
      <c r="L98" s="149"/>
      <c r="M98" s="149"/>
      <c r="N98" s="149"/>
      <c r="O98" s="149"/>
    </row>
    <row r="99" spans="9:15" s="49" customFormat="1" x14ac:dyDescent="0.15">
      <c r="I99" s="149"/>
      <c r="J99" s="149"/>
      <c r="K99" s="149"/>
      <c r="L99" s="149"/>
      <c r="M99" s="149"/>
      <c r="N99" s="149"/>
      <c r="O99" s="149"/>
    </row>
    <row r="100" spans="9:15" s="49" customFormat="1" x14ac:dyDescent="0.15">
      <c r="I100" s="149"/>
      <c r="J100" s="149"/>
      <c r="K100" s="149"/>
      <c r="L100" s="149"/>
      <c r="M100" s="149"/>
      <c r="N100" s="149"/>
      <c r="O100" s="149"/>
    </row>
    <row r="101" spans="9:15" s="49" customFormat="1" x14ac:dyDescent="0.15">
      <c r="I101" s="149"/>
      <c r="J101" s="149"/>
      <c r="K101" s="149"/>
      <c r="L101" s="149"/>
      <c r="M101" s="149"/>
      <c r="N101" s="149"/>
      <c r="O101" s="149"/>
    </row>
    <row r="102" spans="9:15" s="49" customFormat="1" x14ac:dyDescent="0.15">
      <c r="I102" s="149"/>
      <c r="J102" s="149"/>
      <c r="K102" s="149"/>
      <c r="L102" s="149"/>
      <c r="M102" s="149"/>
      <c r="N102" s="149"/>
      <c r="O102" s="149"/>
    </row>
    <row r="103" spans="9:15" s="49" customFormat="1" x14ac:dyDescent="0.15">
      <c r="I103" s="149"/>
      <c r="J103" s="149"/>
      <c r="K103" s="149"/>
      <c r="L103" s="149"/>
      <c r="M103" s="149"/>
      <c r="N103" s="149"/>
      <c r="O103" s="149"/>
    </row>
    <row r="104" spans="9:15" s="49" customFormat="1" x14ac:dyDescent="0.15">
      <c r="I104" s="149"/>
      <c r="J104" s="149"/>
      <c r="K104" s="149"/>
      <c r="L104" s="149"/>
      <c r="M104" s="149"/>
      <c r="N104" s="149"/>
      <c r="O104" s="149"/>
    </row>
    <row r="105" spans="9:15" s="49" customFormat="1" x14ac:dyDescent="0.15">
      <c r="I105" s="149"/>
      <c r="J105" s="149"/>
      <c r="K105" s="149"/>
      <c r="L105" s="149"/>
      <c r="M105" s="149"/>
      <c r="N105" s="149"/>
      <c r="O105" s="149"/>
    </row>
    <row r="106" spans="9:15" s="49" customFormat="1" x14ac:dyDescent="0.15">
      <c r="I106" s="149"/>
      <c r="J106" s="149"/>
      <c r="K106" s="149"/>
      <c r="L106" s="149"/>
      <c r="M106" s="149"/>
      <c r="N106" s="149"/>
      <c r="O106" s="149"/>
    </row>
    <row r="107" spans="9:15" s="49" customFormat="1" x14ac:dyDescent="0.15">
      <c r="I107" s="149"/>
      <c r="J107" s="149"/>
      <c r="K107" s="149"/>
      <c r="L107" s="149"/>
      <c r="M107" s="149"/>
      <c r="N107" s="149"/>
      <c r="O107" s="149"/>
    </row>
    <row r="108" spans="9:15" s="49" customFormat="1" x14ac:dyDescent="0.15">
      <c r="I108" s="149"/>
      <c r="J108" s="149"/>
      <c r="K108" s="149"/>
      <c r="L108" s="149"/>
      <c r="M108" s="149"/>
      <c r="N108" s="149"/>
      <c r="O108" s="149"/>
    </row>
    <row r="109" spans="9:15" s="49" customFormat="1" x14ac:dyDescent="0.15">
      <c r="I109" s="149"/>
      <c r="J109" s="149"/>
      <c r="K109" s="149"/>
      <c r="L109" s="149"/>
      <c r="M109" s="149"/>
      <c r="N109" s="149"/>
      <c r="O109" s="149"/>
    </row>
    <row r="110" spans="9:15" s="49" customFormat="1" x14ac:dyDescent="0.15">
      <c r="I110" s="149"/>
      <c r="J110" s="149"/>
      <c r="K110" s="149"/>
      <c r="L110" s="149"/>
      <c r="M110" s="149"/>
      <c r="N110" s="149"/>
      <c r="O110" s="149"/>
    </row>
    <row r="111" spans="9:15" s="49" customFormat="1" x14ac:dyDescent="0.15">
      <c r="I111" s="149"/>
      <c r="J111" s="149"/>
      <c r="K111" s="149"/>
      <c r="L111" s="149"/>
      <c r="M111" s="149"/>
      <c r="N111" s="149"/>
      <c r="O111" s="149"/>
    </row>
    <row r="112" spans="9:15" s="49" customFormat="1" x14ac:dyDescent="0.15">
      <c r="I112" s="149"/>
      <c r="J112" s="149"/>
      <c r="K112" s="149"/>
      <c r="L112" s="149"/>
      <c r="M112" s="149"/>
      <c r="N112" s="149"/>
      <c r="O112" s="149"/>
    </row>
    <row r="113" spans="9:15" s="49" customFormat="1" x14ac:dyDescent="0.15">
      <c r="I113" s="149"/>
      <c r="J113" s="149"/>
      <c r="K113" s="149"/>
      <c r="L113" s="149"/>
      <c r="M113" s="149"/>
      <c r="N113" s="149"/>
      <c r="O113" s="149"/>
    </row>
    <row r="114" spans="9:15" s="49" customFormat="1" x14ac:dyDescent="0.15">
      <c r="I114" s="149"/>
      <c r="J114" s="149"/>
      <c r="K114" s="149"/>
      <c r="L114" s="149"/>
      <c r="M114" s="149"/>
      <c r="N114" s="149"/>
      <c r="O114" s="149"/>
    </row>
    <row r="115" spans="9:15" s="49" customFormat="1" x14ac:dyDescent="0.15">
      <c r="I115" s="149"/>
      <c r="J115" s="149"/>
      <c r="K115" s="149"/>
      <c r="L115" s="149"/>
      <c r="M115" s="149"/>
      <c r="N115" s="149"/>
      <c r="O115" s="149"/>
    </row>
    <row r="116" spans="9:15" s="49" customFormat="1" x14ac:dyDescent="0.15">
      <c r="I116" s="149"/>
      <c r="J116" s="149"/>
      <c r="K116" s="149"/>
      <c r="L116" s="149"/>
      <c r="M116" s="149"/>
      <c r="N116" s="149"/>
      <c r="O116" s="149"/>
    </row>
    <row r="117" spans="9:15" s="49" customFormat="1" x14ac:dyDescent="0.15">
      <c r="I117" s="149"/>
      <c r="J117" s="149"/>
      <c r="K117" s="149"/>
      <c r="L117" s="149"/>
      <c r="M117" s="149"/>
      <c r="N117" s="149"/>
      <c r="O117" s="149"/>
    </row>
    <row r="118" spans="9:15" s="49" customFormat="1" x14ac:dyDescent="0.15">
      <c r="I118" s="149"/>
      <c r="J118" s="149"/>
      <c r="K118" s="149"/>
      <c r="L118" s="149"/>
      <c r="M118" s="149"/>
      <c r="N118" s="149"/>
      <c r="O118" s="149"/>
    </row>
    <row r="119" spans="9:15" s="49" customFormat="1" x14ac:dyDescent="0.15">
      <c r="I119" s="149"/>
      <c r="J119" s="149"/>
      <c r="K119" s="149"/>
      <c r="L119" s="149"/>
      <c r="M119" s="149"/>
      <c r="N119" s="149"/>
      <c r="O119" s="149"/>
    </row>
    <row r="120" spans="9:15" s="49" customFormat="1" x14ac:dyDescent="0.15">
      <c r="I120" s="149"/>
      <c r="J120" s="149"/>
      <c r="K120" s="149"/>
      <c r="L120" s="149"/>
      <c r="M120" s="149"/>
      <c r="N120" s="149"/>
      <c r="O120" s="149"/>
    </row>
    <row r="121" spans="9:15" s="49" customFormat="1" x14ac:dyDescent="0.15">
      <c r="I121" s="149"/>
      <c r="J121" s="149"/>
      <c r="K121" s="149"/>
      <c r="L121" s="149"/>
      <c r="M121" s="149"/>
      <c r="N121" s="149"/>
      <c r="O121" s="149"/>
    </row>
    <row r="122" spans="9:15" s="49" customFormat="1" x14ac:dyDescent="0.15">
      <c r="I122" s="149"/>
      <c r="J122" s="149"/>
      <c r="K122" s="149"/>
      <c r="L122" s="149"/>
      <c r="M122" s="149"/>
      <c r="N122" s="149"/>
      <c r="O122" s="149"/>
    </row>
    <row r="123" spans="9:15" s="49" customFormat="1" x14ac:dyDescent="0.15">
      <c r="I123" s="149"/>
      <c r="J123" s="149"/>
      <c r="K123" s="149"/>
      <c r="L123" s="149"/>
      <c r="M123" s="149"/>
      <c r="N123" s="149"/>
      <c r="O123" s="149"/>
    </row>
    <row r="124" spans="9:15" s="49" customFormat="1" x14ac:dyDescent="0.15">
      <c r="I124" s="149"/>
      <c r="J124" s="149"/>
      <c r="K124" s="149"/>
      <c r="L124" s="149"/>
      <c r="M124" s="149"/>
      <c r="N124" s="149"/>
      <c r="O124" s="149"/>
    </row>
    <row r="125" spans="9:15" s="49" customFormat="1" x14ac:dyDescent="0.15">
      <c r="I125" s="149"/>
      <c r="J125" s="149"/>
      <c r="K125" s="149"/>
      <c r="L125" s="149"/>
      <c r="M125" s="149"/>
      <c r="N125" s="149"/>
      <c r="O125" s="149"/>
    </row>
    <row r="126" spans="9:15" s="49" customFormat="1" x14ac:dyDescent="0.15">
      <c r="I126" s="149"/>
      <c r="J126" s="149"/>
      <c r="K126" s="149"/>
      <c r="L126" s="149"/>
      <c r="M126" s="149"/>
      <c r="N126" s="149"/>
      <c r="O126" s="149"/>
    </row>
    <row r="127" spans="9:15" s="49" customFormat="1" x14ac:dyDescent="0.15">
      <c r="I127" s="149"/>
      <c r="J127" s="149"/>
      <c r="K127" s="149"/>
      <c r="L127" s="149"/>
      <c r="M127" s="149"/>
      <c r="N127" s="149"/>
      <c r="O127" s="149"/>
    </row>
    <row r="128" spans="9:15" s="49" customFormat="1" x14ac:dyDescent="0.15">
      <c r="I128" s="149"/>
      <c r="J128" s="149"/>
      <c r="K128" s="149"/>
      <c r="L128" s="149"/>
      <c r="M128" s="149"/>
      <c r="N128" s="149"/>
      <c r="O128" s="149"/>
    </row>
    <row r="129" spans="9:15" s="49" customFormat="1" x14ac:dyDescent="0.15">
      <c r="I129" s="149"/>
      <c r="J129" s="149"/>
      <c r="K129" s="149"/>
      <c r="L129" s="149"/>
      <c r="M129" s="149"/>
      <c r="N129" s="149"/>
      <c r="O129" s="149"/>
    </row>
    <row r="130" spans="9:15" s="49" customFormat="1" x14ac:dyDescent="0.15">
      <c r="I130" s="149"/>
      <c r="J130" s="149"/>
      <c r="K130" s="149"/>
      <c r="L130" s="149"/>
      <c r="M130" s="149"/>
      <c r="N130" s="149"/>
      <c r="O130" s="149"/>
    </row>
    <row r="131" spans="9:15" s="49" customFormat="1" x14ac:dyDescent="0.15">
      <c r="I131" s="149"/>
      <c r="J131" s="149"/>
      <c r="K131" s="149"/>
      <c r="L131" s="149"/>
      <c r="M131" s="149"/>
      <c r="N131" s="149"/>
      <c r="O131" s="149"/>
    </row>
    <row r="132" spans="9:15" s="49" customFormat="1" x14ac:dyDescent="0.15">
      <c r="I132" s="149"/>
      <c r="J132" s="149"/>
      <c r="K132" s="149"/>
      <c r="L132" s="149"/>
      <c r="M132" s="149"/>
      <c r="N132" s="149"/>
      <c r="O132" s="149"/>
    </row>
    <row r="133" spans="9:15" s="49" customFormat="1" x14ac:dyDescent="0.15">
      <c r="I133" s="149"/>
      <c r="J133" s="149"/>
      <c r="K133" s="149"/>
      <c r="L133" s="149"/>
      <c r="M133" s="149"/>
      <c r="N133" s="149"/>
      <c r="O133" s="149"/>
    </row>
    <row r="134" spans="9:15" s="49" customFormat="1" x14ac:dyDescent="0.15">
      <c r="I134" s="149"/>
      <c r="J134" s="149"/>
      <c r="K134" s="149"/>
      <c r="L134" s="149"/>
      <c r="M134" s="149"/>
      <c r="N134" s="149"/>
      <c r="O134" s="149"/>
    </row>
    <row r="135" spans="9:15" s="49" customFormat="1" x14ac:dyDescent="0.15">
      <c r="I135" s="149"/>
      <c r="J135" s="149"/>
      <c r="K135" s="149"/>
      <c r="L135" s="149"/>
      <c r="M135" s="149"/>
      <c r="N135" s="149"/>
      <c r="O135" s="149"/>
    </row>
    <row r="136" spans="9:15" s="49" customFormat="1" x14ac:dyDescent="0.15">
      <c r="I136" s="149"/>
      <c r="J136" s="149"/>
      <c r="K136" s="149"/>
      <c r="L136" s="149"/>
      <c r="M136" s="149"/>
      <c r="N136" s="149"/>
      <c r="O136" s="149"/>
    </row>
    <row r="137" spans="9:15" s="49" customFormat="1" x14ac:dyDescent="0.15">
      <c r="I137" s="149"/>
      <c r="J137" s="149"/>
      <c r="K137" s="149"/>
      <c r="L137" s="149"/>
      <c r="M137" s="149"/>
      <c r="N137" s="149"/>
      <c r="O137" s="149"/>
    </row>
    <row r="138" spans="9:15" s="49" customFormat="1" x14ac:dyDescent="0.15">
      <c r="I138" s="149"/>
      <c r="J138" s="149"/>
      <c r="K138" s="149"/>
      <c r="L138" s="149"/>
      <c r="M138" s="149"/>
      <c r="N138" s="149"/>
      <c r="O138" s="149"/>
    </row>
    <row r="139" spans="9:15" s="49" customFormat="1" x14ac:dyDescent="0.15">
      <c r="I139" s="149"/>
      <c r="J139" s="149"/>
      <c r="K139" s="149"/>
      <c r="L139" s="149"/>
      <c r="M139" s="149"/>
      <c r="N139" s="149"/>
    </row>
    <row r="140" spans="9:15" s="49" customFormat="1" x14ac:dyDescent="0.15">
      <c r="I140" s="149"/>
      <c r="J140" s="149"/>
      <c r="K140" s="149"/>
      <c r="L140" s="149"/>
      <c r="M140" s="149"/>
      <c r="N140" s="149"/>
    </row>
    <row r="141" spans="9:15" s="49" customFormat="1" x14ac:dyDescent="0.15">
      <c r="I141" s="149"/>
      <c r="J141" s="149"/>
      <c r="K141" s="149"/>
      <c r="L141" s="149"/>
      <c r="M141" s="149"/>
      <c r="N141" s="149"/>
    </row>
    <row r="142" spans="9:15" s="49" customFormat="1" x14ac:dyDescent="0.15">
      <c r="I142" s="149"/>
      <c r="J142" s="149"/>
      <c r="K142" s="149"/>
      <c r="L142" s="149"/>
      <c r="M142" s="149"/>
      <c r="N142" s="149"/>
    </row>
    <row r="143" spans="9:15" s="49" customFormat="1" x14ac:dyDescent="0.15">
      <c r="I143" s="149"/>
      <c r="J143" s="149"/>
      <c r="K143" s="149"/>
      <c r="L143" s="149"/>
      <c r="M143" s="149"/>
      <c r="N143" s="149"/>
    </row>
    <row r="144" spans="9:15" s="49" customFormat="1" x14ac:dyDescent="0.15">
      <c r="I144" s="149"/>
      <c r="J144" s="149"/>
      <c r="K144" s="149"/>
      <c r="L144" s="149"/>
      <c r="M144" s="149"/>
      <c r="N144" s="149"/>
    </row>
    <row r="145" spans="8:22" x14ac:dyDescent="0.15">
      <c r="H145" s="49"/>
      <c r="I145" s="149"/>
      <c r="J145" s="149"/>
      <c r="K145" s="149"/>
      <c r="L145" s="149"/>
      <c r="M145" s="149"/>
      <c r="N145" s="149"/>
      <c r="P145" s="49"/>
      <c r="R145" s="49"/>
      <c r="V145" s="49"/>
    </row>
    <row r="146" spans="8:22" x14ac:dyDescent="0.15">
      <c r="H146" s="49"/>
      <c r="I146" s="149"/>
      <c r="J146" s="149"/>
      <c r="K146" s="149"/>
      <c r="L146" s="149"/>
      <c r="M146" s="149"/>
      <c r="N146" s="149"/>
      <c r="P146" s="49"/>
      <c r="R146" s="49"/>
      <c r="V146" s="49"/>
    </row>
    <row r="147" spans="8:22" x14ac:dyDescent="0.15">
      <c r="H147" s="49"/>
      <c r="I147" s="149"/>
      <c r="J147" s="149"/>
      <c r="K147" s="149"/>
      <c r="L147" s="149"/>
      <c r="M147" s="149"/>
      <c r="N147" s="149"/>
      <c r="P147" s="49"/>
      <c r="R147" s="49"/>
      <c r="V147" s="49"/>
    </row>
    <row r="148" spans="8:22" x14ac:dyDescent="0.15">
      <c r="H148" s="49"/>
      <c r="I148" s="149"/>
      <c r="J148" s="149"/>
      <c r="K148" s="149"/>
      <c r="L148" s="149"/>
      <c r="M148" s="149"/>
      <c r="N148" s="149"/>
      <c r="P148" s="49"/>
      <c r="R148" s="49"/>
      <c r="V148" s="49"/>
    </row>
    <row r="149" spans="8:22" x14ac:dyDescent="0.15">
      <c r="H149" s="49"/>
      <c r="I149" s="149"/>
      <c r="J149" s="149"/>
      <c r="K149" s="149"/>
      <c r="L149" s="149"/>
      <c r="M149" s="149"/>
      <c r="N149" s="149"/>
      <c r="P149" s="49"/>
      <c r="R149" s="49"/>
      <c r="V149" s="49"/>
    </row>
    <row r="150" spans="8:22" x14ac:dyDescent="0.15">
      <c r="H150" s="49"/>
      <c r="I150" s="149"/>
      <c r="J150" s="149"/>
      <c r="K150" s="149"/>
      <c r="L150" s="149"/>
      <c r="M150" s="149"/>
      <c r="N150" s="149"/>
      <c r="P150" s="49"/>
      <c r="R150" s="49"/>
      <c r="V150" s="49"/>
    </row>
    <row r="151" spans="8:22" x14ac:dyDescent="0.15">
      <c r="H151" s="49"/>
      <c r="I151" s="149"/>
      <c r="J151" s="149"/>
      <c r="K151" s="149"/>
      <c r="L151" s="149"/>
      <c r="M151" s="149"/>
      <c r="N151" s="149"/>
      <c r="P151" s="49"/>
      <c r="R151" s="49"/>
      <c r="V151" s="49"/>
    </row>
    <row r="152" spans="8:22" x14ac:dyDescent="0.15">
      <c r="H152" s="49"/>
      <c r="I152" s="149"/>
      <c r="J152" s="149"/>
      <c r="K152" s="149"/>
      <c r="L152" s="149"/>
      <c r="M152" s="149"/>
      <c r="N152" s="149"/>
      <c r="P152" s="49"/>
      <c r="R152" s="49"/>
      <c r="V152" s="49"/>
    </row>
    <row r="153" spans="8:22" x14ac:dyDescent="0.15">
      <c r="H153" s="49"/>
      <c r="I153" s="149"/>
      <c r="J153" s="149"/>
      <c r="K153" s="149"/>
      <c r="L153" s="149"/>
      <c r="M153" s="149"/>
      <c r="N153" s="149"/>
      <c r="P153" s="49"/>
      <c r="R153" s="49"/>
      <c r="V153" s="49"/>
    </row>
    <row r="154" spans="8:22" x14ac:dyDescent="0.15">
      <c r="H154" s="49"/>
      <c r="I154" s="149"/>
      <c r="J154" s="149"/>
      <c r="K154" s="149"/>
      <c r="L154" s="149"/>
      <c r="M154" s="149"/>
      <c r="N154" s="149"/>
      <c r="P154" s="49"/>
      <c r="R154" s="49"/>
      <c r="V154" s="49"/>
    </row>
    <row r="155" spans="8:22" x14ac:dyDescent="0.15">
      <c r="H155" s="49"/>
      <c r="J155" s="149"/>
      <c r="K155" s="149"/>
      <c r="L155" s="149"/>
      <c r="M155" s="149"/>
      <c r="N155" s="149"/>
      <c r="P155" s="49"/>
      <c r="R155" s="49"/>
      <c r="V155" s="49"/>
    </row>
    <row r="156" spans="8:22" x14ac:dyDescent="0.15">
      <c r="H156" s="49"/>
      <c r="J156" s="149"/>
      <c r="K156" s="149"/>
      <c r="L156" s="149"/>
      <c r="M156" s="149"/>
      <c r="N156" s="149"/>
      <c r="P156" s="49"/>
      <c r="R156" s="49"/>
      <c r="V156" s="49"/>
    </row>
    <row r="172" spans="8:22" x14ac:dyDescent="0.15">
      <c r="H172" s="49"/>
      <c r="O172" s="149"/>
      <c r="P172" s="49"/>
      <c r="R172" s="49"/>
      <c r="V172" s="49"/>
    </row>
    <row r="173" spans="8:22" x14ac:dyDescent="0.15">
      <c r="H173" s="49"/>
      <c r="O173" s="149"/>
      <c r="P173" s="49"/>
      <c r="R173" s="49"/>
      <c r="V173" s="49"/>
    </row>
    <row r="174" spans="8:22" x14ac:dyDescent="0.15">
      <c r="H174" s="49"/>
      <c r="O174" s="149"/>
      <c r="P174" s="49"/>
      <c r="R174" s="49"/>
      <c r="V174" s="49"/>
    </row>
    <row r="175" spans="8:22" x14ac:dyDescent="0.15">
      <c r="H175" s="49"/>
      <c r="O175" s="149"/>
      <c r="P175" s="49"/>
      <c r="R175" s="49"/>
      <c r="V175" s="49"/>
    </row>
    <row r="176" spans="8:22" x14ac:dyDescent="0.15">
      <c r="H176" s="49"/>
      <c r="O176" s="149"/>
      <c r="P176" s="49"/>
      <c r="R176" s="49"/>
      <c r="V176" s="49"/>
    </row>
    <row r="177" spans="15:15" s="49" customFormat="1" x14ac:dyDescent="0.15">
      <c r="O177" s="149"/>
    </row>
    <row r="178" spans="15:15" s="49" customFormat="1" x14ac:dyDescent="0.15">
      <c r="O178" s="149"/>
    </row>
    <row r="179" spans="15:15" s="49" customFormat="1" x14ac:dyDescent="0.15">
      <c r="O179" s="149"/>
    </row>
    <row r="180" spans="15:15" s="49" customFormat="1" x14ac:dyDescent="0.15">
      <c r="O180" s="149"/>
    </row>
    <row r="181" spans="15:15" s="49" customFormat="1" x14ac:dyDescent="0.15">
      <c r="O181" s="149"/>
    </row>
    <row r="182" spans="15:15" s="49" customFormat="1" x14ac:dyDescent="0.15">
      <c r="O182" s="149"/>
    </row>
    <row r="183" spans="15:15" s="49" customFormat="1" x14ac:dyDescent="0.15">
      <c r="O183" s="149"/>
    </row>
    <row r="184" spans="15:15" s="49" customFormat="1" x14ac:dyDescent="0.15">
      <c r="O184" s="149"/>
    </row>
    <row r="185" spans="15:15" s="49" customFormat="1" x14ac:dyDescent="0.15">
      <c r="O185" s="149"/>
    </row>
    <row r="186" spans="15:15" s="49" customFormat="1" x14ac:dyDescent="0.15">
      <c r="O186" s="149"/>
    </row>
    <row r="187" spans="15:15" s="49" customFormat="1" x14ac:dyDescent="0.15">
      <c r="O187" s="149"/>
    </row>
    <row r="188" spans="15:15" s="49" customFormat="1" x14ac:dyDescent="0.15">
      <c r="O188" s="149"/>
    </row>
    <row r="189" spans="15:15" s="49" customFormat="1" x14ac:dyDescent="0.15">
      <c r="O189" s="149"/>
    </row>
    <row r="190" spans="15:15" s="49" customFormat="1" x14ac:dyDescent="0.15">
      <c r="O190" s="149"/>
    </row>
    <row r="191" spans="15:15" s="49" customFormat="1" x14ac:dyDescent="0.15">
      <c r="O191" s="149"/>
    </row>
  </sheetData>
  <mergeCells count="71">
    <mergeCell ref="I57:J57"/>
    <mergeCell ref="K57:L57"/>
    <mergeCell ref="P57:Q57"/>
    <mergeCell ref="B50:B53"/>
    <mergeCell ref="K50:L50"/>
    <mergeCell ref="I51:I56"/>
    <mergeCell ref="K51:L51"/>
    <mergeCell ref="Q51:Q55"/>
    <mergeCell ref="K52:L52"/>
    <mergeCell ref="K53:L53"/>
    <mergeCell ref="B54:B57"/>
    <mergeCell ref="K54:L54"/>
    <mergeCell ref="K55:L55"/>
    <mergeCell ref="I47:I50"/>
    <mergeCell ref="Q45:Q49"/>
    <mergeCell ref="K46:L46"/>
    <mergeCell ref="I43:I46"/>
    <mergeCell ref="K45:L45"/>
    <mergeCell ref="P45:P56"/>
    <mergeCell ref="K56:L56"/>
    <mergeCell ref="B39:B49"/>
    <mergeCell ref="K40:L40"/>
    <mergeCell ref="K41:L41"/>
    <mergeCell ref="K42:L42"/>
    <mergeCell ref="K47:L47"/>
    <mergeCell ref="K48:L48"/>
    <mergeCell ref="K49:L49"/>
    <mergeCell ref="K43:L43"/>
    <mergeCell ref="K44:L44"/>
    <mergeCell ref="B12:B16"/>
    <mergeCell ref="T12:U12"/>
    <mergeCell ref="T13:U13"/>
    <mergeCell ref="T14:U14"/>
    <mergeCell ref="T15:U15"/>
    <mergeCell ref="I16:I19"/>
    <mergeCell ref="T18:U18"/>
    <mergeCell ref="B17:B20"/>
    <mergeCell ref="T19:U19"/>
    <mergeCell ref="T20:U20"/>
    <mergeCell ref="I20:I23"/>
    <mergeCell ref="B21:B24"/>
    <mergeCell ref="I12:I15"/>
    <mergeCell ref="T17:U17"/>
    <mergeCell ref="I24:I27"/>
    <mergeCell ref="I28:I31"/>
    <mergeCell ref="T16:U16"/>
    <mergeCell ref="K34:L34"/>
    <mergeCell ref="B8:B11"/>
    <mergeCell ref="T8:U8"/>
    <mergeCell ref="T9:U9"/>
    <mergeCell ref="T10:U10"/>
    <mergeCell ref="B28:B38"/>
    <mergeCell ref="I35:I42"/>
    <mergeCell ref="K35:L35"/>
    <mergeCell ref="K36:L36"/>
    <mergeCell ref="K37:L37"/>
    <mergeCell ref="Q37:R37"/>
    <mergeCell ref="K38:L38"/>
    <mergeCell ref="P38:P44"/>
    <mergeCell ref="K39:L39"/>
    <mergeCell ref="B5:B7"/>
    <mergeCell ref="T5:U5"/>
    <mergeCell ref="T6:U6"/>
    <mergeCell ref="T7:U7"/>
    <mergeCell ref="I4:I5"/>
    <mergeCell ref="J4:J5"/>
    <mergeCell ref="M4:M5"/>
    <mergeCell ref="N4:N5"/>
    <mergeCell ref="T4:U4"/>
    <mergeCell ref="I6:I11"/>
    <mergeCell ref="T11:U11"/>
  </mergeCells>
  <phoneticPr fontId="4"/>
  <pageMargins left="0.78740157480314965" right="0.78740157480314965" top="0.78740157480314965" bottom="0.78740157480314965" header="0.39370078740157483" footer="0.39370078740157483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80" customWidth="1"/>
    <col min="2" max="2" width="7.625" style="80" customWidth="1"/>
    <col min="3" max="3" width="25.625" style="80" customWidth="1"/>
    <col min="4" max="13" width="15.625" style="80" customWidth="1"/>
    <col min="14" max="16384" width="9" style="80"/>
  </cols>
  <sheetData>
    <row r="1" spans="2:13" ht="9.9499999999999993" customHeight="1" x14ac:dyDescent="0.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3" ht="24.95" customHeight="1" thickBot="1" x14ac:dyDescent="0.2">
      <c r="B2" s="80" t="s">
        <v>102</v>
      </c>
      <c r="F2" s="249" t="s">
        <v>237</v>
      </c>
      <c r="G2" s="248" t="s">
        <v>416</v>
      </c>
      <c r="I2" s="249" t="s">
        <v>238</v>
      </c>
      <c r="J2" s="248" t="s">
        <v>394</v>
      </c>
    </row>
    <row r="3" spans="2:13" ht="20.100000000000001" customHeight="1" x14ac:dyDescent="0.15">
      <c r="B3" s="841" t="s">
        <v>109</v>
      </c>
      <c r="C3" s="842"/>
      <c r="D3" s="370" t="s">
        <v>395</v>
      </c>
      <c r="E3" s="370" t="s">
        <v>396</v>
      </c>
      <c r="F3" s="370" t="s">
        <v>284</v>
      </c>
      <c r="G3" s="370" t="s">
        <v>397</v>
      </c>
      <c r="H3" s="370" t="s">
        <v>70</v>
      </c>
      <c r="I3" s="370" t="s">
        <v>287</v>
      </c>
      <c r="J3" s="370" t="s">
        <v>325</v>
      </c>
      <c r="K3" s="370" t="s">
        <v>398</v>
      </c>
      <c r="L3" s="370" t="s">
        <v>399</v>
      </c>
      <c r="M3" s="371"/>
    </row>
    <row r="4" spans="2:13" ht="159.75" customHeight="1" x14ac:dyDescent="0.15">
      <c r="B4" s="843" t="s">
        <v>103</v>
      </c>
      <c r="C4" s="372" t="s">
        <v>104</v>
      </c>
      <c r="D4" s="373" t="s">
        <v>400</v>
      </c>
      <c r="E4" s="373" t="s">
        <v>629</v>
      </c>
      <c r="F4" s="373" t="s">
        <v>630</v>
      </c>
      <c r="G4" s="373" t="s">
        <v>631</v>
      </c>
      <c r="H4" s="373" t="s">
        <v>401</v>
      </c>
      <c r="I4" s="373" t="s">
        <v>402</v>
      </c>
      <c r="J4" s="373" t="s">
        <v>403</v>
      </c>
      <c r="K4" s="373" t="s">
        <v>632</v>
      </c>
      <c r="L4" s="373"/>
      <c r="M4" s="374"/>
    </row>
    <row r="5" spans="2:13" ht="20.100000000000001" customHeight="1" x14ac:dyDescent="0.15">
      <c r="B5" s="843"/>
      <c r="C5" s="372" t="s">
        <v>105</v>
      </c>
      <c r="D5" s="375" t="s">
        <v>417</v>
      </c>
      <c r="E5" s="375" t="s">
        <v>404</v>
      </c>
      <c r="F5" s="375" t="s">
        <v>418</v>
      </c>
      <c r="G5" s="376"/>
      <c r="H5" s="375" t="s">
        <v>405</v>
      </c>
      <c r="I5" s="375" t="s">
        <v>419</v>
      </c>
      <c r="J5" s="375" t="s">
        <v>420</v>
      </c>
      <c r="K5" s="375" t="s">
        <v>406</v>
      </c>
      <c r="L5" s="376"/>
      <c r="M5" s="377"/>
    </row>
    <row r="6" spans="2:13" ht="150" customHeight="1" x14ac:dyDescent="0.15">
      <c r="B6" s="843"/>
      <c r="C6" s="372" t="s">
        <v>108</v>
      </c>
      <c r="D6" s="378" t="s">
        <v>260</v>
      </c>
      <c r="E6" s="378" t="s">
        <v>421</v>
      </c>
      <c r="F6" s="378" t="s">
        <v>407</v>
      </c>
      <c r="G6" s="378" t="s">
        <v>256</v>
      </c>
      <c r="H6" s="373"/>
      <c r="I6" s="373" t="s">
        <v>256</v>
      </c>
      <c r="J6" s="373" t="s">
        <v>408</v>
      </c>
      <c r="K6" s="373" t="s">
        <v>623</v>
      </c>
      <c r="L6" s="373"/>
      <c r="M6" s="374"/>
    </row>
    <row r="7" spans="2:13" ht="20.100000000000001" customHeight="1" x14ac:dyDescent="0.15">
      <c r="B7" s="843"/>
      <c r="C7" s="379" t="s">
        <v>409</v>
      </c>
      <c r="D7" s="380"/>
      <c r="E7" s="380">
        <v>10.6</v>
      </c>
      <c r="F7" s="380">
        <v>4.4000000000000004</v>
      </c>
      <c r="G7" s="381">
        <v>-1</v>
      </c>
      <c r="H7" s="372"/>
      <c r="I7" s="372">
        <v>2</v>
      </c>
      <c r="J7" s="372">
        <v>6.9</v>
      </c>
      <c r="K7" s="372">
        <v>9.4</v>
      </c>
      <c r="L7" s="372"/>
      <c r="M7" s="382"/>
    </row>
    <row r="8" spans="2:13" ht="20.100000000000001" customHeight="1" x14ac:dyDescent="0.15">
      <c r="B8" s="843"/>
      <c r="C8" s="383" t="s">
        <v>410</v>
      </c>
      <c r="D8" s="380">
        <v>17.2</v>
      </c>
      <c r="E8" s="380"/>
      <c r="F8" s="380">
        <v>17.600000000000001</v>
      </c>
      <c r="G8" s="381">
        <v>-1</v>
      </c>
      <c r="H8" s="372"/>
      <c r="I8" s="372">
        <v>5.0999999999999996</v>
      </c>
      <c r="J8" s="372">
        <v>23.3</v>
      </c>
      <c r="K8" s="372">
        <v>1.2</v>
      </c>
      <c r="L8" s="372">
        <v>2</v>
      </c>
      <c r="M8" s="382"/>
    </row>
    <row r="9" spans="2:13" ht="20.100000000000001" customHeight="1" x14ac:dyDescent="0.15">
      <c r="B9" s="843"/>
      <c r="C9" s="372" t="s">
        <v>107</v>
      </c>
      <c r="D9" s="372">
        <v>6</v>
      </c>
      <c r="E9" s="372"/>
      <c r="F9" s="372">
        <v>3</v>
      </c>
      <c r="G9" s="372"/>
      <c r="H9" s="372"/>
      <c r="I9" s="372">
        <v>3</v>
      </c>
      <c r="J9" s="372">
        <v>3</v>
      </c>
      <c r="K9" s="372">
        <v>2</v>
      </c>
      <c r="L9" s="372"/>
      <c r="M9" s="382"/>
    </row>
    <row r="10" spans="2:13" ht="150" customHeight="1" x14ac:dyDescent="0.15">
      <c r="B10" s="844" t="s">
        <v>411</v>
      </c>
      <c r="C10" s="845"/>
      <c r="D10" s="384" t="s">
        <v>412</v>
      </c>
      <c r="E10" s="384"/>
      <c r="F10" s="384" t="s">
        <v>414</v>
      </c>
      <c r="G10" s="385"/>
      <c r="H10" s="385"/>
      <c r="I10" s="386" t="s">
        <v>415</v>
      </c>
      <c r="J10" s="386" t="s">
        <v>303</v>
      </c>
      <c r="K10" s="384" t="s">
        <v>413</v>
      </c>
      <c r="L10" s="380"/>
      <c r="M10" s="387"/>
    </row>
    <row r="11" spans="2:13" ht="150" customHeight="1" thickBot="1" x14ac:dyDescent="0.2">
      <c r="B11" s="846" t="s">
        <v>106</v>
      </c>
      <c r="C11" s="847"/>
      <c r="D11" s="325" t="s">
        <v>634</v>
      </c>
      <c r="E11" s="325" t="s">
        <v>635</v>
      </c>
      <c r="F11" s="325" t="s">
        <v>636</v>
      </c>
      <c r="G11" s="326" t="s">
        <v>637</v>
      </c>
      <c r="H11" s="326" t="s">
        <v>638</v>
      </c>
      <c r="I11" s="326" t="s">
        <v>335</v>
      </c>
      <c r="J11" s="326" t="s">
        <v>639</v>
      </c>
      <c r="K11" s="326" t="s">
        <v>640</v>
      </c>
      <c r="L11" s="388"/>
      <c r="M11" s="389"/>
    </row>
    <row r="12" spans="2:13" ht="9.75" customHeight="1" x14ac:dyDescent="0.15">
      <c r="B12" s="84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3" tint="0.79998168889431442"/>
    <pageSetUpPr fitToPage="1"/>
  </sheetPr>
  <dimension ref="B1:M12"/>
  <sheetViews>
    <sheetView zoomScale="75" zoomScaleNormal="75" workbookViewId="0"/>
  </sheetViews>
  <sheetFormatPr defaultColWidth="9" defaultRowHeight="13.5" x14ac:dyDescent="0.15"/>
  <cols>
    <col min="1" max="1" width="1.625" style="80" customWidth="1"/>
    <col min="2" max="2" width="7.625" style="80" customWidth="1"/>
    <col min="3" max="3" width="25.625" style="80" customWidth="1"/>
    <col min="4" max="13" width="15.625" style="80" customWidth="1"/>
    <col min="14" max="16384" width="9" style="80"/>
  </cols>
  <sheetData>
    <row r="1" spans="2:13" ht="9.9499999999999993" customHeight="1" x14ac:dyDescent="0.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3" ht="24.95" customHeight="1" thickBot="1" x14ac:dyDescent="0.2">
      <c r="B2" s="80" t="s">
        <v>102</v>
      </c>
      <c r="F2" s="249" t="s">
        <v>237</v>
      </c>
      <c r="G2" s="248" t="s">
        <v>422</v>
      </c>
      <c r="I2" s="249" t="s">
        <v>238</v>
      </c>
      <c r="J2" s="248" t="s">
        <v>394</v>
      </c>
    </row>
    <row r="3" spans="2:13" ht="20.100000000000001" customHeight="1" x14ac:dyDescent="0.15">
      <c r="B3" s="841" t="s">
        <v>109</v>
      </c>
      <c r="C3" s="842"/>
      <c r="D3" s="530" t="s">
        <v>395</v>
      </c>
      <c r="E3" s="530" t="s">
        <v>396</v>
      </c>
      <c r="F3" s="530" t="s">
        <v>284</v>
      </c>
      <c r="G3" s="530" t="s">
        <v>397</v>
      </c>
      <c r="H3" s="530" t="s">
        <v>70</v>
      </c>
      <c r="I3" s="530" t="s">
        <v>287</v>
      </c>
      <c r="J3" s="530" t="s">
        <v>325</v>
      </c>
      <c r="K3" s="530" t="s">
        <v>398</v>
      </c>
      <c r="L3" s="530" t="s">
        <v>399</v>
      </c>
      <c r="M3" s="371"/>
    </row>
    <row r="4" spans="2:13" ht="150" customHeight="1" x14ac:dyDescent="0.15">
      <c r="B4" s="843" t="s">
        <v>103</v>
      </c>
      <c r="C4" s="372" t="s">
        <v>104</v>
      </c>
      <c r="D4" s="373" t="s">
        <v>400</v>
      </c>
      <c r="E4" s="373" t="s">
        <v>629</v>
      </c>
      <c r="F4" s="373" t="s">
        <v>630</v>
      </c>
      <c r="G4" s="373" t="s">
        <v>631</v>
      </c>
      <c r="H4" s="373" t="s">
        <v>401</v>
      </c>
      <c r="I4" s="373" t="s">
        <v>402</v>
      </c>
      <c r="J4" s="373" t="s">
        <v>403</v>
      </c>
      <c r="K4" s="373" t="s">
        <v>632</v>
      </c>
      <c r="L4" s="373"/>
      <c r="M4" s="374"/>
    </row>
    <row r="5" spans="2:13" ht="20.100000000000001" customHeight="1" x14ac:dyDescent="0.15">
      <c r="B5" s="843"/>
      <c r="C5" s="372" t="s">
        <v>105</v>
      </c>
      <c r="D5" s="375" t="s">
        <v>423</v>
      </c>
      <c r="E5" s="375" t="s">
        <v>404</v>
      </c>
      <c r="F5" s="375" t="s">
        <v>424</v>
      </c>
      <c r="G5" s="376"/>
      <c r="H5" s="375" t="s">
        <v>405</v>
      </c>
      <c r="I5" s="375" t="s">
        <v>425</v>
      </c>
      <c r="J5" s="375" t="s">
        <v>426</v>
      </c>
      <c r="K5" s="375" t="s">
        <v>406</v>
      </c>
      <c r="L5" s="376"/>
      <c r="M5" s="377"/>
    </row>
    <row r="6" spans="2:13" ht="150" customHeight="1" x14ac:dyDescent="0.15">
      <c r="B6" s="843"/>
      <c r="C6" s="372" t="s">
        <v>108</v>
      </c>
      <c r="D6" s="378" t="s">
        <v>260</v>
      </c>
      <c r="E6" s="378" t="s">
        <v>580</v>
      </c>
      <c r="F6" s="378" t="s">
        <v>407</v>
      </c>
      <c r="G6" s="378" t="s">
        <v>256</v>
      </c>
      <c r="H6" s="373"/>
      <c r="I6" s="373" t="s">
        <v>256</v>
      </c>
      <c r="J6" s="373" t="s">
        <v>408</v>
      </c>
      <c r="K6" s="373" t="s">
        <v>623</v>
      </c>
      <c r="L6" s="373"/>
      <c r="M6" s="374"/>
    </row>
    <row r="7" spans="2:13" ht="20.100000000000001" customHeight="1" x14ac:dyDescent="0.15">
      <c r="B7" s="843"/>
      <c r="C7" s="379" t="s">
        <v>409</v>
      </c>
      <c r="D7" s="380"/>
      <c r="E7" s="380">
        <v>16</v>
      </c>
      <c r="F7" s="380">
        <v>6</v>
      </c>
      <c r="G7" s="381">
        <v>-1</v>
      </c>
      <c r="H7" s="372"/>
      <c r="I7" s="372">
        <v>2</v>
      </c>
      <c r="J7" s="372">
        <v>6.9</v>
      </c>
      <c r="K7" s="372">
        <v>12.1</v>
      </c>
      <c r="L7" s="372"/>
      <c r="M7" s="382"/>
    </row>
    <row r="8" spans="2:13" ht="20.100000000000001" customHeight="1" x14ac:dyDescent="0.15">
      <c r="B8" s="843"/>
      <c r="C8" s="383" t="s">
        <v>410</v>
      </c>
      <c r="D8" s="380">
        <v>17.2</v>
      </c>
      <c r="E8" s="380"/>
      <c r="F8" s="380">
        <v>18</v>
      </c>
      <c r="G8" s="381">
        <v>-1</v>
      </c>
      <c r="H8" s="372"/>
      <c r="I8" s="372">
        <v>5.0999999999999996</v>
      </c>
      <c r="J8" s="372">
        <v>23.3</v>
      </c>
      <c r="K8" s="372">
        <v>3.7</v>
      </c>
      <c r="L8" s="372">
        <v>2</v>
      </c>
      <c r="M8" s="382"/>
    </row>
    <row r="9" spans="2:13" ht="20.100000000000001" customHeight="1" x14ac:dyDescent="0.15">
      <c r="B9" s="843"/>
      <c r="C9" s="372" t="s">
        <v>107</v>
      </c>
      <c r="D9" s="372">
        <v>6</v>
      </c>
      <c r="E9" s="372"/>
      <c r="F9" s="372">
        <v>3</v>
      </c>
      <c r="G9" s="372"/>
      <c r="H9" s="372"/>
      <c r="I9" s="372">
        <v>3</v>
      </c>
      <c r="J9" s="372">
        <v>3</v>
      </c>
      <c r="K9" s="372">
        <v>2</v>
      </c>
      <c r="L9" s="372"/>
      <c r="M9" s="382"/>
    </row>
    <row r="10" spans="2:13" ht="150" customHeight="1" x14ac:dyDescent="0.15">
      <c r="B10" s="844" t="s">
        <v>411</v>
      </c>
      <c r="C10" s="845"/>
      <c r="D10" s="384" t="s">
        <v>412</v>
      </c>
      <c r="E10" s="384"/>
      <c r="F10" s="384" t="s">
        <v>633</v>
      </c>
      <c r="G10" s="385"/>
      <c r="H10" s="385"/>
      <c r="I10" s="386" t="s">
        <v>415</v>
      </c>
      <c r="J10" s="386" t="s">
        <v>303</v>
      </c>
      <c r="K10" s="384" t="s">
        <v>413</v>
      </c>
      <c r="L10" s="380"/>
      <c r="M10" s="387"/>
    </row>
    <row r="11" spans="2:13" ht="150" customHeight="1" thickBot="1" x14ac:dyDescent="0.2">
      <c r="B11" s="846" t="s">
        <v>106</v>
      </c>
      <c r="C11" s="847"/>
      <c r="D11" s="325" t="s">
        <v>634</v>
      </c>
      <c r="E11" s="325" t="s">
        <v>635</v>
      </c>
      <c r="F11" s="325" t="s">
        <v>636</v>
      </c>
      <c r="G11" s="326" t="s">
        <v>637</v>
      </c>
      <c r="H11" s="326" t="s">
        <v>638</v>
      </c>
      <c r="I11" s="326" t="s">
        <v>335</v>
      </c>
      <c r="J11" s="326" t="s">
        <v>639</v>
      </c>
      <c r="K11" s="326" t="s">
        <v>640</v>
      </c>
      <c r="L11" s="388"/>
      <c r="M11" s="389"/>
    </row>
    <row r="12" spans="2:13" ht="9.75" customHeight="1" x14ac:dyDescent="0.15">
      <c r="B12" s="84"/>
    </row>
  </sheetData>
  <mergeCells count="4">
    <mergeCell ref="B3:C3"/>
    <mergeCell ref="B4:B9"/>
    <mergeCell ref="B10:C10"/>
    <mergeCell ref="B11:C11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79998168889431442"/>
    <pageSetUpPr fitToPage="1"/>
  </sheetPr>
  <dimension ref="B1:M12"/>
  <sheetViews>
    <sheetView topLeftCell="A7" zoomScale="75" zoomScaleNormal="75" workbookViewId="0"/>
  </sheetViews>
  <sheetFormatPr defaultColWidth="9" defaultRowHeight="13.5" x14ac:dyDescent="0.15"/>
  <cols>
    <col min="1" max="1" width="1.625" style="80" customWidth="1"/>
    <col min="2" max="2" width="7.625" style="80" customWidth="1"/>
    <col min="3" max="3" width="25.625" style="80" customWidth="1"/>
    <col min="4" max="11" width="17.625" style="80" customWidth="1"/>
    <col min="12" max="13" width="15.625" style="80" customWidth="1"/>
    <col min="14" max="16384" width="9" style="80"/>
  </cols>
  <sheetData>
    <row r="1" spans="2:13" ht="9.9499999999999993" customHeight="1" x14ac:dyDescent="0.1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2:13" ht="24.95" customHeight="1" thickBot="1" x14ac:dyDescent="0.2">
      <c r="B2" s="248" t="s">
        <v>318</v>
      </c>
      <c r="F2" s="249" t="s">
        <v>237</v>
      </c>
      <c r="G2" s="248" t="s">
        <v>310</v>
      </c>
      <c r="I2" s="249" t="s">
        <v>238</v>
      </c>
      <c r="J2" s="248" t="s">
        <v>319</v>
      </c>
    </row>
    <row r="3" spans="2:13" ht="33" customHeight="1" x14ac:dyDescent="0.15">
      <c r="B3" s="848" t="s">
        <v>109</v>
      </c>
      <c r="C3" s="849"/>
      <c r="D3" s="491" t="s">
        <v>320</v>
      </c>
      <c r="E3" s="492" t="s">
        <v>321</v>
      </c>
      <c r="F3" s="491" t="s">
        <v>322</v>
      </c>
      <c r="G3" s="491" t="s">
        <v>323</v>
      </c>
      <c r="H3" s="491" t="s">
        <v>324</v>
      </c>
      <c r="I3" s="491" t="s">
        <v>325</v>
      </c>
      <c r="J3" s="491" t="s">
        <v>167</v>
      </c>
      <c r="K3" s="491"/>
      <c r="L3" s="491"/>
      <c r="M3" s="493"/>
    </row>
    <row r="4" spans="2:13" ht="150" customHeight="1" x14ac:dyDescent="0.15">
      <c r="B4" s="843" t="s">
        <v>103</v>
      </c>
      <c r="C4" s="372" t="s">
        <v>104</v>
      </c>
      <c r="D4" s="324" t="s">
        <v>326</v>
      </c>
      <c r="E4" s="324" t="s">
        <v>327</v>
      </c>
      <c r="F4" s="324" t="s">
        <v>328</v>
      </c>
      <c r="G4" s="324" t="s">
        <v>329</v>
      </c>
      <c r="H4" s="324" t="s">
        <v>330</v>
      </c>
      <c r="I4" s="324" t="s">
        <v>331</v>
      </c>
      <c r="J4" s="324"/>
      <c r="K4" s="324"/>
      <c r="L4" s="324"/>
      <c r="M4" s="81"/>
    </row>
    <row r="5" spans="2:13" ht="20.100000000000001" customHeight="1" x14ac:dyDescent="0.15">
      <c r="B5" s="843"/>
      <c r="C5" s="372" t="s">
        <v>105</v>
      </c>
      <c r="D5" s="375" t="s">
        <v>518</v>
      </c>
      <c r="E5" s="383" t="s">
        <v>481</v>
      </c>
      <c r="F5" s="383" t="s">
        <v>511</v>
      </c>
      <c r="G5" s="383" t="s">
        <v>512</v>
      </c>
      <c r="H5" s="372" t="s">
        <v>513</v>
      </c>
      <c r="I5" s="372" t="s">
        <v>514</v>
      </c>
      <c r="J5" s="372"/>
      <c r="K5" s="372"/>
      <c r="L5" s="488"/>
      <c r="M5" s="82"/>
    </row>
    <row r="6" spans="2:13" ht="150" customHeight="1" x14ac:dyDescent="0.15">
      <c r="B6" s="843"/>
      <c r="C6" s="372" t="s">
        <v>108</v>
      </c>
      <c r="D6" s="373" t="s">
        <v>622</v>
      </c>
      <c r="E6" s="378" t="s">
        <v>332</v>
      </c>
      <c r="F6" s="378" t="s">
        <v>333</v>
      </c>
      <c r="G6" s="378" t="s">
        <v>256</v>
      </c>
      <c r="H6" s="378" t="s">
        <v>256</v>
      </c>
      <c r="I6" s="373" t="s">
        <v>529</v>
      </c>
      <c r="J6" s="373"/>
      <c r="K6" s="373"/>
      <c r="L6" s="324"/>
      <c r="M6" s="81"/>
    </row>
    <row r="7" spans="2:13" ht="20.100000000000001" customHeight="1" x14ac:dyDescent="0.15">
      <c r="B7" s="843"/>
      <c r="C7" s="379" t="s">
        <v>409</v>
      </c>
      <c r="D7" s="380">
        <v>1.2</v>
      </c>
      <c r="E7" s="380">
        <v>17.399999999999999</v>
      </c>
      <c r="F7" s="380">
        <v>1.5</v>
      </c>
      <c r="G7" s="380">
        <v>0.7</v>
      </c>
      <c r="H7" s="372">
        <v>0.9</v>
      </c>
      <c r="I7" s="372">
        <v>2.6</v>
      </c>
      <c r="J7" s="372"/>
      <c r="K7" s="372"/>
      <c r="L7" s="488"/>
      <c r="M7" s="82"/>
    </row>
    <row r="8" spans="2:13" ht="20.100000000000001" customHeight="1" x14ac:dyDescent="0.15">
      <c r="B8" s="843"/>
      <c r="C8" s="383" t="s">
        <v>410</v>
      </c>
      <c r="D8" s="380">
        <v>1.2</v>
      </c>
      <c r="E8" s="380">
        <v>15.3</v>
      </c>
      <c r="F8" s="380">
        <v>5</v>
      </c>
      <c r="G8" s="380">
        <v>0.8</v>
      </c>
      <c r="H8" s="372">
        <v>3.6</v>
      </c>
      <c r="I8" s="372">
        <v>11.2</v>
      </c>
      <c r="J8" s="372">
        <v>11.2</v>
      </c>
      <c r="K8" s="372"/>
      <c r="L8" s="488"/>
      <c r="M8" s="82"/>
    </row>
    <row r="9" spans="2:13" ht="20.100000000000001" customHeight="1" x14ac:dyDescent="0.15">
      <c r="B9" s="843"/>
      <c r="C9" s="372" t="s">
        <v>107</v>
      </c>
      <c r="D9" s="372"/>
      <c r="E9" s="372"/>
      <c r="F9" s="372"/>
      <c r="G9" s="372"/>
      <c r="H9" s="372"/>
      <c r="I9" s="372"/>
      <c r="J9" s="372"/>
      <c r="K9" s="372"/>
      <c r="L9" s="488"/>
      <c r="M9" s="82"/>
    </row>
    <row r="10" spans="2:13" ht="150" customHeight="1" x14ac:dyDescent="0.15">
      <c r="B10" s="844" t="s">
        <v>411</v>
      </c>
      <c r="C10" s="845"/>
      <c r="D10" s="324" t="s">
        <v>516</v>
      </c>
      <c r="E10" s="324" t="s">
        <v>517</v>
      </c>
      <c r="F10" s="384" t="s">
        <v>528</v>
      </c>
      <c r="G10" s="487" t="s">
        <v>527</v>
      </c>
      <c r="H10" s="386" t="s">
        <v>415</v>
      </c>
      <c r="I10" s="489"/>
      <c r="J10" s="489"/>
      <c r="K10" s="489"/>
      <c r="L10" s="489"/>
      <c r="M10" s="83"/>
    </row>
    <row r="11" spans="2:13" ht="150" customHeight="1" thickBot="1" x14ac:dyDescent="0.2">
      <c r="B11" s="850" t="s">
        <v>106</v>
      </c>
      <c r="C11" s="851"/>
      <c r="D11" s="325" t="s">
        <v>334</v>
      </c>
      <c r="E11" s="325" t="s">
        <v>641</v>
      </c>
      <c r="F11" s="325" t="s">
        <v>642</v>
      </c>
      <c r="G11" s="326" t="s">
        <v>643</v>
      </c>
      <c r="H11" s="326" t="s">
        <v>335</v>
      </c>
      <c r="I11" s="326" t="s">
        <v>644</v>
      </c>
      <c r="J11" s="327"/>
      <c r="K11" s="327"/>
      <c r="L11" s="328"/>
      <c r="M11" s="329"/>
    </row>
    <row r="12" spans="2:13" ht="9.75" customHeight="1" x14ac:dyDescent="0.15">
      <c r="B12" s="84"/>
    </row>
  </sheetData>
  <mergeCells count="4">
    <mergeCell ref="B3:C3"/>
    <mergeCell ref="B4:B9"/>
    <mergeCell ref="B10:C10"/>
    <mergeCell ref="B11:C11"/>
  </mergeCells>
  <phoneticPr fontId="4"/>
  <pageMargins left="0.7" right="0.7" top="0.75" bottom="0.75" header="0.3" footer="0.3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M13"/>
  <sheetViews>
    <sheetView zoomScale="75" zoomScaleNormal="75" zoomScaleSheetLayoutView="82" workbookViewId="0"/>
  </sheetViews>
  <sheetFormatPr defaultColWidth="9" defaultRowHeight="13.5" x14ac:dyDescent="0.15"/>
  <cols>
    <col min="1" max="1" width="1.625" style="80" customWidth="1"/>
    <col min="2" max="2" width="7.625" style="80" customWidth="1"/>
    <col min="3" max="3" width="25.625" style="80" customWidth="1"/>
    <col min="4" max="9" width="15.625" style="80" customWidth="1"/>
    <col min="10" max="11" width="17.625" style="80" customWidth="1"/>
    <col min="12" max="13" width="15.625" style="80" customWidth="1"/>
    <col min="14" max="16384" width="9" style="80"/>
  </cols>
  <sheetData>
    <row r="1" spans="2:13" ht="24.75" customHeight="1" x14ac:dyDescent="0.15">
      <c r="B1" s="852" t="s">
        <v>652</v>
      </c>
      <c r="C1" s="852"/>
      <c r="D1" s="852"/>
      <c r="E1" s="79"/>
      <c r="F1" s="79"/>
      <c r="G1" s="79"/>
      <c r="H1" s="79"/>
      <c r="I1" s="79"/>
      <c r="J1" s="79"/>
      <c r="K1" s="79"/>
      <c r="L1" s="79"/>
    </row>
    <row r="2" spans="2:13" ht="24.75" customHeight="1" x14ac:dyDescent="0.15">
      <c r="B2" s="852" t="s">
        <v>651</v>
      </c>
      <c r="C2" s="852"/>
      <c r="D2" s="852"/>
      <c r="E2" s="79"/>
      <c r="F2" s="79"/>
      <c r="G2" s="79"/>
      <c r="H2" s="79"/>
      <c r="I2" s="79"/>
      <c r="J2" s="79"/>
      <c r="K2" s="79"/>
      <c r="L2" s="79"/>
    </row>
    <row r="3" spans="2:13" ht="24.95" customHeight="1" thickBot="1" x14ac:dyDescent="0.2">
      <c r="B3" s="248" t="s">
        <v>661</v>
      </c>
      <c r="F3" s="249" t="s">
        <v>237</v>
      </c>
      <c r="G3" s="248" t="s">
        <v>336</v>
      </c>
      <c r="I3" s="249" t="s">
        <v>238</v>
      </c>
      <c r="J3" s="248" t="s">
        <v>319</v>
      </c>
    </row>
    <row r="4" spans="2:13" ht="20.100000000000001" customHeight="1" x14ac:dyDescent="0.15">
      <c r="B4" s="848" t="s">
        <v>109</v>
      </c>
      <c r="C4" s="849"/>
      <c r="D4" s="491" t="s">
        <v>625</v>
      </c>
      <c r="E4" s="492" t="s">
        <v>321</v>
      </c>
      <c r="F4" s="491" t="s">
        <v>322</v>
      </c>
      <c r="G4" s="491" t="s">
        <v>323</v>
      </c>
      <c r="H4" s="491" t="s">
        <v>286</v>
      </c>
      <c r="I4" s="491" t="s">
        <v>324</v>
      </c>
      <c r="J4" s="491" t="s">
        <v>325</v>
      </c>
      <c r="K4" s="491"/>
      <c r="L4" s="491"/>
      <c r="M4" s="493"/>
    </row>
    <row r="5" spans="2:13" ht="150" customHeight="1" x14ac:dyDescent="0.15">
      <c r="B5" s="843" t="s">
        <v>103</v>
      </c>
      <c r="C5" s="372" t="s">
        <v>104</v>
      </c>
      <c r="D5" s="324" t="s">
        <v>624</v>
      </c>
      <c r="E5" s="324" t="s">
        <v>327</v>
      </c>
      <c r="F5" s="324" t="s">
        <v>337</v>
      </c>
      <c r="G5" s="324" t="s">
        <v>645</v>
      </c>
      <c r="H5" s="324" t="s">
        <v>646</v>
      </c>
      <c r="I5" s="324" t="s">
        <v>338</v>
      </c>
      <c r="J5" s="324" t="s">
        <v>530</v>
      </c>
      <c r="K5" s="324"/>
      <c r="L5" s="324"/>
      <c r="M5" s="81"/>
    </row>
    <row r="6" spans="2:13" ht="20.100000000000001" customHeight="1" x14ac:dyDescent="0.15">
      <c r="B6" s="843"/>
      <c r="C6" s="372" t="s">
        <v>105</v>
      </c>
      <c r="D6" s="383" t="s">
        <v>531</v>
      </c>
      <c r="E6" s="383" t="s">
        <v>478</v>
      </c>
      <c r="F6" s="375" t="s">
        <v>479</v>
      </c>
      <c r="G6" s="383" t="s">
        <v>532</v>
      </c>
      <c r="H6" s="372" t="s">
        <v>533</v>
      </c>
      <c r="I6" s="372" t="s">
        <v>480</v>
      </c>
      <c r="J6" s="372" t="s">
        <v>481</v>
      </c>
      <c r="K6" s="372"/>
      <c r="L6" s="488"/>
      <c r="M6" s="82"/>
    </row>
    <row r="7" spans="2:13" ht="150" customHeight="1" x14ac:dyDescent="0.15">
      <c r="B7" s="843"/>
      <c r="C7" s="372" t="s">
        <v>108</v>
      </c>
      <c r="D7" s="373" t="s">
        <v>626</v>
      </c>
      <c r="E7" s="378" t="s">
        <v>332</v>
      </c>
      <c r="F7" s="378" t="s">
        <v>339</v>
      </c>
      <c r="G7" s="378" t="s">
        <v>256</v>
      </c>
      <c r="H7" s="378" t="s">
        <v>256</v>
      </c>
      <c r="I7" s="378" t="s">
        <v>256</v>
      </c>
      <c r="J7" s="373" t="s">
        <v>534</v>
      </c>
      <c r="K7" s="373"/>
      <c r="L7" s="324"/>
      <c r="M7" s="81"/>
    </row>
    <row r="8" spans="2:13" ht="20.100000000000001" customHeight="1" x14ac:dyDescent="0.15">
      <c r="B8" s="843"/>
      <c r="C8" s="379" t="s">
        <v>409</v>
      </c>
      <c r="D8" s="380">
        <v>1.2</v>
      </c>
      <c r="E8" s="380">
        <v>14.4</v>
      </c>
      <c r="F8" s="380">
        <v>1</v>
      </c>
      <c r="G8" s="380">
        <v>0.5</v>
      </c>
      <c r="H8" s="372">
        <v>0.4</v>
      </c>
      <c r="I8" s="372">
        <v>0.4</v>
      </c>
      <c r="J8" s="372">
        <v>2.2000000000000002</v>
      </c>
      <c r="K8" s="372"/>
      <c r="L8" s="488"/>
      <c r="M8" s="82"/>
    </row>
    <row r="9" spans="2:13" ht="20.100000000000001" customHeight="1" x14ac:dyDescent="0.15">
      <c r="B9" s="843"/>
      <c r="C9" s="383" t="s">
        <v>410</v>
      </c>
      <c r="D9" s="380">
        <v>1.2</v>
      </c>
      <c r="E9" s="380">
        <v>9.3000000000000007</v>
      </c>
      <c r="F9" s="380">
        <v>3.7</v>
      </c>
      <c r="G9" s="380">
        <v>0.5</v>
      </c>
      <c r="H9" s="372">
        <v>1.2</v>
      </c>
      <c r="I9" s="372">
        <v>1.3</v>
      </c>
      <c r="J9" s="372">
        <v>8.3000000000000007</v>
      </c>
      <c r="K9" s="372"/>
      <c r="L9" s="488"/>
      <c r="M9" s="82"/>
    </row>
    <row r="10" spans="2:13" ht="20.100000000000001" customHeight="1" x14ac:dyDescent="0.15">
      <c r="B10" s="843"/>
      <c r="C10" s="372" t="s">
        <v>107</v>
      </c>
      <c r="D10" s="372"/>
      <c r="E10" s="372"/>
      <c r="F10" s="372"/>
      <c r="G10" s="372"/>
      <c r="H10" s="372"/>
      <c r="I10" s="372"/>
      <c r="J10" s="372"/>
      <c r="K10" s="372"/>
      <c r="L10" s="488"/>
      <c r="M10" s="82"/>
    </row>
    <row r="11" spans="2:13" ht="150" customHeight="1" x14ac:dyDescent="0.15">
      <c r="B11" s="844" t="s">
        <v>411</v>
      </c>
      <c r="C11" s="845"/>
      <c r="D11" s="324" t="s">
        <v>515</v>
      </c>
      <c r="E11" s="324" t="s">
        <v>535</v>
      </c>
      <c r="F11" s="384" t="s">
        <v>519</v>
      </c>
      <c r="G11" s="489"/>
      <c r="H11" s="487" t="s">
        <v>536</v>
      </c>
      <c r="I11" s="487" t="s">
        <v>537</v>
      </c>
      <c r="J11" s="489"/>
      <c r="K11" s="489"/>
      <c r="L11" s="489"/>
      <c r="M11" s="83"/>
    </row>
    <row r="12" spans="2:13" ht="150" customHeight="1" thickBot="1" x14ac:dyDescent="0.2">
      <c r="B12" s="850" t="s">
        <v>106</v>
      </c>
      <c r="C12" s="851"/>
      <c r="D12" s="330" t="s">
        <v>334</v>
      </c>
      <c r="E12" s="330" t="s">
        <v>647</v>
      </c>
      <c r="F12" s="330" t="s">
        <v>648</v>
      </c>
      <c r="G12" s="331" t="s">
        <v>649</v>
      </c>
      <c r="H12" s="331" t="s">
        <v>650</v>
      </c>
      <c r="I12" s="331" t="s">
        <v>335</v>
      </c>
      <c r="J12" s="331" t="s">
        <v>538</v>
      </c>
      <c r="K12" s="332"/>
      <c r="L12" s="328"/>
      <c r="M12" s="329"/>
    </row>
    <row r="13" spans="2:13" ht="9.75" customHeight="1" x14ac:dyDescent="0.15">
      <c r="B13" s="84"/>
    </row>
  </sheetData>
  <mergeCells count="6">
    <mergeCell ref="B4:C4"/>
    <mergeCell ref="B5:B10"/>
    <mergeCell ref="B11:C11"/>
    <mergeCell ref="B12:C12"/>
    <mergeCell ref="B1:D1"/>
    <mergeCell ref="B2:D2"/>
  </mergeCells>
  <phoneticPr fontId="4"/>
  <pageMargins left="1.1811023622047245" right="0.78740157480314965" top="0.78740157480314965" bottom="0.78740157480314965" header="0.39370078740157483" footer="0.39370078740157483"/>
  <pageSetup paperSize="9" scale="6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1:M50"/>
  <sheetViews>
    <sheetView zoomScale="75" zoomScaleNormal="75" zoomScaleSheetLayoutView="76" workbookViewId="0"/>
  </sheetViews>
  <sheetFormatPr defaultColWidth="9" defaultRowHeight="13.5" x14ac:dyDescent="0.15"/>
  <cols>
    <col min="1" max="1" width="1.625" style="14" customWidth="1"/>
    <col min="2" max="2" width="7.625" style="14" customWidth="1"/>
    <col min="3" max="3" width="15.625" style="14" customWidth="1"/>
    <col min="4" max="12" width="20.625" style="14" customWidth="1"/>
    <col min="13" max="13" width="53" style="14" customWidth="1"/>
    <col min="14" max="14" width="9.25" style="14" bestFit="1" customWidth="1"/>
    <col min="15" max="16384" width="9" style="14"/>
  </cols>
  <sheetData>
    <row r="1" spans="2:13" ht="9.9499999999999993" customHeight="1" x14ac:dyDescent="0.15"/>
    <row r="2" spans="2:13" ht="24.95" customHeight="1" thickBot="1" x14ac:dyDescent="0.2">
      <c r="B2" s="15" t="s">
        <v>100</v>
      </c>
      <c r="C2" s="16"/>
      <c r="D2" s="16"/>
      <c r="L2" s="17"/>
      <c r="M2" s="17"/>
    </row>
    <row r="3" spans="2:13" ht="20.100000000000001" customHeight="1" x14ac:dyDescent="0.15">
      <c r="B3" s="867" t="s">
        <v>251</v>
      </c>
      <c r="C3" s="868"/>
      <c r="D3" s="868"/>
      <c r="E3" s="868"/>
      <c r="F3" s="468" t="s">
        <v>252</v>
      </c>
      <c r="G3" s="468" t="s">
        <v>575</v>
      </c>
      <c r="H3" s="468" t="s">
        <v>576</v>
      </c>
      <c r="I3" s="468" t="s">
        <v>577</v>
      </c>
      <c r="J3" s="282" t="s">
        <v>389</v>
      </c>
      <c r="K3" s="18" t="s">
        <v>390</v>
      </c>
      <c r="L3" s="19"/>
      <c r="M3" s="871" t="s">
        <v>250</v>
      </c>
    </row>
    <row r="4" spans="2:13" ht="20.100000000000001" customHeight="1" thickBot="1" x14ac:dyDescent="0.2">
      <c r="B4" s="869"/>
      <c r="C4" s="870"/>
      <c r="D4" s="870"/>
      <c r="E4" s="870"/>
      <c r="F4" s="308"/>
      <c r="G4" s="308">
        <f>'１　対象経営の概要，２　前提条件'!F13</f>
        <v>5</v>
      </c>
      <c r="H4" s="308">
        <f>'１　対象経営の概要，２　前提条件'!F14</f>
        <v>10</v>
      </c>
      <c r="I4" s="308">
        <f>'１　対象経営の概要，２　前提条件'!F15</f>
        <v>5</v>
      </c>
      <c r="J4" s="308">
        <f>'１　対象経営の概要，２　前提条件'!F16</f>
        <v>10</v>
      </c>
      <c r="K4" s="308">
        <f>'１　対象経営の概要，２　前提条件'!F17</f>
        <v>10</v>
      </c>
      <c r="L4" s="308"/>
      <c r="M4" s="872"/>
    </row>
    <row r="5" spans="2:13" ht="20.100000000000001" customHeight="1" x14ac:dyDescent="0.15">
      <c r="B5" s="857" t="s">
        <v>82</v>
      </c>
      <c r="C5" s="874" t="s">
        <v>62</v>
      </c>
      <c r="D5" s="20" t="s">
        <v>203</v>
      </c>
      <c r="E5" s="21"/>
      <c r="F5" s="22">
        <f>SUM(G5:L5)</f>
        <v>20425000</v>
      </c>
      <c r="G5" s="469">
        <f>'７－１　水稲部門（こいもみじ）収支'!F4*G4</f>
        <v>4290000</v>
      </c>
      <c r="H5" s="469">
        <f>'７－２　水稲部門（コシヒカリ）収支 '!F4*H4</f>
        <v>9180000</v>
      </c>
      <c r="I5" s="469">
        <f>'７－３　水稲部門（あきろまん）収支'!F4*I4</f>
        <v>4290000</v>
      </c>
      <c r="J5" s="247">
        <f>IF(J4=0,"0",'７－４　大豆部門収支'!F4*$J$4)</f>
        <v>2040000</v>
      </c>
      <c r="K5" s="247">
        <f>IF(K4=0,"0",'７－５　麦部門収支 '!F6*$K$4)</f>
        <v>625000</v>
      </c>
      <c r="L5" s="247"/>
      <c r="M5" s="23"/>
    </row>
    <row r="6" spans="2:13" ht="20.100000000000001" customHeight="1" x14ac:dyDescent="0.15">
      <c r="B6" s="858"/>
      <c r="C6" s="875"/>
      <c r="D6" s="24" t="s">
        <v>83</v>
      </c>
      <c r="E6" s="25"/>
      <c r="F6" s="26">
        <f>SUM(G6:L6)</f>
        <v>0</v>
      </c>
      <c r="G6" s="30">
        <f>'７－１　水稲部門（こいもみじ）収支'!F5*'１　対象経営の概要，２　前提条件'!$AB$26</f>
        <v>0</v>
      </c>
      <c r="H6" s="30">
        <f>'７－２　水稲部門（コシヒカリ）収支 '!F5*'１　対象経営の概要，２　前提条件'!$AM$26</f>
        <v>0</v>
      </c>
      <c r="I6" s="30">
        <f>'７－３　水稲部門（あきろまん）収支'!F5*'１　対象経営の概要，２　前提条件'!$AM$27</f>
        <v>0</v>
      </c>
      <c r="J6" s="30">
        <f>IF(J4=0,"0",'７－４　大豆部門収支'!F5*$J$4)</f>
        <v>0</v>
      </c>
      <c r="K6" s="30">
        <f>IF(K4=0,"0",'７－５　麦部門収支 '!F7*$K$4)</f>
        <v>0</v>
      </c>
      <c r="L6" s="30"/>
      <c r="M6" s="27"/>
    </row>
    <row r="7" spans="2:13" ht="20.100000000000001" customHeight="1" x14ac:dyDescent="0.15">
      <c r="B7" s="858"/>
      <c r="C7" s="876"/>
      <c r="D7" s="877" t="s">
        <v>192</v>
      </c>
      <c r="E7" s="878"/>
      <c r="F7" s="28">
        <f>SUM(F5:F6)</f>
        <v>20425000</v>
      </c>
      <c r="G7" s="470">
        <f>G5+G6</f>
        <v>4290000</v>
      </c>
      <c r="H7" s="470">
        <f>SUM(H5:H6)</f>
        <v>9180000</v>
      </c>
      <c r="I7" s="470">
        <f t="shared" ref="I7" si="0">SUM(I5:I6)</f>
        <v>4290000</v>
      </c>
      <c r="J7" s="29">
        <f t="shared" ref="J7" si="1">SUM(J5:J6)</f>
        <v>2040000</v>
      </c>
      <c r="K7" s="29">
        <f>K5+K6</f>
        <v>625000</v>
      </c>
      <c r="L7" s="29"/>
      <c r="M7" s="27"/>
    </row>
    <row r="8" spans="2:13" ht="20.100000000000001" customHeight="1" x14ac:dyDescent="0.15">
      <c r="B8" s="858"/>
      <c r="C8" s="879" t="s">
        <v>195</v>
      </c>
      <c r="D8" s="24" t="s">
        <v>63</v>
      </c>
      <c r="E8" s="25"/>
      <c r="F8" s="26">
        <f t="shared" ref="F8:F50" si="2">SUM(G8:L8)</f>
        <v>819000</v>
      </c>
      <c r="G8" s="30">
        <f>'７－１　水稲部門（こいもみじ）収支'!F6*'１　対象経営の概要，２　前提条件'!$AB$26</f>
        <v>96250</v>
      </c>
      <c r="H8" s="30">
        <f>'７－２　水稲部門（コシヒカリ）収支 '!F6*'１　対象経営の概要，２　前提条件'!$AM$26</f>
        <v>206500</v>
      </c>
      <c r="I8" s="30">
        <f>'７－３　水稲部門（あきろまん）収支'!F6*'１　対象経営の概要，２　前提条件'!$AM$27</f>
        <v>96250</v>
      </c>
      <c r="J8" s="30">
        <f>IF($J$4=0,"0",'７－４　大豆部門収支'!F6*$J$4)</f>
        <v>240000</v>
      </c>
      <c r="K8" s="30">
        <f>IF($K$4=0,"0",'７－５　麦部門収支 '!F8*$K$4)</f>
        <v>180000</v>
      </c>
      <c r="L8" s="30"/>
      <c r="M8" s="27"/>
    </row>
    <row r="9" spans="2:13" ht="20.100000000000001" customHeight="1" x14ac:dyDescent="0.15">
      <c r="B9" s="858"/>
      <c r="C9" s="880"/>
      <c r="D9" s="24" t="s">
        <v>64</v>
      </c>
      <c r="E9" s="25"/>
      <c r="F9" s="26">
        <f t="shared" si="2"/>
        <v>3785406.5</v>
      </c>
      <c r="G9" s="30">
        <f>'７－１　水稲部門（こいもみじ）収支'!F7*'１　対象経営の概要，２　前提条件'!$AB$26</f>
        <v>663820.75</v>
      </c>
      <c r="H9" s="30">
        <f>'７－２　水稲部門（コシヒカリ）収支 '!F7*'１　対象経営の概要，２　前提条件'!$AM$26</f>
        <v>1091141.5</v>
      </c>
      <c r="I9" s="30">
        <f>'７－３　水稲部門（あきろまん）収支'!F7*'１　対象経営の概要，２　前提条件'!$AM$27</f>
        <v>805744.25</v>
      </c>
      <c r="J9" s="30">
        <f>IF($J$4=0,"0",'７－４　大豆部門収支'!F7*$J$4)</f>
        <v>267000</v>
      </c>
      <c r="K9" s="30">
        <f>IF($K$4=0,"0",'７－５　麦部門収支 '!F9*$K$4)</f>
        <v>957700</v>
      </c>
      <c r="L9" s="30"/>
      <c r="M9" s="27"/>
    </row>
    <row r="10" spans="2:13" ht="20.100000000000001" customHeight="1" x14ac:dyDescent="0.15">
      <c r="B10" s="858"/>
      <c r="C10" s="880"/>
      <c r="D10" s="24" t="s">
        <v>65</v>
      </c>
      <c r="E10" s="25"/>
      <c r="F10" s="26">
        <f t="shared" si="2"/>
        <v>3477625.333333333</v>
      </c>
      <c r="G10" s="30">
        <f>'７－１　水稲部門（こいもみじ）収支'!F8*'１　対象経営の概要，２　前提条件'!$AB$26</f>
        <v>313786.33333333331</v>
      </c>
      <c r="H10" s="30">
        <f>'７－２　水稲部門（コシヒカリ）収支 '!F8*'１　対象経営の概要，２　前提条件'!$AM$26</f>
        <v>627572.66666666663</v>
      </c>
      <c r="I10" s="30">
        <f>'７－３　水稲部門（あきろまん）収支'!F8*'１　対象経営の概要，２　前提条件'!$AM$27</f>
        <v>313786.33333333331</v>
      </c>
      <c r="J10" s="30">
        <f>IF($J$4=0,"0",'７－４　大豆部門収支'!F8*$J$4)</f>
        <v>1572480</v>
      </c>
      <c r="K10" s="30">
        <f>IF($K$4=0,"0",'７－５　麦部門収支 '!F10*$K$4)</f>
        <v>650000</v>
      </c>
      <c r="L10" s="30"/>
      <c r="M10" s="27"/>
    </row>
    <row r="11" spans="2:13" ht="20.100000000000001" customHeight="1" x14ac:dyDescent="0.15">
      <c r="B11" s="858"/>
      <c r="C11" s="880"/>
      <c r="D11" s="24" t="s">
        <v>84</v>
      </c>
      <c r="E11" s="25"/>
      <c r="F11" s="26">
        <f t="shared" si="2"/>
        <v>1311556.6080000002</v>
      </c>
      <c r="G11" s="30">
        <f>'７－１　水稲部門（こいもみじ）収支'!F9*'１　対象経営の概要，２　前提条件'!$AB$26</f>
        <v>310392.44200000004</v>
      </c>
      <c r="H11" s="30">
        <f>'７－２　水稲部門（コシヒカリ）収支 '!F9*'１　対象経営の概要，２　前提条件'!$AM$26</f>
        <v>620784.88400000008</v>
      </c>
      <c r="I11" s="30">
        <f>'７－３　水稲部門（あきろまん）収支'!F9*'１　対象経営の概要，２　前提条件'!$AM$27</f>
        <v>310392.44200000004</v>
      </c>
      <c r="J11" s="30">
        <f>IF($J$4=0,"0",'７－４　大豆部門収支'!F9*$J$4)</f>
        <v>35834.26</v>
      </c>
      <c r="K11" s="30">
        <f>IF($K$4=0,"0",'７－５　麦部門収支 '!F11*$K$4)</f>
        <v>34152.58</v>
      </c>
      <c r="L11" s="30"/>
      <c r="M11" s="27"/>
    </row>
    <row r="12" spans="2:13" ht="20.100000000000001" customHeight="1" x14ac:dyDescent="0.15">
      <c r="B12" s="858"/>
      <c r="C12" s="880"/>
      <c r="D12" s="24" t="s">
        <v>66</v>
      </c>
      <c r="E12" s="25"/>
      <c r="F12" s="26">
        <f t="shared" si="2"/>
        <v>156133.33333333334</v>
      </c>
      <c r="G12" s="30">
        <f>'７－１　水稲部門（こいもみじ）収支'!F10*'１　対象経営の概要，２　前提条件'!$AB$26</f>
        <v>29033.333333333336</v>
      </c>
      <c r="H12" s="30">
        <f>'７－２　水稲部門（コシヒカリ）収支 '!F10*'１　対象経営の概要，２　前提条件'!$AM$26</f>
        <v>58066.666666666672</v>
      </c>
      <c r="I12" s="30">
        <f>'７－３　水稲部門（あきろまん）収支'!F10*'１　対象経営の概要，２　前提条件'!$AM$27</f>
        <v>29033.333333333336</v>
      </c>
      <c r="J12" s="30">
        <f>IF($J$4=0,"0",'７－４　大豆部門収支'!F10*$J$4)</f>
        <v>20000</v>
      </c>
      <c r="K12" s="30">
        <f>IF($K$4=0,"0",'７－５　麦部門収支 '!F12*$K$4)</f>
        <v>20000</v>
      </c>
      <c r="L12" s="30"/>
      <c r="M12" s="27"/>
    </row>
    <row r="13" spans="2:13" ht="20.100000000000001" customHeight="1" x14ac:dyDescent="0.15">
      <c r="B13" s="858"/>
      <c r="C13" s="880"/>
      <c r="D13" s="24" t="s">
        <v>6</v>
      </c>
      <c r="E13" s="25"/>
      <c r="F13" s="26">
        <f t="shared" si="2"/>
        <v>3333.333333333333</v>
      </c>
      <c r="G13" s="30">
        <f>'７－１　水稲部門（こいもみじ）収支'!F11*'１　対象経営の概要，２　前提条件'!$AB$26</f>
        <v>416.66666666666663</v>
      </c>
      <c r="H13" s="30">
        <f>'７－２　水稲部門（コシヒカリ）収支 '!F11*'１　対象経営の概要，２　前提条件'!$AM$26</f>
        <v>833.33333333333326</v>
      </c>
      <c r="I13" s="30">
        <f>'７－３　水稲部門（あきろまん）収支'!F11*'１　対象経営の概要，２　前提条件'!$AM$27</f>
        <v>416.66666666666663</v>
      </c>
      <c r="J13" s="30">
        <f>IF($J$4=0,"0",'７－４　大豆部門収支'!F11*$J$4)</f>
        <v>833.33333333333326</v>
      </c>
      <c r="K13" s="30">
        <f>IF($K$4=0,"0",'７－５　麦部門収支 '!F13*$K$4)</f>
        <v>833.33333333333326</v>
      </c>
      <c r="L13" s="30"/>
      <c r="M13" s="27"/>
    </row>
    <row r="14" spans="2:13" ht="20.100000000000001" customHeight="1" x14ac:dyDescent="0.15">
      <c r="B14" s="858"/>
      <c r="C14" s="880"/>
      <c r="D14" s="24" t="s">
        <v>7</v>
      </c>
      <c r="E14" s="25"/>
      <c r="F14" s="30">
        <f t="shared" si="2"/>
        <v>0</v>
      </c>
      <c r="G14" s="30">
        <f>'７－１　水稲部門（こいもみじ）収支'!F12*'１　対象経営の概要，２　前提条件'!$AB$26</f>
        <v>0</v>
      </c>
      <c r="H14" s="30">
        <f>'７－２　水稲部門（コシヒカリ）収支 '!F12*'１　対象経営の概要，２　前提条件'!$AM$26</f>
        <v>0</v>
      </c>
      <c r="I14" s="30">
        <f>'７－３　水稲部門（あきろまん）収支'!F12*'１　対象経営の概要，２　前提条件'!$AM$27</f>
        <v>0</v>
      </c>
      <c r="J14" s="30">
        <f>IF($J$4=0,"0",'７－４　大豆部門収支'!F12*$J$4)</f>
        <v>0</v>
      </c>
      <c r="K14" s="30">
        <f>IF($K$4=0,"0",'７－５　麦部門収支 '!F14*$K$4)</f>
        <v>0</v>
      </c>
      <c r="L14" s="30"/>
      <c r="M14" s="27"/>
    </row>
    <row r="15" spans="2:13" ht="20.100000000000001" customHeight="1" x14ac:dyDescent="0.15">
      <c r="B15" s="858"/>
      <c r="C15" s="880"/>
      <c r="D15" s="882" t="s">
        <v>67</v>
      </c>
      <c r="E15" s="318" t="s">
        <v>183</v>
      </c>
      <c r="F15" s="30">
        <f t="shared" si="2"/>
        <v>183937.5</v>
      </c>
      <c r="G15" s="30">
        <f>'７－１　水稲部門（こいもみじ）収支'!F13*'１　対象経営の概要，２　前提条件'!$AB$26</f>
        <v>25194.375</v>
      </c>
      <c r="H15" s="30">
        <f>'７－２　水稲部門（コシヒカリ）収支 '!F13*'１　対象経営の概要，２　前提条件'!$AM$26</f>
        <v>50388.75</v>
      </c>
      <c r="I15" s="30">
        <f>'７－３　水稲部門（あきろまん）収支'!F13*'１　対象経営の概要，２　前提条件'!$AM$27</f>
        <v>25194.375</v>
      </c>
      <c r="J15" s="30">
        <f>IF($J$4=0,"0",'７－４　大豆部門収支'!F13*$J$4)</f>
        <v>41580</v>
      </c>
      <c r="K15" s="30">
        <f>IF($K$4=0,"0",'７－５　麦部門収支 '!F15*$K$4)</f>
        <v>41580</v>
      </c>
      <c r="L15" s="30"/>
      <c r="M15" s="27"/>
    </row>
    <row r="16" spans="2:13" ht="20.100000000000001" customHeight="1" x14ac:dyDescent="0.15">
      <c r="B16" s="858"/>
      <c r="C16" s="880"/>
      <c r="D16" s="883"/>
      <c r="E16" s="318" t="s">
        <v>184</v>
      </c>
      <c r="F16" s="30">
        <f t="shared" si="2"/>
        <v>2821634.6060000006</v>
      </c>
      <c r="G16" s="30">
        <f>'７－１　水稲部門（こいもみじ）収支'!F14*'１　対象経営の概要，２　前提条件'!$AB$26</f>
        <v>415069.15075000003</v>
      </c>
      <c r="H16" s="30">
        <f>'７－２　水稲部門（コシヒカリ）収支 '!F14*'１　対象経営の概要，２　前提条件'!$AM$26</f>
        <v>830138.30150000006</v>
      </c>
      <c r="I16" s="30">
        <f>'７－３　水稲部門（あきろまん）収支'!F14*'１　対象経営の概要，２　前提条件'!$AM$27</f>
        <v>415069.15075000003</v>
      </c>
      <c r="J16" s="30">
        <f>IF($J$4=0,"0",'７－４　大豆部門収支'!F14*$J$4)</f>
        <v>570194.00150000001</v>
      </c>
      <c r="K16" s="30">
        <f>IF($K$4=0,"0",'７－５　麦部門収支 '!F16*$K$4)</f>
        <v>591164.00150000001</v>
      </c>
      <c r="L16" s="30"/>
      <c r="M16" s="27"/>
    </row>
    <row r="17" spans="2:13" ht="20.100000000000001" customHeight="1" x14ac:dyDescent="0.15">
      <c r="B17" s="858"/>
      <c r="C17" s="880"/>
      <c r="D17" s="884" t="s">
        <v>85</v>
      </c>
      <c r="E17" s="318" t="s">
        <v>183</v>
      </c>
      <c r="F17" s="30">
        <f t="shared" si="2"/>
        <v>841455</v>
      </c>
      <c r="G17" s="30">
        <f>'７－１　水稲部門（こいもみじ）収支'!F15*'１　対象経営の概要，２　前提条件'!$AB$26</f>
        <v>127203.75</v>
      </c>
      <c r="H17" s="30">
        <f>'７－２　水稲部門（コシヒカリ）収支 '!F15*'１　対象経営の概要，２　前提条件'!$AM$26</f>
        <v>254407.5</v>
      </c>
      <c r="I17" s="30">
        <f>'７－３　水稲部門（あきろまん）収支'!F15*'１　対象経営の概要，２　前提条件'!$AM$27</f>
        <v>127203.75</v>
      </c>
      <c r="J17" s="30">
        <f>IF($J$4=0,"0",'７－４　大豆部門収支'!F15*$J$4)</f>
        <v>166320</v>
      </c>
      <c r="K17" s="30">
        <f>IF($K$4=0,"0",'７－５　麦部門収支 '!F17*$K$4)</f>
        <v>166320</v>
      </c>
      <c r="L17" s="30"/>
      <c r="M17" s="27"/>
    </row>
    <row r="18" spans="2:13" ht="20.100000000000001" customHeight="1" x14ac:dyDescent="0.15">
      <c r="B18" s="858"/>
      <c r="C18" s="880"/>
      <c r="D18" s="885"/>
      <c r="E18" s="318" t="s">
        <v>184</v>
      </c>
      <c r="F18" s="30">
        <f t="shared" si="2"/>
        <v>6792241.7271428537</v>
      </c>
      <c r="G18" s="30">
        <f>'７－１　水稲部門（こいもみじ）収支'!F16*'１　対象経営の概要，２　前提条件'!$AB$26</f>
        <v>1182710.4307142845</v>
      </c>
      <c r="H18" s="30">
        <f>'７－２　水稲部門（コシヒカリ）収支 '!F16*'１　対象経営の概要，２　前提条件'!$AM$26</f>
        <v>2365420.8614285691</v>
      </c>
      <c r="I18" s="30">
        <f>'７－３　水稲部門（あきろまん）収支'!F16*'１　対象経営の概要，２　前提条件'!$AM$27</f>
        <v>1182710.4307142845</v>
      </c>
      <c r="J18" s="552">
        <f>IF($J$4=0,"0",'７－４　大豆部門収支'!F16*$J$4)</f>
        <v>949271.42857142864</v>
      </c>
      <c r="K18" s="30">
        <f>IF($K$4=0,"0",'７－５　麦部門収支 '!F18*$K$4)</f>
        <v>1112128.575714286</v>
      </c>
      <c r="L18" s="30"/>
      <c r="M18" s="27"/>
    </row>
    <row r="19" spans="2:13" ht="20.100000000000001" customHeight="1" x14ac:dyDescent="0.15">
      <c r="B19" s="858"/>
      <c r="C19" s="880"/>
      <c r="D19" s="883"/>
      <c r="E19" s="319" t="s">
        <v>68</v>
      </c>
      <c r="F19" s="30">
        <f t="shared" si="2"/>
        <v>0</v>
      </c>
      <c r="G19" s="30">
        <f>'７－１　水稲部門（こいもみじ）収支'!F17*'１　対象経営の概要，２　前提条件'!$AB$26</f>
        <v>0</v>
      </c>
      <c r="H19" s="30">
        <f>'７－２　水稲部門（コシヒカリ）収支 '!F17*'１　対象経営の概要，２　前提条件'!$AM$26</f>
        <v>0</v>
      </c>
      <c r="I19" s="30">
        <f>'７－３　水稲部門（あきろまん）収支'!F17*'１　対象経営の概要，２　前提条件'!$AM$27</f>
        <v>0</v>
      </c>
      <c r="J19" s="30">
        <f>IF($J$4=0,"0",'７－４　大豆部門収支'!F17*$J$4)</f>
        <v>0</v>
      </c>
      <c r="K19" s="30">
        <f>IF($K$4=0,"0",'７－５　麦部門収支 '!F19*$K$4)</f>
        <v>0</v>
      </c>
      <c r="L19" s="30"/>
      <c r="M19" s="27"/>
    </row>
    <row r="20" spans="2:13" ht="20.100000000000001" customHeight="1" x14ac:dyDescent="0.15">
      <c r="B20" s="858"/>
      <c r="C20" s="880"/>
      <c r="D20" s="886" t="s">
        <v>247</v>
      </c>
      <c r="E20" s="319" t="s">
        <v>115</v>
      </c>
      <c r="F20" s="30">
        <f t="shared" si="2"/>
        <v>0</v>
      </c>
      <c r="G20" s="30">
        <f>'７－１　水稲部門（こいもみじ）収支'!F18*'１　対象経営の概要，２　前提条件'!$AB$26</f>
        <v>0</v>
      </c>
      <c r="H20" s="30">
        <f>'７－２　水稲部門（コシヒカリ）収支 '!F18*'１　対象経営の概要，２　前提条件'!$AM$26</f>
        <v>0</v>
      </c>
      <c r="I20" s="30">
        <f>'７－３　水稲部門（あきろまん）収支'!F18*'１　対象経営の概要，２　前提条件'!$AM$27</f>
        <v>0</v>
      </c>
      <c r="J20" s="30">
        <f>IF($J$4=0,"0",'７－４　大豆部門収支'!F18*$J$4)</f>
        <v>0</v>
      </c>
      <c r="K20" s="30">
        <f>IF($K$4=0,"0",'７－５　麦部門収支 '!F20*$K$4)</f>
        <v>0</v>
      </c>
      <c r="L20" s="30"/>
      <c r="M20" s="27"/>
    </row>
    <row r="21" spans="2:13" ht="20.100000000000001" customHeight="1" x14ac:dyDescent="0.15">
      <c r="B21" s="858"/>
      <c r="C21" s="880"/>
      <c r="D21" s="886"/>
      <c r="E21" s="319" t="s">
        <v>111</v>
      </c>
      <c r="F21" s="30">
        <f t="shared" si="2"/>
        <v>1189800</v>
      </c>
      <c r="G21" s="30">
        <f>'７－１　水稲部門（こいもみじ）収支'!F19*'１　対象経営の概要，２　前提条件'!$AB$26</f>
        <v>186450.00000000003</v>
      </c>
      <c r="H21" s="30">
        <f>'７－２　水稲部門（コシヒカリ）収支 '!F19*'１　対象経営の概要，２　前提条件'!$AM$26</f>
        <v>372900.00000000006</v>
      </c>
      <c r="I21" s="30">
        <f>'７－３　水稲部門（あきろまん）収支'!F19*'１　対象経営の概要，２　前提条件'!$AM$27</f>
        <v>186450.00000000003</v>
      </c>
      <c r="J21" s="30">
        <f>IF($J$4=0,"0",'７－４　大豆部門収支'!F19*$J$4)</f>
        <v>243000</v>
      </c>
      <c r="K21" s="30">
        <f>IF($K$4=0,"0",'７－５　麦部門収支 '!F21*$K$4)</f>
        <v>200999.99999999997</v>
      </c>
      <c r="L21" s="30"/>
      <c r="M21" s="27"/>
    </row>
    <row r="22" spans="2:13" ht="20.100000000000001" customHeight="1" x14ac:dyDescent="0.15">
      <c r="B22" s="858"/>
      <c r="C22" s="880"/>
      <c r="D22" s="886"/>
      <c r="E22" s="319" t="s">
        <v>112</v>
      </c>
      <c r="F22" s="30">
        <f t="shared" si="2"/>
        <v>1773000</v>
      </c>
      <c r="G22" s="30">
        <f>'７－１　水稲部門（こいもみじ）収支'!F20*'１　対象経営の概要，２　前提条件'!$AB$26</f>
        <v>279000</v>
      </c>
      <c r="H22" s="30">
        <f>'７－２　水稲部門（コシヒカリ）収支 '!F20*'１　対象経営の概要，２　前提条件'!$AM$26</f>
        <v>558000</v>
      </c>
      <c r="I22" s="30">
        <f>'７－３　水稲部門（あきろまん）収支'!F20*'１　対象経営の概要，２　前提条件'!$AM$27</f>
        <v>279000</v>
      </c>
      <c r="J22" s="30">
        <f>IF($J$4=0,"0",'７－４　大豆部門収支'!F20*$J$4)</f>
        <v>427500</v>
      </c>
      <c r="K22" s="30">
        <f>IF($K$4=0,"0",'７－５　麦部門収支 '!F22*$K$4)</f>
        <v>229500</v>
      </c>
      <c r="L22" s="30"/>
      <c r="M22" s="27"/>
    </row>
    <row r="23" spans="2:13" ht="20.100000000000001" customHeight="1" x14ac:dyDescent="0.15">
      <c r="B23" s="858"/>
      <c r="C23" s="880"/>
      <c r="D23" s="886"/>
      <c r="E23" s="157" t="s">
        <v>454</v>
      </c>
      <c r="F23" s="30">
        <f t="shared" si="2"/>
        <v>35553.599999999999</v>
      </c>
      <c r="G23" s="30">
        <f>'７－１　水稲部門（こいもみじ）収支'!F21*'１　対象経営の概要，２　前提条件'!$AB$26</f>
        <v>5585.4</v>
      </c>
      <c r="H23" s="30">
        <f>'７－２　水稲部門（コシヒカリ）収支 '!F21*'１　対象経営の概要，２　前提条件'!$AM$26</f>
        <v>11170.8</v>
      </c>
      <c r="I23" s="30">
        <f>'７－３　水稲部門（あきろまん）収支'!F21*'１　対象経営の概要，２　前提条件'!$AM$27</f>
        <v>5585.4</v>
      </c>
      <c r="J23" s="30">
        <f>IF($J$4=0,"0",'７－４　大豆部門収支'!F21*$J$4)</f>
        <v>8046</v>
      </c>
      <c r="K23" s="30">
        <f>IF($K$4=0,"0",'７－５　麦部門収支 '!F23*$K$4)</f>
        <v>5166</v>
      </c>
      <c r="L23" s="30"/>
      <c r="M23" s="27"/>
    </row>
    <row r="24" spans="2:13" ht="20.100000000000001" customHeight="1" x14ac:dyDescent="0.15">
      <c r="B24" s="858"/>
      <c r="C24" s="880"/>
      <c r="D24" s="884" t="s">
        <v>69</v>
      </c>
      <c r="E24" s="25" t="s">
        <v>70</v>
      </c>
      <c r="F24" s="30">
        <f t="shared" si="2"/>
        <v>875200</v>
      </c>
      <c r="G24" s="30">
        <f>'７－１　水稲部門（こいもみじ）収支'!F22*'１　対象経営の概要，２　前提条件'!$AB$26</f>
        <v>100000</v>
      </c>
      <c r="H24" s="30">
        <f>'７－２　水稲部門（コシヒカリ）収支 '!F22*'１　対象経営の概要，２　前提条件'!$AM$26</f>
        <v>200000</v>
      </c>
      <c r="I24" s="30">
        <f>'７－３　水稲部門（あきろまん）収支'!F22*'１　対象経営の概要，２　前提条件'!$AM$27</f>
        <v>100000</v>
      </c>
      <c r="J24" s="30">
        <f>IF($J$4=0,"0",'７－４　大豆部門収支'!F22*$J$4)</f>
        <v>237600</v>
      </c>
      <c r="K24" s="30">
        <f>IF($K$4=0,"0",'７－５　麦部門収支 '!F24*$K$4)</f>
        <v>237600</v>
      </c>
      <c r="L24" s="30"/>
      <c r="M24" s="27"/>
    </row>
    <row r="25" spans="2:13" ht="20.100000000000001" customHeight="1" x14ac:dyDescent="0.15">
      <c r="B25" s="858"/>
      <c r="C25" s="880"/>
      <c r="D25" s="883"/>
      <c r="E25" s="25" t="s">
        <v>86</v>
      </c>
      <c r="F25" s="26">
        <f t="shared" si="2"/>
        <v>2000000</v>
      </c>
      <c r="G25" s="30">
        <f>'７－１　水稲部門（こいもみじ）収支'!F23*'１　対象経営の概要，２　前提条件'!$AB$26</f>
        <v>250000</v>
      </c>
      <c r="H25" s="30">
        <f>'７－２　水稲部門（コシヒカリ）収支 '!F23*'１　対象経営の概要，２　前提条件'!$AM$26</f>
        <v>500000</v>
      </c>
      <c r="I25" s="30">
        <f>'７－３　水稲部門（あきろまん）収支'!F23*'１　対象経営の概要，２　前提条件'!$AM$27</f>
        <v>250000</v>
      </c>
      <c r="J25" s="30">
        <f>IF($J$4=0,"0",'７－４　大豆部門収支'!F23*$J$4)</f>
        <v>500000</v>
      </c>
      <c r="K25" s="30">
        <f>IF($K$4=0,"0",'７－５　麦部門収支 '!F25*$K$4)</f>
        <v>500000</v>
      </c>
      <c r="L25" s="30"/>
      <c r="M25" s="27"/>
    </row>
    <row r="26" spans="2:13" ht="20.100000000000001" customHeight="1" x14ac:dyDescent="0.15">
      <c r="B26" s="858"/>
      <c r="C26" s="880"/>
      <c r="D26" s="24" t="s">
        <v>71</v>
      </c>
      <c r="E26" s="25"/>
      <c r="F26" s="26">
        <f t="shared" si="2"/>
        <v>1200000</v>
      </c>
      <c r="G26" s="30">
        <f>'７－１　水稲部門（こいもみじ）収支'!F24*'１　対象経営の概要，２　前提条件'!$AB$26</f>
        <v>150000</v>
      </c>
      <c r="H26" s="30">
        <f>'７－２　水稲部門（コシヒカリ）収支 '!F24*'１　対象経営の概要，２　前提条件'!$AM$26</f>
        <v>300000</v>
      </c>
      <c r="I26" s="30">
        <f>'７－３　水稲部門（あきろまん）収支'!F24*'１　対象経営の概要，２　前提条件'!$AM$27</f>
        <v>150000</v>
      </c>
      <c r="J26" s="30">
        <f>IF($J$4=0,"0",'７－４　大豆部門収支'!F24*$J$4)</f>
        <v>300000</v>
      </c>
      <c r="K26" s="30">
        <f>IF($K$4=0,"0",'７－５　麦部門収支 '!F26*$K$4)</f>
        <v>300000</v>
      </c>
      <c r="L26" s="30"/>
      <c r="M26" s="27"/>
    </row>
    <row r="27" spans="2:13" ht="20.100000000000001" customHeight="1" x14ac:dyDescent="0.15">
      <c r="B27" s="858"/>
      <c r="C27" s="880"/>
      <c r="D27" s="24" t="s">
        <v>162</v>
      </c>
      <c r="E27" s="25"/>
      <c r="F27" s="26">
        <f t="shared" si="2"/>
        <v>275412.90445598838</v>
      </c>
      <c r="G27" s="30">
        <f>'７－１　水稲部門（こいもみじ）収支'!F25*'１　対象経営の概要，２　前提条件'!$AB$26</f>
        <v>41766.794260581999</v>
      </c>
      <c r="H27" s="30">
        <f>'７－２　水稲部門（コシヒカリ）収支 '!F25*'１　対象経営の概要，２　前提条件'!$AM$26</f>
        <v>81286.113773689256</v>
      </c>
      <c r="I27" s="30">
        <f>'７－３　水稲部門（あきろまん）収支'!F25*'１　対象経営の概要，２　前提条件'!$AM$27</f>
        <v>43200.364967652706</v>
      </c>
      <c r="J27" s="30">
        <f>IF($J$4=0,"0",'７－４　大豆部門収支'!F25*$J$4)</f>
        <v>56360.192155603654</v>
      </c>
      <c r="K27" s="30">
        <f>IF($K$4=0,"0",'７－５　麦部門収支 '!F27*$K$4)</f>
        <v>52799.439298460798</v>
      </c>
      <c r="L27" s="30"/>
      <c r="M27" s="27"/>
    </row>
    <row r="28" spans="2:13" ht="20.100000000000001" customHeight="1" x14ac:dyDescent="0.15">
      <c r="B28" s="858"/>
      <c r="C28" s="881"/>
      <c r="D28" s="887" t="s">
        <v>196</v>
      </c>
      <c r="E28" s="888"/>
      <c r="F28" s="31">
        <f>SUM(F8:F27)</f>
        <v>27541290.445598848</v>
      </c>
      <c r="G28" s="31">
        <f>SUM(G8:G27)</f>
        <v>4176679.4260581997</v>
      </c>
      <c r="H28" s="31">
        <f>SUM(H8:H27)</f>
        <v>8128611.3773689251</v>
      </c>
      <c r="I28" s="31">
        <f t="shared" ref="I28" si="3">SUM(I8:I27)</f>
        <v>4320036.4967652699</v>
      </c>
      <c r="J28" s="31">
        <f t="shared" ref="J28" si="4">SUM(J8:J27)</f>
        <v>5636019.2155603655</v>
      </c>
      <c r="K28" s="31">
        <f>SUM(K8:K27)</f>
        <v>5279943.929846081</v>
      </c>
      <c r="L28" s="31"/>
      <c r="M28" s="27"/>
    </row>
    <row r="29" spans="2:13" ht="20.100000000000001" customHeight="1" x14ac:dyDescent="0.15">
      <c r="B29" s="858"/>
      <c r="C29" s="877" t="s">
        <v>193</v>
      </c>
      <c r="D29" s="889"/>
      <c r="E29" s="878"/>
      <c r="F29" s="28">
        <f>F7-F28</f>
        <v>-7116290.4455988482</v>
      </c>
      <c r="G29" s="28">
        <f>G7-G28</f>
        <v>113320.57394180028</v>
      </c>
      <c r="H29" s="28">
        <f>H7-H28</f>
        <v>1051388.6226310749</v>
      </c>
      <c r="I29" s="28">
        <f t="shared" ref="I29" si="5">I7-I28</f>
        <v>-30036.496765269898</v>
      </c>
      <c r="J29" s="28">
        <f t="shared" ref="J29" si="6">J7-J28</f>
        <v>-3596019.2155603655</v>
      </c>
      <c r="K29" s="28">
        <f>K7-K28</f>
        <v>-4654943.929846081</v>
      </c>
      <c r="L29" s="28"/>
      <c r="M29" s="27"/>
    </row>
    <row r="30" spans="2:13" ht="20.100000000000001" customHeight="1" x14ac:dyDescent="0.15">
      <c r="B30" s="858"/>
      <c r="C30" s="863" t="s">
        <v>190</v>
      </c>
      <c r="D30" s="892" t="s">
        <v>72</v>
      </c>
      <c r="E30" s="41" t="s">
        <v>3</v>
      </c>
      <c r="F30" s="32">
        <f t="shared" si="2"/>
        <v>440000</v>
      </c>
      <c r="G30" s="30">
        <f>'７－１　水稲部門（こいもみじ）収支'!F27*'１　対象経営の概要，２　前提条件'!$AB$26</f>
        <v>80000</v>
      </c>
      <c r="H30" s="30">
        <f>'７－２　水稲部門（コシヒカリ）収支 '!F27*'１　対象経営の概要，２　前提条件'!$AM$26</f>
        <v>136000</v>
      </c>
      <c r="I30" s="30">
        <f>'７－３　水稲部門（あきろまん）収支'!F27*'１　対象経営の概要，２　前提条件'!$AM$27</f>
        <v>80000</v>
      </c>
      <c r="J30" s="30">
        <f>IF($J$4=0,"0",'７－４　大豆部門収支'!F27*$J$4)</f>
        <v>64000</v>
      </c>
      <c r="K30" s="30">
        <f>IF($K$4=0,"0",'７－５　麦部門収支 '!F29*$K$4)</f>
        <v>80000</v>
      </c>
      <c r="L30" s="30"/>
      <c r="M30" s="27"/>
    </row>
    <row r="31" spans="2:13" ht="20.100000000000001" customHeight="1" x14ac:dyDescent="0.15">
      <c r="B31" s="858"/>
      <c r="C31" s="890"/>
      <c r="D31" s="893"/>
      <c r="E31" s="41" t="s">
        <v>4</v>
      </c>
      <c r="F31" s="32">
        <f t="shared" si="2"/>
        <v>0</v>
      </c>
      <c r="G31" s="30">
        <f>'７－１　水稲部門（こいもみじ）収支'!F28*'１　対象経営の概要，２　前提条件'!$AB$26</f>
        <v>0</v>
      </c>
      <c r="H31" s="30">
        <f>'７－２　水稲部門（コシヒカリ）収支 '!F28*'１　対象経営の概要，２　前提条件'!$AM$26</f>
        <v>0</v>
      </c>
      <c r="I31" s="30">
        <f>'７－３　水稲部門（あきろまん）収支'!F28*'１　対象経営の概要，２　前提条件'!$AM$27</f>
        <v>0</v>
      </c>
      <c r="J31" s="30">
        <f>IF($J$4=0,"0",'７－４　大豆部門収支'!F28*$J$4)</f>
        <v>0</v>
      </c>
      <c r="K31" s="30">
        <f>IF($K$4=0,"0",'７－５　麦部門収支 '!F30*$K$4)</f>
        <v>0</v>
      </c>
      <c r="L31" s="30"/>
      <c r="M31" s="27"/>
    </row>
    <row r="32" spans="2:13" ht="20.100000000000001" customHeight="1" x14ac:dyDescent="0.15">
      <c r="B32" s="858"/>
      <c r="C32" s="890"/>
      <c r="D32" s="894"/>
      <c r="E32" s="41" t="s">
        <v>8</v>
      </c>
      <c r="F32" s="32">
        <f t="shared" si="2"/>
        <v>997500</v>
      </c>
      <c r="G32" s="30">
        <f>'７－１　水稲部門（こいもみじ）収支'!F29*'１　対象経営の概要，２　前提条件'!$AB$26</f>
        <v>25000</v>
      </c>
      <c r="H32" s="30">
        <f>'７－２　水稲部門（コシヒカリ）収支 '!F29*'１　対象経営の概要，２　前提条件'!$AM$26</f>
        <v>212500</v>
      </c>
      <c r="I32" s="30">
        <f>'７－３　水稲部門（あきろまん）収支'!F29*'１　対象経営の概要，２　前提条件'!$AM$27</f>
        <v>25000</v>
      </c>
      <c r="J32" s="30">
        <f>IF($J$4=0,"0",'７－４　大豆部門収支'!F29*$J$4)</f>
        <v>360000</v>
      </c>
      <c r="K32" s="30">
        <f>IF($K$4=0,"0",'７－５　麦部門収支 '!F31*$K$4)</f>
        <v>375000</v>
      </c>
      <c r="L32" s="30"/>
      <c r="M32" s="27"/>
    </row>
    <row r="33" spans="2:13" ht="20.100000000000001" customHeight="1" x14ac:dyDescent="0.15">
      <c r="B33" s="858"/>
      <c r="C33" s="890"/>
      <c r="D33" s="41" t="s">
        <v>73</v>
      </c>
      <c r="E33" s="42"/>
      <c r="F33" s="548">
        <v>0</v>
      </c>
      <c r="G33" s="548">
        <v>0</v>
      </c>
      <c r="H33" s="548">
        <v>0</v>
      </c>
      <c r="I33" s="548">
        <v>0</v>
      </c>
      <c r="J33" s="548">
        <v>0</v>
      </c>
      <c r="K33" s="548">
        <v>0</v>
      </c>
      <c r="L33" s="30"/>
      <c r="M33" s="27"/>
    </row>
    <row r="34" spans="2:13" ht="20.100000000000001" customHeight="1" x14ac:dyDescent="0.15">
      <c r="B34" s="858"/>
      <c r="C34" s="890"/>
      <c r="D34" s="895" t="s">
        <v>248</v>
      </c>
      <c r="E34" s="319" t="s">
        <v>115</v>
      </c>
      <c r="F34" s="548">
        <v>0</v>
      </c>
      <c r="G34" s="548">
        <v>0</v>
      </c>
      <c r="H34" s="548">
        <v>0</v>
      </c>
      <c r="I34" s="548">
        <v>0</v>
      </c>
      <c r="J34" s="548">
        <v>0</v>
      </c>
      <c r="K34" s="548">
        <v>0</v>
      </c>
      <c r="L34" s="30"/>
      <c r="M34" s="27"/>
    </row>
    <row r="35" spans="2:13" ht="20.100000000000001" customHeight="1" x14ac:dyDescent="0.15">
      <c r="B35" s="858"/>
      <c r="C35" s="890"/>
      <c r="D35" s="895"/>
      <c r="E35" s="319" t="s">
        <v>454</v>
      </c>
      <c r="F35" s="548">
        <v>0</v>
      </c>
      <c r="G35" s="548">
        <v>0</v>
      </c>
      <c r="H35" s="548">
        <v>0</v>
      </c>
      <c r="I35" s="548">
        <v>0</v>
      </c>
      <c r="J35" s="548">
        <v>0</v>
      </c>
      <c r="K35" s="548">
        <v>0</v>
      </c>
      <c r="L35" s="30"/>
      <c r="M35" s="27"/>
    </row>
    <row r="36" spans="2:13" ht="20.100000000000001" customHeight="1" x14ac:dyDescent="0.15">
      <c r="B36" s="858"/>
      <c r="C36" s="890"/>
      <c r="D36" s="41" t="s">
        <v>74</v>
      </c>
      <c r="E36" s="42"/>
      <c r="F36" s="548">
        <v>0</v>
      </c>
      <c r="G36" s="548">
        <v>0</v>
      </c>
      <c r="H36" s="548">
        <v>0</v>
      </c>
      <c r="I36" s="548">
        <v>0</v>
      </c>
      <c r="J36" s="548">
        <v>0</v>
      </c>
      <c r="K36" s="548">
        <v>0</v>
      </c>
      <c r="L36" s="30"/>
      <c r="M36" s="27"/>
    </row>
    <row r="37" spans="2:13" ht="20.100000000000001" customHeight="1" x14ac:dyDescent="0.15">
      <c r="B37" s="858"/>
      <c r="C37" s="890"/>
      <c r="D37" s="41" t="s">
        <v>87</v>
      </c>
      <c r="E37" s="42"/>
      <c r="F37" s="548">
        <v>0</v>
      </c>
      <c r="G37" s="548">
        <v>0</v>
      </c>
      <c r="H37" s="548">
        <v>0</v>
      </c>
      <c r="I37" s="548">
        <v>0</v>
      </c>
      <c r="J37" s="548">
        <v>0</v>
      </c>
      <c r="K37" s="548">
        <v>0</v>
      </c>
      <c r="L37" s="30"/>
      <c r="M37" s="27"/>
    </row>
    <row r="38" spans="2:13" ht="20.100000000000001" customHeight="1" x14ac:dyDescent="0.15">
      <c r="B38" s="858"/>
      <c r="C38" s="890"/>
      <c r="D38" s="41" t="s">
        <v>118</v>
      </c>
      <c r="E38" s="42"/>
      <c r="F38" s="26">
        <f t="shared" si="2"/>
        <v>398450</v>
      </c>
      <c r="G38" s="30">
        <f>'７－１　水稲部門（こいもみじ）収支'!F35*'１　対象経営の概要，２　前提条件'!$AB$26</f>
        <v>42125</v>
      </c>
      <c r="H38" s="30">
        <f>'７－２　水稲部門（コシヒカリ）収支 '!F35*'１　対象経営の概要，２　前提条件'!$AM$26</f>
        <v>84250</v>
      </c>
      <c r="I38" s="30">
        <f>'７－３　水稲部門（あきろまん）収支'!F35*'１　対象経営の概要，２　前提条件'!$AM$27</f>
        <v>42125</v>
      </c>
      <c r="J38" s="30" t="str">
        <f>IF(J37=0,"0",'７－４　大豆部門収支'!F35*$J$4)</f>
        <v>0</v>
      </c>
      <c r="K38" s="30">
        <f>IF($K$4=0,"0",'７－４　大豆部門収支'!F35*$K$4)</f>
        <v>229950</v>
      </c>
      <c r="L38" s="30"/>
      <c r="M38" s="27"/>
    </row>
    <row r="39" spans="2:13" ht="20.100000000000001" customHeight="1" x14ac:dyDescent="0.15">
      <c r="B39" s="858"/>
      <c r="C39" s="890"/>
      <c r="D39" s="41" t="s">
        <v>88</v>
      </c>
      <c r="E39" s="42"/>
      <c r="F39" s="26">
        <f t="shared" si="2"/>
        <v>0</v>
      </c>
      <c r="G39" s="30">
        <f>'７－１　水稲部門（こいもみじ）収支'!F36*'１　対象経営の概要，２　前提条件'!$AB$26</f>
        <v>0</v>
      </c>
      <c r="H39" s="30">
        <f>'７－２　水稲部門（コシヒカリ）収支 '!F36*'１　対象経営の概要，２　前提条件'!$AM$26</f>
        <v>0</v>
      </c>
      <c r="I39" s="30">
        <f>'７－３　水稲部門（あきろまん）収支'!F36*'１　対象経営の概要，２　前提条件'!$AM$27</f>
        <v>0</v>
      </c>
      <c r="J39" s="30">
        <f>IF($J$4=0,"0",'７－４　大豆部門収支'!F36*$J$4)</f>
        <v>0</v>
      </c>
      <c r="K39" s="30">
        <f>IF($K$4=0,"0",'７－５　麦部門収支 '!F38*$K$4)</f>
        <v>0</v>
      </c>
      <c r="L39" s="30"/>
      <c r="M39" s="27"/>
    </row>
    <row r="40" spans="2:13" ht="20.100000000000001" customHeight="1" x14ac:dyDescent="0.15">
      <c r="B40" s="858"/>
      <c r="C40" s="890"/>
      <c r="D40" s="41" t="s">
        <v>75</v>
      </c>
      <c r="E40" s="42"/>
      <c r="F40" s="26">
        <f t="shared" si="2"/>
        <v>313336.55000000005</v>
      </c>
      <c r="G40" s="30">
        <f>'７－１　水稲部門（こいもみじ）収支'!F37*'１　対象経営の概要，２　前提条件'!$AB$26</f>
        <v>26438.4375</v>
      </c>
      <c r="H40" s="30">
        <f>'７－２　水稲部門（コシヒカリ）収支 '!F37*'１　対象経営の概要，２　前提条件'!$AM$26</f>
        <v>52876.875</v>
      </c>
      <c r="I40" s="30">
        <f>'７－３　水稲部門（あきろまん）収支'!F37*'１　対象経営の概要，２　前提条件'!$AM$27</f>
        <v>26438.4375</v>
      </c>
      <c r="J40" s="30">
        <f>IF($J$4=0,"0",'７－４　大豆部門収支'!F37*$J$4)</f>
        <v>96754.400000000009</v>
      </c>
      <c r="K40" s="30">
        <f>IF($K$4=0,"0",'７－５　麦部門収支 '!F39*$K$4)</f>
        <v>110828.4</v>
      </c>
      <c r="L40" s="30"/>
      <c r="M40" s="27"/>
    </row>
    <row r="41" spans="2:13" ht="20.100000000000001" customHeight="1" x14ac:dyDescent="0.15">
      <c r="B41" s="858"/>
      <c r="C41" s="890"/>
      <c r="D41" s="41" t="s">
        <v>0</v>
      </c>
      <c r="E41" s="42"/>
      <c r="F41" s="26"/>
      <c r="G41" s="30">
        <f>'７－１　水稲部門（こいもみじ）収支'!F38*'１　対象経営の概要，２　前提条件'!$AB$26</f>
        <v>0</v>
      </c>
      <c r="H41" s="30">
        <f>'７－２　水稲部門（コシヒカリ）収支 '!F38*'１　対象経営の概要，２　前提条件'!$AM$26</f>
        <v>0</v>
      </c>
      <c r="I41" s="30">
        <f>'７－３　水稲部門（あきろまん）収支'!F38*'１　対象経営の概要，２　前提条件'!$AM$27</f>
        <v>0</v>
      </c>
      <c r="J41" s="30">
        <f>IF($J$4=0,"0",'７－４　大豆部門収支'!F38*$J$4)</f>
        <v>0</v>
      </c>
      <c r="K41" s="30">
        <f>IF($K$4=0,"0",'７－５　麦部門収支 '!F40*$K$4)</f>
        <v>0</v>
      </c>
      <c r="L41" s="30"/>
      <c r="M41" s="27"/>
    </row>
    <row r="42" spans="2:13" ht="20.100000000000001" customHeight="1" thickBot="1" x14ac:dyDescent="0.2">
      <c r="B42" s="873"/>
      <c r="C42" s="891"/>
      <c r="D42" s="864" t="s">
        <v>194</v>
      </c>
      <c r="E42" s="866"/>
      <c r="F42" s="34">
        <f t="shared" si="2"/>
        <v>2149286.5499999998</v>
      </c>
      <c r="G42" s="34">
        <f t="shared" ref="G42:I42" si="7">SUM(G30:G41)</f>
        <v>173563.4375</v>
      </c>
      <c r="H42" s="34">
        <f t="shared" si="7"/>
        <v>485626.875</v>
      </c>
      <c r="I42" s="34">
        <f t="shared" si="7"/>
        <v>173563.4375</v>
      </c>
      <c r="J42" s="34">
        <f>SUM(J30:J41)</f>
        <v>520754.4</v>
      </c>
      <c r="K42" s="34">
        <f t="shared" ref="K42" si="8">SUM(K30:K41)</f>
        <v>795778.4</v>
      </c>
      <c r="L42" s="34"/>
      <c r="M42" s="35"/>
    </row>
    <row r="43" spans="2:13" ht="20.100000000000001" customHeight="1" thickBot="1" x14ac:dyDescent="0.2">
      <c r="B43" s="855" t="s">
        <v>197</v>
      </c>
      <c r="C43" s="856"/>
      <c r="D43" s="856"/>
      <c r="E43" s="856"/>
      <c r="F43" s="36">
        <f t="shared" si="2"/>
        <v>-9265576.9955988415</v>
      </c>
      <c r="G43" s="245">
        <f t="shared" ref="G43:I43" si="9">G29-G42</f>
        <v>-60242.863558199722</v>
      </c>
      <c r="H43" s="245">
        <f t="shared" si="9"/>
        <v>565761.74763107486</v>
      </c>
      <c r="I43" s="245">
        <f t="shared" si="9"/>
        <v>-203599.9342652699</v>
      </c>
      <c r="J43" s="245">
        <f>J29-J42</f>
        <v>-4116773.6155603654</v>
      </c>
      <c r="K43" s="36">
        <f t="shared" ref="K43" si="10">K29-K42</f>
        <v>-5450722.3298460813</v>
      </c>
      <c r="L43" s="245"/>
      <c r="M43" s="37"/>
    </row>
    <row r="44" spans="2:13" ht="20.100000000000001" customHeight="1" x14ac:dyDescent="0.15">
      <c r="B44" s="857" t="s">
        <v>89</v>
      </c>
      <c r="C44" s="860" t="s">
        <v>198</v>
      </c>
      <c r="D44" s="473" t="s">
        <v>117</v>
      </c>
      <c r="E44" s="474"/>
      <c r="F44" s="475">
        <f t="shared" si="2"/>
        <v>17101500</v>
      </c>
      <c r="G44" s="471">
        <f>'７－１　水稲部門（こいもみじ）収支'!F40*'１　対象経営の概要，２　前提条件'!$AB$26-7500</f>
        <v>367500</v>
      </c>
      <c r="H44" s="22">
        <f>'７－２　水稲部門（コシヒカリ）収支 '!F40*'１　対象経営の概要，２　前提条件'!$AM$26</f>
        <v>750000</v>
      </c>
      <c r="I44" s="471">
        <f>'７－３　水稲部門（あきろまん）収支'!F40*'１　対象経営の概要，２　前提条件'!$AM$27</f>
        <v>375000</v>
      </c>
      <c r="J44" s="22">
        <f>IF($J$4=0,"0",'７－４　大豆部門収支'!F40*$J$4)</f>
        <v>8764000</v>
      </c>
      <c r="K44" s="38">
        <f>IF($K$4=0,"0",'７－５　麦部門収支 '!F42*$K$4)</f>
        <v>6845000</v>
      </c>
      <c r="L44" s="244"/>
      <c r="M44" s="23"/>
    </row>
    <row r="45" spans="2:13" ht="20.100000000000001" customHeight="1" x14ac:dyDescent="0.15">
      <c r="B45" s="858"/>
      <c r="C45" s="861"/>
      <c r="D45" s="24" t="s">
        <v>116</v>
      </c>
      <c r="E45" s="25"/>
      <c r="F45" s="39">
        <f t="shared" si="2"/>
        <v>0</v>
      </c>
      <c r="G45" s="471">
        <f>'７－１　水稲部門（こいもみじ）収支'!F41*'１　対象経営の概要，２　前提条件'!$AB$26</f>
        <v>0</v>
      </c>
      <c r="H45" s="283">
        <f>'７－２　水稲部門（コシヒカリ）収支 '!F41*'１　対象経営の概要，２　前提条件'!$AM$26</f>
        <v>0</v>
      </c>
      <c r="I45" s="283">
        <f>'７－３　水稲部門（あきろまん）収支'!F41*'１　対象経営の概要，２　前提条件'!$AM$27</f>
        <v>0</v>
      </c>
      <c r="J45" s="283">
        <f>IF($J$4=0,"0",'７－４　大豆部門収支'!F41*$J$4)</f>
        <v>0</v>
      </c>
      <c r="K45" s="26">
        <f>IF($K$4=0,"0",'７－５　麦部門収支 '!F43*$K$4)</f>
        <v>0</v>
      </c>
      <c r="L45" s="30"/>
      <c r="M45" s="40"/>
    </row>
    <row r="46" spans="2:13" ht="20.100000000000001" customHeight="1" x14ac:dyDescent="0.15">
      <c r="B46" s="858"/>
      <c r="C46" s="862"/>
      <c r="D46" s="41" t="s">
        <v>76</v>
      </c>
      <c r="E46" s="25"/>
      <c r="F46" s="39">
        <f t="shared" si="2"/>
        <v>0</v>
      </c>
      <c r="G46" s="471">
        <f>'７－１　水稲部門（こいもみじ）収支'!F42*'１　対象経営の概要，２　前提条件'!$AB$26</f>
        <v>0</v>
      </c>
      <c r="H46" s="283">
        <f>'７－２　水稲部門（コシヒカリ）収支 '!F42*'１　対象経営の概要，２　前提条件'!$AM$26</f>
        <v>0</v>
      </c>
      <c r="I46" s="283">
        <f>'７－３　水稲部門（あきろまん）収支'!F42*'１　対象経営の概要，２　前提条件'!$AM$27</f>
        <v>0</v>
      </c>
      <c r="J46" s="283">
        <f>IF($J$4=0,"0",'７－４　大豆部門収支'!F42*$J$4)</f>
        <v>0</v>
      </c>
      <c r="K46" s="26">
        <f>IF($K$4=0,"0",'７－５　麦部門収支 '!F44*$K$4)</f>
        <v>0</v>
      </c>
      <c r="L46" s="30"/>
      <c r="M46" s="27"/>
    </row>
    <row r="47" spans="2:13" ht="20.100000000000001" customHeight="1" x14ac:dyDescent="0.15">
      <c r="B47" s="858"/>
      <c r="C47" s="862" t="s">
        <v>477</v>
      </c>
      <c r="D47" s="41" t="s">
        <v>249</v>
      </c>
      <c r="E47" s="42"/>
      <c r="F47" s="39">
        <f t="shared" si="2"/>
        <v>0</v>
      </c>
      <c r="G47" s="471">
        <f>'７－１　水稲部門（こいもみじ）収支'!F43*'１　対象経営の概要，２　前提条件'!$AB$26</f>
        <v>0</v>
      </c>
      <c r="H47" s="283">
        <f>'７－２　水稲部門（コシヒカリ）収支 '!F43*'１　対象経営の概要，２　前提条件'!$AM$26</f>
        <v>0</v>
      </c>
      <c r="I47" s="283">
        <f>'７－３　水稲部門（あきろまん）収支'!F43*'１　対象経営の概要，２　前提条件'!$AM$27</f>
        <v>0</v>
      </c>
      <c r="J47" s="283">
        <f>IF($J$4=0,"0",'７－４　大豆部門収支'!F43*$J$4)</f>
        <v>0</v>
      </c>
      <c r="K47" s="26">
        <f>IF($K$4=0,"0",'７－５　麦部門収支 '!F45*$K$4)</f>
        <v>0</v>
      </c>
      <c r="L47" s="30"/>
      <c r="M47" s="40"/>
    </row>
    <row r="48" spans="2:13" ht="20.100000000000001" customHeight="1" x14ac:dyDescent="0.15">
      <c r="B48" s="858"/>
      <c r="C48" s="863"/>
      <c r="D48" s="441" t="s">
        <v>1</v>
      </c>
      <c r="E48" s="442"/>
      <c r="F48" s="476">
        <f t="shared" si="2"/>
        <v>0</v>
      </c>
      <c r="G48" s="471">
        <f>'７－１　水稲部門（こいもみじ）収支'!F44*'１　対象経営の概要，２　前提条件'!$AB$26</f>
        <v>0</v>
      </c>
      <c r="H48" s="283">
        <f>'７－２　水稲部門（コシヒカリ）収支 '!F44*'１　対象経営の概要，２　前提条件'!$AM$26</f>
        <v>0</v>
      </c>
      <c r="I48" s="283">
        <f>'７－３　水稲部門（あきろまん）収支'!F44*'１　対象経営の概要，２　前提条件'!$AM$27</f>
        <v>0</v>
      </c>
      <c r="J48" s="283">
        <f>IF($J$4=0,"0",'７－４　大豆部門収支'!F44*$J$4)</f>
        <v>0</v>
      </c>
      <c r="K48" s="26">
        <f>IF($K$4=0,"0",'７－５　麦部門収支 '!F46*$K$4)</f>
        <v>0</v>
      </c>
      <c r="L48" s="30"/>
      <c r="M48" s="45"/>
    </row>
    <row r="49" spans="2:13" ht="20.100000000000001" customHeight="1" thickBot="1" x14ac:dyDescent="0.2">
      <c r="B49" s="859"/>
      <c r="C49" s="864" t="s">
        <v>199</v>
      </c>
      <c r="D49" s="865"/>
      <c r="E49" s="866"/>
      <c r="F49" s="46">
        <f t="shared" si="2"/>
        <v>17101500</v>
      </c>
      <c r="G49" s="46">
        <f t="shared" ref="G49:I49" si="11">SUM(G44:G46)-SUM(G47:G48)</f>
        <v>367500</v>
      </c>
      <c r="H49" s="46">
        <f t="shared" si="11"/>
        <v>750000</v>
      </c>
      <c r="I49" s="46">
        <f t="shared" si="11"/>
        <v>375000</v>
      </c>
      <c r="J49" s="46">
        <f t="shared" ref="J49:K49" si="12">SUM(J44:J46)-SUM(J47:J48)</f>
        <v>8764000</v>
      </c>
      <c r="K49" s="46">
        <f t="shared" si="12"/>
        <v>6845000</v>
      </c>
      <c r="L49" s="46"/>
      <c r="M49" s="35"/>
    </row>
    <row r="50" spans="2:13" ht="20.100000000000001" customHeight="1" x14ac:dyDescent="0.15">
      <c r="B50" s="853" t="s">
        <v>200</v>
      </c>
      <c r="C50" s="854"/>
      <c r="D50" s="854"/>
      <c r="E50" s="854"/>
      <c r="F50" s="472">
        <f t="shared" si="2"/>
        <v>7835923.0044011576</v>
      </c>
      <c r="G50" s="472">
        <f t="shared" ref="G50:I50" si="13">G43+G49</f>
        <v>307257.13644180028</v>
      </c>
      <c r="H50" s="472">
        <f t="shared" si="13"/>
        <v>1315761.7476310749</v>
      </c>
      <c r="I50" s="472">
        <f t="shared" si="13"/>
        <v>171400.0657347301</v>
      </c>
      <c r="J50" s="284">
        <f>J43+J49</f>
        <v>4647226.3844396342</v>
      </c>
      <c r="K50" s="47">
        <f t="shared" ref="K50" si="14">K43+K49</f>
        <v>1394277.6701539187</v>
      </c>
      <c r="L50" s="47"/>
      <c r="M50" s="40"/>
    </row>
  </sheetData>
  <mergeCells count="22">
    <mergeCell ref="B3:E4"/>
    <mergeCell ref="M3:M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  <mergeCell ref="B50:E50"/>
    <mergeCell ref="B43:E43"/>
    <mergeCell ref="B44:B49"/>
    <mergeCell ref="C44:C46"/>
    <mergeCell ref="C47:C48"/>
    <mergeCell ref="C49:E49"/>
  </mergeCells>
  <phoneticPr fontId="4"/>
  <pageMargins left="1.1811023622047245" right="0.78740157480314965" top="0.78740157480314965" bottom="0.78740157480314965" header="0.39370078740157483" footer="0.39370078740157483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43" width="0" style="49" hidden="1" customWidth="1"/>
    <col min="44" max="16384" width="9" style="49"/>
  </cols>
  <sheetData>
    <row r="1" spans="2:62" ht="9.9499999999999993" customHeight="1" x14ac:dyDescent="0.15"/>
    <row r="2" spans="2:62" ht="24.95" customHeight="1" thickBot="1" x14ac:dyDescent="0.2">
      <c r="B2" s="5" t="s">
        <v>119</v>
      </c>
      <c r="C2" s="5"/>
      <c r="D2" s="5"/>
      <c r="E2" s="5"/>
      <c r="F2" s="5"/>
      <c r="G2" s="5"/>
      <c r="H2" s="5"/>
      <c r="I2" s="5"/>
      <c r="J2" s="5"/>
      <c r="K2" s="249" t="s">
        <v>237</v>
      </c>
      <c r="L2" s="896" t="s">
        <v>391</v>
      </c>
      <c r="M2" s="896"/>
      <c r="N2" s="249" t="s">
        <v>238</v>
      </c>
      <c r="O2" s="80" t="s">
        <v>239</v>
      </c>
      <c r="P2" s="5"/>
      <c r="Q2" s="5"/>
      <c r="R2" s="5"/>
      <c r="S2" s="5"/>
      <c r="T2" s="5"/>
      <c r="U2" s="5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907" t="s">
        <v>581</v>
      </c>
      <c r="C3" s="899">
        <v>1</v>
      </c>
      <c r="D3" s="900"/>
      <c r="E3" s="901"/>
      <c r="F3" s="899">
        <v>2</v>
      </c>
      <c r="G3" s="900"/>
      <c r="H3" s="901"/>
      <c r="I3" s="899">
        <v>3</v>
      </c>
      <c r="J3" s="900"/>
      <c r="K3" s="901"/>
      <c r="L3" s="899">
        <v>4</v>
      </c>
      <c r="M3" s="900"/>
      <c r="N3" s="901"/>
      <c r="O3" s="899">
        <v>5</v>
      </c>
      <c r="P3" s="900"/>
      <c r="Q3" s="901"/>
      <c r="R3" s="899">
        <v>6</v>
      </c>
      <c r="S3" s="900"/>
      <c r="T3" s="901"/>
      <c r="U3" s="899">
        <v>7</v>
      </c>
      <c r="V3" s="900"/>
      <c r="W3" s="901"/>
      <c r="X3" s="899">
        <v>8</v>
      </c>
      <c r="Y3" s="900"/>
      <c r="Z3" s="901"/>
      <c r="AA3" s="899">
        <v>9</v>
      </c>
      <c r="AB3" s="900"/>
      <c r="AC3" s="901"/>
      <c r="AD3" s="899">
        <v>10</v>
      </c>
      <c r="AE3" s="900"/>
      <c r="AF3" s="901"/>
      <c r="AG3" s="899">
        <v>11</v>
      </c>
      <c r="AH3" s="900"/>
      <c r="AI3" s="901"/>
      <c r="AJ3" s="899">
        <v>12</v>
      </c>
      <c r="AK3" s="900"/>
      <c r="AL3" s="901"/>
      <c r="AM3" s="902" t="s">
        <v>34</v>
      </c>
      <c r="AO3" s="49" t="s">
        <v>582</v>
      </c>
      <c r="AP3" s="49" t="s">
        <v>300</v>
      </c>
      <c r="AQ3" s="49" t="s">
        <v>25</v>
      </c>
    </row>
    <row r="4" spans="2:62" ht="20.100000000000001" customHeight="1" x14ac:dyDescent="0.15">
      <c r="B4" s="906"/>
      <c r="C4" s="390" t="s">
        <v>35</v>
      </c>
      <c r="D4" s="71" t="s">
        <v>36</v>
      </c>
      <c r="E4" s="494" t="s">
        <v>37</v>
      </c>
      <c r="F4" s="390" t="s">
        <v>35</v>
      </c>
      <c r="G4" s="494" t="s">
        <v>36</v>
      </c>
      <c r="H4" s="494" t="s">
        <v>37</v>
      </c>
      <c r="I4" s="390" t="s">
        <v>35</v>
      </c>
      <c r="J4" s="494" t="s">
        <v>36</v>
      </c>
      <c r="K4" s="494" t="s">
        <v>37</v>
      </c>
      <c r="L4" s="390" t="s">
        <v>35</v>
      </c>
      <c r="M4" s="494" t="s">
        <v>36</v>
      </c>
      <c r="N4" s="494" t="s">
        <v>37</v>
      </c>
      <c r="O4" s="390" t="s">
        <v>35</v>
      </c>
      <c r="P4" s="494" t="s">
        <v>36</v>
      </c>
      <c r="Q4" s="494" t="s">
        <v>37</v>
      </c>
      <c r="R4" s="390" t="s">
        <v>35</v>
      </c>
      <c r="S4" s="495" t="s">
        <v>36</v>
      </c>
      <c r="T4" s="495" t="s">
        <v>37</v>
      </c>
      <c r="U4" s="390" t="s">
        <v>35</v>
      </c>
      <c r="V4" s="494" t="s">
        <v>36</v>
      </c>
      <c r="W4" s="494" t="s">
        <v>37</v>
      </c>
      <c r="X4" s="390" t="s">
        <v>35</v>
      </c>
      <c r="Y4" s="494" t="s">
        <v>36</v>
      </c>
      <c r="Z4" s="494" t="s">
        <v>37</v>
      </c>
      <c r="AA4" s="390" t="s">
        <v>35</v>
      </c>
      <c r="AB4" s="494" t="s">
        <v>36</v>
      </c>
      <c r="AC4" s="494" t="s">
        <v>37</v>
      </c>
      <c r="AD4" s="390" t="s">
        <v>35</v>
      </c>
      <c r="AE4" s="494" t="s">
        <v>36</v>
      </c>
      <c r="AF4" s="494" t="s">
        <v>37</v>
      </c>
      <c r="AG4" s="390" t="s">
        <v>35</v>
      </c>
      <c r="AH4" s="494" t="s">
        <v>36</v>
      </c>
      <c r="AI4" s="494" t="s">
        <v>37</v>
      </c>
      <c r="AJ4" s="390" t="s">
        <v>35</v>
      </c>
      <c r="AK4" s="494" t="s">
        <v>36</v>
      </c>
      <c r="AL4" s="494" t="s">
        <v>37</v>
      </c>
      <c r="AM4" s="903"/>
    </row>
    <row r="5" spans="2:62" ht="20.100000000000001" customHeight="1" x14ac:dyDescent="0.15">
      <c r="B5" s="904" t="s">
        <v>583</v>
      </c>
      <c r="C5" s="72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5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3"/>
    </row>
    <row r="6" spans="2:62" ht="20.100000000000001" customHeight="1" x14ac:dyDescent="0.15">
      <c r="B6" s="905"/>
      <c r="C6" s="72"/>
      <c r="D6" s="5"/>
      <c r="E6" s="5"/>
      <c r="F6" s="5"/>
      <c r="G6" s="5"/>
      <c r="H6" s="5"/>
      <c r="I6" s="5"/>
      <c r="J6" s="5"/>
      <c r="K6" s="5"/>
      <c r="M6" s="5"/>
      <c r="N6" s="531" t="s">
        <v>284</v>
      </c>
      <c r="O6" s="2"/>
      <c r="P6" s="5"/>
      <c r="Q6" s="5"/>
      <c r="R6" s="5"/>
      <c r="S6" s="5"/>
      <c r="T6" s="5"/>
      <c r="U6" s="5"/>
      <c r="V6" s="5"/>
      <c r="W6" s="5"/>
      <c r="X6" s="5"/>
      <c r="Y6" s="5"/>
      <c r="Z6" s="897" t="s">
        <v>291</v>
      </c>
      <c r="AA6" s="898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73"/>
    </row>
    <row r="7" spans="2:62" ht="20.100000000000001" customHeight="1" x14ac:dyDescent="0.15">
      <c r="B7" s="906"/>
      <c r="C7" s="39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33"/>
    </row>
    <row r="8" spans="2:62" ht="20.100000000000001" customHeight="1" x14ac:dyDescent="0.15">
      <c r="B8" s="506" t="s">
        <v>281</v>
      </c>
      <c r="C8" s="392"/>
      <c r="D8" s="507"/>
      <c r="E8" s="507"/>
      <c r="F8" s="392"/>
      <c r="G8" s="507"/>
      <c r="H8" s="507"/>
      <c r="I8" s="392"/>
      <c r="J8" s="507"/>
      <c r="K8" s="507">
        <v>3.2</v>
      </c>
      <c r="L8" s="392"/>
      <c r="M8" s="507"/>
      <c r="N8" s="507"/>
      <c r="O8" s="392"/>
      <c r="P8" s="507"/>
      <c r="Q8" s="507"/>
      <c r="R8" s="392"/>
      <c r="S8" s="507"/>
      <c r="T8" s="507"/>
      <c r="U8" s="392"/>
      <c r="V8" s="507"/>
      <c r="W8" s="507"/>
      <c r="X8" s="392"/>
      <c r="Y8" s="507"/>
      <c r="Z8" s="507"/>
      <c r="AA8" s="392"/>
      <c r="AB8" s="507"/>
      <c r="AC8" s="507"/>
      <c r="AD8" s="392"/>
      <c r="AE8" s="507"/>
      <c r="AF8" s="507"/>
      <c r="AG8" s="392"/>
      <c r="AH8" s="507"/>
      <c r="AI8" s="507"/>
      <c r="AJ8" s="392"/>
      <c r="AK8" s="507"/>
      <c r="AL8" s="507"/>
      <c r="AM8" s="393">
        <f>SUM(C8:AL8)</f>
        <v>3.2</v>
      </c>
      <c r="AO8" s="314"/>
      <c r="AP8" s="314">
        <v>3.2</v>
      </c>
      <c r="AQ8" s="315">
        <v>3.2</v>
      </c>
      <c r="AS8" s="50"/>
      <c r="AT8" s="50"/>
      <c r="AU8" s="50"/>
    </row>
    <row r="9" spans="2:62" ht="20.100000000000001" customHeight="1" x14ac:dyDescent="0.15">
      <c r="B9" s="506" t="s">
        <v>282</v>
      </c>
      <c r="C9" s="392"/>
      <c r="D9" s="507"/>
      <c r="E9" s="507"/>
      <c r="F9" s="392"/>
      <c r="G9" s="507"/>
      <c r="H9" s="507"/>
      <c r="I9" s="392"/>
      <c r="J9" s="507"/>
      <c r="K9" s="507">
        <v>1.2</v>
      </c>
      <c r="L9" s="392">
        <v>5.3</v>
      </c>
      <c r="M9" s="507">
        <v>5.3</v>
      </c>
      <c r="N9" s="507">
        <v>2.2000000000000002</v>
      </c>
      <c r="O9" s="392"/>
      <c r="P9" s="507"/>
      <c r="Q9" s="507"/>
      <c r="R9" s="392"/>
      <c r="S9" s="507"/>
      <c r="T9" s="507"/>
      <c r="U9" s="392"/>
      <c r="V9" s="507"/>
      <c r="W9" s="507"/>
      <c r="X9" s="392"/>
      <c r="Y9" s="507"/>
      <c r="Z9" s="507"/>
      <c r="AA9" s="392"/>
      <c r="AB9" s="507"/>
      <c r="AC9" s="507"/>
      <c r="AD9" s="392"/>
      <c r="AE9" s="507"/>
      <c r="AF9" s="507"/>
      <c r="AG9" s="392"/>
      <c r="AH9" s="507"/>
      <c r="AI9" s="507"/>
      <c r="AJ9" s="392"/>
      <c r="AK9" s="507"/>
      <c r="AL9" s="507"/>
      <c r="AM9" s="393">
        <f t="shared" ref="AM9:AM33" si="0">SUM(C9:AL9)</f>
        <v>14</v>
      </c>
      <c r="AO9" s="314"/>
      <c r="AP9" s="314">
        <v>14</v>
      </c>
      <c r="AQ9" s="315">
        <v>14</v>
      </c>
      <c r="AS9" s="50"/>
      <c r="AT9" s="50"/>
      <c r="AU9" s="50"/>
    </row>
    <row r="10" spans="2:62" ht="20.100000000000001" customHeight="1" x14ac:dyDescent="0.15">
      <c r="B10" s="506" t="s">
        <v>283</v>
      </c>
      <c r="C10" s="392"/>
      <c r="D10" s="507"/>
      <c r="E10" s="507"/>
      <c r="F10" s="392"/>
      <c r="G10" s="507">
        <v>1.9</v>
      </c>
      <c r="H10" s="507">
        <v>1.9</v>
      </c>
      <c r="I10" s="392">
        <v>1.9</v>
      </c>
      <c r="J10" s="507">
        <v>1.9</v>
      </c>
      <c r="K10" s="507"/>
      <c r="L10" s="392"/>
      <c r="M10" s="507"/>
      <c r="N10" s="507"/>
      <c r="O10" s="392"/>
      <c r="P10" s="507"/>
      <c r="Q10" s="507"/>
      <c r="R10" s="392"/>
      <c r="S10" s="507"/>
      <c r="T10" s="507"/>
      <c r="U10" s="392"/>
      <c r="V10" s="507"/>
      <c r="W10" s="507"/>
      <c r="X10" s="392"/>
      <c r="Y10" s="507"/>
      <c r="Z10" s="507"/>
      <c r="AA10" s="392"/>
      <c r="AB10" s="507"/>
      <c r="AC10" s="507"/>
      <c r="AD10" s="392"/>
      <c r="AE10" s="507"/>
      <c r="AF10" s="507"/>
      <c r="AG10" s="392"/>
      <c r="AH10" s="507">
        <v>2.4</v>
      </c>
      <c r="AI10" s="507">
        <v>2.4</v>
      </c>
      <c r="AJ10" s="392">
        <v>2.2999999999999998</v>
      </c>
      <c r="AK10" s="507"/>
      <c r="AL10" s="507"/>
      <c r="AM10" s="393">
        <f>SUM(C10:AL10)</f>
        <v>14.7</v>
      </c>
      <c r="AO10" s="314">
        <v>14.7</v>
      </c>
      <c r="AP10" s="314"/>
      <c r="AQ10" s="315">
        <v>14.7</v>
      </c>
      <c r="AS10" s="50"/>
      <c r="AT10" s="50"/>
      <c r="AU10" s="50"/>
    </row>
    <row r="11" spans="2:62" ht="20.100000000000001" customHeight="1" x14ac:dyDescent="0.15">
      <c r="B11" s="506" t="s">
        <v>262</v>
      </c>
      <c r="C11" s="392"/>
      <c r="D11" s="507"/>
      <c r="E11" s="507"/>
      <c r="F11" s="392"/>
      <c r="G11" s="507"/>
      <c r="H11" s="507"/>
      <c r="I11" s="392"/>
      <c r="J11" s="507"/>
      <c r="K11" s="507"/>
      <c r="L11" s="392">
        <v>2.5</v>
      </c>
      <c r="M11" s="507">
        <v>2.5</v>
      </c>
      <c r="N11" s="507"/>
      <c r="O11" s="392"/>
      <c r="P11" s="507"/>
      <c r="Q11" s="507"/>
      <c r="R11" s="392"/>
      <c r="S11" s="507"/>
      <c r="T11" s="507"/>
      <c r="U11" s="392"/>
      <c r="V11" s="507"/>
      <c r="W11" s="507"/>
      <c r="X11" s="392"/>
      <c r="Y11" s="507"/>
      <c r="Z11" s="507"/>
      <c r="AA11" s="392"/>
      <c r="AB11" s="507"/>
      <c r="AC11" s="507"/>
      <c r="AD11" s="392"/>
      <c r="AE11" s="507"/>
      <c r="AF11" s="507"/>
      <c r="AG11" s="392"/>
      <c r="AH11" s="507"/>
      <c r="AI11" s="507"/>
      <c r="AJ11" s="392"/>
      <c r="AK11" s="507"/>
      <c r="AL11" s="507"/>
      <c r="AM11" s="393">
        <f t="shared" si="0"/>
        <v>5</v>
      </c>
      <c r="AO11" s="314">
        <v>5</v>
      </c>
      <c r="AP11" s="314"/>
      <c r="AQ11" s="315">
        <v>5</v>
      </c>
      <c r="AS11" s="50"/>
      <c r="AT11" s="50"/>
      <c r="AU11" s="50"/>
    </row>
    <row r="12" spans="2:62" ht="20.100000000000001" customHeight="1" x14ac:dyDescent="0.15">
      <c r="B12" s="506" t="s">
        <v>284</v>
      </c>
      <c r="C12" s="392"/>
      <c r="D12" s="507"/>
      <c r="E12" s="507"/>
      <c r="F12" s="392"/>
      <c r="G12" s="507"/>
      <c r="H12" s="507"/>
      <c r="I12" s="392"/>
      <c r="J12" s="507"/>
      <c r="K12" s="507"/>
      <c r="L12" s="392"/>
      <c r="M12" s="507"/>
      <c r="N12" s="507">
        <v>17.600000000000001</v>
      </c>
      <c r="O12" s="392"/>
      <c r="P12" s="507"/>
      <c r="Q12" s="507"/>
      <c r="R12" s="392"/>
      <c r="S12" s="507"/>
      <c r="T12" s="507"/>
      <c r="U12" s="392"/>
      <c r="V12" s="507"/>
      <c r="W12" s="507"/>
      <c r="X12" s="392"/>
      <c r="Y12" s="507"/>
      <c r="Z12" s="507"/>
      <c r="AA12" s="392"/>
      <c r="AB12" s="507"/>
      <c r="AC12" s="507"/>
      <c r="AD12" s="392"/>
      <c r="AE12" s="507"/>
      <c r="AF12" s="507"/>
      <c r="AG12" s="392"/>
      <c r="AH12" s="507"/>
      <c r="AI12" s="507"/>
      <c r="AJ12" s="392"/>
      <c r="AK12" s="507"/>
      <c r="AL12" s="507"/>
      <c r="AM12" s="393">
        <f t="shared" si="0"/>
        <v>17.600000000000001</v>
      </c>
      <c r="AO12" s="314">
        <v>4.4000000000000004</v>
      </c>
      <c r="AP12" s="314">
        <v>13.200000000000001</v>
      </c>
      <c r="AQ12" s="315">
        <v>17.600000000000001</v>
      </c>
      <c r="AS12" s="50"/>
      <c r="AT12" s="50"/>
      <c r="AU12" s="50"/>
    </row>
    <row r="13" spans="2:62" ht="20.100000000000001" customHeight="1" x14ac:dyDescent="0.15">
      <c r="B13" s="506" t="s">
        <v>285</v>
      </c>
      <c r="C13" s="392"/>
      <c r="D13" s="507"/>
      <c r="E13" s="507"/>
      <c r="F13" s="392"/>
      <c r="G13" s="507"/>
      <c r="H13" s="507"/>
      <c r="I13" s="392"/>
      <c r="J13" s="507"/>
      <c r="K13" s="507"/>
      <c r="L13" s="392"/>
      <c r="M13" s="507"/>
      <c r="N13" s="507"/>
      <c r="O13" s="392"/>
      <c r="P13" s="507"/>
      <c r="Q13" s="507"/>
      <c r="R13" s="392"/>
      <c r="S13" s="507"/>
      <c r="T13" s="507"/>
      <c r="U13" s="392"/>
      <c r="V13" s="507"/>
      <c r="W13" s="507"/>
      <c r="X13" s="392"/>
      <c r="Y13" s="507"/>
      <c r="Z13" s="507"/>
      <c r="AA13" s="392"/>
      <c r="AB13" s="507"/>
      <c r="AC13" s="507"/>
      <c r="AD13" s="392"/>
      <c r="AE13" s="507"/>
      <c r="AF13" s="507"/>
      <c r="AG13" s="392"/>
      <c r="AH13" s="507"/>
      <c r="AI13" s="507"/>
      <c r="AJ13" s="392"/>
      <c r="AK13" s="507"/>
      <c r="AL13" s="507"/>
      <c r="AM13" s="393">
        <f t="shared" si="0"/>
        <v>0</v>
      </c>
      <c r="AO13" s="314"/>
      <c r="AP13" s="314"/>
      <c r="AQ13" s="315">
        <v>0</v>
      </c>
      <c r="AS13" s="50"/>
      <c r="AT13" s="50"/>
      <c r="AU13" s="50"/>
    </row>
    <row r="14" spans="2:62" ht="20.100000000000001" customHeight="1" x14ac:dyDescent="0.15">
      <c r="B14" s="506" t="s">
        <v>286</v>
      </c>
      <c r="C14" s="392"/>
      <c r="D14" s="507"/>
      <c r="E14" s="507"/>
      <c r="F14" s="392"/>
      <c r="G14" s="507"/>
      <c r="H14" s="507"/>
      <c r="I14" s="392"/>
      <c r="J14" s="507"/>
      <c r="K14" s="507"/>
      <c r="L14" s="392"/>
      <c r="M14" s="507"/>
      <c r="N14" s="507"/>
      <c r="O14" s="392"/>
      <c r="P14" s="507"/>
      <c r="Q14" s="507"/>
      <c r="R14" s="392"/>
      <c r="S14" s="507"/>
      <c r="T14" s="507"/>
      <c r="U14" s="392"/>
      <c r="V14" s="507"/>
      <c r="W14" s="507"/>
      <c r="X14" s="392"/>
      <c r="Y14" s="507"/>
      <c r="Z14" s="507"/>
      <c r="AA14" s="392"/>
      <c r="AB14" s="507"/>
      <c r="AC14" s="507"/>
      <c r="AD14" s="392"/>
      <c r="AE14" s="507"/>
      <c r="AF14" s="507"/>
      <c r="AG14" s="392"/>
      <c r="AH14" s="507"/>
      <c r="AI14" s="507"/>
      <c r="AJ14" s="392"/>
      <c r="AK14" s="507"/>
      <c r="AL14" s="507"/>
      <c r="AM14" s="393">
        <f t="shared" si="0"/>
        <v>0</v>
      </c>
      <c r="AO14" s="314"/>
      <c r="AP14" s="314"/>
      <c r="AQ14" s="315">
        <v>0</v>
      </c>
      <c r="AS14" s="50"/>
      <c r="AT14" s="50"/>
      <c r="AU14" s="50"/>
    </row>
    <row r="15" spans="2:62" ht="20.100000000000001" customHeight="1" x14ac:dyDescent="0.15">
      <c r="B15" s="506" t="s">
        <v>287</v>
      </c>
      <c r="C15" s="392"/>
      <c r="D15" s="507"/>
      <c r="E15" s="507"/>
      <c r="F15" s="392"/>
      <c r="G15" s="507"/>
      <c r="H15" s="507"/>
      <c r="I15" s="392"/>
      <c r="J15" s="507"/>
      <c r="K15" s="507"/>
      <c r="L15" s="392"/>
      <c r="M15" s="507"/>
      <c r="N15" s="507"/>
      <c r="O15" s="392"/>
      <c r="P15" s="507"/>
      <c r="Q15" s="507"/>
      <c r="R15" s="392"/>
      <c r="S15" s="507"/>
      <c r="T15" s="507"/>
      <c r="U15" s="392">
        <v>3.4</v>
      </c>
      <c r="V15" s="507"/>
      <c r="W15" s="507">
        <v>3.4</v>
      </c>
      <c r="X15" s="392"/>
      <c r="Y15" s="507"/>
      <c r="Z15" s="507"/>
      <c r="AA15" s="392"/>
      <c r="AB15" s="507"/>
      <c r="AC15" s="507"/>
      <c r="AD15" s="392"/>
      <c r="AE15" s="507"/>
      <c r="AF15" s="507"/>
      <c r="AG15" s="392"/>
      <c r="AH15" s="507"/>
      <c r="AI15" s="507"/>
      <c r="AJ15" s="392"/>
      <c r="AK15" s="507"/>
      <c r="AL15" s="507"/>
      <c r="AM15" s="393">
        <f t="shared" si="0"/>
        <v>6.8</v>
      </c>
      <c r="AO15" s="314">
        <v>1.7</v>
      </c>
      <c r="AP15" s="314">
        <v>5.0999999999999996</v>
      </c>
      <c r="AQ15" s="315">
        <v>6.8</v>
      </c>
      <c r="AS15" s="50"/>
      <c r="AT15" s="50"/>
      <c r="AU15" s="50"/>
    </row>
    <row r="16" spans="2:62" ht="20.100000000000001" customHeight="1" x14ac:dyDescent="0.15">
      <c r="B16" s="506" t="s">
        <v>288</v>
      </c>
      <c r="C16" s="392"/>
      <c r="D16" s="507"/>
      <c r="E16" s="507"/>
      <c r="F16" s="392"/>
      <c r="G16" s="507"/>
      <c r="H16" s="507"/>
      <c r="I16" s="392"/>
      <c r="J16" s="507"/>
      <c r="K16" s="507"/>
      <c r="L16" s="392"/>
      <c r="M16" s="507"/>
      <c r="N16" s="507"/>
      <c r="O16" s="392"/>
      <c r="P16" s="507"/>
      <c r="Q16" s="507"/>
      <c r="R16" s="392"/>
      <c r="S16" s="507"/>
      <c r="T16" s="507"/>
      <c r="U16" s="392"/>
      <c r="V16" s="507"/>
      <c r="W16" s="507"/>
      <c r="X16" s="392"/>
      <c r="Y16" s="507"/>
      <c r="Z16" s="507">
        <v>10.3</v>
      </c>
      <c r="AA16" s="392">
        <v>10.4</v>
      </c>
      <c r="AB16" s="507"/>
      <c r="AC16" s="507"/>
      <c r="AD16" s="392"/>
      <c r="AE16" s="507"/>
      <c r="AF16" s="507"/>
      <c r="AG16" s="392"/>
      <c r="AH16" s="507"/>
      <c r="AI16" s="507"/>
      <c r="AJ16" s="392"/>
      <c r="AK16" s="507"/>
      <c r="AL16" s="507"/>
      <c r="AM16" s="393">
        <f t="shared" si="0"/>
        <v>20.700000000000003</v>
      </c>
      <c r="AO16" s="314">
        <v>6.9</v>
      </c>
      <c r="AP16" s="314">
        <v>13.8</v>
      </c>
      <c r="AQ16" s="315">
        <v>20.700000000000003</v>
      </c>
      <c r="AS16" s="50"/>
      <c r="AT16" s="50"/>
      <c r="AU16" s="50"/>
    </row>
    <row r="17" spans="2:47" ht="20.100000000000001" customHeight="1" x14ac:dyDescent="0.15">
      <c r="B17" s="506" t="s">
        <v>289</v>
      </c>
      <c r="C17" s="392"/>
      <c r="D17" s="507"/>
      <c r="E17" s="507"/>
      <c r="F17" s="392"/>
      <c r="G17" s="507"/>
      <c r="H17" s="507"/>
      <c r="I17" s="392"/>
      <c r="J17" s="507"/>
      <c r="K17" s="507"/>
      <c r="L17" s="392"/>
      <c r="M17" s="507"/>
      <c r="N17" s="507"/>
      <c r="O17" s="392"/>
      <c r="P17" s="507"/>
      <c r="Q17" s="507"/>
      <c r="R17" s="392"/>
      <c r="S17" s="507"/>
      <c r="T17" s="507"/>
      <c r="U17" s="392"/>
      <c r="V17" s="507"/>
      <c r="W17" s="507"/>
      <c r="X17" s="392"/>
      <c r="Y17" s="507"/>
      <c r="Z17" s="507">
        <v>4.7</v>
      </c>
      <c r="AA17" s="392">
        <v>4.8</v>
      </c>
      <c r="AB17" s="507"/>
      <c r="AC17" s="507"/>
      <c r="AD17" s="392"/>
      <c r="AE17" s="507"/>
      <c r="AF17" s="507"/>
      <c r="AG17" s="392"/>
      <c r="AH17" s="507"/>
      <c r="AI17" s="507"/>
      <c r="AJ17" s="392"/>
      <c r="AK17" s="507"/>
      <c r="AL17" s="507"/>
      <c r="AM17" s="393">
        <f t="shared" si="0"/>
        <v>9.5</v>
      </c>
      <c r="AO17" s="314"/>
      <c r="AP17" s="314">
        <v>9.5</v>
      </c>
      <c r="AQ17" s="315">
        <v>9.5</v>
      </c>
      <c r="AS17" s="50"/>
      <c r="AT17" s="50"/>
      <c r="AU17" s="50"/>
    </row>
    <row r="18" spans="2:47" ht="20.100000000000001" customHeight="1" x14ac:dyDescent="0.15">
      <c r="B18" s="506" t="s">
        <v>290</v>
      </c>
      <c r="C18" s="392"/>
      <c r="D18" s="507"/>
      <c r="E18" s="507"/>
      <c r="F18" s="392"/>
      <c r="G18" s="507"/>
      <c r="H18" s="507"/>
      <c r="I18" s="392"/>
      <c r="J18" s="507"/>
      <c r="K18" s="507"/>
      <c r="L18" s="392"/>
      <c r="M18" s="507"/>
      <c r="N18" s="507"/>
      <c r="O18" s="392"/>
      <c r="P18" s="507"/>
      <c r="Q18" s="507"/>
      <c r="R18" s="392"/>
      <c r="S18" s="507"/>
      <c r="T18" s="507"/>
      <c r="U18" s="392"/>
      <c r="V18" s="507"/>
      <c r="W18" s="507"/>
      <c r="X18" s="392"/>
      <c r="Y18" s="507"/>
      <c r="Z18" s="507"/>
      <c r="AA18" s="392"/>
      <c r="AB18" s="507"/>
      <c r="AC18" s="507"/>
      <c r="AD18" s="392"/>
      <c r="AE18" s="507"/>
      <c r="AF18" s="507"/>
      <c r="AG18" s="392">
        <v>1.2</v>
      </c>
      <c r="AH18" s="507">
        <v>1.2</v>
      </c>
      <c r="AI18" s="507"/>
      <c r="AJ18" s="392"/>
      <c r="AK18" s="507"/>
      <c r="AL18" s="507"/>
      <c r="AM18" s="393">
        <f t="shared" si="0"/>
        <v>2.4</v>
      </c>
      <c r="AO18" s="314">
        <v>1.2</v>
      </c>
      <c r="AP18" s="314">
        <v>1.2</v>
      </c>
      <c r="AQ18" s="315">
        <v>2.4</v>
      </c>
      <c r="AS18" s="50"/>
      <c r="AT18" s="50"/>
      <c r="AU18" s="50"/>
    </row>
    <row r="19" spans="2:47" ht="20.100000000000001" customHeight="1" x14ac:dyDescent="0.15">
      <c r="B19" s="506" t="s">
        <v>167</v>
      </c>
      <c r="C19" s="392"/>
      <c r="D19" s="507"/>
      <c r="E19" s="507"/>
      <c r="F19" s="392">
        <v>2</v>
      </c>
      <c r="G19" s="507"/>
      <c r="H19" s="507"/>
      <c r="I19" s="392"/>
      <c r="J19" s="507"/>
      <c r="K19" s="507"/>
      <c r="L19" s="392"/>
      <c r="M19" s="507"/>
      <c r="N19" s="507"/>
      <c r="O19" s="392"/>
      <c r="P19" s="507"/>
      <c r="Q19" s="507"/>
      <c r="R19" s="392"/>
      <c r="S19" s="507"/>
      <c r="T19" s="507"/>
      <c r="U19" s="392"/>
      <c r="V19" s="507"/>
      <c r="W19" s="507"/>
      <c r="X19" s="392"/>
      <c r="Y19" s="507"/>
      <c r="Z19" s="507"/>
      <c r="AA19" s="392"/>
      <c r="AB19" s="507"/>
      <c r="AC19" s="507"/>
      <c r="AD19" s="392"/>
      <c r="AE19" s="507"/>
      <c r="AF19" s="507"/>
      <c r="AG19" s="392"/>
      <c r="AH19" s="507"/>
      <c r="AI19" s="507"/>
      <c r="AJ19" s="392"/>
      <c r="AK19" s="507"/>
      <c r="AL19" s="507"/>
      <c r="AM19" s="393">
        <f t="shared" si="0"/>
        <v>2</v>
      </c>
      <c r="AO19" s="314"/>
      <c r="AP19" s="314">
        <v>2</v>
      </c>
      <c r="AQ19" s="315">
        <v>2</v>
      </c>
      <c r="AS19" s="50"/>
      <c r="AT19" s="50"/>
      <c r="AU19" s="50"/>
    </row>
    <row r="20" spans="2:47" ht="20.100000000000001" customHeight="1" x14ac:dyDescent="0.15">
      <c r="B20" s="506"/>
      <c r="C20" s="392"/>
      <c r="D20" s="507"/>
      <c r="E20" s="507"/>
      <c r="F20" s="392"/>
      <c r="G20" s="507"/>
      <c r="H20" s="507"/>
      <c r="I20" s="392"/>
      <c r="J20" s="507"/>
      <c r="K20" s="507"/>
      <c r="L20" s="392"/>
      <c r="M20" s="507"/>
      <c r="N20" s="507"/>
      <c r="O20" s="392"/>
      <c r="P20" s="507"/>
      <c r="Q20" s="507"/>
      <c r="R20" s="392"/>
      <c r="S20" s="507"/>
      <c r="T20" s="507"/>
      <c r="U20" s="392"/>
      <c r="V20" s="507"/>
      <c r="W20" s="507"/>
      <c r="X20" s="392"/>
      <c r="Y20" s="507"/>
      <c r="Z20" s="507"/>
      <c r="AA20" s="392"/>
      <c r="AB20" s="507"/>
      <c r="AC20" s="507"/>
      <c r="AD20" s="392"/>
      <c r="AE20" s="507"/>
      <c r="AF20" s="507"/>
      <c r="AG20" s="392"/>
      <c r="AH20" s="507"/>
      <c r="AI20" s="507"/>
      <c r="AJ20" s="392"/>
      <c r="AK20" s="507"/>
      <c r="AL20" s="507"/>
      <c r="AM20" s="393">
        <f t="shared" si="0"/>
        <v>0</v>
      </c>
      <c r="AO20" s="315"/>
      <c r="AP20" s="315"/>
      <c r="AQ20" s="315">
        <f t="shared" ref="AQ20:AQ33" si="1">SUM(AO20:AP20)</f>
        <v>0</v>
      </c>
    </row>
    <row r="21" spans="2:47" ht="20.100000000000001" customHeight="1" x14ac:dyDescent="0.15">
      <c r="B21" s="506"/>
      <c r="C21" s="392"/>
      <c r="D21" s="507"/>
      <c r="E21" s="507"/>
      <c r="F21" s="392"/>
      <c r="G21" s="507"/>
      <c r="H21" s="507"/>
      <c r="I21" s="392"/>
      <c r="J21" s="507"/>
      <c r="K21" s="507"/>
      <c r="L21" s="392"/>
      <c r="M21" s="507"/>
      <c r="N21" s="507"/>
      <c r="O21" s="392"/>
      <c r="P21" s="507"/>
      <c r="Q21" s="507"/>
      <c r="R21" s="392"/>
      <c r="S21" s="507"/>
      <c r="T21" s="507"/>
      <c r="U21" s="392"/>
      <c r="V21" s="507"/>
      <c r="W21" s="507"/>
      <c r="X21" s="392"/>
      <c r="Y21" s="507"/>
      <c r="Z21" s="507"/>
      <c r="AA21" s="392"/>
      <c r="AB21" s="507"/>
      <c r="AC21" s="507"/>
      <c r="AD21" s="392"/>
      <c r="AE21" s="507"/>
      <c r="AF21" s="507"/>
      <c r="AG21" s="392"/>
      <c r="AH21" s="507"/>
      <c r="AI21" s="507"/>
      <c r="AJ21" s="392"/>
      <c r="AK21" s="507"/>
      <c r="AL21" s="507"/>
      <c r="AM21" s="393">
        <f t="shared" si="0"/>
        <v>0</v>
      </c>
      <c r="AO21" s="315"/>
      <c r="AP21" s="315"/>
      <c r="AQ21" s="315">
        <f t="shared" si="1"/>
        <v>0</v>
      </c>
    </row>
    <row r="22" spans="2:47" ht="20.100000000000001" customHeight="1" x14ac:dyDescent="0.15">
      <c r="B22" s="506"/>
      <c r="C22" s="392"/>
      <c r="D22" s="507"/>
      <c r="E22" s="507"/>
      <c r="F22" s="392"/>
      <c r="G22" s="507"/>
      <c r="H22" s="507"/>
      <c r="I22" s="392"/>
      <c r="J22" s="507"/>
      <c r="K22" s="507"/>
      <c r="L22" s="392"/>
      <c r="M22" s="507"/>
      <c r="N22" s="507"/>
      <c r="O22" s="392"/>
      <c r="P22" s="507"/>
      <c r="Q22" s="507"/>
      <c r="R22" s="392"/>
      <c r="S22" s="507"/>
      <c r="T22" s="507"/>
      <c r="U22" s="392"/>
      <c r="V22" s="507"/>
      <c r="W22" s="507"/>
      <c r="X22" s="392"/>
      <c r="Y22" s="507"/>
      <c r="Z22" s="507"/>
      <c r="AA22" s="392"/>
      <c r="AB22" s="507"/>
      <c r="AC22" s="507"/>
      <c r="AD22" s="392"/>
      <c r="AE22" s="507"/>
      <c r="AF22" s="507"/>
      <c r="AG22" s="392"/>
      <c r="AH22" s="507"/>
      <c r="AI22" s="507"/>
      <c r="AJ22" s="392"/>
      <c r="AK22" s="507"/>
      <c r="AL22" s="507"/>
      <c r="AM22" s="393">
        <f t="shared" si="0"/>
        <v>0</v>
      </c>
      <c r="AO22" s="315"/>
      <c r="AP22" s="315"/>
      <c r="AQ22" s="315">
        <f t="shared" si="1"/>
        <v>0</v>
      </c>
    </row>
    <row r="23" spans="2:47" ht="20.100000000000001" customHeight="1" x14ac:dyDescent="0.15">
      <c r="B23" s="506"/>
      <c r="C23" s="392"/>
      <c r="D23" s="507"/>
      <c r="E23" s="507"/>
      <c r="F23" s="392"/>
      <c r="G23" s="507"/>
      <c r="H23" s="507"/>
      <c r="I23" s="392"/>
      <c r="J23" s="507"/>
      <c r="K23" s="507"/>
      <c r="L23" s="392"/>
      <c r="M23" s="507"/>
      <c r="N23" s="507"/>
      <c r="O23" s="392"/>
      <c r="P23" s="507"/>
      <c r="Q23" s="507"/>
      <c r="R23" s="392"/>
      <c r="S23" s="507"/>
      <c r="T23" s="507"/>
      <c r="U23" s="392"/>
      <c r="V23" s="507"/>
      <c r="W23" s="507"/>
      <c r="X23" s="392"/>
      <c r="Y23" s="507"/>
      <c r="Z23" s="507"/>
      <c r="AA23" s="392"/>
      <c r="AB23" s="507"/>
      <c r="AC23" s="507"/>
      <c r="AD23" s="392"/>
      <c r="AE23" s="507"/>
      <c r="AF23" s="507"/>
      <c r="AG23" s="392"/>
      <c r="AH23" s="507"/>
      <c r="AI23" s="507"/>
      <c r="AJ23" s="392"/>
      <c r="AK23" s="507"/>
      <c r="AL23" s="507"/>
      <c r="AM23" s="393">
        <f t="shared" si="0"/>
        <v>0</v>
      </c>
      <c r="AO23" s="315"/>
      <c r="AP23" s="315"/>
      <c r="AQ23" s="315">
        <f t="shared" si="1"/>
        <v>0</v>
      </c>
    </row>
    <row r="24" spans="2:47" ht="20.100000000000001" customHeight="1" x14ac:dyDescent="0.15">
      <c r="B24" s="506"/>
      <c r="C24" s="392"/>
      <c r="D24" s="507"/>
      <c r="E24" s="507"/>
      <c r="F24" s="392"/>
      <c r="G24" s="507"/>
      <c r="H24" s="507"/>
      <c r="I24" s="392"/>
      <c r="J24" s="507"/>
      <c r="K24" s="507"/>
      <c r="L24" s="392"/>
      <c r="M24" s="507"/>
      <c r="N24" s="507"/>
      <c r="O24" s="392"/>
      <c r="P24" s="507"/>
      <c r="Q24" s="507"/>
      <c r="R24" s="392"/>
      <c r="S24" s="507"/>
      <c r="T24" s="507"/>
      <c r="U24" s="392"/>
      <c r="V24" s="507"/>
      <c r="W24" s="507"/>
      <c r="X24" s="392"/>
      <c r="Y24" s="507"/>
      <c r="Z24" s="507"/>
      <c r="AA24" s="392"/>
      <c r="AB24" s="507"/>
      <c r="AC24" s="507"/>
      <c r="AD24" s="392"/>
      <c r="AE24" s="507"/>
      <c r="AF24" s="507"/>
      <c r="AG24" s="392"/>
      <c r="AH24" s="507"/>
      <c r="AI24" s="507"/>
      <c r="AJ24" s="392"/>
      <c r="AK24" s="507"/>
      <c r="AL24" s="507"/>
      <c r="AM24" s="393">
        <f t="shared" si="0"/>
        <v>0</v>
      </c>
      <c r="AO24" s="315"/>
      <c r="AP24" s="315"/>
      <c r="AQ24" s="315">
        <f t="shared" si="1"/>
        <v>0</v>
      </c>
    </row>
    <row r="25" spans="2:47" ht="20.100000000000001" customHeight="1" x14ac:dyDescent="0.15">
      <c r="B25" s="506"/>
      <c r="C25" s="392"/>
      <c r="D25" s="507"/>
      <c r="E25" s="507"/>
      <c r="F25" s="392"/>
      <c r="G25" s="507"/>
      <c r="H25" s="507"/>
      <c r="I25" s="392"/>
      <c r="J25" s="507"/>
      <c r="K25" s="507"/>
      <c r="L25" s="392"/>
      <c r="M25" s="507"/>
      <c r="N25" s="507"/>
      <c r="O25" s="392"/>
      <c r="P25" s="507"/>
      <c r="Q25" s="507"/>
      <c r="R25" s="392"/>
      <c r="S25" s="507"/>
      <c r="T25" s="507"/>
      <c r="U25" s="392"/>
      <c r="V25" s="507"/>
      <c r="W25" s="507"/>
      <c r="X25" s="392"/>
      <c r="Y25" s="507"/>
      <c r="Z25" s="507"/>
      <c r="AA25" s="392"/>
      <c r="AB25" s="507"/>
      <c r="AC25" s="507"/>
      <c r="AD25" s="392"/>
      <c r="AE25" s="507"/>
      <c r="AF25" s="507"/>
      <c r="AG25" s="392"/>
      <c r="AH25" s="507"/>
      <c r="AI25" s="507"/>
      <c r="AJ25" s="392"/>
      <c r="AK25" s="507"/>
      <c r="AL25" s="507"/>
      <c r="AM25" s="393">
        <f t="shared" si="0"/>
        <v>0</v>
      </c>
      <c r="AO25" s="315"/>
      <c r="AP25" s="315"/>
      <c r="AQ25" s="315">
        <f t="shared" si="1"/>
        <v>0</v>
      </c>
    </row>
    <row r="26" spans="2:47" ht="20.100000000000001" customHeight="1" x14ac:dyDescent="0.15">
      <c r="B26" s="506"/>
      <c r="C26" s="392"/>
      <c r="D26" s="507"/>
      <c r="E26" s="507"/>
      <c r="F26" s="392"/>
      <c r="G26" s="507"/>
      <c r="H26" s="507"/>
      <c r="I26" s="392"/>
      <c r="J26" s="507"/>
      <c r="K26" s="507"/>
      <c r="L26" s="392"/>
      <c r="M26" s="507"/>
      <c r="N26" s="507"/>
      <c r="O26" s="392"/>
      <c r="P26" s="507"/>
      <c r="Q26" s="507"/>
      <c r="R26" s="392"/>
      <c r="S26" s="507"/>
      <c r="T26" s="507"/>
      <c r="U26" s="392"/>
      <c r="V26" s="507"/>
      <c r="W26" s="507"/>
      <c r="X26" s="392"/>
      <c r="Y26" s="507"/>
      <c r="Z26" s="507"/>
      <c r="AA26" s="392"/>
      <c r="AB26" s="507"/>
      <c r="AC26" s="507"/>
      <c r="AD26" s="392"/>
      <c r="AE26" s="507"/>
      <c r="AF26" s="507"/>
      <c r="AG26" s="392"/>
      <c r="AH26" s="507"/>
      <c r="AI26" s="507"/>
      <c r="AJ26" s="392"/>
      <c r="AK26" s="507"/>
      <c r="AL26" s="507"/>
      <c r="AM26" s="393">
        <f t="shared" si="0"/>
        <v>0</v>
      </c>
      <c r="AO26" s="315"/>
      <c r="AP26" s="315"/>
      <c r="AQ26" s="315">
        <f t="shared" si="1"/>
        <v>0</v>
      </c>
    </row>
    <row r="27" spans="2:47" ht="20.100000000000001" customHeight="1" x14ac:dyDescent="0.15">
      <c r="B27" s="506"/>
      <c r="C27" s="392"/>
      <c r="D27" s="507"/>
      <c r="E27" s="507"/>
      <c r="F27" s="392"/>
      <c r="G27" s="507"/>
      <c r="H27" s="507"/>
      <c r="I27" s="392"/>
      <c r="J27" s="507"/>
      <c r="K27" s="507"/>
      <c r="L27" s="392"/>
      <c r="M27" s="507"/>
      <c r="N27" s="507"/>
      <c r="O27" s="392"/>
      <c r="P27" s="507"/>
      <c r="Q27" s="507"/>
      <c r="R27" s="392"/>
      <c r="S27" s="507"/>
      <c r="T27" s="507"/>
      <c r="U27" s="392"/>
      <c r="V27" s="507"/>
      <c r="W27" s="507"/>
      <c r="X27" s="392"/>
      <c r="Y27" s="507"/>
      <c r="Z27" s="507"/>
      <c r="AA27" s="392"/>
      <c r="AB27" s="507"/>
      <c r="AC27" s="507"/>
      <c r="AD27" s="392"/>
      <c r="AE27" s="507"/>
      <c r="AF27" s="507"/>
      <c r="AG27" s="392"/>
      <c r="AH27" s="507"/>
      <c r="AI27" s="507"/>
      <c r="AJ27" s="392"/>
      <c r="AK27" s="507"/>
      <c r="AL27" s="507"/>
      <c r="AM27" s="393">
        <f t="shared" si="0"/>
        <v>0</v>
      </c>
      <c r="AO27" s="315"/>
      <c r="AP27" s="315"/>
      <c r="AQ27" s="315">
        <f t="shared" si="1"/>
        <v>0</v>
      </c>
    </row>
    <row r="28" spans="2:47" ht="20.100000000000001" customHeight="1" x14ac:dyDescent="0.15">
      <c r="B28" s="506"/>
      <c r="C28" s="392"/>
      <c r="D28" s="507"/>
      <c r="E28" s="507"/>
      <c r="F28" s="392"/>
      <c r="G28" s="507"/>
      <c r="H28" s="507"/>
      <c r="I28" s="392"/>
      <c r="J28" s="507"/>
      <c r="K28" s="507"/>
      <c r="L28" s="392"/>
      <c r="M28" s="507"/>
      <c r="N28" s="507"/>
      <c r="O28" s="392"/>
      <c r="P28" s="507"/>
      <c r="Q28" s="507"/>
      <c r="R28" s="392"/>
      <c r="S28" s="507"/>
      <c r="T28" s="507"/>
      <c r="U28" s="392"/>
      <c r="V28" s="507"/>
      <c r="W28" s="507"/>
      <c r="X28" s="392"/>
      <c r="Y28" s="507"/>
      <c r="Z28" s="507"/>
      <c r="AA28" s="392"/>
      <c r="AB28" s="507"/>
      <c r="AC28" s="507"/>
      <c r="AD28" s="392"/>
      <c r="AE28" s="507"/>
      <c r="AF28" s="507"/>
      <c r="AG28" s="392"/>
      <c r="AH28" s="507"/>
      <c r="AI28" s="507"/>
      <c r="AJ28" s="392"/>
      <c r="AK28" s="507"/>
      <c r="AL28" s="507"/>
      <c r="AM28" s="393">
        <f t="shared" si="0"/>
        <v>0</v>
      </c>
      <c r="AO28" s="315"/>
      <c r="AP28" s="315"/>
      <c r="AQ28" s="315">
        <f t="shared" si="1"/>
        <v>0</v>
      </c>
    </row>
    <row r="29" spans="2:47" ht="20.100000000000001" customHeight="1" x14ac:dyDescent="0.15">
      <c r="B29" s="506"/>
      <c r="C29" s="392"/>
      <c r="D29" s="507"/>
      <c r="E29" s="507"/>
      <c r="F29" s="392"/>
      <c r="G29" s="507"/>
      <c r="H29" s="507"/>
      <c r="I29" s="392"/>
      <c r="J29" s="507"/>
      <c r="K29" s="507"/>
      <c r="L29" s="392"/>
      <c r="M29" s="507"/>
      <c r="N29" s="507"/>
      <c r="O29" s="392"/>
      <c r="P29" s="507"/>
      <c r="Q29" s="507"/>
      <c r="R29" s="392"/>
      <c r="S29" s="507"/>
      <c r="T29" s="507"/>
      <c r="U29" s="392"/>
      <c r="V29" s="507"/>
      <c r="W29" s="507"/>
      <c r="X29" s="392"/>
      <c r="Y29" s="507"/>
      <c r="Z29" s="507"/>
      <c r="AA29" s="392"/>
      <c r="AB29" s="507"/>
      <c r="AC29" s="507"/>
      <c r="AD29" s="392"/>
      <c r="AE29" s="507"/>
      <c r="AF29" s="507"/>
      <c r="AG29" s="392"/>
      <c r="AH29" s="507"/>
      <c r="AI29" s="507"/>
      <c r="AJ29" s="392"/>
      <c r="AK29" s="507"/>
      <c r="AL29" s="507"/>
      <c r="AM29" s="393">
        <f t="shared" si="0"/>
        <v>0</v>
      </c>
      <c r="AO29" s="315"/>
      <c r="AP29" s="315"/>
      <c r="AQ29" s="315">
        <f t="shared" si="1"/>
        <v>0</v>
      </c>
    </row>
    <row r="30" spans="2:47" ht="20.100000000000001" customHeight="1" x14ac:dyDescent="0.15">
      <c r="B30" s="506"/>
      <c r="C30" s="392"/>
      <c r="D30" s="507"/>
      <c r="E30" s="507"/>
      <c r="F30" s="392"/>
      <c r="G30" s="507"/>
      <c r="H30" s="507"/>
      <c r="I30" s="392"/>
      <c r="J30" s="507"/>
      <c r="K30" s="507"/>
      <c r="L30" s="392"/>
      <c r="M30" s="507"/>
      <c r="N30" s="507"/>
      <c r="O30" s="392"/>
      <c r="P30" s="507"/>
      <c r="Q30" s="507"/>
      <c r="R30" s="392"/>
      <c r="S30" s="507"/>
      <c r="T30" s="507"/>
      <c r="U30" s="392"/>
      <c r="V30" s="507"/>
      <c r="W30" s="507"/>
      <c r="X30" s="392"/>
      <c r="Y30" s="507"/>
      <c r="Z30" s="507"/>
      <c r="AA30" s="392"/>
      <c r="AB30" s="507"/>
      <c r="AC30" s="507"/>
      <c r="AD30" s="392"/>
      <c r="AE30" s="507"/>
      <c r="AF30" s="507"/>
      <c r="AG30" s="392"/>
      <c r="AH30" s="507"/>
      <c r="AI30" s="507"/>
      <c r="AJ30" s="392"/>
      <c r="AK30" s="507"/>
      <c r="AL30" s="507"/>
      <c r="AM30" s="393">
        <f t="shared" si="0"/>
        <v>0</v>
      </c>
      <c r="AO30" s="315"/>
      <c r="AP30" s="315"/>
      <c r="AQ30" s="315">
        <f t="shared" si="1"/>
        <v>0</v>
      </c>
    </row>
    <row r="31" spans="2:47" ht="20.100000000000001" customHeight="1" x14ac:dyDescent="0.15">
      <c r="B31" s="506"/>
      <c r="C31" s="392"/>
      <c r="D31" s="507"/>
      <c r="E31" s="507"/>
      <c r="F31" s="392"/>
      <c r="G31" s="507"/>
      <c r="H31" s="507"/>
      <c r="I31" s="392"/>
      <c r="J31" s="507"/>
      <c r="K31" s="507"/>
      <c r="L31" s="392"/>
      <c r="M31" s="507"/>
      <c r="N31" s="507"/>
      <c r="O31" s="392"/>
      <c r="P31" s="507"/>
      <c r="Q31" s="507"/>
      <c r="R31" s="392"/>
      <c r="S31" s="507"/>
      <c r="T31" s="507"/>
      <c r="U31" s="392"/>
      <c r="V31" s="507"/>
      <c r="W31" s="507"/>
      <c r="X31" s="392"/>
      <c r="Y31" s="507"/>
      <c r="Z31" s="507"/>
      <c r="AA31" s="392"/>
      <c r="AB31" s="507"/>
      <c r="AC31" s="507"/>
      <c r="AD31" s="392"/>
      <c r="AE31" s="507"/>
      <c r="AF31" s="507"/>
      <c r="AG31" s="392"/>
      <c r="AH31" s="507"/>
      <c r="AI31" s="507"/>
      <c r="AJ31" s="392"/>
      <c r="AK31" s="507"/>
      <c r="AL31" s="507"/>
      <c r="AM31" s="393">
        <f t="shared" si="0"/>
        <v>0</v>
      </c>
      <c r="AO31" s="315"/>
      <c r="AP31" s="315"/>
      <c r="AQ31" s="315">
        <f t="shared" si="1"/>
        <v>0</v>
      </c>
    </row>
    <row r="32" spans="2:47" ht="20.100000000000001" customHeight="1" x14ac:dyDescent="0.15">
      <c r="B32" s="506"/>
      <c r="C32" s="392"/>
      <c r="D32" s="507"/>
      <c r="E32" s="507"/>
      <c r="F32" s="392"/>
      <c r="G32" s="507"/>
      <c r="H32" s="507"/>
      <c r="I32" s="392"/>
      <c r="J32" s="507"/>
      <c r="K32" s="507"/>
      <c r="L32" s="392"/>
      <c r="M32" s="507"/>
      <c r="N32" s="507"/>
      <c r="O32" s="392"/>
      <c r="P32" s="507"/>
      <c r="Q32" s="507"/>
      <c r="R32" s="392"/>
      <c r="S32" s="507"/>
      <c r="T32" s="507"/>
      <c r="U32" s="392"/>
      <c r="V32" s="507"/>
      <c r="W32" s="507"/>
      <c r="X32" s="392"/>
      <c r="Y32" s="507"/>
      <c r="Z32" s="507"/>
      <c r="AA32" s="392"/>
      <c r="AB32" s="507"/>
      <c r="AC32" s="507"/>
      <c r="AD32" s="392"/>
      <c r="AE32" s="507"/>
      <c r="AF32" s="507"/>
      <c r="AG32" s="392"/>
      <c r="AH32" s="507"/>
      <c r="AI32" s="507"/>
      <c r="AJ32" s="392"/>
      <c r="AK32" s="507"/>
      <c r="AL32" s="507"/>
      <c r="AM32" s="393">
        <f t="shared" si="0"/>
        <v>0</v>
      </c>
      <c r="AO32" s="315"/>
      <c r="AP32" s="315"/>
      <c r="AQ32" s="315">
        <f t="shared" si="1"/>
        <v>0</v>
      </c>
    </row>
    <row r="33" spans="2:43" ht="20.100000000000001" customHeight="1" x14ac:dyDescent="0.15">
      <c r="B33" s="508" t="s">
        <v>584</v>
      </c>
      <c r="C33" s="392">
        <f t="shared" ref="C33:AL33" si="2">SUM(C8:C32)</f>
        <v>0</v>
      </c>
      <c r="D33" s="74">
        <f t="shared" si="2"/>
        <v>0</v>
      </c>
      <c r="E33" s="509">
        <f t="shared" si="2"/>
        <v>0</v>
      </c>
      <c r="F33" s="392">
        <f t="shared" si="2"/>
        <v>2</v>
      </c>
      <c r="G33" s="74">
        <f t="shared" si="2"/>
        <v>1.9</v>
      </c>
      <c r="H33" s="509">
        <f t="shared" si="2"/>
        <v>1.9</v>
      </c>
      <c r="I33" s="392">
        <f t="shared" si="2"/>
        <v>1.9</v>
      </c>
      <c r="J33" s="74">
        <f t="shared" si="2"/>
        <v>1.9</v>
      </c>
      <c r="K33" s="509">
        <f t="shared" si="2"/>
        <v>4.4000000000000004</v>
      </c>
      <c r="L33" s="392">
        <f t="shared" si="2"/>
        <v>7.8</v>
      </c>
      <c r="M33" s="74">
        <f t="shared" si="2"/>
        <v>7.8</v>
      </c>
      <c r="N33" s="509">
        <f t="shared" si="2"/>
        <v>19.8</v>
      </c>
      <c r="O33" s="392">
        <f t="shared" si="2"/>
        <v>0</v>
      </c>
      <c r="P33" s="74">
        <f t="shared" si="2"/>
        <v>0</v>
      </c>
      <c r="Q33" s="509">
        <f t="shared" si="2"/>
        <v>0</v>
      </c>
      <c r="R33" s="392">
        <f t="shared" si="2"/>
        <v>0</v>
      </c>
      <c r="S33" s="74">
        <f t="shared" si="2"/>
        <v>0</v>
      </c>
      <c r="T33" s="509">
        <f t="shared" si="2"/>
        <v>0</v>
      </c>
      <c r="U33" s="392">
        <f t="shared" si="2"/>
        <v>3.4</v>
      </c>
      <c r="V33" s="74">
        <f t="shared" si="2"/>
        <v>0</v>
      </c>
      <c r="W33" s="509">
        <f t="shared" si="2"/>
        <v>3.4</v>
      </c>
      <c r="X33" s="392">
        <f t="shared" si="2"/>
        <v>0</v>
      </c>
      <c r="Y33" s="74">
        <f t="shared" si="2"/>
        <v>0</v>
      </c>
      <c r="Z33" s="509">
        <f t="shared" si="2"/>
        <v>15</v>
      </c>
      <c r="AA33" s="392">
        <f t="shared" si="2"/>
        <v>15.2</v>
      </c>
      <c r="AB33" s="74">
        <f t="shared" si="2"/>
        <v>0</v>
      </c>
      <c r="AC33" s="509">
        <f t="shared" si="2"/>
        <v>0</v>
      </c>
      <c r="AD33" s="392">
        <f t="shared" si="2"/>
        <v>0</v>
      </c>
      <c r="AE33" s="74">
        <f t="shared" si="2"/>
        <v>0</v>
      </c>
      <c r="AF33" s="509">
        <f t="shared" si="2"/>
        <v>0</v>
      </c>
      <c r="AG33" s="392">
        <f t="shared" si="2"/>
        <v>1.2</v>
      </c>
      <c r="AH33" s="74">
        <f t="shared" si="2"/>
        <v>3.5999999999999996</v>
      </c>
      <c r="AI33" s="509">
        <f t="shared" si="2"/>
        <v>2.4</v>
      </c>
      <c r="AJ33" s="392">
        <f t="shared" si="2"/>
        <v>2.2999999999999998</v>
      </c>
      <c r="AK33" s="74">
        <f t="shared" si="2"/>
        <v>0</v>
      </c>
      <c r="AL33" s="509">
        <f t="shared" si="2"/>
        <v>0</v>
      </c>
      <c r="AM33" s="393">
        <f t="shared" si="0"/>
        <v>95.9</v>
      </c>
      <c r="AO33" s="315"/>
      <c r="AP33" s="315"/>
      <c r="AQ33" s="315">
        <f t="shared" si="1"/>
        <v>0</v>
      </c>
    </row>
    <row r="34" spans="2:43" ht="20.100000000000001" customHeight="1" thickBot="1" x14ac:dyDescent="0.2">
      <c r="B34" s="75" t="s">
        <v>585</v>
      </c>
      <c r="C34" s="76"/>
      <c r="D34" s="77">
        <f>SUM(C33:E33)</f>
        <v>0</v>
      </c>
      <c r="E34" s="77"/>
      <c r="F34" s="76"/>
      <c r="G34" s="77">
        <f>SUM(F33:H33)</f>
        <v>5.8</v>
      </c>
      <c r="H34" s="77"/>
      <c r="I34" s="76"/>
      <c r="J34" s="77">
        <f>SUM(I33:K33)</f>
        <v>8.1999999999999993</v>
      </c>
      <c r="K34" s="77"/>
      <c r="L34" s="76"/>
      <c r="M34" s="77">
        <f>SUM(L33:N33)</f>
        <v>35.4</v>
      </c>
      <c r="N34" s="77"/>
      <c r="O34" s="76"/>
      <c r="P34" s="77">
        <f>SUM(O33:Q33)</f>
        <v>0</v>
      </c>
      <c r="Q34" s="77"/>
      <c r="R34" s="76"/>
      <c r="S34" s="77">
        <f>SUM(R33:T33)</f>
        <v>0</v>
      </c>
      <c r="T34" s="77"/>
      <c r="U34" s="76"/>
      <c r="V34" s="77">
        <f>SUM(U33:W33)</f>
        <v>6.8</v>
      </c>
      <c r="W34" s="77"/>
      <c r="X34" s="76"/>
      <c r="Y34" s="77">
        <f>SUM(X33:Z33)</f>
        <v>15</v>
      </c>
      <c r="Z34" s="77"/>
      <c r="AA34" s="76"/>
      <c r="AB34" s="77">
        <f>SUM(AA33:AC33)</f>
        <v>15.2</v>
      </c>
      <c r="AC34" s="77"/>
      <c r="AD34" s="76"/>
      <c r="AE34" s="77">
        <f>SUM(AD33:AF33)</f>
        <v>0</v>
      </c>
      <c r="AF34" s="77"/>
      <c r="AG34" s="76"/>
      <c r="AH34" s="77">
        <f>SUM(AG33:AI33)</f>
        <v>7.1999999999999993</v>
      </c>
      <c r="AI34" s="77"/>
      <c r="AJ34" s="76"/>
      <c r="AK34" s="77">
        <f>SUM(AJ33:AL33)</f>
        <v>2.2999999999999998</v>
      </c>
      <c r="AL34" s="77"/>
      <c r="AM34" s="78">
        <f>SUM(AM8:AM32)</f>
        <v>95.9</v>
      </c>
      <c r="AO34" s="315">
        <f>SUM(AO8:AO32)</f>
        <v>33.900000000000006</v>
      </c>
      <c r="AP34" s="315">
        <f t="shared" ref="AP34" si="3">SUM(AP8:AP32)</f>
        <v>62</v>
      </c>
      <c r="AQ34" s="315">
        <f>SUM(AQ8:AQ33)</f>
        <v>95.9</v>
      </c>
    </row>
  </sheetData>
  <mergeCells count="17">
    <mergeCell ref="B5:B7"/>
    <mergeCell ref="R3:T3"/>
    <mergeCell ref="U3:W3"/>
    <mergeCell ref="X3:Z3"/>
    <mergeCell ref="AA3:AC3"/>
    <mergeCell ref="B3:B4"/>
    <mergeCell ref="C3:E3"/>
    <mergeCell ref="F3:H3"/>
    <mergeCell ref="I3:K3"/>
    <mergeCell ref="L3:N3"/>
    <mergeCell ref="O3:Q3"/>
    <mergeCell ref="L2:M2"/>
    <mergeCell ref="Z6:AA6"/>
    <mergeCell ref="AJ3:AL3"/>
    <mergeCell ref="AM3:AM4"/>
    <mergeCell ref="AD3:AF3"/>
    <mergeCell ref="AG3:AI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79998168889431442"/>
    <pageSetUpPr fitToPage="1"/>
  </sheetPr>
  <dimension ref="B1:BJ34"/>
  <sheetViews>
    <sheetView zoomScale="75" zoomScaleNormal="75" workbookViewId="0"/>
  </sheetViews>
  <sheetFormatPr defaultColWidth="9" defaultRowHeight="13.5" x14ac:dyDescent="0.15"/>
  <cols>
    <col min="1" max="1" width="1.625" style="49" customWidth="1"/>
    <col min="2" max="2" width="22.625" style="49" customWidth="1"/>
    <col min="3" max="38" width="6.125" style="49" customWidth="1"/>
    <col min="39" max="39" width="7" style="49" customWidth="1"/>
    <col min="40" max="40" width="1.5" style="49" customWidth="1"/>
    <col min="41" max="43" width="0" style="49" hidden="1" customWidth="1"/>
    <col min="44" max="16384" width="9" style="49"/>
  </cols>
  <sheetData>
    <row r="1" spans="2:62" ht="9.9499999999999993" customHeight="1" x14ac:dyDescent="0.15"/>
    <row r="2" spans="2:62" ht="24.95" customHeight="1" thickBot="1" x14ac:dyDescent="0.2">
      <c r="B2" s="5" t="s">
        <v>119</v>
      </c>
      <c r="C2" s="5"/>
      <c r="D2" s="5"/>
      <c r="E2" s="5"/>
      <c r="F2" s="5"/>
      <c r="G2" s="5"/>
      <c r="H2" s="5"/>
      <c r="I2" s="5"/>
      <c r="J2" s="5"/>
      <c r="K2" s="249" t="s">
        <v>237</v>
      </c>
      <c r="L2" s="896" t="s">
        <v>392</v>
      </c>
      <c r="M2" s="896"/>
      <c r="N2" s="249" t="s">
        <v>238</v>
      </c>
      <c r="O2" s="80" t="s">
        <v>239</v>
      </c>
      <c r="P2" s="5"/>
      <c r="Q2" s="5"/>
      <c r="R2" s="5"/>
      <c r="S2" s="5"/>
      <c r="T2" s="5"/>
      <c r="U2" s="5"/>
      <c r="V2" s="51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2:62" ht="20.100000000000001" customHeight="1" x14ac:dyDescent="0.15">
      <c r="B3" s="907" t="s">
        <v>586</v>
      </c>
      <c r="C3" s="899">
        <v>1</v>
      </c>
      <c r="D3" s="900"/>
      <c r="E3" s="901"/>
      <c r="F3" s="899">
        <v>2</v>
      </c>
      <c r="G3" s="900"/>
      <c r="H3" s="901"/>
      <c r="I3" s="899">
        <v>3</v>
      </c>
      <c r="J3" s="900"/>
      <c r="K3" s="901"/>
      <c r="L3" s="899">
        <v>4</v>
      </c>
      <c r="M3" s="900"/>
      <c r="N3" s="901"/>
      <c r="O3" s="899">
        <v>5</v>
      </c>
      <c r="P3" s="900"/>
      <c r="Q3" s="901"/>
      <c r="R3" s="899">
        <v>6</v>
      </c>
      <c r="S3" s="900"/>
      <c r="T3" s="901"/>
      <c r="U3" s="899">
        <v>7</v>
      </c>
      <c r="V3" s="900"/>
      <c r="W3" s="901"/>
      <c r="X3" s="899">
        <v>8</v>
      </c>
      <c r="Y3" s="900"/>
      <c r="Z3" s="901"/>
      <c r="AA3" s="899">
        <v>9</v>
      </c>
      <c r="AB3" s="900"/>
      <c r="AC3" s="901"/>
      <c r="AD3" s="899">
        <v>10</v>
      </c>
      <c r="AE3" s="900"/>
      <c r="AF3" s="901"/>
      <c r="AG3" s="899">
        <v>11</v>
      </c>
      <c r="AH3" s="900"/>
      <c r="AI3" s="901"/>
      <c r="AJ3" s="899">
        <v>12</v>
      </c>
      <c r="AK3" s="900"/>
      <c r="AL3" s="901"/>
      <c r="AM3" s="902" t="s">
        <v>34</v>
      </c>
      <c r="AO3" s="49" t="s">
        <v>587</v>
      </c>
      <c r="AP3" s="49" t="s">
        <v>300</v>
      </c>
      <c r="AQ3" s="49" t="s">
        <v>25</v>
      </c>
    </row>
    <row r="4" spans="2:62" ht="20.100000000000001" customHeight="1" x14ac:dyDescent="0.15">
      <c r="B4" s="906"/>
      <c r="C4" s="390" t="s">
        <v>35</v>
      </c>
      <c r="D4" s="71" t="s">
        <v>36</v>
      </c>
      <c r="E4" s="494" t="s">
        <v>37</v>
      </c>
      <c r="F4" s="390" t="s">
        <v>35</v>
      </c>
      <c r="G4" s="494" t="s">
        <v>36</v>
      </c>
      <c r="H4" s="494" t="s">
        <v>37</v>
      </c>
      <c r="I4" s="390" t="s">
        <v>35</v>
      </c>
      <c r="J4" s="494" t="s">
        <v>36</v>
      </c>
      <c r="K4" s="494" t="s">
        <v>37</v>
      </c>
      <c r="L4" s="390" t="s">
        <v>35</v>
      </c>
      <c r="M4" s="494" t="s">
        <v>36</v>
      </c>
      <c r="N4" s="494" t="s">
        <v>37</v>
      </c>
      <c r="O4" s="390" t="s">
        <v>35</v>
      </c>
      <c r="P4" s="494" t="s">
        <v>36</v>
      </c>
      <c r="Q4" s="494" t="s">
        <v>37</v>
      </c>
      <c r="R4" s="390" t="s">
        <v>35</v>
      </c>
      <c r="S4" s="495" t="s">
        <v>36</v>
      </c>
      <c r="T4" s="495" t="s">
        <v>37</v>
      </c>
      <c r="U4" s="390" t="s">
        <v>35</v>
      </c>
      <c r="V4" s="494" t="s">
        <v>36</v>
      </c>
      <c r="W4" s="494" t="s">
        <v>37</v>
      </c>
      <c r="X4" s="390" t="s">
        <v>35</v>
      </c>
      <c r="Y4" s="494" t="s">
        <v>36</v>
      </c>
      <c r="Z4" s="494" t="s">
        <v>37</v>
      </c>
      <c r="AA4" s="390" t="s">
        <v>35</v>
      </c>
      <c r="AB4" s="494" t="s">
        <v>36</v>
      </c>
      <c r="AC4" s="494" t="s">
        <v>37</v>
      </c>
      <c r="AD4" s="390" t="s">
        <v>35</v>
      </c>
      <c r="AE4" s="494" t="s">
        <v>36</v>
      </c>
      <c r="AF4" s="494" t="s">
        <v>37</v>
      </c>
      <c r="AG4" s="390" t="s">
        <v>35</v>
      </c>
      <c r="AH4" s="494" t="s">
        <v>36</v>
      </c>
      <c r="AI4" s="494" t="s">
        <v>37</v>
      </c>
      <c r="AJ4" s="390" t="s">
        <v>35</v>
      </c>
      <c r="AK4" s="494" t="s">
        <v>36</v>
      </c>
      <c r="AL4" s="494" t="s">
        <v>37</v>
      </c>
      <c r="AM4" s="903"/>
    </row>
    <row r="5" spans="2:62" ht="20.100000000000001" customHeight="1" x14ac:dyDescent="0.15">
      <c r="B5" s="904" t="s">
        <v>588</v>
      </c>
      <c r="C5" s="72"/>
      <c r="D5" s="5"/>
      <c r="E5" s="5"/>
      <c r="F5" s="5"/>
      <c r="G5" s="5"/>
      <c r="H5" s="5"/>
      <c r="I5" s="5"/>
      <c r="J5" s="5"/>
      <c r="K5" s="5"/>
      <c r="L5" s="5"/>
      <c r="M5" s="5"/>
      <c r="N5" s="51"/>
      <c r="O5" s="51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73"/>
    </row>
    <row r="6" spans="2:62" ht="20.100000000000001" customHeight="1" x14ac:dyDescent="0.15">
      <c r="B6" s="905"/>
      <c r="C6" s="72"/>
      <c r="D6" s="5"/>
      <c r="E6" s="5"/>
      <c r="F6" s="5"/>
      <c r="G6" s="5"/>
      <c r="H6" s="5"/>
      <c r="I6" s="5"/>
      <c r="J6" s="5"/>
      <c r="K6" s="5"/>
      <c r="M6" s="5"/>
      <c r="N6" s="5"/>
      <c r="O6" s="908" t="s">
        <v>284</v>
      </c>
      <c r="P6" s="909"/>
      <c r="Q6" s="5"/>
      <c r="R6" s="5"/>
      <c r="S6" s="5"/>
      <c r="T6" s="5"/>
      <c r="U6" s="5"/>
      <c r="V6" s="5"/>
      <c r="W6" s="5"/>
      <c r="X6" s="5"/>
      <c r="Y6" s="5"/>
      <c r="Z6" s="5"/>
      <c r="AA6" s="908" t="s">
        <v>291</v>
      </c>
      <c r="AB6" s="909"/>
      <c r="AC6" s="5"/>
      <c r="AD6" s="5"/>
      <c r="AE6" s="5"/>
      <c r="AF6" s="5"/>
      <c r="AG6" s="5"/>
      <c r="AH6" s="5"/>
      <c r="AI6" s="5"/>
      <c r="AJ6" s="5"/>
      <c r="AK6" s="5"/>
      <c r="AL6" s="5"/>
      <c r="AM6" s="73"/>
    </row>
    <row r="7" spans="2:62" ht="20.100000000000001" customHeight="1" x14ac:dyDescent="0.15">
      <c r="B7" s="906"/>
      <c r="C7" s="391"/>
      <c r="D7" s="511"/>
      <c r="E7" s="511"/>
      <c r="F7" s="511"/>
      <c r="G7" s="511"/>
      <c r="H7" s="511"/>
      <c r="I7" s="511"/>
      <c r="J7" s="511"/>
      <c r="K7" s="511"/>
      <c r="L7" s="511"/>
      <c r="M7" s="511"/>
      <c r="N7" s="511"/>
      <c r="O7" s="511"/>
      <c r="P7" s="511"/>
      <c r="Q7" s="511"/>
      <c r="R7" s="511"/>
      <c r="S7" s="511"/>
      <c r="T7" s="51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1"/>
      <c r="AF7" s="511"/>
      <c r="AG7" s="511"/>
      <c r="AH7" s="511"/>
      <c r="AI7" s="511"/>
      <c r="AJ7" s="511"/>
      <c r="AK7" s="511"/>
      <c r="AL7" s="511"/>
      <c r="AM7" s="533"/>
    </row>
    <row r="8" spans="2:62" ht="20.100000000000001" customHeight="1" x14ac:dyDescent="0.15">
      <c r="B8" s="506" t="s">
        <v>281</v>
      </c>
      <c r="C8" s="392"/>
      <c r="D8" s="507"/>
      <c r="E8" s="507"/>
      <c r="F8" s="392"/>
      <c r="G8" s="507"/>
      <c r="H8" s="507"/>
      <c r="I8" s="392"/>
      <c r="J8" s="507"/>
      <c r="K8" s="507"/>
      <c r="L8" s="392">
        <v>3.2</v>
      </c>
      <c r="M8" s="507"/>
      <c r="N8" s="507"/>
      <c r="O8" s="392"/>
      <c r="P8" s="507"/>
      <c r="Q8" s="507"/>
      <c r="R8" s="392"/>
      <c r="S8" s="507"/>
      <c r="T8" s="507"/>
      <c r="U8" s="392"/>
      <c r="V8" s="507"/>
      <c r="W8" s="507"/>
      <c r="X8" s="392"/>
      <c r="Y8" s="507"/>
      <c r="Z8" s="507"/>
      <c r="AA8" s="392"/>
      <c r="AB8" s="507"/>
      <c r="AC8" s="507"/>
      <c r="AD8" s="392"/>
      <c r="AE8" s="507"/>
      <c r="AF8" s="507"/>
      <c r="AG8" s="392"/>
      <c r="AH8" s="507"/>
      <c r="AI8" s="507"/>
      <c r="AJ8" s="392"/>
      <c r="AK8" s="507"/>
      <c r="AL8" s="507"/>
      <c r="AM8" s="393">
        <f>SUM(C8:AL8)</f>
        <v>3.2</v>
      </c>
      <c r="AO8" s="314"/>
      <c r="AP8" s="314">
        <v>3.2</v>
      </c>
      <c r="AQ8" s="315">
        <v>3.2</v>
      </c>
    </row>
    <row r="9" spans="2:62" ht="20.100000000000001" customHeight="1" x14ac:dyDescent="0.15">
      <c r="B9" s="506" t="s">
        <v>282</v>
      </c>
      <c r="C9" s="392"/>
      <c r="D9" s="507"/>
      <c r="E9" s="507"/>
      <c r="F9" s="392"/>
      <c r="G9" s="507"/>
      <c r="H9" s="507"/>
      <c r="I9" s="392"/>
      <c r="J9" s="507"/>
      <c r="K9" s="507"/>
      <c r="L9" s="392">
        <v>1.2</v>
      </c>
      <c r="M9" s="507">
        <v>5.3</v>
      </c>
      <c r="N9" s="507">
        <v>5.3</v>
      </c>
      <c r="O9" s="392">
        <v>2.2000000000000002</v>
      </c>
      <c r="P9" s="507"/>
      <c r="Q9" s="507"/>
      <c r="R9" s="392"/>
      <c r="S9" s="507"/>
      <c r="T9" s="507"/>
      <c r="U9" s="392"/>
      <c r="V9" s="507"/>
      <c r="W9" s="507"/>
      <c r="X9" s="392"/>
      <c r="Y9" s="507"/>
      <c r="Z9" s="507"/>
      <c r="AA9" s="392"/>
      <c r="AB9" s="507"/>
      <c r="AC9" s="507"/>
      <c r="AD9" s="392"/>
      <c r="AE9" s="507"/>
      <c r="AF9" s="507"/>
      <c r="AG9" s="392"/>
      <c r="AH9" s="507"/>
      <c r="AI9" s="507"/>
      <c r="AJ9" s="392"/>
      <c r="AK9" s="507"/>
      <c r="AL9" s="507"/>
      <c r="AM9" s="393">
        <f t="shared" ref="AM9:AM33" si="0">SUM(C9:AL9)</f>
        <v>14</v>
      </c>
      <c r="AO9" s="314"/>
      <c r="AP9" s="314">
        <v>14</v>
      </c>
      <c r="AQ9" s="315">
        <v>14</v>
      </c>
    </row>
    <row r="10" spans="2:62" ht="20.100000000000001" customHeight="1" x14ac:dyDescent="0.15">
      <c r="B10" s="506" t="s">
        <v>283</v>
      </c>
      <c r="C10" s="392"/>
      <c r="D10" s="507"/>
      <c r="E10" s="507"/>
      <c r="F10" s="392"/>
      <c r="G10" s="507">
        <v>1.9</v>
      </c>
      <c r="H10" s="507">
        <v>1.9</v>
      </c>
      <c r="I10" s="392">
        <v>1.9</v>
      </c>
      <c r="J10" s="507">
        <v>1.9</v>
      </c>
      <c r="K10" s="507"/>
      <c r="L10" s="392"/>
      <c r="M10" s="507"/>
      <c r="N10" s="507"/>
      <c r="O10" s="392"/>
      <c r="P10" s="507"/>
      <c r="Q10" s="507"/>
      <c r="R10" s="392"/>
      <c r="S10" s="507"/>
      <c r="T10" s="507"/>
      <c r="U10" s="392"/>
      <c r="V10" s="507"/>
      <c r="W10" s="507"/>
      <c r="X10" s="392"/>
      <c r="Y10" s="507"/>
      <c r="Z10" s="507"/>
      <c r="AA10" s="392"/>
      <c r="AB10" s="507"/>
      <c r="AC10" s="507"/>
      <c r="AD10" s="392"/>
      <c r="AE10" s="507"/>
      <c r="AF10" s="507"/>
      <c r="AG10" s="392"/>
      <c r="AH10" s="507">
        <v>2.4</v>
      </c>
      <c r="AI10" s="507">
        <v>2.4</v>
      </c>
      <c r="AJ10" s="392">
        <v>2.2999999999999998</v>
      </c>
      <c r="AK10" s="507"/>
      <c r="AL10" s="507"/>
      <c r="AM10" s="393">
        <f t="shared" si="0"/>
        <v>14.7</v>
      </c>
      <c r="AO10" s="314">
        <v>14.7</v>
      </c>
      <c r="AP10" s="314"/>
      <c r="AQ10" s="315">
        <v>14.7</v>
      </c>
    </row>
    <row r="11" spans="2:62" ht="20.100000000000001" customHeight="1" x14ac:dyDescent="0.15">
      <c r="B11" s="506" t="s">
        <v>262</v>
      </c>
      <c r="C11" s="392"/>
      <c r="D11" s="507"/>
      <c r="E11" s="507"/>
      <c r="F11" s="392"/>
      <c r="G11" s="507"/>
      <c r="H11" s="507"/>
      <c r="I11" s="392"/>
      <c r="J11" s="507"/>
      <c r="K11" s="507"/>
      <c r="L11" s="392"/>
      <c r="M11" s="507">
        <v>2.5</v>
      </c>
      <c r="N11" s="507">
        <v>2.5</v>
      </c>
      <c r="O11" s="392"/>
      <c r="P11" s="507"/>
      <c r="Q11" s="507"/>
      <c r="R11" s="392"/>
      <c r="S11" s="507"/>
      <c r="T11" s="507"/>
      <c r="U11" s="392"/>
      <c r="V11" s="507"/>
      <c r="W11" s="507"/>
      <c r="X11" s="392"/>
      <c r="Y11" s="507"/>
      <c r="Z11" s="507"/>
      <c r="AA11" s="392"/>
      <c r="AB11" s="507"/>
      <c r="AC11" s="507"/>
      <c r="AD11" s="392"/>
      <c r="AE11" s="507"/>
      <c r="AF11" s="507"/>
      <c r="AG11" s="392"/>
      <c r="AH11" s="507"/>
      <c r="AI11" s="507"/>
      <c r="AJ11" s="392"/>
      <c r="AK11" s="507"/>
      <c r="AL11" s="507"/>
      <c r="AM11" s="393">
        <f t="shared" si="0"/>
        <v>5</v>
      </c>
      <c r="AO11" s="314">
        <v>5</v>
      </c>
      <c r="AP11" s="314"/>
      <c r="AQ11" s="315">
        <v>5</v>
      </c>
    </row>
    <row r="12" spans="2:62" ht="20.100000000000001" customHeight="1" x14ac:dyDescent="0.15">
      <c r="B12" s="506" t="s">
        <v>284</v>
      </c>
      <c r="C12" s="392"/>
      <c r="D12" s="507"/>
      <c r="E12" s="507"/>
      <c r="F12" s="392"/>
      <c r="G12" s="507"/>
      <c r="H12" s="507"/>
      <c r="I12" s="392"/>
      <c r="J12" s="507"/>
      <c r="K12" s="507"/>
      <c r="L12" s="392"/>
      <c r="M12" s="507"/>
      <c r="N12" s="507"/>
      <c r="O12" s="392">
        <v>8.8000000000000007</v>
      </c>
      <c r="P12" s="507">
        <v>8.8000000000000007</v>
      </c>
      <c r="Q12" s="507"/>
      <c r="R12" s="392"/>
      <c r="S12" s="507"/>
      <c r="T12" s="507"/>
      <c r="U12" s="392"/>
      <c r="V12" s="507"/>
      <c r="W12" s="507"/>
      <c r="X12" s="392"/>
      <c r="Y12" s="507"/>
      <c r="Z12" s="507"/>
      <c r="AA12" s="392"/>
      <c r="AB12" s="507"/>
      <c r="AC12" s="507"/>
      <c r="AD12" s="392"/>
      <c r="AE12" s="507"/>
      <c r="AF12" s="507"/>
      <c r="AG12" s="392"/>
      <c r="AH12" s="507"/>
      <c r="AI12" s="507"/>
      <c r="AJ12" s="392"/>
      <c r="AK12" s="507"/>
      <c r="AL12" s="507"/>
      <c r="AM12" s="393">
        <f t="shared" si="0"/>
        <v>17.600000000000001</v>
      </c>
      <c r="AO12" s="314">
        <v>4.4000000000000004</v>
      </c>
      <c r="AP12" s="314">
        <v>13.200000000000001</v>
      </c>
      <c r="AQ12" s="315">
        <v>17.600000000000001</v>
      </c>
    </row>
    <row r="13" spans="2:62" ht="20.100000000000001" customHeight="1" x14ac:dyDescent="0.15">
      <c r="B13" s="506" t="s">
        <v>285</v>
      </c>
      <c r="C13" s="392"/>
      <c r="D13" s="507"/>
      <c r="E13" s="507"/>
      <c r="F13" s="392"/>
      <c r="G13" s="507"/>
      <c r="H13" s="507"/>
      <c r="I13" s="392"/>
      <c r="J13" s="507"/>
      <c r="K13" s="507"/>
      <c r="L13" s="392"/>
      <c r="M13" s="507"/>
      <c r="N13" s="507"/>
      <c r="O13" s="392"/>
      <c r="P13" s="507"/>
      <c r="Q13" s="507"/>
      <c r="R13" s="392"/>
      <c r="S13" s="507"/>
      <c r="T13" s="507"/>
      <c r="U13" s="392"/>
      <c r="V13" s="507"/>
      <c r="W13" s="507"/>
      <c r="X13" s="392"/>
      <c r="Y13" s="507"/>
      <c r="Z13" s="507"/>
      <c r="AA13" s="392"/>
      <c r="AB13" s="507"/>
      <c r="AC13" s="507"/>
      <c r="AD13" s="392"/>
      <c r="AE13" s="507"/>
      <c r="AF13" s="507"/>
      <c r="AG13" s="392"/>
      <c r="AH13" s="507"/>
      <c r="AI13" s="507"/>
      <c r="AJ13" s="392"/>
      <c r="AK13" s="507"/>
      <c r="AL13" s="507"/>
      <c r="AM13" s="393">
        <f t="shared" si="0"/>
        <v>0</v>
      </c>
      <c r="AO13" s="314"/>
      <c r="AP13" s="314"/>
      <c r="AQ13" s="315">
        <v>0</v>
      </c>
    </row>
    <row r="14" spans="2:62" ht="20.100000000000001" customHeight="1" x14ac:dyDescent="0.15">
      <c r="B14" s="506" t="s">
        <v>286</v>
      </c>
      <c r="C14" s="392"/>
      <c r="D14" s="507"/>
      <c r="E14" s="507"/>
      <c r="F14" s="392"/>
      <c r="G14" s="507"/>
      <c r="H14" s="507"/>
      <c r="I14" s="392"/>
      <c r="J14" s="507"/>
      <c r="K14" s="507"/>
      <c r="L14" s="392"/>
      <c r="M14" s="507"/>
      <c r="N14" s="507"/>
      <c r="O14" s="392"/>
      <c r="P14" s="507"/>
      <c r="Q14" s="507"/>
      <c r="R14" s="392"/>
      <c r="S14" s="507"/>
      <c r="T14" s="507"/>
      <c r="U14" s="392"/>
      <c r="V14" s="507"/>
      <c r="W14" s="507"/>
      <c r="X14" s="392"/>
      <c r="Y14" s="507"/>
      <c r="Z14" s="507"/>
      <c r="AA14" s="392"/>
      <c r="AB14" s="507"/>
      <c r="AC14" s="507"/>
      <c r="AD14" s="392"/>
      <c r="AE14" s="507"/>
      <c r="AF14" s="507"/>
      <c r="AG14" s="392"/>
      <c r="AH14" s="507"/>
      <c r="AI14" s="507"/>
      <c r="AJ14" s="392"/>
      <c r="AK14" s="507"/>
      <c r="AL14" s="507"/>
      <c r="AM14" s="393">
        <f t="shared" si="0"/>
        <v>0</v>
      </c>
      <c r="AO14" s="314"/>
      <c r="AP14" s="314"/>
      <c r="AQ14" s="315">
        <v>0</v>
      </c>
    </row>
    <row r="15" spans="2:62" ht="20.100000000000001" customHeight="1" x14ac:dyDescent="0.15">
      <c r="B15" s="506" t="s">
        <v>287</v>
      </c>
      <c r="C15" s="392"/>
      <c r="D15" s="507"/>
      <c r="E15" s="507"/>
      <c r="F15" s="392"/>
      <c r="G15" s="507"/>
      <c r="H15" s="507"/>
      <c r="I15" s="392"/>
      <c r="J15" s="507"/>
      <c r="K15" s="507"/>
      <c r="L15" s="392"/>
      <c r="M15" s="507"/>
      <c r="N15" s="507"/>
      <c r="O15" s="392"/>
      <c r="P15" s="507"/>
      <c r="Q15" s="507"/>
      <c r="R15" s="392"/>
      <c r="S15" s="507"/>
      <c r="T15" s="507"/>
      <c r="U15" s="392"/>
      <c r="V15" s="507">
        <v>3.4</v>
      </c>
      <c r="W15" s="507"/>
      <c r="X15" s="392">
        <v>3.4</v>
      </c>
      <c r="Y15" s="507"/>
      <c r="Z15" s="507"/>
      <c r="AA15" s="392"/>
      <c r="AB15" s="507"/>
      <c r="AC15" s="507"/>
      <c r="AD15" s="392"/>
      <c r="AE15" s="507"/>
      <c r="AF15" s="507"/>
      <c r="AG15" s="392"/>
      <c r="AH15" s="507"/>
      <c r="AI15" s="507"/>
      <c r="AJ15" s="392"/>
      <c r="AK15" s="507"/>
      <c r="AL15" s="507"/>
      <c r="AM15" s="393">
        <f t="shared" si="0"/>
        <v>6.8</v>
      </c>
      <c r="AO15" s="314">
        <v>1.7</v>
      </c>
      <c r="AP15" s="314">
        <v>5.0999999999999996</v>
      </c>
      <c r="AQ15" s="315">
        <v>6.8</v>
      </c>
    </row>
    <row r="16" spans="2:62" ht="20.100000000000001" customHeight="1" x14ac:dyDescent="0.15">
      <c r="B16" s="506" t="s">
        <v>288</v>
      </c>
      <c r="C16" s="392"/>
      <c r="D16" s="507"/>
      <c r="E16" s="507"/>
      <c r="F16" s="392"/>
      <c r="G16" s="507"/>
      <c r="H16" s="507"/>
      <c r="I16" s="392"/>
      <c r="J16" s="507"/>
      <c r="K16" s="507"/>
      <c r="L16" s="392"/>
      <c r="M16" s="507"/>
      <c r="N16" s="507"/>
      <c r="O16" s="392"/>
      <c r="P16" s="507"/>
      <c r="Q16" s="507"/>
      <c r="R16" s="392"/>
      <c r="S16" s="507"/>
      <c r="T16" s="507"/>
      <c r="U16" s="392"/>
      <c r="V16" s="507"/>
      <c r="W16" s="507"/>
      <c r="X16" s="392"/>
      <c r="Y16" s="507"/>
      <c r="Z16" s="507"/>
      <c r="AA16" s="392">
        <v>10.3</v>
      </c>
      <c r="AB16" s="507">
        <v>10.4</v>
      </c>
      <c r="AC16" s="507"/>
      <c r="AD16" s="392"/>
      <c r="AE16" s="507"/>
      <c r="AF16" s="507"/>
      <c r="AG16" s="392"/>
      <c r="AH16" s="507"/>
      <c r="AI16" s="507"/>
      <c r="AJ16" s="392"/>
      <c r="AK16" s="507"/>
      <c r="AL16" s="507"/>
      <c r="AM16" s="393">
        <f t="shared" si="0"/>
        <v>20.700000000000003</v>
      </c>
      <c r="AO16" s="314">
        <v>6.9</v>
      </c>
      <c r="AP16" s="314">
        <v>13.8</v>
      </c>
      <c r="AQ16" s="315">
        <v>20.700000000000003</v>
      </c>
    </row>
    <row r="17" spans="2:43" ht="20.100000000000001" customHeight="1" x14ac:dyDescent="0.15">
      <c r="B17" s="506" t="s">
        <v>289</v>
      </c>
      <c r="C17" s="392"/>
      <c r="D17" s="507"/>
      <c r="E17" s="507"/>
      <c r="F17" s="392"/>
      <c r="G17" s="507"/>
      <c r="H17" s="507"/>
      <c r="I17" s="392"/>
      <c r="J17" s="507"/>
      <c r="K17" s="507"/>
      <c r="L17" s="392"/>
      <c r="M17" s="507"/>
      <c r="N17" s="507"/>
      <c r="O17" s="392"/>
      <c r="P17" s="507"/>
      <c r="Q17" s="507"/>
      <c r="R17" s="392"/>
      <c r="S17" s="507"/>
      <c r="T17" s="507"/>
      <c r="U17" s="392"/>
      <c r="V17" s="507"/>
      <c r="W17" s="507"/>
      <c r="X17" s="392"/>
      <c r="Y17" s="507"/>
      <c r="Z17" s="507"/>
      <c r="AA17" s="392">
        <v>4.7</v>
      </c>
      <c r="AB17" s="507">
        <v>4.8</v>
      </c>
      <c r="AC17" s="507"/>
      <c r="AD17" s="392"/>
      <c r="AE17" s="507"/>
      <c r="AF17" s="507"/>
      <c r="AG17" s="392"/>
      <c r="AH17" s="507"/>
      <c r="AI17" s="507"/>
      <c r="AJ17" s="392"/>
      <c r="AK17" s="507"/>
      <c r="AL17" s="507"/>
      <c r="AM17" s="393">
        <f t="shared" si="0"/>
        <v>9.5</v>
      </c>
      <c r="AO17" s="314"/>
      <c r="AP17" s="314">
        <v>9.5</v>
      </c>
      <c r="AQ17" s="315">
        <v>9.5</v>
      </c>
    </row>
    <row r="18" spans="2:43" ht="20.100000000000001" customHeight="1" x14ac:dyDescent="0.15">
      <c r="B18" s="506" t="s">
        <v>290</v>
      </c>
      <c r="C18" s="392"/>
      <c r="D18" s="507"/>
      <c r="E18" s="507"/>
      <c r="F18" s="392"/>
      <c r="G18" s="507"/>
      <c r="H18" s="507"/>
      <c r="I18" s="392"/>
      <c r="J18" s="507"/>
      <c r="K18" s="507"/>
      <c r="L18" s="392"/>
      <c r="M18" s="507"/>
      <c r="N18" s="507"/>
      <c r="O18" s="392"/>
      <c r="P18" s="507"/>
      <c r="Q18" s="507"/>
      <c r="R18" s="392"/>
      <c r="S18" s="507"/>
      <c r="T18" s="507"/>
      <c r="U18" s="392"/>
      <c r="V18" s="507"/>
      <c r="W18" s="507"/>
      <c r="X18" s="392"/>
      <c r="Y18" s="507"/>
      <c r="Z18" s="507"/>
      <c r="AA18" s="392"/>
      <c r="AB18" s="507"/>
      <c r="AC18" s="507"/>
      <c r="AD18" s="392"/>
      <c r="AE18" s="507"/>
      <c r="AF18" s="507"/>
      <c r="AG18" s="392">
        <v>1.2</v>
      </c>
      <c r="AH18" s="507">
        <v>1.2</v>
      </c>
      <c r="AI18" s="507"/>
      <c r="AJ18" s="392"/>
      <c r="AK18" s="507"/>
      <c r="AL18" s="507"/>
      <c r="AM18" s="393">
        <f t="shared" si="0"/>
        <v>2.4</v>
      </c>
      <c r="AO18" s="314">
        <v>1.2</v>
      </c>
      <c r="AP18" s="314">
        <v>1.2</v>
      </c>
      <c r="AQ18" s="315">
        <v>2.4</v>
      </c>
    </row>
    <row r="19" spans="2:43" ht="20.100000000000001" customHeight="1" x14ac:dyDescent="0.15">
      <c r="B19" s="506" t="s">
        <v>167</v>
      </c>
      <c r="C19" s="392"/>
      <c r="D19" s="507"/>
      <c r="E19" s="507"/>
      <c r="F19" s="392">
        <v>2</v>
      </c>
      <c r="G19" s="507"/>
      <c r="H19" s="507"/>
      <c r="I19" s="392"/>
      <c r="J19" s="507"/>
      <c r="K19" s="507"/>
      <c r="L19" s="392"/>
      <c r="M19" s="507"/>
      <c r="N19" s="507"/>
      <c r="O19" s="392"/>
      <c r="P19" s="507"/>
      <c r="Q19" s="507"/>
      <c r="R19" s="392"/>
      <c r="S19" s="507"/>
      <c r="T19" s="507"/>
      <c r="U19" s="392"/>
      <c r="V19" s="507"/>
      <c r="W19" s="507"/>
      <c r="X19" s="392"/>
      <c r="Y19" s="507"/>
      <c r="Z19" s="507"/>
      <c r="AA19" s="392"/>
      <c r="AB19" s="507"/>
      <c r="AC19" s="507"/>
      <c r="AD19" s="392"/>
      <c r="AE19" s="507"/>
      <c r="AF19" s="507"/>
      <c r="AG19" s="392"/>
      <c r="AH19" s="507"/>
      <c r="AI19" s="507"/>
      <c r="AJ19" s="392"/>
      <c r="AK19" s="507"/>
      <c r="AL19" s="507"/>
      <c r="AM19" s="393">
        <f t="shared" si="0"/>
        <v>2</v>
      </c>
      <c r="AO19" s="314"/>
      <c r="AP19" s="314">
        <v>2</v>
      </c>
      <c r="AQ19" s="315">
        <v>2</v>
      </c>
    </row>
    <row r="20" spans="2:43" ht="20.100000000000001" customHeight="1" x14ac:dyDescent="0.15">
      <c r="B20" s="506"/>
      <c r="C20" s="392"/>
      <c r="D20" s="507"/>
      <c r="E20" s="507"/>
      <c r="F20" s="392"/>
      <c r="G20" s="507"/>
      <c r="H20" s="507"/>
      <c r="I20" s="392"/>
      <c r="J20" s="507"/>
      <c r="K20" s="507"/>
      <c r="L20" s="392"/>
      <c r="M20" s="507"/>
      <c r="N20" s="507"/>
      <c r="O20" s="392"/>
      <c r="P20" s="507"/>
      <c r="Q20" s="507"/>
      <c r="R20" s="392"/>
      <c r="S20" s="507"/>
      <c r="T20" s="507"/>
      <c r="U20" s="392"/>
      <c r="V20" s="507"/>
      <c r="W20" s="507"/>
      <c r="X20" s="392"/>
      <c r="Y20" s="507"/>
      <c r="Z20" s="507"/>
      <c r="AA20" s="392"/>
      <c r="AB20" s="507"/>
      <c r="AC20" s="507"/>
      <c r="AD20" s="392"/>
      <c r="AE20" s="507"/>
      <c r="AF20" s="507"/>
      <c r="AG20" s="392"/>
      <c r="AH20" s="507"/>
      <c r="AI20" s="507"/>
      <c r="AJ20" s="392"/>
      <c r="AK20" s="507"/>
      <c r="AL20" s="507"/>
      <c r="AM20" s="393">
        <f t="shared" si="0"/>
        <v>0</v>
      </c>
      <c r="AO20" s="315"/>
      <c r="AP20" s="315"/>
      <c r="AQ20" s="315">
        <f t="shared" ref="AQ20:AQ33" si="1">SUM(AO20:AP20)</f>
        <v>0</v>
      </c>
    </row>
    <row r="21" spans="2:43" ht="20.100000000000001" customHeight="1" x14ac:dyDescent="0.15">
      <c r="B21" s="506"/>
      <c r="C21" s="392"/>
      <c r="D21" s="507"/>
      <c r="E21" s="507"/>
      <c r="F21" s="392"/>
      <c r="G21" s="507"/>
      <c r="H21" s="507"/>
      <c r="I21" s="392"/>
      <c r="J21" s="507"/>
      <c r="K21" s="507"/>
      <c r="L21" s="392"/>
      <c r="M21" s="507"/>
      <c r="N21" s="507"/>
      <c r="O21" s="392"/>
      <c r="P21" s="507"/>
      <c r="Q21" s="507"/>
      <c r="R21" s="392"/>
      <c r="S21" s="507"/>
      <c r="T21" s="507"/>
      <c r="U21" s="392"/>
      <c r="V21" s="507"/>
      <c r="W21" s="507"/>
      <c r="X21" s="392"/>
      <c r="Y21" s="507"/>
      <c r="Z21" s="507"/>
      <c r="AA21" s="392"/>
      <c r="AB21" s="507"/>
      <c r="AC21" s="507"/>
      <c r="AD21" s="392"/>
      <c r="AE21" s="507"/>
      <c r="AF21" s="507"/>
      <c r="AG21" s="392"/>
      <c r="AH21" s="507"/>
      <c r="AI21" s="507"/>
      <c r="AJ21" s="392"/>
      <c r="AK21" s="507"/>
      <c r="AL21" s="507"/>
      <c r="AM21" s="393">
        <f t="shared" si="0"/>
        <v>0</v>
      </c>
      <c r="AO21" s="315"/>
      <c r="AP21" s="315"/>
      <c r="AQ21" s="315">
        <f t="shared" si="1"/>
        <v>0</v>
      </c>
    </row>
    <row r="22" spans="2:43" ht="20.100000000000001" customHeight="1" x14ac:dyDescent="0.15">
      <c r="B22" s="506"/>
      <c r="C22" s="392"/>
      <c r="D22" s="507"/>
      <c r="E22" s="507"/>
      <c r="F22" s="392"/>
      <c r="G22" s="507"/>
      <c r="H22" s="507"/>
      <c r="I22" s="392"/>
      <c r="J22" s="507"/>
      <c r="K22" s="507"/>
      <c r="L22" s="392"/>
      <c r="M22" s="507"/>
      <c r="N22" s="507"/>
      <c r="O22" s="392"/>
      <c r="P22" s="507"/>
      <c r="Q22" s="507"/>
      <c r="R22" s="392"/>
      <c r="S22" s="507"/>
      <c r="T22" s="507"/>
      <c r="U22" s="392"/>
      <c r="V22" s="507"/>
      <c r="W22" s="507"/>
      <c r="X22" s="392"/>
      <c r="Y22" s="507"/>
      <c r="Z22" s="507"/>
      <c r="AA22" s="392"/>
      <c r="AB22" s="507"/>
      <c r="AC22" s="507"/>
      <c r="AD22" s="392"/>
      <c r="AE22" s="507"/>
      <c r="AF22" s="507"/>
      <c r="AG22" s="392"/>
      <c r="AH22" s="507"/>
      <c r="AI22" s="507"/>
      <c r="AJ22" s="392"/>
      <c r="AK22" s="507"/>
      <c r="AL22" s="507"/>
      <c r="AM22" s="393">
        <f t="shared" si="0"/>
        <v>0</v>
      </c>
      <c r="AO22" s="315"/>
      <c r="AP22" s="315"/>
      <c r="AQ22" s="315">
        <f t="shared" si="1"/>
        <v>0</v>
      </c>
    </row>
    <row r="23" spans="2:43" ht="20.100000000000001" customHeight="1" x14ac:dyDescent="0.15">
      <c r="B23" s="506"/>
      <c r="C23" s="392"/>
      <c r="D23" s="507"/>
      <c r="E23" s="507"/>
      <c r="F23" s="392"/>
      <c r="G23" s="507"/>
      <c r="H23" s="507"/>
      <c r="I23" s="392"/>
      <c r="J23" s="507"/>
      <c r="K23" s="507"/>
      <c r="L23" s="392"/>
      <c r="M23" s="507"/>
      <c r="N23" s="507"/>
      <c r="O23" s="392"/>
      <c r="P23" s="507"/>
      <c r="Q23" s="507"/>
      <c r="R23" s="392"/>
      <c r="S23" s="507"/>
      <c r="T23" s="507"/>
      <c r="U23" s="392"/>
      <c r="V23" s="507"/>
      <c r="W23" s="507"/>
      <c r="X23" s="392"/>
      <c r="Y23" s="507"/>
      <c r="Z23" s="507"/>
      <c r="AA23" s="392"/>
      <c r="AB23" s="507"/>
      <c r="AC23" s="507"/>
      <c r="AD23" s="392"/>
      <c r="AE23" s="507"/>
      <c r="AF23" s="507"/>
      <c r="AG23" s="392"/>
      <c r="AH23" s="507"/>
      <c r="AI23" s="507"/>
      <c r="AJ23" s="392"/>
      <c r="AK23" s="507"/>
      <c r="AL23" s="507"/>
      <c r="AM23" s="393">
        <f t="shared" si="0"/>
        <v>0</v>
      </c>
      <c r="AO23" s="315"/>
      <c r="AP23" s="315"/>
      <c r="AQ23" s="315">
        <f t="shared" si="1"/>
        <v>0</v>
      </c>
    </row>
    <row r="24" spans="2:43" ht="20.100000000000001" customHeight="1" x14ac:dyDescent="0.15">
      <c r="B24" s="506"/>
      <c r="C24" s="392"/>
      <c r="D24" s="507"/>
      <c r="E24" s="507"/>
      <c r="F24" s="392"/>
      <c r="G24" s="507"/>
      <c r="H24" s="507"/>
      <c r="I24" s="392"/>
      <c r="J24" s="507"/>
      <c r="K24" s="507"/>
      <c r="L24" s="392"/>
      <c r="M24" s="507"/>
      <c r="N24" s="507"/>
      <c r="O24" s="392"/>
      <c r="P24" s="507"/>
      <c r="Q24" s="507"/>
      <c r="R24" s="392"/>
      <c r="S24" s="507"/>
      <c r="T24" s="507"/>
      <c r="U24" s="392"/>
      <c r="V24" s="507"/>
      <c r="W24" s="507"/>
      <c r="X24" s="392"/>
      <c r="Y24" s="507"/>
      <c r="Z24" s="507"/>
      <c r="AA24" s="392"/>
      <c r="AB24" s="507"/>
      <c r="AC24" s="507"/>
      <c r="AD24" s="392"/>
      <c r="AE24" s="507"/>
      <c r="AF24" s="507"/>
      <c r="AG24" s="392"/>
      <c r="AH24" s="507"/>
      <c r="AI24" s="507"/>
      <c r="AJ24" s="392"/>
      <c r="AK24" s="507"/>
      <c r="AL24" s="507"/>
      <c r="AM24" s="393">
        <f t="shared" si="0"/>
        <v>0</v>
      </c>
      <c r="AO24" s="315"/>
      <c r="AP24" s="315"/>
      <c r="AQ24" s="315">
        <f t="shared" si="1"/>
        <v>0</v>
      </c>
    </row>
    <row r="25" spans="2:43" ht="20.100000000000001" customHeight="1" x14ac:dyDescent="0.15">
      <c r="B25" s="506"/>
      <c r="C25" s="392"/>
      <c r="D25" s="507"/>
      <c r="E25" s="507"/>
      <c r="F25" s="392"/>
      <c r="G25" s="507"/>
      <c r="H25" s="507"/>
      <c r="I25" s="392"/>
      <c r="J25" s="507"/>
      <c r="K25" s="507"/>
      <c r="L25" s="392"/>
      <c r="M25" s="507"/>
      <c r="N25" s="507"/>
      <c r="O25" s="392"/>
      <c r="P25" s="507"/>
      <c r="Q25" s="507"/>
      <c r="R25" s="392"/>
      <c r="S25" s="507"/>
      <c r="T25" s="507"/>
      <c r="U25" s="392"/>
      <c r="V25" s="507"/>
      <c r="W25" s="507"/>
      <c r="X25" s="392"/>
      <c r="Y25" s="507"/>
      <c r="Z25" s="507"/>
      <c r="AA25" s="392"/>
      <c r="AB25" s="507"/>
      <c r="AC25" s="507"/>
      <c r="AD25" s="392"/>
      <c r="AE25" s="507"/>
      <c r="AF25" s="507"/>
      <c r="AG25" s="392"/>
      <c r="AH25" s="507"/>
      <c r="AI25" s="507"/>
      <c r="AJ25" s="392"/>
      <c r="AK25" s="507"/>
      <c r="AL25" s="507"/>
      <c r="AM25" s="393">
        <f t="shared" si="0"/>
        <v>0</v>
      </c>
      <c r="AO25" s="315"/>
      <c r="AP25" s="315"/>
      <c r="AQ25" s="315">
        <f t="shared" si="1"/>
        <v>0</v>
      </c>
    </row>
    <row r="26" spans="2:43" ht="20.100000000000001" customHeight="1" x14ac:dyDescent="0.15">
      <c r="B26" s="506"/>
      <c r="C26" s="392"/>
      <c r="D26" s="507"/>
      <c r="E26" s="507"/>
      <c r="F26" s="392"/>
      <c r="G26" s="507"/>
      <c r="H26" s="507"/>
      <c r="I26" s="392"/>
      <c r="J26" s="507"/>
      <c r="K26" s="507"/>
      <c r="L26" s="392"/>
      <c r="M26" s="507"/>
      <c r="N26" s="507"/>
      <c r="O26" s="392"/>
      <c r="P26" s="507"/>
      <c r="Q26" s="507"/>
      <c r="R26" s="392"/>
      <c r="S26" s="507"/>
      <c r="T26" s="507"/>
      <c r="U26" s="392"/>
      <c r="V26" s="507"/>
      <c r="W26" s="507"/>
      <c r="X26" s="392"/>
      <c r="Y26" s="507"/>
      <c r="Z26" s="507"/>
      <c r="AA26" s="392"/>
      <c r="AB26" s="507"/>
      <c r="AC26" s="507"/>
      <c r="AD26" s="392"/>
      <c r="AE26" s="507"/>
      <c r="AF26" s="507"/>
      <c r="AG26" s="392"/>
      <c r="AH26" s="507"/>
      <c r="AI26" s="507"/>
      <c r="AJ26" s="392"/>
      <c r="AK26" s="507"/>
      <c r="AL26" s="507"/>
      <c r="AM26" s="393">
        <f t="shared" si="0"/>
        <v>0</v>
      </c>
      <c r="AO26" s="315"/>
      <c r="AP26" s="315"/>
      <c r="AQ26" s="315">
        <f t="shared" si="1"/>
        <v>0</v>
      </c>
    </row>
    <row r="27" spans="2:43" ht="20.100000000000001" customHeight="1" x14ac:dyDescent="0.15">
      <c r="B27" s="506"/>
      <c r="C27" s="392"/>
      <c r="D27" s="507"/>
      <c r="E27" s="507"/>
      <c r="F27" s="392"/>
      <c r="G27" s="507"/>
      <c r="H27" s="507"/>
      <c r="I27" s="392"/>
      <c r="J27" s="507"/>
      <c r="K27" s="507"/>
      <c r="L27" s="392"/>
      <c r="M27" s="507"/>
      <c r="N27" s="507"/>
      <c r="O27" s="392"/>
      <c r="P27" s="507"/>
      <c r="Q27" s="507"/>
      <c r="R27" s="392"/>
      <c r="S27" s="507"/>
      <c r="T27" s="507"/>
      <c r="U27" s="392"/>
      <c r="V27" s="507"/>
      <c r="W27" s="507"/>
      <c r="X27" s="392"/>
      <c r="Y27" s="507"/>
      <c r="Z27" s="507"/>
      <c r="AA27" s="392"/>
      <c r="AB27" s="507"/>
      <c r="AC27" s="507"/>
      <c r="AD27" s="392"/>
      <c r="AE27" s="507"/>
      <c r="AF27" s="507"/>
      <c r="AG27" s="392"/>
      <c r="AH27" s="507"/>
      <c r="AI27" s="507"/>
      <c r="AJ27" s="392"/>
      <c r="AK27" s="507"/>
      <c r="AL27" s="507"/>
      <c r="AM27" s="393">
        <f t="shared" si="0"/>
        <v>0</v>
      </c>
      <c r="AO27" s="315"/>
      <c r="AP27" s="315"/>
      <c r="AQ27" s="315">
        <f t="shared" si="1"/>
        <v>0</v>
      </c>
    </row>
    <row r="28" spans="2:43" ht="20.100000000000001" customHeight="1" x14ac:dyDescent="0.15">
      <c r="B28" s="506"/>
      <c r="C28" s="392"/>
      <c r="D28" s="507"/>
      <c r="E28" s="507"/>
      <c r="F28" s="392"/>
      <c r="G28" s="507"/>
      <c r="H28" s="507"/>
      <c r="I28" s="392"/>
      <c r="J28" s="507"/>
      <c r="K28" s="507"/>
      <c r="L28" s="392"/>
      <c r="M28" s="507"/>
      <c r="N28" s="507"/>
      <c r="O28" s="392"/>
      <c r="P28" s="507"/>
      <c r="Q28" s="507"/>
      <c r="R28" s="392"/>
      <c r="S28" s="507"/>
      <c r="T28" s="507"/>
      <c r="U28" s="392"/>
      <c r="V28" s="507"/>
      <c r="W28" s="507"/>
      <c r="X28" s="392"/>
      <c r="Y28" s="507"/>
      <c r="Z28" s="507"/>
      <c r="AA28" s="392"/>
      <c r="AB28" s="507"/>
      <c r="AC28" s="507"/>
      <c r="AD28" s="392"/>
      <c r="AE28" s="507"/>
      <c r="AF28" s="507"/>
      <c r="AG28" s="392"/>
      <c r="AH28" s="507"/>
      <c r="AI28" s="507"/>
      <c r="AJ28" s="392"/>
      <c r="AK28" s="507"/>
      <c r="AL28" s="507"/>
      <c r="AM28" s="393">
        <f t="shared" si="0"/>
        <v>0</v>
      </c>
      <c r="AO28" s="315"/>
      <c r="AP28" s="315"/>
      <c r="AQ28" s="315">
        <f t="shared" si="1"/>
        <v>0</v>
      </c>
    </row>
    <row r="29" spans="2:43" ht="20.100000000000001" customHeight="1" x14ac:dyDescent="0.15">
      <c r="B29" s="506"/>
      <c r="C29" s="392"/>
      <c r="D29" s="507"/>
      <c r="E29" s="507"/>
      <c r="F29" s="392"/>
      <c r="G29" s="507"/>
      <c r="H29" s="507"/>
      <c r="I29" s="392"/>
      <c r="J29" s="507"/>
      <c r="K29" s="507"/>
      <c r="L29" s="392"/>
      <c r="M29" s="507"/>
      <c r="N29" s="507"/>
      <c r="O29" s="392"/>
      <c r="P29" s="507"/>
      <c r="Q29" s="507"/>
      <c r="R29" s="392"/>
      <c r="S29" s="507"/>
      <c r="T29" s="507"/>
      <c r="U29" s="392"/>
      <c r="V29" s="507"/>
      <c r="W29" s="507"/>
      <c r="X29" s="392"/>
      <c r="Y29" s="507"/>
      <c r="Z29" s="507"/>
      <c r="AA29" s="392"/>
      <c r="AB29" s="507"/>
      <c r="AC29" s="507"/>
      <c r="AD29" s="392"/>
      <c r="AE29" s="507"/>
      <c r="AF29" s="507"/>
      <c r="AG29" s="392"/>
      <c r="AH29" s="507"/>
      <c r="AI29" s="507"/>
      <c r="AJ29" s="392"/>
      <c r="AK29" s="507"/>
      <c r="AL29" s="507"/>
      <c r="AM29" s="393">
        <f t="shared" si="0"/>
        <v>0</v>
      </c>
      <c r="AO29" s="315"/>
      <c r="AP29" s="315"/>
      <c r="AQ29" s="315">
        <f t="shared" si="1"/>
        <v>0</v>
      </c>
    </row>
    <row r="30" spans="2:43" ht="20.100000000000001" customHeight="1" x14ac:dyDescent="0.15">
      <c r="B30" s="506"/>
      <c r="C30" s="392"/>
      <c r="D30" s="507"/>
      <c r="E30" s="507"/>
      <c r="F30" s="392"/>
      <c r="G30" s="507"/>
      <c r="H30" s="507"/>
      <c r="I30" s="392"/>
      <c r="J30" s="507"/>
      <c r="K30" s="507"/>
      <c r="L30" s="392"/>
      <c r="M30" s="507"/>
      <c r="N30" s="507"/>
      <c r="O30" s="392"/>
      <c r="P30" s="507"/>
      <c r="Q30" s="507"/>
      <c r="R30" s="392"/>
      <c r="S30" s="507"/>
      <c r="T30" s="507"/>
      <c r="U30" s="392"/>
      <c r="V30" s="507"/>
      <c r="W30" s="507"/>
      <c r="X30" s="392"/>
      <c r="Y30" s="507"/>
      <c r="Z30" s="507"/>
      <c r="AA30" s="392"/>
      <c r="AB30" s="507"/>
      <c r="AC30" s="507"/>
      <c r="AD30" s="392"/>
      <c r="AE30" s="507"/>
      <c r="AF30" s="507"/>
      <c r="AG30" s="392"/>
      <c r="AH30" s="507"/>
      <c r="AI30" s="507"/>
      <c r="AJ30" s="392"/>
      <c r="AK30" s="507"/>
      <c r="AL30" s="507"/>
      <c r="AM30" s="393">
        <f t="shared" si="0"/>
        <v>0</v>
      </c>
      <c r="AO30" s="315"/>
      <c r="AP30" s="315"/>
      <c r="AQ30" s="315">
        <f t="shared" si="1"/>
        <v>0</v>
      </c>
    </row>
    <row r="31" spans="2:43" ht="20.100000000000001" customHeight="1" x14ac:dyDescent="0.15">
      <c r="B31" s="506"/>
      <c r="C31" s="392"/>
      <c r="D31" s="507"/>
      <c r="E31" s="507"/>
      <c r="F31" s="392"/>
      <c r="G31" s="507"/>
      <c r="H31" s="507"/>
      <c r="I31" s="392"/>
      <c r="J31" s="507"/>
      <c r="K31" s="507"/>
      <c r="L31" s="392"/>
      <c r="M31" s="507"/>
      <c r="N31" s="507"/>
      <c r="O31" s="392"/>
      <c r="P31" s="507"/>
      <c r="Q31" s="507"/>
      <c r="R31" s="392"/>
      <c r="S31" s="507"/>
      <c r="T31" s="507"/>
      <c r="U31" s="392"/>
      <c r="V31" s="507"/>
      <c r="W31" s="507"/>
      <c r="X31" s="392"/>
      <c r="Y31" s="507"/>
      <c r="Z31" s="507"/>
      <c r="AA31" s="392"/>
      <c r="AB31" s="507"/>
      <c r="AC31" s="507"/>
      <c r="AD31" s="392"/>
      <c r="AE31" s="507"/>
      <c r="AF31" s="507"/>
      <c r="AG31" s="392"/>
      <c r="AH31" s="507"/>
      <c r="AI31" s="507"/>
      <c r="AJ31" s="392"/>
      <c r="AK31" s="507"/>
      <c r="AL31" s="507"/>
      <c r="AM31" s="393">
        <f t="shared" si="0"/>
        <v>0</v>
      </c>
      <c r="AO31" s="315"/>
      <c r="AP31" s="315"/>
      <c r="AQ31" s="315">
        <f t="shared" si="1"/>
        <v>0</v>
      </c>
    </row>
    <row r="32" spans="2:43" ht="20.100000000000001" customHeight="1" x14ac:dyDescent="0.15">
      <c r="B32" s="506"/>
      <c r="C32" s="392"/>
      <c r="D32" s="507"/>
      <c r="E32" s="507"/>
      <c r="F32" s="392"/>
      <c r="G32" s="507"/>
      <c r="H32" s="507"/>
      <c r="I32" s="392"/>
      <c r="J32" s="507"/>
      <c r="K32" s="507"/>
      <c r="L32" s="392"/>
      <c r="M32" s="507"/>
      <c r="N32" s="507"/>
      <c r="O32" s="392"/>
      <c r="P32" s="507"/>
      <c r="Q32" s="507"/>
      <c r="R32" s="392"/>
      <c r="S32" s="507"/>
      <c r="T32" s="507"/>
      <c r="U32" s="392"/>
      <c r="V32" s="507"/>
      <c r="W32" s="507"/>
      <c r="X32" s="392"/>
      <c r="Y32" s="507"/>
      <c r="Z32" s="507"/>
      <c r="AA32" s="392"/>
      <c r="AB32" s="507"/>
      <c r="AC32" s="507"/>
      <c r="AD32" s="392"/>
      <c r="AE32" s="507"/>
      <c r="AF32" s="507"/>
      <c r="AG32" s="392"/>
      <c r="AH32" s="507"/>
      <c r="AI32" s="507"/>
      <c r="AJ32" s="392"/>
      <c r="AK32" s="507"/>
      <c r="AL32" s="507"/>
      <c r="AM32" s="393">
        <f t="shared" si="0"/>
        <v>0</v>
      </c>
      <c r="AO32" s="315"/>
      <c r="AP32" s="315"/>
      <c r="AQ32" s="315">
        <f t="shared" si="1"/>
        <v>0</v>
      </c>
    </row>
    <row r="33" spans="2:43" ht="20.100000000000001" customHeight="1" x14ac:dyDescent="0.15">
      <c r="B33" s="508" t="s">
        <v>589</v>
      </c>
      <c r="C33" s="392">
        <f t="shared" ref="C33:AL33" si="2">SUM(C8:C32)</f>
        <v>0</v>
      </c>
      <c r="D33" s="74">
        <f t="shared" si="2"/>
        <v>0</v>
      </c>
      <c r="E33" s="509">
        <f t="shared" si="2"/>
        <v>0</v>
      </c>
      <c r="F33" s="392">
        <f t="shared" si="2"/>
        <v>2</v>
      </c>
      <c r="G33" s="74">
        <f t="shared" si="2"/>
        <v>1.9</v>
      </c>
      <c r="H33" s="509">
        <f t="shared" si="2"/>
        <v>1.9</v>
      </c>
      <c r="I33" s="392">
        <f t="shared" si="2"/>
        <v>1.9</v>
      </c>
      <c r="J33" s="74">
        <f t="shared" si="2"/>
        <v>1.9</v>
      </c>
      <c r="K33" s="509">
        <f t="shared" si="2"/>
        <v>0</v>
      </c>
      <c r="L33" s="392">
        <f t="shared" si="2"/>
        <v>4.4000000000000004</v>
      </c>
      <c r="M33" s="74">
        <f t="shared" si="2"/>
        <v>7.8</v>
      </c>
      <c r="N33" s="509">
        <f t="shared" si="2"/>
        <v>7.8</v>
      </c>
      <c r="O33" s="392">
        <f t="shared" si="2"/>
        <v>11</v>
      </c>
      <c r="P33" s="74">
        <f t="shared" si="2"/>
        <v>8.8000000000000007</v>
      </c>
      <c r="Q33" s="509">
        <f t="shared" si="2"/>
        <v>0</v>
      </c>
      <c r="R33" s="392">
        <f t="shared" si="2"/>
        <v>0</v>
      </c>
      <c r="S33" s="74">
        <f t="shared" si="2"/>
        <v>0</v>
      </c>
      <c r="T33" s="509">
        <f t="shared" si="2"/>
        <v>0</v>
      </c>
      <c r="U33" s="392">
        <f t="shared" si="2"/>
        <v>0</v>
      </c>
      <c r="V33" s="74">
        <f t="shared" si="2"/>
        <v>3.4</v>
      </c>
      <c r="W33" s="509">
        <f t="shared" si="2"/>
        <v>0</v>
      </c>
      <c r="X33" s="392">
        <f t="shared" si="2"/>
        <v>3.4</v>
      </c>
      <c r="Y33" s="74">
        <f t="shared" si="2"/>
        <v>0</v>
      </c>
      <c r="Z33" s="509">
        <f t="shared" si="2"/>
        <v>0</v>
      </c>
      <c r="AA33" s="392">
        <f t="shared" si="2"/>
        <v>15</v>
      </c>
      <c r="AB33" s="74">
        <f t="shared" si="2"/>
        <v>15.2</v>
      </c>
      <c r="AC33" s="509">
        <f t="shared" si="2"/>
        <v>0</v>
      </c>
      <c r="AD33" s="392">
        <f t="shared" si="2"/>
        <v>0</v>
      </c>
      <c r="AE33" s="74">
        <f t="shared" si="2"/>
        <v>0</v>
      </c>
      <c r="AF33" s="509">
        <f t="shared" si="2"/>
        <v>0</v>
      </c>
      <c r="AG33" s="392">
        <f t="shared" si="2"/>
        <v>1.2</v>
      </c>
      <c r="AH33" s="74">
        <f t="shared" si="2"/>
        <v>3.5999999999999996</v>
      </c>
      <c r="AI33" s="509">
        <f t="shared" si="2"/>
        <v>2.4</v>
      </c>
      <c r="AJ33" s="392">
        <f t="shared" si="2"/>
        <v>2.2999999999999998</v>
      </c>
      <c r="AK33" s="74">
        <f t="shared" si="2"/>
        <v>0</v>
      </c>
      <c r="AL33" s="509">
        <f t="shared" si="2"/>
        <v>0</v>
      </c>
      <c r="AM33" s="393">
        <f t="shared" si="0"/>
        <v>95.9</v>
      </c>
      <c r="AO33" s="315"/>
      <c r="AP33" s="315"/>
      <c r="AQ33" s="315">
        <f t="shared" si="1"/>
        <v>0</v>
      </c>
    </row>
    <row r="34" spans="2:43" ht="20.100000000000001" customHeight="1" thickBot="1" x14ac:dyDescent="0.2">
      <c r="B34" s="75" t="s">
        <v>590</v>
      </c>
      <c r="C34" s="76"/>
      <c r="D34" s="77">
        <f>SUM(C33:E33)</f>
        <v>0</v>
      </c>
      <c r="E34" s="77"/>
      <c r="F34" s="76"/>
      <c r="G34" s="77">
        <f>SUM(F33:H33)</f>
        <v>5.8</v>
      </c>
      <c r="H34" s="77"/>
      <c r="I34" s="76"/>
      <c r="J34" s="77">
        <f>SUM(I33:K33)</f>
        <v>3.8</v>
      </c>
      <c r="K34" s="77"/>
      <c r="L34" s="76"/>
      <c r="M34" s="77">
        <f>SUM(L33:N33)</f>
        <v>20</v>
      </c>
      <c r="N34" s="77"/>
      <c r="O34" s="76"/>
      <c r="P34" s="77">
        <f>SUM(O33:Q33)</f>
        <v>19.8</v>
      </c>
      <c r="Q34" s="77"/>
      <c r="R34" s="76"/>
      <c r="S34" s="77">
        <f>SUM(R33:T33)</f>
        <v>0</v>
      </c>
      <c r="T34" s="77"/>
      <c r="U34" s="76"/>
      <c r="V34" s="77">
        <f>SUM(U33:W33)</f>
        <v>3.4</v>
      </c>
      <c r="W34" s="77"/>
      <c r="X34" s="76"/>
      <c r="Y34" s="77">
        <f>SUM(X33:Z33)</f>
        <v>3.4</v>
      </c>
      <c r="Z34" s="77"/>
      <c r="AA34" s="76"/>
      <c r="AB34" s="77">
        <f>SUM(AA33:AC33)</f>
        <v>30.2</v>
      </c>
      <c r="AC34" s="77"/>
      <c r="AD34" s="76"/>
      <c r="AE34" s="77">
        <f>SUM(AD33:AF33)</f>
        <v>0</v>
      </c>
      <c r="AF34" s="77"/>
      <c r="AG34" s="76"/>
      <c r="AH34" s="77">
        <f>SUM(AG33:AI33)</f>
        <v>7.1999999999999993</v>
      </c>
      <c r="AI34" s="77"/>
      <c r="AJ34" s="76"/>
      <c r="AK34" s="77">
        <f>SUM(AJ33:AL33)</f>
        <v>2.2999999999999998</v>
      </c>
      <c r="AL34" s="77"/>
      <c r="AM34" s="78">
        <f>SUM(AM8:AM32)</f>
        <v>95.9</v>
      </c>
      <c r="AO34" s="315">
        <f>SUM(AO8:AO32)</f>
        <v>33.900000000000006</v>
      </c>
      <c r="AP34" s="315">
        <f t="shared" ref="AP34" si="3">SUM(AP8:AP32)</f>
        <v>62</v>
      </c>
      <c r="AQ34" s="315">
        <f>SUM(AQ8:AQ33)</f>
        <v>95.9</v>
      </c>
    </row>
  </sheetData>
  <mergeCells count="18">
    <mergeCell ref="L2:M2"/>
    <mergeCell ref="O6:P6"/>
    <mergeCell ref="AA6:AB6"/>
    <mergeCell ref="AJ3:AL3"/>
    <mergeCell ref="AM3:AM4"/>
    <mergeCell ref="AD3:AF3"/>
    <mergeCell ref="AG3:AI3"/>
    <mergeCell ref="B5:B7"/>
    <mergeCell ref="R3:T3"/>
    <mergeCell ref="U3:W3"/>
    <mergeCell ref="X3:Z3"/>
    <mergeCell ref="AA3:AC3"/>
    <mergeCell ref="B3:B4"/>
    <mergeCell ref="C3:E3"/>
    <mergeCell ref="F3:H3"/>
    <mergeCell ref="I3:K3"/>
    <mergeCell ref="L3:N3"/>
    <mergeCell ref="O3:Q3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13</vt:i4>
      </vt:variant>
    </vt:vector>
  </HeadingPairs>
  <TitlesOfParts>
    <vt:vector size="39" baseType="lpstr">
      <vt:lpstr>１　対象経営の概要，２　前提条件</vt:lpstr>
      <vt:lpstr>３－１　水稲（こいもみじ）標準技術</vt:lpstr>
      <vt:lpstr>３－２　水稲（コシヒカリ）標準技術</vt:lpstr>
      <vt:lpstr>３－３　水稲（あきろまん）標準技術</vt:lpstr>
      <vt:lpstr>３－４　標準技術　大豆</vt:lpstr>
      <vt:lpstr>３－５　標準技術　麦</vt:lpstr>
      <vt:lpstr>４　経営収支</vt:lpstr>
      <vt:lpstr>５－１　水稲（こいもみじ）作業時間</vt:lpstr>
      <vt:lpstr>５－２　水稲（コシヒカリ）作業時間</vt:lpstr>
      <vt:lpstr>５－３　水稲（あきろまん）作業時間</vt:lpstr>
      <vt:lpstr>５－４　大豆作業時間</vt:lpstr>
      <vt:lpstr>５－５　麦作業時間</vt:lpstr>
      <vt:lpstr>６　固定資本装備と減価償却費</vt:lpstr>
      <vt:lpstr>６（参考）水稲資本装備</vt:lpstr>
      <vt:lpstr>６（参考）大豆資本装備</vt:lpstr>
      <vt:lpstr>６（参考）麦資本装備</vt:lpstr>
      <vt:lpstr>７－１　水稲部門（こいもみじ）収支</vt:lpstr>
      <vt:lpstr>７－２　水稲部門（コシヒカリ）収支 </vt:lpstr>
      <vt:lpstr>７－３　水稲部門（あきろまん）収支</vt:lpstr>
      <vt:lpstr>７－４　大豆部門収支</vt:lpstr>
      <vt:lpstr>７－５　麦部門収支 </vt:lpstr>
      <vt:lpstr>８－１　水稲算出基礎（こいもみじ）</vt:lpstr>
      <vt:lpstr>８－２　水稲算出基礎（コシヒカリ） </vt:lpstr>
      <vt:lpstr>８－３　水稲算出基礎（あきろまん）</vt:lpstr>
      <vt:lpstr>８－４　大豆算出基礎</vt:lpstr>
      <vt:lpstr>８－５　麦算出基礎</vt:lpstr>
      <vt:lpstr>'５－１　水稲（こいもみじ）作業時間'!Print_Area</vt:lpstr>
      <vt:lpstr>'５－２　水稲（コシヒカリ）作業時間'!Print_Area</vt:lpstr>
      <vt:lpstr>'５－４　大豆作業時間'!Print_Area</vt:lpstr>
      <vt:lpstr>'５－５　麦作業時間'!Print_Area</vt:lpstr>
      <vt:lpstr>'６　固定資本装備と減価償却費'!Print_Area</vt:lpstr>
      <vt:lpstr>'６（参考）水稲資本装備'!Print_Area</vt:lpstr>
      <vt:lpstr>'６（参考）大豆資本装備'!Print_Area</vt:lpstr>
      <vt:lpstr>'６（参考）麦資本装備'!Print_Area</vt:lpstr>
      <vt:lpstr>'７－１　水稲部門（こいもみじ）収支'!Print_Area</vt:lpstr>
      <vt:lpstr>'７－２　水稲部門（コシヒカリ）収支 '!Print_Area</vt:lpstr>
      <vt:lpstr>'７－３　水稲部門（あきろまん）収支'!Print_Area</vt:lpstr>
      <vt:lpstr>'７－４　大豆部門収支'!Print_Area</vt:lpstr>
      <vt:lpstr>'７－５　麦部門収支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2015-03-04T08:13:19Z</cp:lastPrinted>
  <dcterms:created xsi:type="dcterms:W3CDTF">2005-02-26T02:20:11Z</dcterms:created>
  <dcterms:modified xsi:type="dcterms:W3CDTF">2022-03-02T06:43:26Z</dcterms:modified>
</cp:coreProperties>
</file>