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aveExternalLinkValues="0" codeName="ThisWorkbook" defaultThemeVersion="124226"/>
  <bookViews>
    <workbookView xWindow="-15" yWindow="3900" windowWidth="24030" windowHeight="3945" tabRatio="834"/>
  </bookViews>
  <sheets>
    <sheet name="１　対象経営の概要，２　前提条件" sheetId="19" r:id="rId1"/>
    <sheet name="３－１　水稲（食用米）標準技術" sheetId="24" r:id="rId2"/>
    <sheet name="３－２　水稲（加工米）標準技術" sheetId="54" r:id="rId3"/>
    <sheet name="３－３　白ねぎ標準技術" sheetId="61" r:id="rId4"/>
    <sheet name="４　経営収支" sheetId="22" r:id="rId5"/>
    <sheet name="５－１　水稲（食用，加工用米）作業時間" sheetId="27" r:id="rId6"/>
    <sheet name="５－２　白ねぎ作業時間 " sheetId="62" r:id="rId7"/>
    <sheet name="６　固定資本装備と減価償却費" sheetId="23" r:id="rId8"/>
    <sheet name="７－１　水稲部門（倒伏しやすい品種）収支" sheetId="35" r:id="rId9"/>
    <sheet name="７－２　水稲部門（倒伏しにくい品種）収支 " sheetId="45" r:id="rId10"/>
    <sheet name="７－３　水稲部門（加工用）収支" sheetId="37" r:id="rId11"/>
    <sheet name="７－４　白ねぎ部門収支（11月） " sheetId="64" r:id="rId12"/>
    <sheet name="７－５白ねぎ部門収支（12～1月）" sheetId="67" r:id="rId13"/>
    <sheet name="８－１　水稲算出基礎（食用倒伏しやすい品種）" sheetId="36" r:id="rId14"/>
    <sheet name="８－２　水稲算出基礎（食用倒伏しにくい品種） " sheetId="59" r:id="rId15"/>
    <sheet name="８－３　水稲算出基礎（加工用品種）" sheetId="60" r:id="rId16"/>
    <sheet name="８－４　白ねぎ算出基礎" sheetId="65" r:id="rId17"/>
    <sheet name="９－１　水稲単価算出基礎（食用倒伏しやすい品種）" sheetId="43" r:id="rId18"/>
    <sheet name="９－２　水稲（食用その他）単価算出基礎 " sheetId="52" r:id="rId19"/>
    <sheet name="９－３　水稲（加工用米）単価算出基礎 " sheetId="50" r:id="rId20"/>
    <sheet name="９－４　白ねぎ単価算出基礎" sheetId="66" r:id="rId21"/>
  </sheets>
  <definedNames>
    <definedName name="_1__123Graph_Aｸﾞﾗﾌ_1" localSheetId="14" hidden="1">#REF!</definedName>
    <definedName name="_1__123Graph_Aｸﾞﾗﾌ_1" localSheetId="15" hidden="1">#REF!</definedName>
    <definedName name="_1__123Graph_Aｸﾞﾗﾌ_1" hidden="1">#REF!</definedName>
    <definedName name="_2__123Graph_Bｸﾞﾗﾌ_1" localSheetId="14" hidden="1">#REF!</definedName>
    <definedName name="_2__123Graph_Bｸﾞﾗﾌ_1" localSheetId="15" hidden="1">#REF!</definedName>
    <definedName name="_2__123Graph_Bｸﾞﾗﾌ_1" hidden="1">#REF!</definedName>
    <definedName name="_3__123Graph_Cｸﾞﾗﾌ_1" localSheetId="14" hidden="1">#REF!</definedName>
    <definedName name="_3__123Graph_Cｸﾞﾗﾌ_1" localSheetId="15" hidden="1">#REF!</definedName>
    <definedName name="_3__123Graph_Cｸﾞﾗﾌ_1" hidden="1">#REF!</definedName>
    <definedName name="_4__123Graph_Dｸﾞﾗﾌ_1" localSheetId="14" hidden="1">#REF!</definedName>
    <definedName name="_4__123Graph_Dｸﾞﾗﾌ_1" localSheetId="15" hidden="1">#REF!</definedName>
    <definedName name="_4__123Graph_Dｸﾞﾗﾌ_1" hidden="1">#REF!</definedName>
    <definedName name="_5__123Graph_Eｸﾞﾗﾌ_1" localSheetId="14" hidden="1">#REF!</definedName>
    <definedName name="_5__123Graph_Eｸﾞﾗﾌ_1" localSheetId="15" hidden="1">#REF!</definedName>
    <definedName name="_5__123Graph_Eｸﾞﾗﾌ_1" hidden="1">#REF!</definedName>
    <definedName name="_6__123Graph_Fｸﾞﾗﾌ_1" localSheetId="14" hidden="1">#REF!</definedName>
    <definedName name="_6__123Graph_Fｸﾞﾗﾌ_1" localSheetId="15" hidden="1">#REF!</definedName>
    <definedName name="_6__123Graph_Fｸﾞﾗﾌ_1" hidden="1">#REF!</definedName>
    <definedName name="_a1" localSheetId="2" hidden="1">#REF!</definedName>
    <definedName name="_a1" localSheetId="3" hidden="1">#REF!</definedName>
    <definedName name="_a1" localSheetId="6" hidden="1">#REF!</definedName>
    <definedName name="_a1" localSheetId="9" hidden="1">#REF!</definedName>
    <definedName name="_a1" localSheetId="11" hidden="1">#REF!</definedName>
    <definedName name="_a1" localSheetId="14" hidden="1">#REF!</definedName>
    <definedName name="_a1" localSheetId="15" hidden="1">#REF!</definedName>
    <definedName name="_a1" localSheetId="16" hidden="1">#REF!</definedName>
    <definedName name="_a1" localSheetId="17" hidden="1">#REF!</definedName>
    <definedName name="_a1" localSheetId="18" hidden="1">#REF!</definedName>
    <definedName name="_a1" localSheetId="19" hidden="1">#REF!</definedName>
    <definedName name="_a1" localSheetId="20" hidden="1">#REF!</definedName>
    <definedName name="_a1" hidden="1">#REF!</definedName>
    <definedName name="_a2" localSheetId="2" hidden="1">#REF!</definedName>
    <definedName name="_a2" localSheetId="6" hidden="1">#REF!</definedName>
    <definedName name="_a2" localSheetId="9" hidden="1">#REF!</definedName>
    <definedName name="_a2" localSheetId="11" hidden="1">#REF!</definedName>
    <definedName name="_a2" localSheetId="14" hidden="1">#REF!</definedName>
    <definedName name="_a2" localSheetId="15" hidden="1">#REF!</definedName>
    <definedName name="_a2" localSheetId="17" hidden="1">#REF!</definedName>
    <definedName name="_a2" localSheetId="18" hidden="1">#REF!</definedName>
    <definedName name="_a2" localSheetId="19" hidden="1">#REF!</definedName>
    <definedName name="_a2" localSheetId="20" hidden="1">#REF!</definedName>
    <definedName name="_a2" hidden="1">#REF!</definedName>
    <definedName name="_a3" localSheetId="2" hidden="1">#REF!</definedName>
    <definedName name="_a3" localSheetId="6" hidden="1">#REF!</definedName>
    <definedName name="_a3" localSheetId="9" hidden="1">#REF!</definedName>
    <definedName name="_a3" localSheetId="11" hidden="1">#REF!</definedName>
    <definedName name="_a3" localSheetId="14" hidden="1">#REF!</definedName>
    <definedName name="_a3" localSheetId="15" hidden="1">#REF!</definedName>
    <definedName name="_a3" localSheetId="17" hidden="1">#REF!</definedName>
    <definedName name="_a3" localSheetId="18" hidden="1">#REF!</definedName>
    <definedName name="_a3" localSheetId="19" hidden="1">#REF!</definedName>
    <definedName name="_a3" localSheetId="20" hidden="1">#REF!</definedName>
    <definedName name="_a3" hidden="1">#REF!</definedName>
    <definedName name="_a4" localSheetId="2" hidden="1">#REF!</definedName>
    <definedName name="_a4" localSheetId="6" hidden="1">#REF!</definedName>
    <definedName name="_a4" localSheetId="9" hidden="1">#REF!</definedName>
    <definedName name="_a4" localSheetId="11" hidden="1">#REF!</definedName>
    <definedName name="_a4" localSheetId="14" hidden="1">#REF!</definedName>
    <definedName name="_a4" localSheetId="15" hidden="1">#REF!</definedName>
    <definedName name="_a4" localSheetId="17" hidden="1">#REF!</definedName>
    <definedName name="_a4" localSheetId="18" hidden="1">#REF!</definedName>
    <definedName name="_a4" localSheetId="19" hidden="1">#REF!</definedName>
    <definedName name="_a4" localSheetId="20" hidden="1">#REF!</definedName>
    <definedName name="_a4" hidden="1">#REF!</definedName>
    <definedName name="_a5" localSheetId="2" hidden="1">#REF!</definedName>
    <definedName name="_a5" localSheetId="6" hidden="1">#REF!</definedName>
    <definedName name="_a5" localSheetId="9" hidden="1">#REF!</definedName>
    <definedName name="_a5" localSheetId="11" hidden="1">#REF!</definedName>
    <definedName name="_a5" localSheetId="14" hidden="1">#REF!</definedName>
    <definedName name="_a5" localSheetId="15" hidden="1">#REF!</definedName>
    <definedName name="_a5" localSheetId="17" hidden="1">#REF!</definedName>
    <definedName name="_a5" localSheetId="18" hidden="1">#REF!</definedName>
    <definedName name="_a5" localSheetId="19" hidden="1">#REF!</definedName>
    <definedName name="_a5" localSheetId="20" hidden="1">#REF!</definedName>
    <definedName name="_a5" hidden="1">#REF!</definedName>
    <definedName name="_a6" localSheetId="2" hidden="1">#REF!</definedName>
    <definedName name="_a6" localSheetId="6" hidden="1">#REF!</definedName>
    <definedName name="_a6" localSheetId="9" hidden="1">#REF!</definedName>
    <definedName name="_a6" localSheetId="11" hidden="1">#REF!</definedName>
    <definedName name="_a6" localSheetId="14" hidden="1">#REF!</definedName>
    <definedName name="_a6" localSheetId="15" hidden="1">#REF!</definedName>
    <definedName name="_a6" localSheetId="17" hidden="1">#REF!</definedName>
    <definedName name="_a6" localSheetId="18" hidden="1">#REF!</definedName>
    <definedName name="_a6" localSheetId="19" hidden="1">#REF!</definedName>
    <definedName name="_a6" localSheetId="20" hidden="1">#REF!</definedName>
    <definedName name="_a6" hidden="1">#REF!</definedName>
    <definedName name="_a7" localSheetId="2" hidden="1">#REF!</definedName>
    <definedName name="_a7" localSheetId="6" hidden="1">#REF!</definedName>
    <definedName name="_a7" localSheetId="9" hidden="1">#REF!</definedName>
    <definedName name="_a7" localSheetId="11" hidden="1">#REF!</definedName>
    <definedName name="_a7" localSheetId="14" hidden="1">#REF!</definedName>
    <definedName name="_a7" localSheetId="15" hidden="1">#REF!</definedName>
    <definedName name="_a7" localSheetId="17" hidden="1">#REF!</definedName>
    <definedName name="_a7" localSheetId="18" hidden="1">#REF!</definedName>
    <definedName name="_a7" localSheetId="19" hidden="1">#REF!</definedName>
    <definedName name="_a7" localSheetId="20" hidden="1">#REF!</definedName>
    <definedName name="_a7" hidden="1">#REF!</definedName>
    <definedName name="aaa" localSheetId="2" hidden="1">#REF!</definedName>
    <definedName name="aaa" localSheetId="6" hidden="1">#REF!</definedName>
    <definedName name="aaa" localSheetId="9" hidden="1">#REF!</definedName>
    <definedName name="aaa" localSheetId="11" hidden="1">#REF!</definedName>
    <definedName name="aaa" localSheetId="14" hidden="1">#REF!</definedName>
    <definedName name="aaa" localSheetId="15" hidden="1">#REF!</definedName>
    <definedName name="aaa" localSheetId="17" hidden="1">#REF!</definedName>
    <definedName name="aaa" localSheetId="18" hidden="1">#REF!</definedName>
    <definedName name="aaa" localSheetId="19" hidden="1">#REF!</definedName>
    <definedName name="aaa" localSheetId="20" hidden="1">#REF!</definedName>
    <definedName name="aaa" hidden="1">#REF!</definedName>
    <definedName name="bbb" localSheetId="2" hidden="1">#REF!</definedName>
    <definedName name="bbb" localSheetId="6" hidden="1">#REF!</definedName>
    <definedName name="bbb" localSheetId="9" hidden="1">#REF!</definedName>
    <definedName name="bbb" localSheetId="11" hidden="1">#REF!</definedName>
    <definedName name="bbb" localSheetId="14" hidden="1">#REF!</definedName>
    <definedName name="bbb" localSheetId="15" hidden="1">#REF!</definedName>
    <definedName name="bbb" localSheetId="17" hidden="1">#REF!</definedName>
    <definedName name="bbb" localSheetId="18" hidden="1">#REF!</definedName>
    <definedName name="bbb" localSheetId="19" hidden="1">#REF!</definedName>
    <definedName name="bbb" localSheetId="20" hidden="1">#REF!</definedName>
    <definedName name="bbb" hidden="1">#REF!</definedName>
    <definedName name="ccc" localSheetId="2" hidden="1">#REF!</definedName>
    <definedName name="ccc" localSheetId="6" hidden="1">#REF!</definedName>
    <definedName name="ccc" localSheetId="9" hidden="1">#REF!</definedName>
    <definedName name="ccc" localSheetId="11" hidden="1">#REF!</definedName>
    <definedName name="ccc" localSheetId="14" hidden="1">#REF!</definedName>
    <definedName name="ccc" localSheetId="15" hidden="1">#REF!</definedName>
    <definedName name="ccc" localSheetId="17" hidden="1">#REF!</definedName>
    <definedName name="ccc" localSheetId="18" hidden="1">#REF!</definedName>
    <definedName name="ccc" localSheetId="19" hidden="1">#REF!</definedName>
    <definedName name="ccc" localSheetId="20" hidden="1">#REF!</definedName>
    <definedName name="ccc" hidden="1">#REF!</definedName>
    <definedName name="ddd" localSheetId="2" hidden="1">#REF!</definedName>
    <definedName name="ddd" localSheetId="6" hidden="1">#REF!</definedName>
    <definedName name="ddd" localSheetId="9" hidden="1">#REF!</definedName>
    <definedName name="ddd" localSheetId="11" hidden="1">#REF!</definedName>
    <definedName name="ddd" localSheetId="14" hidden="1">#REF!</definedName>
    <definedName name="ddd" localSheetId="15" hidden="1">#REF!</definedName>
    <definedName name="ddd" localSheetId="17" hidden="1">#REF!</definedName>
    <definedName name="ddd" localSheetId="18" hidden="1">#REF!</definedName>
    <definedName name="ddd" localSheetId="19" hidden="1">#REF!</definedName>
    <definedName name="ddd" localSheetId="20" hidden="1">#REF!</definedName>
    <definedName name="ddd" hidden="1">#REF!</definedName>
    <definedName name="eee" localSheetId="2" hidden="1">#REF!</definedName>
    <definedName name="eee" localSheetId="6" hidden="1">#REF!</definedName>
    <definedName name="eee" localSheetId="9" hidden="1">#REF!</definedName>
    <definedName name="eee" localSheetId="11" hidden="1">#REF!</definedName>
    <definedName name="eee" localSheetId="14" hidden="1">#REF!</definedName>
    <definedName name="eee" localSheetId="15" hidden="1">#REF!</definedName>
    <definedName name="eee" localSheetId="17" hidden="1">#REF!</definedName>
    <definedName name="eee" localSheetId="18" hidden="1">#REF!</definedName>
    <definedName name="eee" localSheetId="19" hidden="1">#REF!</definedName>
    <definedName name="eee" localSheetId="20" hidden="1">#REF!</definedName>
    <definedName name="eee" hidden="1">#REF!</definedName>
    <definedName name="fff" localSheetId="2" hidden="1">#REF!</definedName>
    <definedName name="fff" localSheetId="6" hidden="1">#REF!</definedName>
    <definedName name="fff" localSheetId="9" hidden="1">#REF!</definedName>
    <definedName name="fff" localSheetId="11" hidden="1">#REF!</definedName>
    <definedName name="fff" localSheetId="14" hidden="1">#REF!</definedName>
    <definedName name="fff" localSheetId="15" hidden="1">#REF!</definedName>
    <definedName name="fff" localSheetId="17" hidden="1">#REF!</definedName>
    <definedName name="fff" localSheetId="18" hidden="1">#REF!</definedName>
    <definedName name="fff" localSheetId="19" hidden="1">#REF!</definedName>
    <definedName name="fff" localSheetId="20" hidden="1">#REF!</definedName>
    <definedName name="fff" hidden="1">#REF!</definedName>
    <definedName name="ggg" localSheetId="2" hidden="1">#REF!</definedName>
    <definedName name="ggg" localSheetId="6" hidden="1">#REF!</definedName>
    <definedName name="ggg" localSheetId="9" hidden="1">#REF!</definedName>
    <definedName name="ggg" localSheetId="11" hidden="1">#REF!</definedName>
    <definedName name="ggg" localSheetId="14" hidden="1">#REF!</definedName>
    <definedName name="ggg" localSheetId="15" hidden="1">#REF!</definedName>
    <definedName name="ggg" localSheetId="17" hidden="1">#REF!</definedName>
    <definedName name="ggg" localSheetId="18" hidden="1">#REF!</definedName>
    <definedName name="ggg" localSheetId="19" hidden="1">#REF!</definedName>
    <definedName name="ggg" localSheetId="20" hidden="1">#REF!</definedName>
    <definedName name="ggg" hidden="1">#REF!</definedName>
    <definedName name="hhh" localSheetId="2" hidden="1">#REF!</definedName>
    <definedName name="hhh" localSheetId="6" hidden="1">#REF!</definedName>
    <definedName name="hhh" localSheetId="9" hidden="1">#REF!</definedName>
    <definedName name="hhh" localSheetId="11" hidden="1">#REF!</definedName>
    <definedName name="hhh" localSheetId="14" hidden="1">#REF!</definedName>
    <definedName name="hhh" localSheetId="15" hidden="1">#REF!</definedName>
    <definedName name="hhh" localSheetId="17" hidden="1">#REF!</definedName>
    <definedName name="hhh" localSheetId="18" hidden="1">#REF!</definedName>
    <definedName name="hhh" localSheetId="19" hidden="1">#REF!</definedName>
    <definedName name="hhh" localSheetId="20" hidden="1">#REF!</definedName>
    <definedName name="hhh" hidden="1">#REF!</definedName>
    <definedName name="_xlnm.Print_Area" localSheetId="5">'５－１　水稲（食用，加工用米）作業時間'!$A$1:$AM$34</definedName>
    <definedName name="_xlnm.Print_Area" localSheetId="6">'５－２　白ねぎ作業時間 '!$A$2:$AN$63</definedName>
    <definedName name="_xlnm.Print_Area" localSheetId="7">'６　固定資本装備と減価償却費'!$A$1:$P$52</definedName>
    <definedName name="_xlnm.Print_Area" localSheetId="8">'７－１　水稲部門（倒伏しやすい品種）収支'!$A$1:$S$45</definedName>
    <definedName name="_xlnm.Print_Area" localSheetId="9">'７－２　水稲部門（倒伏しにくい品種）収支 '!$A$1:$S$45</definedName>
    <definedName name="_xlnm.Print_Area" localSheetId="10">'７－３　水稲部門（加工用）収支'!$A$1:$S$45</definedName>
    <definedName name="_xlnm.Print_Area" localSheetId="11">'７－４　白ねぎ部門収支（11月） '!$A$1:$S$49</definedName>
    <definedName name="simizu" localSheetId="2" hidden="1">#REF!</definedName>
    <definedName name="simizu" localSheetId="3" hidden="1">#REF!</definedName>
    <definedName name="simizu" localSheetId="6" hidden="1">#REF!</definedName>
    <definedName name="simizu" localSheetId="9" hidden="1">#REF!</definedName>
    <definedName name="simizu" localSheetId="11" hidden="1">#REF!</definedName>
    <definedName name="simizu" localSheetId="14" hidden="1">#REF!</definedName>
    <definedName name="simizu" localSheetId="15" hidden="1">#REF!</definedName>
    <definedName name="simizu" localSheetId="16" hidden="1">#REF!</definedName>
    <definedName name="simizu" localSheetId="17" hidden="1">#REF!</definedName>
    <definedName name="simizu" localSheetId="18" hidden="1">#REF!</definedName>
    <definedName name="simizu" localSheetId="19" hidden="1">#REF!</definedName>
    <definedName name="simizu" localSheetId="20" hidden="1">#REF!</definedName>
    <definedName name="simizu" hidden="1">#REF!</definedName>
    <definedName name="あああ" localSheetId="6" hidden="1">#REF!</definedName>
    <definedName name="あああ" hidden="1">#REF!</definedName>
    <definedName name="新" localSheetId="2" hidden="1">#REF!</definedName>
    <definedName name="新" localSheetId="14" hidden="1">#REF!</definedName>
    <definedName name="新" localSheetId="15" hidden="1">#REF!</definedName>
    <definedName name="新" localSheetId="18" hidden="1">#REF!</definedName>
    <definedName name="新" hidden="1">#REF!</definedName>
  </definedNames>
  <calcPr calcId="145621"/>
</workbook>
</file>

<file path=xl/calcChain.xml><?xml version="1.0" encoding="utf-8"?>
<calcChain xmlns="http://schemas.openxmlformats.org/spreadsheetml/2006/main">
  <c r="I26" i="22" l="1"/>
  <c r="K20" i="23" l="1"/>
  <c r="K19" i="23"/>
  <c r="K17" i="23"/>
  <c r="K18" i="23"/>
  <c r="N38" i="36" l="1"/>
  <c r="P17" i="37" l="1"/>
  <c r="I39" i="22" l="1"/>
  <c r="I37" i="22"/>
  <c r="I25" i="22"/>
  <c r="I20" i="22"/>
  <c r="I19" i="22"/>
  <c r="I13" i="22"/>
  <c r="I12" i="22"/>
  <c r="I11" i="22"/>
  <c r="I10" i="22"/>
  <c r="I9" i="22"/>
  <c r="I8" i="22"/>
  <c r="I7" i="22"/>
  <c r="I5" i="22"/>
  <c r="O36" i="67" l="1"/>
  <c r="O31" i="67"/>
  <c r="O30" i="67"/>
  <c r="O36" i="64"/>
  <c r="O31" i="64"/>
  <c r="O30" i="64"/>
  <c r="L38" i="23"/>
  <c r="K44" i="23"/>
  <c r="K43" i="23"/>
  <c r="K42" i="23"/>
  <c r="K41" i="23"/>
  <c r="K40" i="23"/>
  <c r="K39" i="23"/>
  <c r="K38" i="23"/>
  <c r="K37" i="23"/>
  <c r="K36" i="23"/>
  <c r="K35" i="23"/>
  <c r="K34" i="23"/>
  <c r="K33" i="23"/>
  <c r="K32" i="23"/>
  <c r="K30" i="23"/>
  <c r="K29" i="23"/>
  <c r="K27" i="23"/>
  <c r="K26" i="23"/>
  <c r="K31" i="23"/>
  <c r="K28" i="23"/>
  <c r="K25" i="23"/>
  <c r="K24" i="23"/>
  <c r="K23" i="23"/>
  <c r="K22" i="23"/>
  <c r="K21" i="23"/>
  <c r="K16" i="23"/>
  <c r="L16" i="23" s="1"/>
  <c r="K15" i="23"/>
  <c r="K14" i="23"/>
  <c r="K8" i="23"/>
  <c r="K7" i="23"/>
  <c r="K6" i="23"/>
  <c r="K5" i="23"/>
  <c r="K4" i="23"/>
  <c r="AM17" i="27" l="1"/>
  <c r="P16" i="23" l="1"/>
  <c r="F21" i="37" l="1"/>
  <c r="P29" i="62"/>
  <c r="P10" i="62"/>
  <c r="K6" i="65" l="1"/>
  <c r="P28" i="62"/>
  <c r="P9" i="62"/>
  <c r="P49" i="62" l="1"/>
  <c r="AI33" i="62"/>
  <c r="AF33" i="62"/>
  <c r="AC33" i="62"/>
  <c r="AA33" i="62"/>
  <c r="W33" i="62"/>
  <c r="T33" i="62"/>
  <c r="S33" i="62"/>
  <c r="Q33" i="62"/>
  <c r="AF14" i="62"/>
  <c r="AC14" i="62"/>
  <c r="AA14" i="62"/>
  <c r="T14" i="62"/>
  <c r="S14" i="62"/>
  <c r="Q14" i="62"/>
  <c r="I48" i="22"/>
  <c r="F32" i="22"/>
  <c r="F33" i="22"/>
  <c r="F34" i="22"/>
  <c r="F35" i="22"/>
  <c r="F36" i="22"/>
  <c r="P35" i="64"/>
  <c r="P34" i="64"/>
  <c r="P33" i="64"/>
  <c r="N54" i="65"/>
  <c r="N53" i="65"/>
  <c r="N52" i="65"/>
  <c r="F30" i="67"/>
  <c r="F11" i="67"/>
  <c r="F10" i="67"/>
  <c r="P35" i="67"/>
  <c r="P34" i="67"/>
  <c r="P33" i="67"/>
  <c r="P36" i="67"/>
  <c r="P31" i="67"/>
  <c r="P27" i="67"/>
  <c r="N6" i="67"/>
  <c r="N5" i="67"/>
  <c r="N13" i="67"/>
  <c r="F30" i="64"/>
  <c r="P19" i="64" l="1"/>
  <c r="P18" i="64"/>
  <c r="N13" i="64"/>
  <c r="V51" i="65"/>
  <c r="V45" i="65"/>
  <c r="V38" i="65"/>
  <c r="Q25" i="65"/>
  <c r="Q24" i="65"/>
  <c r="Q5" i="65"/>
  <c r="N43" i="65"/>
  <c r="N36" i="65"/>
  <c r="N35" i="65"/>
  <c r="K28" i="65"/>
  <c r="K13" i="65"/>
  <c r="K12" i="65"/>
  <c r="K11" i="65"/>
  <c r="D54" i="65"/>
  <c r="D42" i="65"/>
  <c r="D41" i="65"/>
  <c r="D39" i="65"/>
  <c r="D30" i="65"/>
  <c r="D29" i="65"/>
  <c r="D28" i="65"/>
  <c r="D13" i="65"/>
  <c r="D12" i="65"/>
  <c r="N13" i="65" l="1"/>
  <c r="N12" i="65"/>
  <c r="N8" i="65"/>
  <c r="N7" i="65"/>
  <c r="P13" i="64"/>
  <c r="P11" i="64"/>
  <c r="N11" i="64"/>
  <c r="N10" i="64"/>
  <c r="N9" i="64"/>
  <c r="N5" i="64"/>
  <c r="N7" i="64"/>
  <c r="N6" i="64"/>
  <c r="R5" i="64"/>
  <c r="P19" i="67"/>
  <c r="P18" i="67"/>
  <c r="P13" i="67"/>
  <c r="P16" i="67" s="1"/>
  <c r="P11" i="67"/>
  <c r="F25" i="67" s="1"/>
  <c r="R11" i="67"/>
  <c r="AJ59" i="62"/>
  <c r="AI59" i="62"/>
  <c r="AH59" i="62"/>
  <c r="AM58" i="62"/>
  <c r="AL58" i="62"/>
  <c r="AK58" i="62"/>
  <c r="AJ58" i="62"/>
  <c r="AI58" i="62"/>
  <c r="AH58" i="62"/>
  <c r="F58" i="62"/>
  <c r="E58" i="62"/>
  <c r="D58" i="62"/>
  <c r="F57" i="62"/>
  <c r="E57" i="62"/>
  <c r="D57" i="62"/>
  <c r="AM57" i="62"/>
  <c r="AL57" i="62"/>
  <c r="AK57" i="62"/>
  <c r="AJ57" i="62"/>
  <c r="AI57" i="62"/>
  <c r="AH57" i="62"/>
  <c r="AE56" i="62"/>
  <c r="AN16" i="62"/>
  <c r="AG55" i="62"/>
  <c r="AI54" i="62"/>
  <c r="AF54" i="62"/>
  <c r="AC55" i="62"/>
  <c r="AC54" i="62"/>
  <c r="AA54" i="62"/>
  <c r="W55" i="62"/>
  <c r="W54" i="62"/>
  <c r="T55" i="62"/>
  <c r="T54" i="62"/>
  <c r="S55" i="62"/>
  <c r="S54" i="62"/>
  <c r="Q54" i="62"/>
  <c r="Q53" i="62"/>
  <c r="Q52" i="62"/>
  <c r="Q51" i="62"/>
  <c r="P52" i="62"/>
  <c r="P50" i="62"/>
  <c r="O52" i="62"/>
  <c r="N52" i="62"/>
  <c r="F6" i="67" l="1"/>
  <c r="F26" i="67"/>
  <c r="R11" i="64"/>
  <c r="Q11" i="64" s="1"/>
  <c r="F27" i="67"/>
  <c r="Q11" i="67"/>
  <c r="F4" i="67"/>
  <c r="P22" i="67"/>
  <c r="F7" i="67" s="1"/>
  <c r="AM39" i="62" l="1"/>
  <c r="AL39" i="62"/>
  <c r="AK39" i="62"/>
  <c r="AJ39" i="62"/>
  <c r="AI39" i="62"/>
  <c r="AH39" i="62"/>
  <c r="AG39" i="62"/>
  <c r="AF39" i="62"/>
  <c r="AE39" i="62"/>
  <c r="AD39" i="62"/>
  <c r="AC39" i="62"/>
  <c r="AB39" i="62"/>
  <c r="AA39" i="62"/>
  <c r="Z39" i="62"/>
  <c r="X39" i="62"/>
  <c r="W39" i="62"/>
  <c r="V39" i="62"/>
  <c r="W40" i="62" s="1"/>
  <c r="U39" i="62"/>
  <c r="T39" i="62"/>
  <c r="S39" i="62"/>
  <c r="R39" i="62"/>
  <c r="Q39" i="62"/>
  <c r="P39" i="62"/>
  <c r="O39" i="62"/>
  <c r="N39" i="62"/>
  <c r="M39" i="62"/>
  <c r="L39" i="62"/>
  <c r="K39" i="62"/>
  <c r="J39" i="62"/>
  <c r="K40" i="62" s="1"/>
  <c r="I39" i="62"/>
  <c r="H39" i="62"/>
  <c r="G39" i="62"/>
  <c r="F39" i="62"/>
  <c r="E39" i="62"/>
  <c r="D39" i="62"/>
  <c r="AN38" i="62"/>
  <c r="AN37" i="62"/>
  <c r="AN36" i="62"/>
  <c r="AN35" i="62"/>
  <c r="AN34" i="62"/>
  <c r="AN33" i="62"/>
  <c r="AN32" i="62"/>
  <c r="AN31" i="62"/>
  <c r="AN30" i="62"/>
  <c r="AN29" i="62"/>
  <c r="AN28" i="62"/>
  <c r="AJ20" i="62"/>
  <c r="AI20" i="62"/>
  <c r="AH20" i="62"/>
  <c r="AG20" i="62"/>
  <c r="AF20" i="62"/>
  <c r="AE20" i="62"/>
  <c r="AD20" i="62"/>
  <c r="AC20" i="62"/>
  <c r="AB20" i="62"/>
  <c r="AA20" i="62"/>
  <c r="Y20" i="62"/>
  <c r="W20" i="62"/>
  <c r="T20" i="62"/>
  <c r="S20" i="62"/>
  <c r="R20" i="62"/>
  <c r="Q20" i="62"/>
  <c r="P20" i="62"/>
  <c r="O20" i="62"/>
  <c r="N20" i="62"/>
  <c r="M20" i="62"/>
  <c r="L20" i="62"/>
  <c r="K20" i="62"/>
  <c r="J20" i="62"/>
  <c r="I20" i="62"/>
  <c r="H20" i="62"/>
  <c r="G20" i="62"/>
  <c r="F20" i="62"/>
  <c r="E20" i="62"/>
  <c r="D20" i="62"/>
  <c r="AM19" i="62"/>
  <c r="AL19" i="62"/>
  <c r="AK19" i="62"/>
  <c r="Z19" i="62"/>
  <c r="Z20" i="62" s="1"/>
  <c r="X19" i="62"/>
  <c r="X20" i="62" s="1"/>
  <c r="V19" i="62"/>
  <c r="V20" i="62" s="1"/>
  <c r="U19" i="62"/>
  <c r="U20" i="62" s="1"/>
  <c r="J19" i="62"/>
  <c r="I19" i="62"/>
  <c r="H19" i="62"/>
  <c r="G19" i="62"/>
  <c r="F19" i="62"/>
  <c r="F59" i="62" s="1"/>
  <c r="E19" i="62"/>
  <c r="E59" i="62" s="1"/>
  <c r="D19" i="62"/>
  <c r="D59" i="62" s="1"/>
  <c r="AN18" i="62"/>
  <c r="AN17" i="62"/>
  <c r="AN15" i="62"/>
  <c r="AN14" i="62"/>
  <c r="AN13" i="62"/>
  <c r="AN12" i="62"/>
  <c r="AN11" i="62"/>
  <c r="AN10" i="62"/>
  <c r="AN9" i="62"/>
  <c r="AM20" i="62" l="1"/>
  <c r="AM59" i="62"/>
  <c r="AF40" i="62"/>
  <c r="E40" i="62"/>
  <c r="AC40" i="62"/>
  <c r="AL40" i="62"/>
  <c r="AL20" i="62"/>
  <c r="AL59" i="62"/>
  <c r="AK20" i="62"/>
  <c r="AK59" i="62"/>
  <c r="H40" i="62"/>
  <c r="Z40" i="62"/>
  <c r="N21" i="62"/>
  <c r="N40" i="62"/>
  <c r="AN40" i="62"/>
  <c r="F20" i="67" s="1"/>
  <c r="F21" i="67" s="1"/>
  <c r="AI40" i="62"/>
  <c r="T40" i="62"/>
  <c r="Q40" i="62"/>
  <c r="Z21" i="62"/>
  <c r="AN39" i="62"/>
  <c r="H21" i="62"/>
  <c r="E21" i="62"/>
  <c r="W21" i="62"/>
  <c r="K21" i="62"/>
  <c r="AC21" i="62"/>
  <c r="AF21" i="62"/>
  <c r="Q21" i="62"/>
  <c r="T21" i="62"/>
  <c r="AI21" i="62"/>
  <c r="AN20" i="62"/>
  <c r="AL21" i="62"/>
  <c r="AN19" i="62"/>
  <c r="AN21" i="62" s="1"/>
  <c r="F20" i="64" s="1"/>
  <c r="F21" i="64" l="1"/>
  <c r="I22" i="22" s="1"/>
  <c r="I21" i="22"/>
  <c r="I3" i="22"/>
  <c r="N44" i="60"/>
  <c r="N44" i="59"/>
  <c r="N44" i="36"/>
  <c r="O20" i="66" l="1"/>
  <c r="N20" i="66"/>
  <c r="M20" i="66"/>
  <c r="L20" i="66"/>
  <c r="K20" i="66"/>
  <c r="J20" i="66"/>
  <c r="I20" i="66"/>
  <c r="H20" i="66"/>
  <c r="G20" i="66"/>
  <c r="F20" i="66"/>
  <c r="E20" i="66"/>
  <c r="D20" i="66"/>
  <c r="C20" i="66"/>
  <c r="O11" i="66"/>
  <c r="N11" i="66"/>
  <c r="M11" i="66"/>
  <c r="L11" i="66"/>
  <c r="K11" i="66"/>
  <c r="J11" i="66"/>
  <c r="I11" i="66"/>
  <c r="H11" i="66"/>
  <c r="G11" i="66"/>
  <c r="F11" i="66"/>
  <c r="E11" i="66"/>
  <c r="D11" i="66"/>
  <c r="C11" i="66"/>
  <c r="G56" i="65"/>
  <c r="G55" i="65"/>
  <c r="G54" i="65"/>
  <c r="G57" i="65" s="1"/>
  <c r="P27" i="64" s="1"/>
  <c r="G52" i="65"/>
  <c r="V56" i="65"/>
  <c r="N56" i="65"/>
  <c r="G51" i="65"/>
  <c r="V50" i="65"/>
  <c r="G50" i="65"/>
  <c r="G53" i="65" s="1"/>
  <c r="G48" i="65"/>
  <c r="G47" i="65"/>
  <c r="G46" i="65"/>
  <c r="G45" i="65"/>
  <c r="N46" i="65"/>
  <c r="G43" i="65"/>
  <c r="G42" i="65"/>
  <c r="G41" i="65"/>
  <c r="G40" i="65"/>
  <c r="G39" i="65"/>
  <c r="V44" i="65"/>
  <c r="S38" i="65"/>
  <c r="G37" i="65"/>
  <c r="G36" i="65"/>
  <c r="G35" i="65"/>
  <c r="G34" i="65"/>
  <c r="G33" i="65"/>
  <c r="G32" i="65"/>
  <c r="L31" i="65"/>
  <c r="K31" i="65"/>
  <c r="G31" i="65"/>
  <c r="N30" i="65"/>
  <c r="G30" i="65"/>
  <c r="N29" i="65"/>
  <c r="G29" i="65"/>
  <c r="N28" i="65"/>
  <c r="N31" i="65" s="1"/>
  <c r="P36" i="64" s="1"/>
  <c r="G28" i="65"/>
  <c r="L27" i="65"/>
  <c r="K27" i="65"/>
  <c r="N26" i="65"/>
  <c r="V25" i="65"/>
  <c r="N25" i="65"/>
  <c r="V24" i="65"/>
  <c r="N24" i="65"/>
  <c r="N27" i="65" s="1"/>
  <c r="L23" i="65"/>
  <c r="K23" i="65"/>
  <c r="G23" i="65"/>
  <c r="N22" i="65"/>
  <c r="G22" i="65"/>
  <c r="N21" i="65"/>
  <c r="G21" i="65"/>
  <c r="G24" i="65" s="1"/>
  <c r="N20" i="65"/>
  <c r="N23" i="65" s="1"/>
  <c r="L19" i="65"/>
  <c r="K19" i="65"/>
  <c r="G19" i="65"/>
  <c r="N18" i="65"/>
  <c r="G18" i="65"/>
  <c r="N17" i="65"/>
  <c r="N19" i="65" s="1"/>
  <c r="G17" i="65"/>
  <c r="G20" i="65" s="1"/>
  <c r="L16" i="65"/>
  <c r="K16" i="65"/>
  <c r="N15" i="65"/>
  <c r="G15" i="65"/>
  <c r="N14" i="65"/>
  <c r="G13" i="65"/>
  <c r="G12" i="65"/>
  <c r="N11" i="65"/>
  <c r="L10" i="65"/>
  <c r="K10" i="65"/>
  <c r="G10" i="65"/>
  <c r="N9" i="65"/>
  <c r="G9" i="65"/>
  <c r="G8" i="65"/>
  <c r="G11" i="65" s="1"/>
  <c r="N6" i="65"/>
  <c r="N10" i="65" s="1"/>
  <c r="G6" i="65"/>
  <c r="V5" i="65"/>
  <c r="V20" i="65" s="1"/>
  <c r="F10" i="64" s="1"/>
  <c r="G5" i="65"/>
  <c r="G7" i="65" s="1"/>
  <c r="P16" i="64"/>
  <c r="F26" i="64"/>
  <c r="I30" i="22" s="1"/>
  <c r="F6" i="64"/>
  <c r="P26" i="64" l="1"/>
  <c r="P26" i="67"/>
  <c r="P30" i="64"/>
  <c r="P30" i="67"/>
  <c r="P32" i="67" s="1"/>
  <c r="P37" i="67" s="1"/>
  <c r="F9" i="67" s="1"/>
  <c r="V34" i="65"/>
  <c r="F11" i="64" s="1"/>
  <c r="G49" i="65"/>
  <c r="G38" i="65"/>
  <c r="G16" i="65"/>
  <c r="N16" i="65"/>
  <c r="P31" i="64" s="1"/>
  <c r="V57" i="65"/>
  <c r="P22" i="64"/>
  <c r="F25" i="64"/>
  <c r="I39" i="23"/>
  <c r="L39" i="23" s="1"/>
  <c r="I37" i="23"/>
  <c r="L37" i="23" s="1"/>
  <c r="I29" i="22" l="1"/>
  <c r="P24" i="64"/>
  <c r="P24" i="67"/>
  <c r="P25" i="64"/>
  <c r="P25" i="67"/>
  <c r="P28" i="67" s="1"/>
  <c r="F8" i="67" s="1"/>
  <c r="P32" i="64"/>
  <c r="P37" i="64" s="1"/>
  <c r="F9" i="64" s="1"/>
  <c r="F7" i="64"/>
  <c r="F27" i="64"/>
  <c r="I31" i="22" s="1"/>
  <c r="F4" i="64"/>
  <c r="I4" i="22" s="1"/>
  <c r="N39" i="23"/>
  <c r="P39" i="23" s="1"/>
  <c r="P28" i="64" l="1"/>
  <c r="F8" i="64" s="1"/>
  <c r="I6" i="22" l="1"/>
  <c r="I44" i="23" l="1"/>
  <c r="L44" i="23" s="1"/>
  <c r="I43" i="23"/>
  <c r="L43" i="23" s="1"/>
  <c r="I42" i="23"/>
  <c r="L42" i="23" s="1"/>
  <c r="I41" i="23"/>
  <c r="L41" i="23" s="1"/>
  <c r="I40" i="23"/>
  <c r="L40" i="23" s="1"/>
  <c r="I36" i="23"/>
  <c r="L36" i="23" s="1"/>
  <c r="AM60" i="62"/>
  <c r="AL60" i="62"/>
  <c r="AK60" i="62"/>
  <c r="AJ60" i="62"/>
  <c r="AI60" i="62"/>
  <c r="AH60" i="62"/>
  <c r="AG60" i="62"/>
  <c r="AF60" i="62"/>
  <c r="AE60" i="62"/>
  <c r="AD60" i="62"/>
  <c r="AC60" i="62"/>
  <c r="AB60" i="62"/>
  <c r="AA60" i="62"/>
  <c r="Z60" i="62"/>
  <c r="X60" i="62"/>
  <c r="W60" i="62"/>
  <c r="V60" i="62"/>
  <c r="U60" i="62"/>
  <c r="T60" i="62"/>
  <c r="S60" i="62"/>
  <c r="R60" i="62"/>
  <c r="Q60" i="62"/>
  <c r="P60" i="62"/>
  <c r="O60" i="62"/>
  <c r="N60" i="62"/>
  <c r="M60" i="62"/>
  <c r="L60" i="62"/>
  <c r="K60" i="62"/>
  <c r="J60" i="62"/>
  <c r="I60" i="62"/>
  <c r="H60" i="62"/>
  <c r="G60" i="62"/>
  <c r="F60" i="62"/>
  <c r="E60" i="62"/>
  <c r="D60" i="62"/>
  <c r="AN59" i="62"/>
  <c r="AN58" i="62"/>
  <c r="AN57" i="62"/>
  <c r="AN56" i="62"/>
  <c r="AN55" i="62"/>
  <c r="AN54" i="62"/>
  <c r="AN53" i="62"/>
  <c r="AN52" i="62"/>
  <c r="AN51" i="62"/>
  <c r="AN50" i="62"/>
  <c r="AN49" i="62"/>
  <c r="N37" i="23" l="1"/>
  <c r="P37" i="23" s="1"/>
  <c r="N41" i="23"/>
  <c r="P41" i="23" s="1"/>
  <c r="N43" i="23"/>
  <c r="P43" i="23" s="1"/>
  <c r="N44" i="23"/>
  <c r="P44" i="23" s="1"/>
  <c r="N40" i="23"/>
  <c r="P40" i="23" s="1"/>
  <c r="N38" i="23"/>
  <c r="P38" i="23" s="1"/>
  <c r="N42" i="23"/>
  <c r="P42" i="23" s="1"/>
  <c r="Z61" i="62"/>
  <c r="W61" i="62"/>
  <c r="AL61" i="62"/>
  <c r="H61" i="62"/>
  <c r="K61" i="62"/>
  <c r="T61" i="62"/>
  <c r="AC61" i="62"/>
  <c r="AI61" i="62"/>
  <c r="E61" i="62"/>
  <c r="Q61" i="62"/>
  <c r="AN61" i="62"/>
  <c r="AN60" i="62"/>
  <c r="N61" i="62"/>
  <c r="AF61" i="62"/>
  <c r="N36" i="23" l="1"/>
  <c r="P36" i="23" s="1"/>
  <c r="F14" i="19"/>
  <c r="F13" i="19"/>
  <c r="N7" i="19" l="1"/>
  <c r="G43" i="22"/>
  <c r="N13" i="36" l="1"/>
  <c r="N10" i="60"/>
  <c r="N9" i="60"/>
  <c r="N8" i="60"/>
  <c r="L7" i="60"/>
  <c r="N7" i="60" s="1"/>
  <c r="N6" i="60"/>
  <c r="N13" i="59"/>
  <c r="N10" i="59"/>
  <c r="N9" i="59"/>
  <c r="N8" i="59"/>
  <c r="N7" i="59"/>
  <c r="L7" i="59"/>
  <c r="N6" i="59"/>
  <c r="AO10" i="27" l="1"/>
  <c r="AP12" i="27" l="1"/>
  <c r="M6" i="35" l="1"/>
  <c r="M5" i="35"/>
  <c r="O11" i="43"/>
  <c r="I33" i="23"/>
  <c r="I30" i="23"/>
  <c r="I27" i="23"/>
  <c r="L5" i="45" l="1"/>
  <c r="I32" i="23" l="1"/>
  <c r="I31" i="23"/>
  <c r="L31" i="23" s="1"/>
  <c r="I17" i="23"/>
  <c r="L17" i="23" s="1"/>
  <c r="I14" i="23"/>
  <c r="L32" i="23" l="1"/>
  <c r="L33" i="23"/>
  <c r="L15" i="23"/>
  <c r="L14" i="23"/>
  <c r="I22" i="23"/>
  <c r="L22" i="23" s="1"/>
  <c r="I23" i="23"/>
  <c r="L23" i="23" s="1"/>
  <c r="I18" i="23"/>
  <c r="L18" i="23" s="1"/>
  <c r="I21" i="23"/>
  <c r="L21" i="23" s="1"/>
  <c r="I25" i="23"/>
  <c r="L25" i="23" s="1"/>
  <c r="I29" i="23"/>
  <c r="I24" i="23"/>
  <c r="L24" i="23" s="1"/>
  <c r="I34" i="23"/>
  <c r="I28" i="23"/>
  <c r="L28" i="23" s="1"/>
  <c r="L35" i="23" l="1"/>
  <c r="L34" i="23"/>
  <c r="L30" i="23"/>
  <c r="L29" i="23"/>
  <c r="N13" i="37"/>
  <c r="I26" i="23" l="1"/>
  <c r="I20" i="23"/>
  <c r="L20" i="23" s="1"/>
  <c r="L27" i="23" l="1"/>
  <c r="L26" i="23"/>
  <c r="I19" i="23"/>
  <c r="L19" i="23" s="1"/>
  <c r="G45" i="23"/>
  <c r="F14" i="64" l="1"/>
  <c r="F14" i="67"/>
  <c r="I45" i="23"/>
  <c r="D21" i="60"/>
  <c r="L6" i="35"/>
  <c r="L5" i="35"/>
  <c r="O6" i="50"/>
  <c r="O7" i="52"/>
  <c r="M5" i="45" s="1"/>
  <c r="O6" i="52"/>
  <c r="O11" i="52" s="1"/>
  <c r="I15" i="22" l="1"/>
  <c r="F14" i="35"/>
  <c r="F14" i="37"/>
  <c r="F14" i="45"/>
  <c r="AQ11" i="27"/>
  <c r="AQ13" i="27"/>
  <c r="AQ14" i="27"/>
  <c r="AQ15" i="27"/>
  <c r="AQ16" i="27"/>
  <c r="AQ17" i="27"/>
  <c r="AQ19" i="27"/>
  <c r="AQ8" i="27"/>
  <c r="AQ12" i="27"/>
  <c r="AP9" i="27"/>
  <c r="AQ9" i="27" s="1"/>
  <c r="AQ10" i="27"/>
  <c r="AQ18" i="27"/>
  <c r="F40" i="37" l="1"/>
  <c r="F40" i="45"/>
  <c r="F40" i="35"/>
  <c r="F23" i="37"/>
  <c r="F22" i="37"/>
  <c r="F23" i="45"/>
  <c r="F22" i="45"/>
  <c r="F23" i="35"/>
  <c r="F22" i="35"/>
  <c r="F24" i="37"/>
  <c r="F24" i="35"/>
  <c r="F24" i="45"/>
  <c r="L5" i="37"/>
  <c r="AQ20" i="27" l="1"/>
  <c r="AQ21" i="27"/>
  <c r="AQ22" i="27"/>
  <c r="AQ23" i="27"/>
  <c r="AQ24" i="27"/>
  <c r="AQ25" i="27"/>
  <c r="AQ26" i="27"/>
  <c r="AQ27" i="27"/>
  <c r="AQ28" i="27"/>
  <c r="AQ29" i="27"/>
  <c r="AQ30" i="27"/>
  <c r="AQ31" i="27"/>
  <c r="AQ32" i="27"/>
  <c r="AQ33" i="27"/>
  <c r="AP34" i="27"/>
  <c r="AO34" i="27"/>
  <c r="AQ34" i="27" l="1"/>
  <c r="F20" i="45"/>
  <c r="F20" i="37"/>
  <c r="F20" i="35"/>
  <c r="F19" i="37"/>
  <c r="F19" i="45"/>
  <c r="F19" i="35"/>
  <c r="F21" i="35" l="1"/>
  <c r="F21" i="45"/>
  <c r="H3" i="22"/>
  <c r="H47" i="22"/>
  <c r="H46" i="22"/>
  <c r="H45" i="22"/>
  <c r="H44" i="22"/>
  <c r="H43" i="22"/>
  <c r="F43" i="22" s="1"/>
  <c r="H40" i="22"/>
  <c r="H38" i="22"/>
  <c r="H30" i="22"/>
  <c r="H25" i="22"/>
  <c r="H24" i="22"/>
  <c r="H23" i="22"/>
  <c r="H22" i="22"/>
  <c r="H21" i="22"/>
  <c r="H20" i="22"/>
  <c r="H19" i="22"/>
  <c r="H13" i="22"/>
  <c r="H5" i="22"/>
  <c r="G47" i="22"/>
  <c r="G46" i="22"/>
  <c r="G45" i="22"/>
  <c r="G44" i="22"/>
  <c r="G40" i="22"/>
  <c r="G38" i="22"/>
  <c r="F38" i="22" s="1"/>
  <c r="G30" i="22"/>
  <c r="F30" i="22" s="1"/>
  <c r="G25" i="22"/>
  <c r="F25" i="22" s="1"/>
  <c r="G24" i="22"/>
  <c r="F24" i="22" s="1"/>
  <c r="G23" i="22"/>
  <c r="F23" i="22" s="1"/>
  <c r="G21" i="22"/>
  <c r="G20" i="22"/>
  <c r="G19" i="22"/>
  <c r="G13" i="22"/>
  <c r="G5" i="22"/>
  <c r="N13" i="45"/>
  <c r="N13" i="35"/>
  <c r="D54" i="60"/>
  <c r="F55" i="60"/>
  <c r="G55" i="60" s="1"/>
  <c r="F54" i="60"/>
  <c r="F50" i="60"/>
  <c r="G50" i="60" s="1"/>
  <c r="G53" i="60" s="1"/>
  <c r="P26" i="37" s="1"/>
  <c r="F40" i="60"/>
  <c r="G40" i="60" s="1"/>
  <c r="F39" i="60"/>
  <c r="G39" i="60" s="1"/>
  <c r="F30" i="60"/>
  <c r="G30" i="60" s="1"/>
  <c r="F29" i="60"/>
  <c r="G29" i="60" s="1"/>
  <c r="F28" i="60"/>
  <c r="G28" i="60" s="1"/>
  <c r="F55" i="59"/>
  <c r="G55" i="59" s="1"/>
  <c r="F54" i="59"/>
  <c r="D54" i="59"/>
  <c r="F50" i="59"/>
  <c r="G50" i="59" s="1"/>
  <c r="F40" i="59"/>
  <c r="G40" i="59" s="1"/>
  <c r="F39" i="59"/>
  <c r="G39" i="59" s="1"/>
  <c r="F30" i="59"/>
  <c r="G30" i="59" s="1"/>
  <c r="F29" i="59"/>
  <c r="G29" i="59" s="1"/>
  <c r="F28" i="59"/>
  <c r="G28" i="59" s="1"/>
  <c r="F46" i="22" l="1"/>
  <c r="F20" i="22"/>
  <c r="F21" i="22"/>
  <c r="F45" i="22"/>
  <c r="F13" i="22"/>
  <c r="F19" i="22"/>
  <c r="F47" i="22"/>
  <c r="F44" i="22"/>
  <c r="F5" i="22"/>
  <c r="G53" i="59"/>
  <c r="P26" i="45" s="1"/>
  <c r="H48" i="22"/>
  <c r="G22" i="22"/>
  <c r="F22" i="22" s="1"/>
  <c r="G54" i="60"/>
  <c r="G57" i="60" s="1"/>
  <c r="P27" i="37" s="1"/>
  <c r="G49" i="60"/>
  <c r="P25" i="37" s="1"/>
  <c r="G38" i="60"/>
  <c r="P24" i="37" s="1"/>
  <c r="G54" i="59"/>
  <c r="G57" i="59" s="1"/>
  <c r="P27" i="45" s="1"/>
  <c r="G49" i="59"/>
  <c r="P25" i="45" s="1"/>
  <c r="G38" i="59"/>
  <c r="P24" i="45" s="1"/>
  <c r="M54" i="60" l="1"/>
  <c r="N54" i="60" s="1"/>
  <c r="M54" i="59"/>
  <c r="N54" i="59" s="1"/>
  <c r="M54" i="36"/>
  <c r="N54" i="36" s="1"/>
  <c r="M52" i="60"/>
  <c r="N52" i="60" s="1"/>
  <c r="M52" i="59"/>
  <c r="N52" i="59" s="1"/>
  <c r="M51" i="36"/>
  <c r="M51" i="60"/>
  <c r="N51" i="60" s="1"/>
  <c r="M38" i="60"/>
  <c r="M36" i="60"/>
  <c r="M51" i="59"/>
  <c r="N51" i="59" s="1"/>
  <c r="M36" i="36"/>
  <c r="N47" i="36"/>
  <c r="M53" i="60"/>
  <c r="N53" i="60" s="1"/>
  <c r="N47" i="60"/>
  <c r="N50" i="60" s="1"/>
  <c r="N47" i="59"/>
  <c r="N50" i="59" s="1"/>
  <c r="M52" i="36"/>
  <c r="N52" i="36" s="1"/>
  <c r="N43" i="36"/>
  <c r="N43" i="60"/>
  <c r="N46" i="60" s="1"/>
  <c r="M36" i="59"/>
  <c r="N43" i="59"/>
  <c r="N46" i="59" s="1"/>
  <c r="M53" i="59"/>
  <c r="N53" i="59" s="1"/>
  <c r="M38" i="59"/>
  <c r="M53" i="36"/>
  <c r="F29" i="36"/>
  <c r="N38" i="60" l="1"/>
  <c r="N38" i="59"/>
  <c r="G29" i="36"/>
  <c r="D21" i="59"/>
  <c r="D21" i="36"/>
  <c r="D54" i="36"/>
  <c r="F12" i="59"/>
  <c r="G12" i="59" s="1"/>
  <c r="V52" i="60"/>
  <c r="V51" i="60"/>
  <c r="V46" i="60"/>
  <c r="V45" i="60"/>
  <c r="L32" i="60"/>
  <c r="N30" i="60"/>
  <c r="N29" i="60"/>
  <c r="L28" i="60"/>
  <c r="K28" i="60"/>
  <c r="V25" i="60"/>
  <c r="L24" i="60"/>
  <c r="K24" i="60"/>
  <c r="F21" i="60"/>
  <c r="N21" i="60"/>
  <c r="L20" i="60"/>
  <c r="K20" i="60"/>
  <c r="L16" i="60"/>
  <c r="K16" i="60"/>
  <c r="F12" i="60"/>
  <c r="G12" i="60" s="1"/>
  <c r="G8" i="60"/>
  <c r="L12" i="60"/>
  <c r="K12" i="60"/>
  <c r="V21" i="60"/>
  <c r="F10" i="37" s="1"/>
  <c r="H11" i="22" s="1"/>
  <c r="V52" i="59"/>
  <c r="V51" i="59"/>
  <c r="V46" i="59"/>
  <c r="V45" i="59"/>
  <c r="V50" i="59" s="1"/>
  <c r="K32" i="59"/>
  <c r="L32" i="59"/>
  <c r="N30" i="59"/>
  <c r="N29" i="59"/>
  <c r="L28" i="59"/>
  <c r="K28" i="59"/>
  <c r="V25" i="59"/>
  <c r="L24" i="59"/>
  <c r="F21" i="59"/>
  <c r="K24" i="59"/>
  <c r="L20" i="59"/>
  <c r="K20" i="59"/>
  <c r="L16" i="59"/>
  <c r="K16" i="59"/>
  <c r="G8" i="59"/>
  <c r="L12" i="59"/>
  <c r="V21" i="59"/>
  <c r="F10" i="45" s="1"/>
  <c r="N31" i="59" l="1"/>
  <c r="N32" i="59" s="1"/>
  <c r="P36" i="45" s="1"/>
  <c r="V56" i="60"/>
  <c r="G20" i="60"/>
  <c r="V34" i="60"/>
  <c r="F11" i="37" s="1"/>
  <c r="H12" i="22" s="1"/>
  <c r="V44" i="60"/>
  <c r="G11" i="60"/>
  <c r="G21" i="60"/>
  <c r="G24" i="60" s="1"/>
  <c r="P21" i="37" s="1"/>
  <c r="G7" i="60"/>
  <c r="N20" i="60"/>
  <c r="P33" i="37" s="1"/>
  <c r="N24" i="60"/>
  <c r="P34" i="37" s="1"/>
  <c r="N28" i="60"/>
  <c r="P35" i="37" s="1"/>
  <c r="N31" i="60"/>
  <c r="N32" i="60" s="1"/>
  <c r="P36" i="37" s="1"/>
  <c r="V50" i="60"/>
  <c r="G21" i="59"/>
  <c r="G24" i="59" s="1"/>
  <c r="P21" i="45" s="1"/>
  <c r="N28" i="59"/>
  <c r="P35" i="45" s="1"/>
  <c r="N20" i="59"/>
  <c r="P33" i="45" s="1"/>
  <c r="V34" i="59"/>
  <c r="F11" i="45" s="1"/>
  <c r="G7" i="59"/>
  <c r="G11" i="59"/>
  <c r="P17" i="45" s="1"/>
  <c r="G20" i="59"/>
  <c r="P20" i="45" s="1"/>
  <c r="V44" i="59"/>
  <c r="V56" i="59"/>
  <c r="G16" i="60"/>
  <c r="P18" i="37" s="1"/>
  <c r="G16" i="59"/>
  <c r="P18" i="45" s="1"/>
  <c r="K32" i="60"/>
  <c r="N13" i="60"/>
  <c r="N16" i="60" s="1"/>
  <c r="P31" i="37" s="1"/>
  <c r="N12" i="60"/>
  <c r="P30" i="37" s="1"/>
  <c r="N12" i="59"/>
  <c r="P30" i="45" s="1"/>
  <c r="K12" i="59"/>
  <c r="N16" i="59"/>
  <c r="P31" i="45" s="1"/>
  <c r="N21" i="59"/>
  <c r="N24" i="59" s="1"/>
  <c r="P34" i="45" s="1"/>
  <c r="V57" i="60" l="1"/>
  <c r="F35" i="37" s="1"/>
  <c r="H37" i="22" s="1"/>
  <c r="V57" i="59"/>
  <c r="F35" i="45" s="1"/>
  <c r="N28" i="23" l="1"/>
  <c r="P28" i="23" s="1"/>
  <c r="N24" i="23"/>
  <c r="P24" i="23" s="1"/>
  <c r="N36" i="60"/>
  <c r="N36" i="59"/>
  <c r="N36" i="36"/>
  <c r="N31" i="23" l="1"/>
  <c r="P31" i="23" s="1"/>
  <c r="N32" i="23"/>
  <c r="P32" i="23" s="1"/>
  <c r="F50" i="36"/>
  <c r="F55" i="36"/>
  <c r="F54" i="36"/>
  <c r="F40" i="36"/>
  <c r="F30" i="36"/>
  <c r="G30" i="36" s="1"/>
  <c r="F39" i="36"/>
  <c r="G39" i="36" s="1"/>
  <c r="F21" i="36" l="1"/>
  <c r="F12" i="36"/>
  <c r="F28" i="36"/>
  <c r="G28" i="36" s="1"/>
  <c r="L16" i="36" l="1"/>
  <c r="L7" i="36" l="1"/>
  <c r="L12" i="36" s="1"/>
  <c r="G55" i="36"/>
  <c r="G54" i="36"/>
  <c r="N10" i="36" l="1"/>
  <c r="N11" i="52" l="1"/>
  <c r="M11" i="52"/>
  <c r="L11" i="52"/>
  <c r="K11" i="52"/>
  <c r="J11" i="52"/>
  <c r="I11" i="52"/>
  <c r="H11" i="52"/>
  <c r="G11" i="52"/>
  <c r="F11" i="52"/>
  <c r="E11" i="52"/>
  <c r="D11" i="52"/>
  <c r="C11" i="52"/>
  <c r="O11" i="50"/>
  <c r="M5" i="37" s="1"/>
  <c r="N11" i="50"/>
  <c r="M11" i="50"/>
  <c r="L11" i="50"/>
  <c r="K11" i="50"/>
  <c r="J11" i="50"/>
  <c r="I11" i="50"/>
  <c r="H11" i="50"/>
  <c r="G11" i="50"/>
  <c r="F11" i="50"/>
  <c r="E11" i="50"/>
  <c r="D11" i="50"/>
  <c r="C11" i="50"/>
  <c r="F45" i="45"/>
  <c r="P13" i="45"/>
  <c r="P11" i="45"/>
  <c r="P15" i="45" l="1"/>
  <c r="F6" i="45" s="1"/>
  <c r="F29" i="45"/>
  <c r="F27" i="45"/>
  <c r="N5" i="45"/>
  <c r="K12" i="36"/>
  <c r="N16" i="36"/>
  <c r="K16" i="36"/>
  <c r="N11" i="43"/>
  <c r="M11" i="43"/>
  <c r="L11" i="43"/>
  <c r="K11" i="43"/>
  <c r="J11" i="43"/>
  <c r="I11" i="43"/>
  <c r="H11" i="43"/>
  <c r="G11" i="43"/>
  <c r="F11" i="43"/>
  <c r="E11" i="43"/>
  <c r="D11" i="43"/>
  <c r="C11" i="43"/>
  <c r="R11" i="45" l="1"/>
  <c r="F4" i="45" s="1"/>
  <c r="G38" i="36"/>
  <c r="P24" i="35" s="1"/>
  <c r="L28" i="36"/>
  <c r="K28" i="36"/>
  <c r="N30" i="36"/>
  <c r="Q11" i="45" l="1"/>
  <c r="N28" i="36"/>
  <c r="P13" i="37"/>
  <c r="P11" i="37"/>
  <c r="N5" i="37"/>
  <c r="V52" i="36"/>
  <c r="V51" i="36"/>
  <c r="V46" i="36"/>
  <c r="V45" i="36"/>
  <c r="N53" i="36"/>
  <c r="F45" i="35"/>
  <c r="V25" i="36"/>
  <c r="L32" i="36"/>
  <c r="K32" i="36"/>
  <c r="L24" i="36"/>
  <c r="K24" i="36"/>
  <c r="L20" i="36"/>
  <c r="K20" i="36"/>
  <c r="N31" i="36"/>
  <c r="N29" i="36"/>
  <c r="N21" i="36"/>
  <c r="N7" i="36"/>
  <c r="N8" i="36"/>
  <c r="N9" i="36"/>
  <c r="N6" i="36"/>
  <c r="G21" i="36"/>
  <c r="G12" i="36"/>
  <c r="G8" i="36"/>
  <c r="P11" i="35"/>
  <c r="G50" i="36"/>
  <c r="G40" i="36"/>
  <c r="N6" i="35"/>
  <c r="P13" i="35"/>
  <c r="N5" i="35"/>
  <c r="P9" i="23"/>
  <c r="P11" i="23"/>
  <c r="P12" i="23"/>
  <c r="G50" i="23"/>
  <c r="I49" i="23"/>
  <c r="L49" i="23" s="1"/>
  <c r="I48" i="23"/>
  <c r="L48" i="23" s="1"/>
  <c r="I47" i="23"/>
  <c r="L47" i="23" s="1"/>
  <c r="G13" i="23"/>
  <c r="I12" i="23"/>
  <c r="L12" i="23" s="1"/>
  <c r="I11" i="23"/>
  <c r="L11" i="23" s="1"/>
  <c r="I10" i="23"/>
  <c r="L10" i="23" s="1"/>
  <c r="I9" i="23"/>
  <c r="L9" i="23" s="1"/>
  <c r="I7" i="23"/>
  <c r="I6" i="23"/>
  <c r="L6" i="23" s="1"/>
  <c r="I4" i="23"/>
  <c r="AM30" i="27"/>
  <c r="AM31" i="27"/>
  <c r="AM32" i="27"/>
  <c r="AM23" i="27"/>
  <c r="AM24" i="27"/>
  <c r="AM25" i="27"/>
  <c r="AM26" i="27"/>
  <c r="AM27" i="27"/>
  <c r="AM28" i="27"/>
  <c r="AM29" i="27"/>
  <c r="AM8" i="27"/>
  <c r="AL33" i="27"/>
  <c r="AK33" i="27"/>
  <c r="AJ33" i="27"/>
  <c r="AI33" i="27"/>
  <c r="AH33" i="27"/>
  <c r="AG33" i="27"/>
  <c r="AF33" i="27"/>
  <c r="AE33" i="27"/>
  <c r="AD33" i="27"/>
  <c r="AC33" i="27"/>
  <c r="AB33" i="27"/>
  <c r="AA33" i="27"/>
  <c r="Z33" i="27"/>
  <c r="Y33" i="27"/>
  <c r="X33" i="27"/>
  <c r="W33" i="27"/>
  <c r="V33" i="27"/>
  <c r="U33" i="27"/>
  <c r="T33" i="27"/>
  <c r="S33" i="27"/>
  <c r="R33" i="27"/>
  <c r="Q33" i="27"/>
  <c r="P33" i="27"/>
  <c r="O33" i="27"/>
  <c r="N33" i="27"/>
  <c r="M33" i="27"/>
  <c r="L33" i="27"/>
  <c r="K33" i="27"/>
  <c r="J33" i="27"/>
  <c r="I33" i="27"/>
  <c r="H33" i="27"/>
  <c r="G33" i="27"/>
  <c r="F33" i="27"/>
  <c r="E33" i="27"/>
  <c r="D33" i="27"/>
  <c r="C33" i="27"/>
  <c r="AM22" i="27"/>
  <c r="AM21" i="27"/>
  <c r="AM20" i="27"/>
  <c r="AM19" i="27"/>
  <c r="AM18" i="27"/>
  <c r="AM16" i="27"/>
  <c r="AM15" i="27"/>
  <c r="AM14" i="27"/>
  <c r="AM13" i="27"/>
  <c r="AM12" i="27"/>
  <c r="AM11" i="27"/>
  <c r="AM10" i="27"/>
  <c r="AM9" i="27"/>
  <c r="L7" i="23" l="1"/>
  <c r="L8" i="23"/>
  <c r="L5" i="23"/>
  <c r="L4" i="23"/>
  <c r="N42" i="65"/>
  <c r="N57" i="65" s="1"/>
  <c r="N26" i="23"/>
  <c r="P26" i="23" s="1"/>
  <c r="N30" i="23"/>
  <c r="P30" i="23" s="1"/>
  <c r="N21" i="23"/>
  <c r="P21" i="23" s="1"/>
  <c r="N20" i="23"/>
  <c r="P20" i="23" s="1"/>
  <c r="N33" i="23"/>
  <c r="P33" i="23" s="1"/>
  <c r="N15" i="23"/>
  <c r="P15" i="23" s="1"/>
  <c r="N25" i="23"/>
  <c r="P25" i="23" s="1"/>
  <c r="N35" i="23"/>
  <c r="N14" i="23"/>
  <c r="N37" i="59"/>
  <c r="N42" i="59" s="1"/>
  <c r="N37" i="60"/>
  <c r="N42" i="60" s="1"/>
  <c r="N37" i="36"/>
  <c r="N42" i="36" s="1"/>
  <c r="F29" i="37"/>
  <c r="F27" i="37"/>
  <c r="P15" i="37"/>
  <c r="F6" i="37" s="1"/>
  <c r="H7" i="22" s="1"/>
  <c r="F29" i="35"/>
  <c r="G31" i="22" s="1"/>
  <c r="F27" i="35"/>
  <c r="G29" i="22" s="1"/>
  <c r="N56" i="59"/>
  <c r="N56" i="60"/>
  <c r="N51" i="36"/>
  <c r="F6" i="35"/>
  <c r="G7" i="22" s="1"/>
  <c r="P15" i="35"/>
  <c r="G49" i="36"/>
  <c r="P25" i="35" s="1"/>
  <c r="I13" i="23"/>
  <c r="N12" i="36"/>
  <c r="P35" i="35"/>
  <c r="R11" i="37"/>
  <c r="Q11" i="37" s="1"/>
  <c r="F45" i="37"/>
  <c r="I50" i="23"/>
  <c r="L46" i="23"/>
  <c r="G34" i="27"/>
  <c r="G51" i="23"/>
  <c r="J34" i="27"/>
  <c r="V50" i="36"/>
  <c r="G20" i="36"/>
  <c r="V56" i="36"/>
  <c r="V44" i="36"/>
  <c r="N50" i="36"/>
  <c r="N46" i="36"/>
  <c r="R11" i="35"/>
  <c r="F4" i="35" s="1"/>
  <c r="V34" i="36"/>
  <c r="N32" i="36"/>
  <c r="N20" i="36"/>
  <c r="N24" i="36"/>
  <c r="G7" i="36"/>
  <c r="G11" i="36"/>
  <c r="G16" i="36"/>
  <c r="G24" i="36"/>
  <c r="G53" i="36"/>
  <c r="V21" i="36"/>
  <c r="G57" i="36"/>
  <c r="N49" i="23"/>
  <c r="P49" i="23" s="1"/>
  <c r="N48" i="23"/>
  <c r="P48" i="23" s="1"/>
  <c r="N47" i="23"/>
  <c r="P47" i="23" s="1"/>
  <c r="AM33" i="27"/>
  <c r="S34" i="27"/>
  <c r="AE34" i="27"/>
  <c r="V34" i="27"/>
  <c r="AH34" i="27"/>
  <c r="AK34" i="27"/>
  <c r="AM34" i="27"/>
  <c r="D34" i="27"/>
  <c r="P34" i="27"/>
  <c r="AB34" i="27"/>
  <c r="M34" i="27"/>
  <c r="Y34" i="27"/>
  <c r="F7" i="22" l="1"/>
  <c r="F13" i="37"/>
  <c r="H14" i="22" s="1"/>
  <c r="F13" i="45"/>
  <c r="F13" i="35"/>
  <c r="N5" i="23"/>
  <c r="P5" i="23" s="1"/>
  <c r="F13" i="67"/>
  <c r="F13" i="64"/>
  <c r="F32" i="67"/>
  <c r="F33" i="67" s="1"/>
  <c r="F32" i="64"/>
  <c r="N34" i="23"/>
  <c r="P34" i="23" s="1"/>
  <c r="L45" i="23"/>
  <c r="N22" i="23"/>
  <c r="P22" i="23" s="1"/>
  <c r="P35" i="23"/>
  <c r="N17" i="23"/>
  <c r="P17" i="23" s="1"/>
  <c r="N56" i="36"/>
  <c r="N57" i="36" s="1"/>
  <c r="F37" i="35" s="1"/>
  <c r="N27" i="23"/>
  <c r="P27" i="23" s="1"/>
  <c r="N23" i="23"/>
  <c r="P23" i="23" s="1"/>
  <c r="N29" i="23"/>
  <c r="P29" i="23" s="1"/>
  <c r="N57" i="60"/>
  <c r="F37" i="37" s="1"/>
  <c r="H39" i="22" s="1"/>
  <c r="N19" i="23"/>
  <c r="P19" i="23" s="1"/>
  <c r="N18" i="23"/>
  <c r="P18" i="23" s="1"/>
  <c r="N57" i="59"/>
  <c r="F37" i="45" s="1"/>
  <c r="H29" i="22"/>
  <c r="F29" i="22" s="1"/>
  <c r="H31" i="22"/>
  <c r="F31" i="22" s="1"/>
  <c r="F4" i="37"/>
  <c r="G4" i="22"/>
  <c r="I51" i="23"/>
  <c r="P34" i="35"/>
  <c r="P31" i="35"/>
  <c r="P33" i="35"/>
  <c r="P36" i="35"/>
  <c r="P30" i="35"/>
  <c r="F11" i="35"/>
  <c r="G12" i="22" s="1"/>
  <c r="F12" i="22" s="1"/>
  <c r="F10" i="35"/>
  <c r="G11" i="22" s="1"/>
  <c r="F11" i="22" s="1"/>
  <c r="P21" i="35"/>
  <c r="P27" i="35"/>
  <c r="P26" i="35"/>
  <c r="P17" i="35"/>
  <c r="P18" i="35"/>
  <c r="P32" i="37"/>
  <c r="P37" i="37" s="1"/>
  <c r="F9" i="37" s="1"/>
  <c r="H10" i="22" s="1"/>
  <c r="P22" i="37"/>
  <c r="F7" i="37" s="1"/>
  <c r="P28" i="37"/>
  <c r="F8" i="37" s="1"/>
  <c r="H9" i="22" s="1"/>
  <c r="N46" i="23"/>
  <c r="L50" i="23"/>
  <c r="V57" i="36"/>
  <c r="F35" i="35" s="1"/>
  <c r="G37" i="22" s="1"/>
  <c r="F37" i="22" s="1"/>
  <c r="Q11" i="35"/>
  <c r="P14" i="23"/>
  <c r="N4" i="23"/>
  <c r="P4" i="23" s="1"/>
  <c r="N12" i="23"/>
  <c r="N11" i="23"/>
  <c r="N10" i="23"/>
  <c r="P10" i="23" s="1"/>
  <c r="N9" i="23"/>
  <c r="N8" i="23"/>
  <c r="P8" i="23" s="1"/>
  <c r="N7" i="23"/>
  <c r="P7" i="23" s="1"/>
  <c r="N6" i="23"/>
  <c r="P6" i="23" s="1"/>
  <c r="L13" i="23"/>
  <c r="I14" i="22" l="1"/>
  <c r="F16" i="67"/>
  <c r="F16" i="64"/>
  <c r="I17" i="22" s="1"/>
  <c r="P45" i="23"/>
  <c r="F16" i="45"/>
  <c r="F16" i="37"/>
  <c r="F16" i="35"/>
  <c r="G14" i="22"/>
  <c r="F15" i="37"/>
  <c r="H16" i="22" s="1"/>
  <c r="F15" i="45"/>
  <c r="F15" i="35"/>
  <c r="P13" i="23"/>
  <c r="F15" i="67"/>
  <c r="F15" i="64"/>
  <c r="F34" i="67"/>
  <c r="F33" i="64"/>
  <c r="H41" i="22"/>
  <c r="G39" i="22"/>
  <c r="F39" i="22" s="1"/>
  <c r="H18" i="22"/>
  <c r="H8" i="22"/>
  <c r="H15" i="22"/>
  <c r="H4" i="22"/>
  <c r="H6" i="22" s="1"/>
  <c r="P32" i="35"/>
  <c r="P37" i="35" s="1"/>
  <c r="F9" i="35" s="1"/>
  <c r="P32" i="45"/>
  <c r="P37" i="45" s="1"/>
  <c r="F9" i="45" s="1"/>
  <c r="P22" i="45"/>
  <c r="F7" i="45" s="1"/>
  <c r="P22" i="35"/>
  <c r="F7" i="35" s="1"/>
  <c r="F39" i="37"/>
  <c r="L51" i="23"/>
  <c r="P46" i="23"/>
  <c r="P50" i="23" s="1"/>
  <c r="I16" i="22" l="1"/>
  <c r="I40" i="22"/>
  <c r="F40" i="22" s="1"/>
  <c r="F4" i="22"/>
  <c r="F6" i="22" s="1"/>
  <c r="F17" i="67"/>
  <c r="F23" i="67" s="1"/>
  <c r="F24" i="67" s="1"/>
  <c r="F17" i="64"/>
  <c r="I18" i="22" s="1"/>
  <c r="F14" i="22"/>
  <c r="F34" i="64"/>
  <c r="G15" i="22"/>
  <c r="F15" i="22" s="1"/>
  <c r="G10" i="22"/>
  <c r="F10" i="22" s="1"/>
  <c r="G8" i="22"/>
  <c r="F8" i="22" s="1"/>
  <c r="G18" i="22"/>
  <c r="G16" i="22"/>
  <c r="F39" i="45"/>
  <c r="F39" i="35"/>
  <c r="P51" i="23"/>
  <c r="G6" i="22"/>
  <c r="F16" i="22" l="1"/>
  <c r="I41" i="22"/>
  <c r="F18" i="22"/>
  <c r="F23" i="64"/>
  <c r="F24" i="64" s="1"/>
  <c r="G17" i="22"/>
  <c r="H17" i="22"/>
  <c r="F25" i="37"/>
  <c r="F26" i="37" s="1"/>
  <c r="F49" i="37" s="1"/>
  <c r="F17" i="22" l="1"/>
  <c r="I27" i="22"/>
  <c r="I28" i="22" s="1"/>
  <c r="I42" i="22" s="1"/>
  <c r="I49" i="22" s="1"/>
  <c r="H26" i="22"/>
  <c r="H27" i="22" s="1"/>
  <c r="H28" i="22" s="1"/>
  <c r="H42" i="22" s="1"/>
  <c r="H49" i="22" s="1"/>
  <c r="P28" i="45" l="1"/>
  <c r="F8" i="45" s="1"/>
  <c r="P28" i="35"/>
  <c r="F8" i="35" s="1"/>
  <c r="G9" i="22" l="1"/>
  <c r="F9" i="22" s="1"/>
  <c r="F25" i="35"/>
  <c r="F25" i="45"/>
  <c r="F26" i="45" s="1"/>
  <c r="F49" i="45" s="1"/>
  <c r="G26" i="22" l="1"/>
  <c r="F26" i="22" s="1"/>
  <c r="F26" i="35"/>
  <c r="F49" i="35" s="1"/>
  <c r="G3" i="22"/>
  <c r="G27" i="22" l="1"/>
  <c r="F27" i="22" s="1"/>
  <c r="F28" i="22" s="1"/>
  <c r="G48" i="22"/>
  <c r="F48" i="22" s="1"/>
  <c r="G41" i="22"/>
  <c r="F41" i="22" s="1"/>
  <c r="F42" i="22" l="1"/>
  <c r="F49" i="22" s="1"/>
  <c r="G28" i="22"/>
  <c r="G42" i="22" l="1"/>
  <c r="G49" i="22" s="1"/>
</calcChain>
</file>

<file path=xl/comments1.xml><?xml version="1.0" encoding="utf-8"?>
<comments xmlns="http://schemas.openxmlformats.org/spreadsheetml/2006/main">
  <authors>
    <author>広島県</author>
  </authors>
  <commentList>
    <comment ref="C43" authorId="0">
      <text>
        <r>
          <rPr>
            <b/>
            <sz val="9"/>
            <color indexed="81"/>
            <rFont val="ＭＳ Ｐゴシック"/>
            <family val="3"/>
            <charset val="128"/>
          </rPr>
          <t>結束機2台につき，2連用スイッチ1台がセット</t>
        </r>
      </text>
    </comment>
    <comment ref="G43" authorId="0">
      <text>
        <r>
          <rPr>
            <b/>
            <sz val="9"/>
            <color indexed="81"/>
            <rFont val="ＭＳ Ｐゴシック"/>
            <family val="3"/>
            <charset val="128"/>
          </rPr>
          <t>結束機1台13万
2連スイッチ1台1.6万
結束機2台＋スイッチのセットで27.6万円</t>
        </r>
      </text>
    </comment>
  </commentList>
</comments>
</file>

<file path=xl/comments2.xml><?xml version="1.0" encoding="utf-8"?>
<comments xmlns="http://schemas.openxmlformats.org/spreadsheetml/2006/main">
  <authors>
    <author>延安 清香</author>
    <author>Nobuyasu</author>
  </authors>
  <commentList>
    <comment ref="C29" authorId="0">
      <text>
        <r>
          <rPr>
            <b/>
            <sz val="9"/>
            <color indexed="81"/>
            <rFont val="ＭＳ Ｐゴシック"/>
            <family val="3"/>
            <charset val="128"/>
          </rPr>
          <t>２回/10a　1000倍
100L/10a・回</t>
        </r>
      </text>
    </comment>
    <comment ref="C30" authorId="1">
      <text>
        <r>
          <rPr>
            <b/>
            <sz val="9"/>
            <color indexed="81"/>
            <rFont val="ＭＳ Ｐゴシック"/>
            <family val="3"/>
            <charset val="128"/>
          </rPr>
          <t>150L/10a・回
関羽：3回
龍翔：2回
ホワイトスター：1回　</t>
        </r>
      </text>
    </comment>
  </commentList>
</comments>
</file>

<file path=xl/sharedStrings.xml><?xml version="1.0" encoding="utf-8"?>
<sst xmlns="http://schemas.openxmlformats.org/spreadsheetml/2006/main" count="2174" uniqueCount="740">
  <si>
    <t>交際費等 雑費</t>
    <rPh sb="0" eb="3">
      <t>コウサイヒ</t>
    </rPh>
    <rPh sb="3" eb="4">
      <t>トウ</t>
    </rPh>
    <rPh sb="5" eb="7">
      <t>ザッピ</t>
    </rPh>
    <phoneticPr fontId="4"/>
  </si>
  <si>
    <t>雑損失</t>
    <rPh sb="0" eb="2">
      <t>ザッソン</t>
    </rPh>
    <rPh sb="2" eb="3">
      <t>シツ</t>
    </rPh>
    <phoneticPr fontId="4"/>
  </si>
  <si>
    <t>固定資産税</t>
    <rPh sb="0" eb="2">
      <t>コテイ</t>
    </rPh>
    <rPh sb="2" eb="5">
      <t>シサンゼイ</t>
    </rPh>
    <phoneticPr fontId="6"/>
  </si>
  <si>
    <t>出荷資材費</t>
    <rPh sb="0" eb="2">
      <t>シュッカ</t>
    </rPh>
    <rPh sb="2" eb="5">
      <t>シザイヒ</t>
    </rPh>
    <phoneticPr fontId="4"/>
  </si>
  <si>
    <t>運賃</t>
    <rPh sb="0" eb="2">
      <t>ウンチン</t>
    </rPh>
    <phoneticPr fontId="4"/>
  </si>
  <si>
    <t>内容</t>
    <rPh sb="0" eb="2">
      <t>ナイヨウ</t>
    </rPh>
    <phoneticPr fontId="6"/>
  </si>
  <si>
    <t>小農具費</t>
    <rPh sb="0" eb="1">
      <t>ショウ</t>
    </rPh>
    <rPh sb="1" eb="3">
      <t>ノウグ</t>
    </rPh>
    <rPh sb="3" eb="4">
      <t>ヒ</t>
    </rPh>
    <phoneticPr fontId="4"/>
  </si>
  <si>
    <t>賃料料金</t>
    <rPh sb="0" eb="2">
      <t>チンリョウ</t>
    </rPh>
    <rPh sb="2" eb="4">
      <t>リョウキン</t>
    </rPh>
    <phoneticPr fontId="4"/>
  </si>
  <si>
    <t>販売手数料</t>
    <rPh sb="0" eb="2">
      <t>ハンバイ</t>
    </rPh>
    <rPh sb="2" eb="5">
      <t>テスウリョウ</t>
    </rPh>
    <phoneticPr fontId="4"/>
  </si>
  <si>
    <t>（単位）</t>
    <rPh sb="1" eb="3">
      <t>タンイ</t>
    </rPh>
    <phoneticPr fontId="4"/>
  </si>
  <si>
    <t>水稲</t>
  </si>
  <si>
    <t>栽培方法</t>
  </si>
  <si>
    <t>栽培のﾎﾟｲﾝﾄ</t>
  </si>
  <si>
    <t>土地条件，利用</t>
  </si>
  <si>
    <t>労働力利用</t>
  </si>
  <si>
    <t>機械･施設装備</t>
  </si>
  <si>
    <t>販売方法</t>
  </si>
  <si>
    <t>技   　術　   的　　条   　件</t>
  </si>
  <si>
    <t>経　営　的　条　件</t>
  </si>
  <si>
    <t>項　　　　目　</t>
  </si>
  <si>
    <t>金　　額</t>
  </si>
  <si>
    <t>算　　出　　基　　礎</t>
  </si>
  <si>
    <t>粗収益</t>
  </si>
  <si>
    <t>単価</t>
  </si>
  <si>
    <t>合計</t>
    <rPh sb="0" eb="2">
      <t>ゴウケイ</t>
    </rPh>
    <phoneticPr fontId="4"/>
  </si>
  <si>
    <t>数　　量</t>
  </si>
  <si>
    <t>金　額</t>
  </si>
  <si>
    <t>備　考</t>
  </si>
  <si>
    <t>　計</t>
  </si>
  <si>
    <t>殺菌剤</t>
    <rPh sb="0" eb="3">
      <t>サッキンザイ</t>
    </rPh>
    <phoneticPr fontId="4"/>
  </si>
  <si>
    <t>殺虫剤</t>
    <rPh sb="0" eb="2">
      <t>サッチュウ</t>
    </rPh>
    <rPh sb="2" eb="3">
      <t>ザイ</t>
    </rPh>
    <phoneticPr fontId="4"/>
  </si>
  <si>
    <t>除草剤</t>
    <rPh sb="0" eb="3">
      <t>ジョソウザイ</t>
    </rPh>
    <phoneticPr fontId="4"/>
  </si>
  <si>
    <t>燃料費の</t>
    <phoneticPr fontId="4"/>
  </si>
  <si>
    <t>計</t>
  </si>
  <si>
    <t>上</t>
  </si>
  <si>
    <t>中</t>
  </si>
  <si>
    <t>下</t>
  </si>
  <si>
    <t>種　　　類</t>
  </si>
  <si>
    <t>規　模</t>
  </si>
  <si>
    <t>新調価格</t>
  </si>
  <si>
    <t>負担価格</t>
  </si>
  <si>
    <t>残存価格</t>
  </si>
  <si>
    <t>耐用年数</t>
  </si>
  <si>
    <t>年償却額</t>
  </si>
  <si>
    <t>小　　計</t>
  </si>
  <si>
    <t>　　小　　計</t>
  </si>
  <si>
    <t>ガソリン</t>
    <phoneticPr fontId="4"/>
  </si>
  <si>
    <t>軽油</t>
    <phoneticPr fontId="4"/>
  </si>
  <si>
    <t>潤滑油</t>
    <phoneticPr fontId="4"/>
  </si>
  <si>
    <t>混合</t>
    <phoneticPr fontId="4"/>
  </si>
  <si>
    <t>灯油</t>
    <phoneticPr fontId="4"/>
  </si>
  <si>
    <t>電気</t>
    <phoneticPr fontId="4"/>
  </si>
  <si>
    <t>トラクター</t>
  </si>
  <si>
    <t>品種</t>
    <rPh sb="0" eb="2">
      <t>ヒンシュ</t>
    </rPh>
    <phoneticPr fontId="4"/>
  </si>
  <si>
    <t>水稲</t>
    <rPh sb="0" eb="2">
      <t>スイトウ</t>
    </rPh>
    <phoneticPr fontId="4"/>
  </si>
  <si>
    <t>売上高</t>
    <rPh sb="0" eb="2">
      <t>ウリアゲ</t>
    </rPh>
    <rPh sb="2" eb="3">
      <t>ダカ</t>
    </rPh>
    <phoneticPr fontId="4"/>
  </si>
  <si>
    <t>種苗費</t>
    <rPh sb="0" eb="2">
      <t>シュビョウ</t>
    </rPh>
    <rPh sb="2" eb="3">
      <t>ヒ</t>
    </rPh>
    <phoneticPr fontId="4"/>
  </si>
  <si>
    <t>肥料費</t>
    <rPh sb="0" eb="3">
      <t>ヒリョウヒ</t>
    </rPh>
    <phoneticPr fontId="4"/>
  </si>
  <si>
    <t>農薬費</t>
    <rPh sb="0" eb="2">
      <t>ノウヤク</t>
    </rPh>
    <rPh sb="2" eb="3">
      <t>ヒ</t>
    </rPh>
    <phoneticPr fontId="4"/>
  </si>
  <si>
    <t>諸材料費</t>
    <rPh sb="0" eb="1">
      <t>ショ</t>
    </rPh>
    <rPh sb="1" eb="4">
      <t>ザイリョウヒ</t>
    </rPh>
    <phoneticPr fontId="4"/>
  </si>
  <si>
    <t>修繕費</t>
    <rPh sb="0" eb="2">
      <t>シュウゼン</t>
    </rPh>
    <rPh sb="2" eb="3">
      <t>ヒ</t>
    </rPh>
    <phoneticPr fontId="4"/>
  </si>
  <si>
    <t>大動植物</t>
    <rPh sb="0" eb="1">
      <t>ダイ</t>
    </rPh>
    <rPh sb="1" eb="2">
      <t>ドウ</t>
    </rPh>
    <rPh sb="2" eb="4">
      <t>ショクブツ</t>
    </rPh>
    <phoneticPr fontId="4"/>
  </si>
  <si>
    <t>管理
委託料</t>
    <rPh sb="0" eb="2">
      <t>カンリ</t>
    </rPh>
    <rPh sb="3" eb="6">
      <t>イタクリョウ</t>
    </rPh>
    <phoneticPr fontId="4"/>
  </si>
  <si>
    <t>水管理</t>
    <rPh sb="0" eb="1">
      <t>ミズ</t>
    </rPh>
    <rPh sb="1" eb="3">
      <t>カンリ</t>
    </rPh>
    <phoneticPr fontId="4"/>
  </si>
  <si>
    <t>支払地代</t>
    <rPh sb="0" eb="2">
      <t>シハラ</t>
    </rPh>
    <rPh sb="2" eb="4">
      <t>チダイ</t>
    </rPh>
    <phoneticPr fontId="4"/>
  </si>
  <si>
    <t>販売費</t>
    <rPh sb="0" eb="3">
      <t>ハンバイヒ</t>
    </rPh>
    <phoneticPr fontId="4"/>
  </si>
  <si>
    <t>役員報酬</t>
    <rPh sb="0" eb="2">
      <t>ヤクイン</t>
    </rPh>
    <rPh sb="2" eb="4">
      <t>ホウシュウ</t>
    </rPh>
    <phoneticPr fontId="4"/>
  </si>
  <si>
    <t>会議費・旅費・研修費</t>
    <rPh sb="0" eb="3">
      <t>カイギヒ</t>
    </rPh>
    <rPh sb="4" eb="6">
      <t>リョヒ</t>
    </rPh>
    <rPh sb="7" eb="10">
      <t>ケンシュウヒ</t>
    </rPh>
    <phoneticPr fontId="4"/>
  </si>
  <si>
    <t>租税公課</t>
    <rPh sb="0" eb="2">
      <t>ソゼイ</t>
    </rPh>
    <rPh sb="2" eb="4">
      <t>コウカ</t>
    </rPh>
    <phoneticPr fontId="4"/>
  </si>
  <si>
    <t>雑収入</t>
    <rPh sb="0" eb="3">
      <t>ザッシュウニュウ</t>
    </rPh>
    <phoneticPr fontId="4"/>
  </si>
  <si>
    <t>営業外
収益</t>
    <rPh sb="0" eb="3">
      <t>エイギョウガイ</t>
    </rPh>
    <rPh sb="4" eb="6">
      <t>シュウエキ</t>
    </rPh>
    <phoneticPr fontId="4"/>
  </si>
  <si>
    <t>経営類型</t>
    <rPh sb="0" eb="2">
      <t>ケイエイ</t>
    </rPh>
    <rPh sb="2" eb="4">
      <t>ルイケイ</t>
    </rPh>
    <phoneticPr fontId="4"/>
  </si>
  <si>
    <t>作型</t>
    <rPh sb="0" eb="2">
      <t>サクガタ</t>
    </rPh>
    <phoneticPr fontId="4"/>
  </si>
  <si>
    <t>対象地域</t>
    <rPh sb="0" eb="2">
      <t>タイショウ</t>
    </rPh>
    <rPh sb="2" eb="4">
      <t>チイキ</t>
    </rPh>
    <phoneticPr fontId="4"/>
  </si>
  <si>
    <t>作　   物　   別　   作  　付   　規　   模</t>
    <phoneticPr fontId="4"/>
  </si>
  <si>
    <t>経　営　耕　地　面　積</t>
    <phoneticPr fontId="4"/>
  </si>
  <si>
    <t>対 象 作 目</t>
    <phoneticPr fontId="4"/>
  </si>
  <si>
    <t>面    積</t>
    <phoneticPr fontId="4"/>
  </si>
  <si>
    <t>そ の 他 の 作 物</t>
    <phoneticPr fontId="4"/>
  </si>
  <si>
    <t>面   積</t>
    <phoneticPr fontId="4"/>
  </si>
  <si>
    <t>田</t>
    <phoneticPr fontId="4"/>
  </si>
  <si>
    <t>畑</t>
    <phoneticPr fontId="4"/>
  </si>
  <si>
    <t>樹園地</t>
    <phoneticPr fontId="4"/>
  </si>
  <si>
    <t>草  地</t>
    <phoneticPr fontId="4"/>
  </si>
  <si>
    <t>（うち施設）</t>
    <phoneticPr fontId="4"/>
  </si>
  <si>
    <t>凡例</t>
    <phoneticPr fontId="4"/>
  </si>
  <si>
    <t>対象</t>
    <phoneticPr fontId="4"/>
  </si>
  <si>
    <t>区分</t>
    <rPh sb="0" eb="2">
      <t>クブン</t>
    </rPh>
    <phoneticPr fontId="4"/>
  </si>
  <si>
    <t>営業損益</t>
    <rPh sb="0" eb="2">
      <t>エイギョウ</t>
    </rPh>
    <rPh sb="2" eb="4">
      <t>ソンエキ</t>
    </rPh>
    <phoneticPr fontId="4"/>
  </si>
  <si>
    <t>作業受託収入</t>
    <rPh sb="0" eb="2">
      <t>サギョウ</t>
    </rPh>
    <rPh sb="2" eb="4">
      <t>ジュタク</t>
    </rPh>
    <rPh sb="4" eb="6">
      <t>シュウニュウ</t>
    </rPh>
    <phoneticPr fontId="4"/>
  </si>
  <si>
    <t>動力光熱費</t>
    <rPh sb="0" eb="2">
      <t>ドウリョク</t>
    </rPh>
    <rPh sb="2" eb="5">
      <t>コウネツヒ</t>
    </rPh>
    <phoneticPr fontId="4"/>
  </si>
  <si>
    <t>減価
償却費</t>
    <rPh sb="0" eb="2">
      <t>ゲンカ</t>
    </rPh>
    <rPh sb="3" eb="5">
      <t>ショウキャク</t>
    </rPh>
    <rPh sb="5" eb="6">
      <t>ヒ</t>
    </rPh>
    <phoneticPr fontId="4"/>
  </si>
  <si>
    <t>畦畔管理</t>
    <rPh sb="0" eb="1">
      <t>ケイ</t>
    </rPh>
    <rPh sb="1" eb="2">
      <t>ハン</t>
    </rPh>
    <rPh sb="2" eb="4">
      <t>カンリ</t>
    </rPh>
    <phoneticPr fontId="4"/>
  </si>
  <si>
    <t>事務通信費</t>
    <rPh sb="0" eb="2">
      <t>ジム</t>
    </rPh>
    <rPh sb="2" eb="5">
      <t>ツウシンヒ</t>
    </rPh>
    <phoneticPr fontId="4"/>
  </si>
  <si>
    <t>土地改良費・水利費</t>
    <rPh sb="0" eb="2">
      <t>トチ</t>
    </rPh>
    <rPh sb="2" eb="5">
      <t>カイリョウヒ</t>
    </rPh>
    <rPh sb="6" eb="8">
      <t>スイリ</t>
    </rPh>
    <rPh sb="8" eb="9">
      <t>ヒ</t>
    </rPh>
    <phoneticPr fontId="4"/>
  </si>
  <si>
    <t>営業外損益</t>
    <rPh sb="0" eb="3">
      <t>エイギョウガイ</t>
    </rPh>
    <rPh sb="3" eb="5">
      <t>ソンエキ</t>
    </rPh>
    <phoneticPr fontId="4"/>
  </si>
  <si>
    <t>営業外損益　計</t>
    <rPh sb="0" eb="3">
      <t>エイギョウガイ</t>
    </rPh>
    <rPh sb="3" eb="5">
      <t>ソンエキ</t>
    </rPh>
    <rPh sb="6" eb="7">
      <t>ケイ</t>
    </rPh>
    <phoneticPr fontId="4"/>
  </si>
  <si>
    <t>負担根拠</t>
    <rPh sb="0" eb="2">
      <t>フタン</t>
    </rPh>
    <rPh sb="2" eb="4">
      <t>コンキョ</t>
    </rPh>
    <phoneticPr fontId="4"/>
  </si>
  <si>
    <t>（数値）</t>
    <rPh sb="1" eb="3">
      <t>スウチ</t>
    </rPh>
    <phoneticPr fontId="4"/>
  </si>
  <si>
    <t>台</t>
    <rPh sb="0" eb="1">
      <t>ダイ</t>
    </rPh>
    <phoneticPr fontId="4"/>
  </si>
  <si>
    <t>㎡</t>
    <phoneticPr fontId="4"/>
  </si>
  <si>
    <t>４　経営収支</t>
    <rPh sb="2" eb="4">
      <t>ケイエイ</t>
    </rPh>
    <rPh sb="4" eb="6">
      <t>シュウシ</t>
    </rPh>
    <phoneticPr fontId="4"/>
  </si>
  <si>
    <t>７－１　経営収支（水稲部門，1ha当たり）</t>
    <rPh sb="9" eb="11">
      <t>スイトウ</t>
    </rPh>
    <rPh sb="11" eb="13">
      <t>ブモン</t>
    </rPh>
    <rPh sb="17" eb="18">
      <t>ア</t>
    </rPh>
    <phoneticPr fontId="4"/>
  </si>
  <si>
    <t>３－１　標準技術（水稲）</t>
    <rPh sb="4" eb="6">
      <t>ヒョウジュン</t>
    </rPh>
    <rPh sb="6" eb="8">
      <t>ギジュツ</t>
    </rPh>
    <rPh sb="9" eb="11">
      <t>スイトウ</t>
    </rPh>
    <phoneticPr fontId="4"/>
  </si>
  <si>
    <t>栽培様式</t>
    <rPh sb="0" eb="2">
      <t>サイバイ</t>
    </rPh>
    <rPh sb="2" eb="4">
      <t>ヨウシキ</t>
    </rPh>
    <phoneticPr fontId="4"/>
  </si>
  <si>
    <t>技術内容</t>
    <rPh sb="0" eb="2">
      <t>ギジュツ</t>
    </rPh>
    <rPh sb="2" eb="4">
      <t>ナイヨウ</t>
    </rPh>
    <phoneticPr fontId="4"/>
  </si>
  <si>
    <t>作業時期</t>
    <rPh sb="0" eb="2">
      <t>サギョウ</t>
    </rPh>
    <rPh sb="2" eb="4">
      <t>ジキ</t>
    </rPh>
    <phoneticPr fontId="4"/>
  </si>
  <si>
    <t>技術上の
留意事項</t>
    <rPh sb="0" eb="2">
      <t>ギジュツ</t>
    </rPh>
    <rPh sb="2" eb="3">
      <t>ジョウ</t>
    </rPh>
    <rPh sb="5" eb="7">
      <t>リュウイ</t>
    </rPh>
    <rPh sb="7" eb="9">
      <t>ジコウ</t>
    </rPh>
    <phoneticPr fontId="4"/>
  </si>
  <si>
    <t>組作業人員(人）</t>
    <rPh sb="0" eb="1">
      <t>クミ</t>
    </rPh>
    <rPh sb="1" eb="3">
      <t>サギョウ</t>
    </rPh>
    <rPh sb="3" eb="5">
      <t>ジンイン</t>
    </rPh>
    <phoneticPr fontId="4"/>
  </si>
  <si>
    <t>使用施設・機械</t>
    <rPh sb="0" eb="2">
      <t>シヨウ</t>
    </rPh>
    <rPh sb="2" eb="4">
      <t>シセツ</t>
    </rPh>
    <rPh sb="5" eb="7">
      <t>キカイ</t>
    </rPh>
    <phoneticPr fontId="4"/>
  </si>
  <si>
    <t>作業・項目</t>
    <rPh sb="0" eb="2">
      <t>サギョウ</t>
    </rPh>
    <rPh sb="3" eb="5">
      <t>コウモク</t>
    </rPh>
    <phoneticPr fontId="4"/>
  </si>
  <si>
    <t>土地利用体系</t>
    <rPh sb="0" eb="2">
      <t>トチ</t>
    </rPh>
    <rPh sb="2" eb="4">
      <t>リヨウ</t>
    </rPh>
    <rPh sb="4" eb="6">
      <t>タイケイ</t>
    </rPh>
    <phoneticPr fontId="4"/>
  </si>
  <si>
    <t>面　積</t>
    <phoneticPr fontId="3"/>
  </si>
  <si>
    <t>１　対象経営の概要</t>
    <phoneticPr fontId="3"/>
  </si>
  <si>
    <t>保有労働力</t>
    <phoneticPr fontId="4"/>
  </si>
  <si>
    <t>作     　目</t>
    <phoneticPr fontId="3"/>
  </si>
  <si>
    <t>２　前提条件</t>
    <phoneticPr fontId="4"/>
  </si>
  <si>
    <t>オペレーター賃金</t>
    <rPh sb="6" eb="8">
      <t>チンギン</t>
    </rPh>
    <phoneticPr fontId="4"/>
  </si>
  <si>
    <t>補助労務賃金</t>
    <rPh sb="0" eb="2">
      <t>ホジョ</t>
    </rPh>
    <rPh sb="2" eb="4">
      <t>ロウム</t>
    </rPh>
    <rPh sb="4" eb="6">
      <t>チンギン</t>
    </rPh>
    <phoneticPr fontId="4"/>
  </si>
  <si>
    <t>法定福利費　等</t>
  </si>
  <si>
    <t>法定福利費　等</t>
    <phoneticPr fontId="4"/>
  </si>
  <si>
    <t>給料手当</t>
    <rPh sb="0" eb="2">
      <t>キュウリョウ</t>
    </rPh>
    <rPh sb="2" eb="4">
      <t>テアテ</t>
    </rPh>
    <phoneticPr fontId="4"/>
  </si>
  <si>
    <t>価格補てん金</t>
    <rPh sb="0" eb="2">
      <t>カカク</t>
    </rPh>
    <rPh sb="2" eb="3">
      <t>ホ</t>
    </rPh>
    <rPh sb="5" eb="6">
      <t>キン</t>
    </rPh>
    <phoneticPr fontId="4"/>
  </si>
  <si>
    <t>助成金・補助金・交付金</t>
    <rPh sb="0" eb="3">
      <t>ジョセイキン</t>
    </rPh>
    <rPh sb="4" eb="7">
      <t>ホジョキン</t>
    </rPh>
    <rPh sb="8" eb="11">
      <t>コウフキン</t>
    </rPh>
    <phoneticPr fontId="4"/>
  </si>
  <si>
    <t>共済掛金　等</t>
    <rPh sb="0" eb="2">
      <t>キョウサイ</t>
    </rPh>
    <rPh sb="2" eb="4">
      <t>カケキン</t>
    </rPh>
    <rPh sb="5" eb="6">
      <t>ナド</t>
    </rPh>
    <phoneticPr fontId="4"/>
  </si>
  <si>
    <t>作　業　別</t>
    <phoneticPr fontId="4"/>
  </si>
  <si>
    <t>作　　　型</t>
    <phoneticPr fontId="4"/>
  </si>
  <si>
    <t>旬　別　計</t>
    <phoneticPr fontId="4"/>
  </si>
  <si>
    <t>月　  　計</t>
    <phoneticPr fontId="4"/>
  </si>
  <si>
    <t>５－１　作業別・旬別作業時間（水稲，1ha当たり）</t>
    <rPh sb="15" eb="17">
      <t>スイトウ</t>
    </rPh>
    <phoneticPr fontId="4"/>
  </si>
  <si>
    <t>形式・構造　等</t>
    <rPh sb="6" eb="7">
      <t>ナド</t>
    </rPh>
    <phoneticPr fontId="4"/>
  </si>
  <si>
    <t>区分</t>
    <rPh sb="0" eb="2">
      <t>クブン</t>
    </rPh>
    <phoneticPr fontId="4"/>
  </si>
  <si>
    <t>取得価格</t>
    <rPh sb="0" eb="2">
      <t>シュトク</t>
    </rPh>
    <rPh sb="2" eb="4">
      <t>カカク</t>
    </rPh>
    <phoneticPr fontId="4"/>
  </si>
  <si>
    <t>補助率</t>
    <rPh sb="0" eb="3">
      <t>ホジョリツ</t>
    </rPh>
    <phoneticPr fontId="4"/>
  </si>
  <si>
    <t>残存割合</t>
    <rPh sb="0" eb="2">
      <t>ザンゾン</t>
    </rPh>
    <rPh sb="2" eb="4">
      <t>ワリアイ</t>
    </rPh>
    <phoneticPr fontId="4"/>
  </si>
  <si>
    <t>③=①×（100-②）（円）</t>
    <rPh sb="12" eb="13">
      <t>エン</t>
    </rPh>
    <phoneticPr fontId="4"/>
  </si>
  <si>
    <t>⑦＝⑤×⑥（円/ha）</t>
    <rPh sb="6" eb="7">
      <t>エン</t>
    </rPh>
    <phoneticPr fontId="4"/>
  </si>
  <si>
    <t>コシヒカリ</t>
    <phoneticPr fontId="4"/>
  </si>
  <si>
    <t>農薬名</t>
  </si>
  <si>
    <t>使用量</t>
    <rPh sb="2" eb="3">
      <t>リョウ</t>
    </rPh>
    <phoneticPr fontId="4"/>
  </si>
  <si>
    <t>単位</t>
  </si>
  <si>
    <t>金額</t>
  </si>
  <si>
    <t xml:space="preserve"> 燃料消費量</t>
  </si>
  <si>
    <t>利用時間</t>
  </si>
  <si>
    <t>　小　計</t>
  </si>
  <si>
    <t>小　計</t>
  </si>
  <si>
    <t>本</t>
    <rPh sb="0" eb="1">
      <t>ホン</t>
    </rPh>
    <phoneticPr fontId="4"/>
  </si>
  <si>
    <t>小計</t>
  </si>
  <si>
    <t>本作目
負担割合</t>
    <phoneticPr fontId="4"/>
  </si>
  <si>
    <t>①（円）</t>
    <phoneticPr fontId="4"/>
  </si>
  <si>
    <t>②（％）</t>
    <phoneticPr fontId="4"/>
  </si>
  <si>
    <t>④ （％）</t>
    <phoneticPr fontId="4"/>
  </si>
  <si>
    <t>⑤=③×④（円/ha）</t>
    <phoneticPr fontId="4"/>
  </si>
  <si>
    <t>⑥（％）</t>
    <phoneticPr fontId="4"/>
  </si>
  <si>
    <t>⑧（年）</t>
    <phoneticPr fontId="4"/>
  </si>
  <si>
    <t>⑨＝（⑤－⑦）÷⑧（円/ha）</t>
    <phoneticPr fontId="4"/>
  </si>
  <si>
    <t>㎡</t>
    <phoneticPr fontId="4"/>
  </si>
  <si>
    <t>　　合　　計</t>
    <phoneticPr fontId="4"/>
  </si>
  <si>
    <t>コシヒカリ</t>
    <phoneticPr fontId="4"/>
  </si>
  <si>
    <t>（kg）</t>
    <phoneticPr fontId="4"/>
  </si>
  <si>
    <t>軽油</t>
    <phoneticPr fontId="4"/>
  </si>
  <si>
    <t>ガソリン</t>
    <phoneticPr fontId="4"/>
  </si>
  <si>
    <t>燃料費の</t>
    <phoneticPr fontId="4"/>
  </si>
  <si>
    <t>潤滑油</t>
    <phoneticPr fontId="4"/>
  </si>
  <si>
    <t>混合</t>
    <phoneticPr fontId="4"/>
  </si>
  <si>
    <t>灯油</t>
    <phoneticPr fontId="4"/>
  </si>
  <si>
    <t>電気</t>
    <phoneticPr fontId="4"/>
  </si>
  <si>
    <t>（ア）種苗名</t>
    <rPh sb="3" eb="5">
      <t>シュビョウ</t>
    </rPh>
    <rPh sb="5" eb="6">
      <t>メイ</t>
    </rPh>
    <phoneticPr fontId="4"/>
  </si>
  <si>
    <t>（イ）肥料名</t>
    <phoneticPr fontId="4"/>
  </si>
  <si>
    <t>（ウ）農薬名</t>
    <phoneticPr fontId="4"/>
  </si>
  <si>
    <t>（エ）燃料名</t>
    <phoneticPr fontId="4"/>
  </si>
  <si>
    <t>生産雑費</t>
    <rPh sb="0" eb="2">
      <t>セイサン</t>
    </rPh>
    <rPh sb="2" eb="4">
      <t>ザッピ</t>
    </rPh>
    <phoneticPr fontId="4"/>
  </si>
  <si>
    <t>土づくり資材</t>
    <rPh sb="0" eb="1">
      <t>ツチ</t>
    </rPh>
    <rPh sb="4" eb="6">
      <t>シザイ</t>
    </rPh>
    <phoneticPr fontId="4"/>
  </si>
  <si>
    <t>化成肥料</t>
    <rPh sb="0" eb="2">
      <t>カセイ</t>
    </rPh>
    <rPh sb="2" eb="4">
      <t>ヒリョウ</t>
    </rPh>
    <phoneticPr fontId="4"/>
  </si>
  <si>
    <t>有機物資材</t>
    <rPh sb="0" eb="3">
      <t>ユウキブツ</t>
    </rPh>
    <rPh sb="3" eb="5">
      <t>シザイ</t>
    </rPh>
    <phoneticPr fontId="4"/>
  </si>
  <si>
    <t>液肥</t>
    <rPh sb="0" eb="2">
      <t>エキヒ</t>
    </rPh>
    <phoneticPr fontId="4"/>
  </si>
  <si>
    <t>その他</t>
    <rPh sb="2" eb="3">
      <t>タ</t>
    </rPh>
    <phoneticPr fontId="4"/>
  </si>
  <si>
    <t>殺虫剤</t>
    <rPh sb="1" eb="2">
      <t>ムシ</t>
    </rPh>
    <rPh sb="2" eb="3">
      <t>ザイ</t>
    </rPh>
    <phoneticPr fontId="4"/>
  </si>
  <si>
    <t>肥料名</t>
    <rPh sb="0" eb="2">
      <t>ヒリョウ</t>
    </rPh>
    <rPh sb="2" eb="3">
      <t>メイ</t>
    </rPh>
    <phoneticPr fontId="4"/>
  </si>
  <si>
    <t>1ha機械</t>
    <phoneticPr fontId="4"/>
  </si>
  <si>
    <t>電気</t>
    <rPh sb="0" eb="2">
      <t>デンキ</t>
    </rPh>
    <phoneticPr fontId="4"/>
  </si>
  <si>
    <t>軽油</t>
    <rPh sb="0" eb="2">
      <t>ケイユ</t>
    </rPh>
    <phoneticPr fontId="4"/>
  </si>
  <si>
    <t>作業名（使用機械）</t>
    <rPh sb="0" eb="2">
      <t>サギョウ</t>
    </rPh>
    <rPh sb="2" eb="3">
      <t>メイ</t>
    </rPh>
    <rPh sb="4" eb="6">
      <t>シヨウ</t>
    </rPh>
    <rPh sb="6" eb="8">
      <t>キカイ</t>
    </rPh>
    <phoneticPr fontId="4"/>
  </si>
  <si>
    <t>混合</t>
    <rPh sb="0" eb="2">
      <t>コンゴウ</t>
    </rPh>
    <phoneticPr fontId="4"/>
  </si>
  <si>
    <t>灯油</t>
    <rPh sb="0" eb="2">
      <t>トウユ</t>
    </rPh>
    <phoneticPr fontId="4"/>
  </si>
  <si>
    <t>資材名</t>
    <rPh sb="0" eb="2">
      <t>シザイ</t>
    </rPh>
    <rPh sb="2" eb="3">
      <t>メイ</t>
    </rPh>
    <phoneticPr fontId="4"/>
  </si>
  <si>
    <t>使用量</t>
    <rPh sb="0" eb="3">
      <t>シヨウリョウ</t>
    </rPh>
    <phoneticPr fontId="4"/>
  </si>
  <si>
    <t>単位</t>
    <rPh sb="0" eb="2">
      <t>タンイ</t>
    </rPh>
    <phoneticPr fontId="4"/>
  </si>
  <si>
    <t>単価</t>
    <phoneticPr fontId="4"/>
  </si>
  <si>
    <t>使用期間（年）</t>
    <rPh sb="0" eb="2">
      <t>シヨウ</t>
    </rPh>
    <rPh sb="2" eb="4">
      <t>キカン</t>
    </rPh>
    <rPh sb="5" eb="6">
      <t>ネン</t>
    </rPh>
    <phoneticPr fontId="4"/>
  </si>
  <si>
    <t>金額（1年あたり）</t>
    <rPh sb="4" eb="5">
      <t>ネン</t>
    </rPh>
    <phoneticPr fontId="4"/>
  </si>
  <si>
    <t>枚</t>
    <rPh sb="0" eb="1">
      <t>マイ</t>
    </rPh>
    <phoneticPr fontId="4"/>
  </si>
  <si>
    <t>農具名</t>
    <rPh sb="0" eb="2">
      <t>ノウグ</t>
    </rPh>
    <rPh sb="2" eb="3">
      <t>メイ</t>
    </rPh>
    <phoneticPr fontId="4"/>
  </si>
  <si>
    <t>負担面積（ha）</t>
    <rPh sb="0" eb="2">
      <t>フタン</t>
    </rPh>
    <rPh sb="2" eb="4">
      <t>メンセキ</t>
    </rPh>
    <phoneticPr fontId="4"/>
  </si>
  <si>
    <t>建物・施設</t>
    <rPh sb="0" eb="2">
      <t>タテモノ</t>
    </rPh>
    <rPh sb="3" eb="5">
      <t>シセツ</t>
    </rPh>
    <phoneticPr fontId="4"/>
  </si>
  <si>
    <t>機械・器具</t>
    <rPh sb="0" eb="2">
      <t>キカイ</t>
    </rPh>
    <rPh sb="3" eb="5">
      <t>キグ</t>
    </rPh>
    <phoneticPr fontId="4"/>
  </si>
  <si>
    <t>建物・施設</t>
    <rPh sb="0" eb="2">
      <t>タテモノ</t>
    </rPh>
    <rPh sb="3" eb="5">
      <t>シセツ</t>
    </rPh>
    <phoneticPr fontId="4"/>
  </si>
  <si>
    <t>右表（粗収益の算出基礎）</t>
    <rPh sb="0" eb="1">
      <t>ミギ</t>
    </rPh>
    <rPh sb="1" eb="2">
      <t>ヒョウ</t>
    </rPh>
    <rPh sb="3" eb="4">
      <t>ソ</t>
    </rPh>
    <rPh sb="4" eb="6">
      <t>シュウエキ</t>
    </rPh>
    <rPh sb="7" eb="9">
      <t>サンシュツ</t>
    </rPh>
    <rPh sb="9" eb="11">
      <t>キソ</t>
    </rPh>
    <phoneticPr fontId="4"/>
  </si>
  <si>
    <t>右表（ア）</t>
    <phoneticPr fontId="4"/>
  </si>
  <si>
    <t>負担価格の</t>
    <phoneticPr fontId="4"/>
  </si>
  <si>
    <t>販売費・
一般管理費</t>
    <rPh sb="0" eb="3">
      <t>ハンバイヒ</t>
    </rPh>
    <rPh sb="5" eb="7">
      <t>イッパン</t>
    </rPh>
    <rPh sb="7" eb="10">
      <t>カンリヒ</t>
    </rPh>
    <phoneticPr fontId="4"/>
  </si>
  <si>
    <t>右表（イ）　※８－１　水稲算出基礎シート参照</t>
    <phoneticPr fontId="4"/>
  </si>
  <si>
    <t>右表（ウ）　※８－１　水稲算出基礎シート参照</t>
    <phoneticPr fontId="4"/>
  </si>
  <si>
    <t>右表（エ）　※８－１　水稲算出基礎シート参照</t>
    <phoneticPr fontId="4"/>
  </si>
  <si>
    <t>※８－１　水稲算出基礎シート参照</t>
    <rPh sb="5" eb="7">
      <t>スイトウ</t>
    </rPh>
    <rPh sb="7" eb="9">
      <t>サンシュツ</t>
    </rPh>
    <rPh sb="9" eb="11">
      <t>キソ</t>
    </rPh>
    <rPh sb="14" eb="16">
      <t>サンショウ</t>
    </rPh>
    <phoneticPr fontId="4"/>
  </si>
  <si>
    <t>※６　資本装備・償却費シート参照</t>
    <rPh sb="3" eb="5">
      <t>シホン</t>
    </rPh>
    <rPh sb="5" eb="7">
      <t>ソウビ</t>
    </rPh>
    <rPh sb="8" eb="10">
      <t>ショウキャク</t>
    </rPh>
    <rPh sb="10" eb="11">
      <t>ヒ</t>
    </rPh>
    <rPh sb="14" eb="16">
      <t>サンショウ</t>
    </rPh>
    <phoneticPr fontId="4"/>
  </si>
  <si>
    <t>※４　経営収支に記載</t>
    <rPh sb="3" eb="5">
      <t>ケイエイ</t>
    </rPh>
    <rPh sb="5" eb="7">
      <t>シュウシ</t>
    </rPh>
    <rPh sb="8" eb="10">
      <t>キサイ</t>
    </rPh>
    <phoneticPr fontId="4"/>
  </si>
  <si>
    <t>売上高　計　①</t>
    <rPh sb="0" eb="2">
      <t>ウリアゲ</t>
    </rPh>
    <rPh sb="2" eb="3">
      <t>ダカ</t>
    </rPh>
    <rPh sb="4" eb="5">
      <t>ケイ</t>
    </rPh>
    <phoneticPr fontId="4"/>
  </si>
  <si>
    <t>売上総利益　③=①-②</t>
    <rPh sb="0" eb="2">
      <t>ウリアゲ</t>
    </rPh>
    <rPh sb="2" eb="5">
      <t>ソウリエキ</t>
    </rPh>
    <phoneticPr fontId="4"/>
  </si>
  <si>
    <t>販売費・一般管理費　計　④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</si>
  <si>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売上原価</t>
    <rPh sb="0" eb="2">
      <t>ウリアゲ</t>
    </rPh>
    <rPh sb="2" eb="4">
      <t>ゲンカ</t>
    </rPh>
    <phoneticPr fontId="4"/>
  </si>
  <si>
    <t>売上原価　計　②</t>
    <rPh sb="0" eb="2">
      <t>ウリアゲ</t>
    </rPh>
    <rPh sb="2" eb="4">
      <t>ゲンカ</t>
    </rPh>
    <rPh sb="5" eb="6">
      <t>ケイ</t>
    </rPh>
    <phoneticPr fontId="4"/>
  </si>
  <si>
    <t>営業利益　⑤=③-④　</t>
    <rPh sb="0" eb="2">
      <t>エイギョウ</t>
    </rPh>
    <rPh sb="2" eb="4">
      <t>リエキ</t>
    </rPh>
    <phoneticPr fontId="4"/>
  </si>
  <si>
    <t>営業外収益　⑥</t>
    <rPh sb="0" eb="3">
      <t>エイギョウガイ</t>
    </rPh>
    <rPh sb="3" eb="5">
      <t>シュウエキ</t>
    </rPh>
    <phoneticPr fontId="4"/>
  </si>
  <si>
    <t>営業外費用　⑦</t>
    <phoneticPr fontId="4"/>
  </si>
  <si>
    <t>営業外損益　計　⑧=⑥-⑦</t>
    <rPh sb="0" eb="3">
      <t>エイギョウガイ</t>
    </rPh>
    <rPh sb="3" eb="5">
      <t>ソンエキ</t>
    </rPh>
    <rPh sb="6" eb="7">
      <t>ケイ</t>
    </rPh>
    <phoneticPr fontId="4"/>
  </si>
  <si>
    <t>経常利益　⑨=⑤+⑧</t>
    <rPh sb="0" eb="2">
      <t>ケイジョウ</t>
    </rPh>
    <rPh sb="2" eb="4">
      <t>リエキ</t>
    </rPh>
    <phoneticPr fontId="4"/>
  </si>
  <si>
    <t>販売費・一般管理費　計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</si>
  <si>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売上原価　計</t>
    <phoneticPr fontId="4"/>
  </si>
  <si>
    <t>販売収入</t>
    <rPh sb="0" eb="2">
      <t>ハンバイ</t>
    </rPh>
    <rPh sb="2" eb="4">
      <t>シュウニュウ</t>
    </rPh>
    <phoneticPr fontId="4"/>
  </si>
  <si>
    <t>営業外
費用</t>
    <phoneticPr fontId="4"/>
  </si>
  <si>
    <t>営業外</t>
    <rPh sb="0" eb="3">
      <t>エイギョウガイ</t>
    </rPh>
    <phoneticPr fontId="4"/>
  </si>
  <si>
    <t>（１）肥料費</t>
    <rPh sb="3" eb="5">
      <t>ヒリョウ</t>
    </rPh>
    <rPh sb="5" eb="6">
      <t>ヒ</t>
    </rPh>
    <phoneticPr fontId="4"/>
  </si>
  <si>
    <t>（３）動力光熱費</t>
    <rPh sb="3" eb="5">
      <t>ドウリョク</t>
    </rPh>
    <rPh sb="5" eb="8">
      <t>コウネツヒ</t>
    </rPh>
    <phoneticPr fontId="4"/>
  </si>
  <si>
    <t>農　　　　業　　　　経　　　　営　　　　費</t>
    <rPh sb="0" eb="1">
      <t>ノウ</t>
    </rPh>
    <rPh sb="5" eb="6">
      <t>ギョウ</t>
    </rPh>
    <rPh sb="10" eb="11">
      <t>ヘ</t>
    </rPh>
    <rPh sb="15" eb="16">
      <t>エイ</t>
    </rPh>
    <rPh sb="20" eb="21">
      <t>ヒ</t>
    </rPh>
    <phoneticPr fontId="4"/>
  </si>
  <si>
    <t>費　　　　用　　　　の　　　　算　　　　出</t>
    <rPh sb="0" eb="1">
      <t>ヒ</t>
    </rPh>
    <rPh sb="5" eb="6">
      <t>ヨウ</t>
    </rPh>
    <rPh sb="15" eb="16">
      <t>サン</t>
    </rPh>
    <rPh sb="20" eb="21">
      <t>デ</t>
    </rPh>
    <phoneticPr fontId="4"/>
  </si>
  <si>
    <t>粗　　　収　　　益　　　の　　　算　　　出</t>
    <phoneticPr fontId="4"/>
  </si>
  <si>
    <t>売上原価の</t>
    <rPh sb="0" eb="2">
      <t>ウリアゲ</t>
    </rPh>
    <rPh sb="2" eb="4">
      <t>ゲンカ</t>
    </rPh>
    <phoneticPr fontId="4"/>
  </si>
  <si>
    <t>水稲共済</t>
    <rPh sb="0" eb="2">
      <t>スイトウ</t>
    </rPh>
    <rPh sb="2" eb="4">
      <t>キョウサイ</t>
    </rPh>
    <phoneticPr fontId="4"/>
  </si>
  <si>
    <t>区　分</t>
    <rPh sb="0" eb="1">
      <t>ク</t>
    </rPh>
    <rPh sb="2" eb="3">
      <t>ブン</t>
    </rPh>
    <phoneticPr fontId="6"/>
  </si>
  <si>
    <t>区分</t>
    <rPh sb="0" eb="1">
      <t>ク</t>
    </rPh>
    <rPh sb="1" eb="2">
      <t>ブン</t>
    </rPh>
    <phoneticPr fontId="6"/>
  </si>
  <si>
    <t>取得価格・評価額・負担額</t>
    <rPh sb="0" eb="2">
      <t>シュトク</t>
    </rPh>
    <rPh sb="2" eb="4">
      <t>カカク</t>
    </rPh>
    <rPh sb="5" eb="7">
      <t>ヒョウカ</t>
    </rPh>
    <rPh sb="7" eb="8">
      <t>ガク</t>
    </rPh>
    <rPh sb="9" eb="11">
      <t>フタン</t>
    </rPh>
    <rPh sb="11" eb="12">
      <t>ガク</t>
    </rPh>
    <phoneticPr fontId="6"/>
  </si>
  <si>
    <t>自動車重量税</t>
    <rPh sb="0" eb="3">
      <t>ジドウシャ</t>
    </rPh>
    <rPh sb="3" eb="6">
      <t>ジュウリョウゼイ</t>
    </rPh>
    <phoneticPr fontId="6"/>
  </si>
  <si>
    <t>自動車税</t>
    <rPh sb="0" eb="3">
      <t>ジドウシャ</t>
    </rPh>
    <rPh sb="3" eb="4">
      <t>ゼイ</t>
    </rPh>
    <phoneticPr fontId="6"/>
  </si>
  <si>
    <t>軽自動車税</t>
    <rPh sb="0" eb="1">
      <t>ケイ</t>
    </rPh>
    <rPh sb="1" eb="5">
      <t>ジドウシャゼイ</t>
    </rPh>
    <phoneticPr fontId="6"/>
  </si>
  <si>
    <t>合　　計</t>
    <rPh sb="0" eb="1">
      <t>ア</t>
    </rPh>
    <rPh sb="3" eb="4">
      <t>ケイ</t>
    </rPh>
    <phoneticPr fontId="4"/>
  </si>
  <si>
    <t>（７）共済掛金　等</t>
    <rPh sb="3" eb="5">
      <t>キョウサイ</t>
    </rPh>
    <rPh sb="5" eb="7">
      <t>カケキン</t>
    </rPh>
    <rPh sb="8" eb="9">
      <t>ナド</t>
    </rPh>
    <phoneticPr fontId="6"/>
  </si>
  <si>
    <t>内　容</t>
    <rPh sb="0" eb="1">
      <t>ウチ</t>
    </rPh>
    <rPh sb="2" eb="3">
      <t>カタチ</t>
    </rPh>
    <phoneticPr fontId="6"/>
  </si>
  <si>
    <t>共済掛金</t>
    <rPh sb="0" eb="2">
      <t>キョウサイ</t>
    </rPh>
    <rPh sb="2" eb="4">
      <t>カケキン</t>
    </rPh>
    <phoneticPr fontId="6"/>
  </si>
  <si>
    <t>負担率</t>
    <rPh sb="0" eb="2">
      <t>フタン</t>
    </rPh>
    <rPh sb="2" eb="3">
      <t>リツ</t>
    </rPh>
    <phoneticPr fontId="6"/>
  </si>
  <si>
    <t>評価額・負担額</t>
    <rPh sb="0" eb="3">
      <t>ヒョウカガク</t>
    </rPh>
    <rPh sb="4" eb="6">
      <t>フタン</t>
    </rPh>
    <rPh sb="6" eb="7">
      <t>ガク</t>
    </rPh>
    <phoneticPr fontId="6"/>
  </si>
  <si>
    <t>小計</t>
    <rPh sb="0" eb="2">
      <t>ショウケイ</t>
    </rPh>
    <phoneticPr fontId="6"/>
  </si>
  <si>
    <t>（４）租税公課</t>
    <rPh sb="3" eb="5">
      <t>ソゼイ</t>
    </rPh>
    <rPh sb="5" eb="7">
      <t>コウカ</t>
    </rPh>
    <phoneticPr fontId="6"/>
  </si>
  <si>
    <t>（５）諸材料費（使用可能期間を想定して算出）</t>
    <rPh sb="3" eb="4">
      <t>ショ</t>
    </rPh>
    <rPh sb="4" eb="7">
      <t>ザイリョウヒ</t>
    </rPh>
    <rPh sb="8" eb="10">
      <t>シヨウ</t>
    </rPh>
    <rPh sb="10" eb="12">
      <t>カノウ</t>
    </rPh>
    <rPh sb="12" eb="14">
      <t>キカン</t>
    </rPh>
    <rPh sb="15" eb="17">
      <t>ソウテイ</t>
    </rPh>
    <rPh sb="19" eb="21">
      <t>サンシュツ</t>
    </rPh>
    <phoneticPr fontId="4"/>
  </si>
  <si>
    <t>（６）小農具費（使用可能期間を想定して算出）</t>
    <rPh sb="3" eb="6">
      <t>ショウノウグ</t>
    </rPh>
    <rPh sb="6" eb="7">
      <t>ヒ</t>
    </rPh>
    <phoneticPr fontId="4"/>
  </si>
  <si>
    <t>軽トラック</t>
    <rPh sb="0" eb="1">
      <t>ケイ</t>
    </rPh>
    <phoneticPr fontId="4"/>
  </si>
  <si>
    <t>保険料</t>
    <rPh sb="0" eb="3">
      <t>ホケンリョウ</t>
    </rPh>
    <phoneticPr fontId="4"/>
  </si>
  <si>
    <t>本</t>
    <phoneticPr fontId="4"/>
  </si>
  <si>
    <t>小　計</t>
    <phoneticPr fontId="4"/>
  </si>
  <si>
    <t>ガソリン</t>
    <phoneticPr fontId="4"/>
  </si>
  <si>
    <t>小　計</t>
    <phoneticPr fontId="4"/>
  </si>
  <si>
    <t>単価</t>
    <phoneticPr fontId="4"/>
  </si>
  <si>
    <t>（２）農薬費</t>
    <phoneticPr fontId="4"/>
  </si>
  <si>
    <t>小　計</t>
    <phoneticPr fontId="4"/>
  </si>
  <si>
    <t>金額</t>
    <phoneticPr fontId="4"/>
  </si>
  <si>
    <t>普通トラック</t>
    <phoneticPr fontId="4"/>
  </si>
  <si>
    <t>普通トラック</t>
    <phoneticPr fontId="4"/>
  </si>
  <si>
    <t>自賠責保険</t>
    <rPh sb="0" eb="3">
      <t>ジバイセキ</t>
    </rPh>
    <rPh sb="3" eb="5">
      <t>ホケン</t>
    </rPh>
    <phoneticPr fontId="4"/>
  </si>
  <si>
    <t>普通トラック</t>
    <rPh sb="0" eb="2">
      <t>フツウ</t>
    </rPh>
    <phoneticPr fontId="4"/>
  </si>
  <si>
    <t>任意保険</t>
    <rPh sb="0" eb="2">
      <t>ニンイ</t>
    </rPh>
    <rPh sb="2" eb="4">
      <t>ホケン</t>
    </rPh>
    <phoneticPr fontId="4"/>
  </si>
  <si>
    <t>毎年更新</t>
    <rPh sb="0" eb="2">
      <t>マイトシ</t>
    </rPh>
    <rPh sb="2" eb="4">
      <t>コウシン</t>
    </rPh>
    <phoneticPr fontId="4"/>
  </si>
  <si>
    <t>作目：</t>
  </si>
  <si>
    <t>作型：</t>
  </si>
  <si>
    <t>普通</t>
    <rPh sb="0" eb="2">
      <t>フツウ</t>
    </rPh>
    <phoneticPr fontId="4"/>
  </si>
  <si>
    <t>６　固定資本装備と減価償却費（1ha当たり・1年当たり）</t>
    <rPh sb="18" eb="19">
      <t>ア</t>
    </rPh>
    <rPh sb="23" eb="24">
      <t>ネン</t>
    </rPh>
    <rPh sb="24" eb="25">
      <t>ア</t>
    </rPh>
    <phoneticPr fontId="4"/>
  </si>
  <si>
    <t>数量</t>
    <phoneticPr fontId="4"/>
  </si>
  <si>
    <t>販売量</t>
    <phoneticPr fontId="4"/>
  </si>
  <si>
    <t>販売量</t>
    <phoneticPr fontId="4"/>
  </si>
  <si>
    <t>重油</t>
    <rPh sb="0" eb="2">
      <t>ジュウユ</t>
    </rPh>
    <phoneticPr fontId="4"/>
  </si>
  <si>
    <t>重油</t>
    <rPh sb="0" eb="2">
      <t>ジュウユ</t>
    </rPh>
    <phoneticPr fontId="4"/>
  </si>
  <si>
    <t>労務費Ⅰ</t>
    <rPh sb="0" eb="3">
      <t>ロウムヒ</t>
    </rPh>
    <phoneticPr fontId="4"/>
  </si>
  <si>
    <t>労務費Ⅱ</t>
    <rPh sb="0" eb="3">
      <t>ロウムヒ</t>
    </rPh>
    <phoneticPr fontId="4"/>
  </si>
  <si>
    <t>営業外費用Ⅰ</t>
    <rPh sb="0" eb="3">
      <t>エイギョウガイ</t>
    </rPh>
    <rPh sb="3" eb="5">
      <t>ヒヨウ</t>
    </rPh>
    <phoneticPr fontId="4"/>
  </si>
  <si>
    <t>備　　　　　　　　　　　　　　　　　　　　考</t>
    <rPh sb="0" eb="1">
      <t>ソナエ</t>
    </rPh>
    <rPh sb="21" eb="22">
      <t>コウ</t>
    </rPh>
    <phoneticPr fontId="4"/>
  </si>
  <si>
    <t>区　　　　　　　　　　　　　　　　　　　　分</t>
    <rPh sb="0" eb="1">
      <t>ク</t>
    </rPh>
    <rPh sb="21" eb="22">
      <t>ブン</t>
    </rPh>
    <phoneticPr fontId="4"/>
  </si>
  <si>
    <t>合　　　　計</t>
    <rPh sb="0" eb="1">
      <t>ア</t>
    </rPh>
    <rPh sb="5" eb="6">
      <t>ケイ</t>
    </rPh>
    <phoneticPr fontId="4"/>
  </si>
  <si>
    <t>月別平均価格の推移</t>
  </si>
  <si>
    <t>（全産地）</t>
    <phoneticPr fontId="4"/>
  </si>
  <si>
    <t>　　　　　　　　　　　　　　　　　　　　　月
　　　年</t>
    <rPh sb="21" eb="22">
      <t>ツキ</t>
    </rPh>
    <rPh sb="26" eb="27">
      <t>ネン</t>
    </rPh>
    <phoneticPr fontId="4"/>
  </si>
  <si>
    <t>平均</t>
  </si>
  <si>
    <t>平　　均</t>
  </si>
  <si>
    <t>（広島県産）</t>
    <rPh sb="1" eb="5">
      <t>ヒロシマケンサン</t>
    </rPh>
    <phoneticPr fontId="4"/>
  </si>
  <si>
    <t>９－１　単価の算出基礎（水稲，1kg当たり）</t>
    <rPh sb="4" eb="6">
      <t>タンカ</t>
    </rPh>
    <rPh sb="12" eb="14">
      <t>スイトウ</t>
    </rPh>
    <phoneticPr fontId="4"/>
  </si>
  <si>
    <t>水稲(加工用米）</t>
    <rPh sb="3" eb="6">
      <t>カコウヨウ</t>
    </rPh>
    <rPh sb="6" eb="7">
      <t>マイ</t>
    </rPh>
    <phoneticPr fontId="4"/>
  </si>
  <si>
    <t>水稲(食用米）</t>
    <rPh sb="3" eb="5">
      <t>ショクヨウ</t>
    </rPh>
    <rPh sb="5" eb="6">
      <t>マイ</t>
    </rPh>
    <phoneticPr fontId="4"/>
  </si>
  <si>
    <t>育苗ハウス</t>
    <rPh sb="0" eb="2">
      <t>イクビョウ</t>
    </rPh>
    <phoneticPr fontId="4"/>
  </si>
  <si>
    <t>１種類</t>
    <phoneticPr fontId="4"/>
  </si>
  <si>
    <t>フレコン</t>
    <phoneticPr fontId="4"/>
  </si>
  <si>
    <t>トラクター</t>
    <phoneticPr fontId="4"/>
  </si>
  <si>
    <t>乗用管理機</t>
    <rPh sb="0" eb="2">
      <t>ジョウヨウ</t>
    </rPh>
    <rPh sb="2" eb="4">
      <t>カンリ</t>
    </rPh>
    <rPh sb="4" eb="5">
      <t>キ</t>
    </rPh>
    <phoneticPr fontId="4"/>
  </si>
  <si>
    <t>㎏</t>
    <phoneticPr fontId="4"/>
  </si>
  <si>
    <t>育苗器</t>
    <rPh sb="0" eb="2">
      <t>イクビョウ</t>
    </rPh>
    <rPh sb="2" eb="3">
      <t>キ</t>
    </rPh>
    <phoneticPr fontId="4"/>
  </si>
  <si>
    <t>育苗培土</t>
    <rPh sb="0" eb="2">
      <t>イクビョウ</t>
    </rPh>
    <rPh sb="2" eb="4">
      <t>バイド</t>
    </rPh>
    <phoneticPr fontId="4"/>
  </si>
  <si>
    <t>代かき</t>
    <rPh sb="0" eb="1">
      <t>シロ</t>
    </rPh>
    <phoneticPr fontId="4"/>
  </si>
  <si>
    <t>ｍｌ</t>
    <phoneticPr fontId="4"/>
  </si>
  <si>
    <t>㎏</t>
  </si>
  <si>
    <t>㎏</t>
    <phoneticPr fontId="4"/>
  </si>
  <si>
    <t>㎏</t>
    <phoneticPr fontId="4"/>
  </si>
  <si>
    <t>ℓ・kw／時</t>
    <rPh sb="5" eb="6">
      <t>ジ</t>
    </rPh>
    <phoneticPr fontId="4"/>
  </si>
  <si>
    <t>ｍｌ</t>
  </si>
  <si>
    <t>種子予措</t>
    <rPh sb="0" eb="2">
      <t>シュシ</t>
    </rPh>
    <rPh sb="2" eb="3">
      <t>ヨ</t>
    </rPh>
    <rPh sb="3" eb="4">
      <t>ソ</t>
    </rPh>
    <phoneticPr fontId="4"/>
  </si>
  <si>
    <t>育苗管理</t>
    <rPh sb="0" eb="2">
      <t>イクビョウ</t>
    </rPh>
    <rPh sb="2" eb="4">
      <t>カンリ</t>
    </rPh>
    <phoneticPr fontId="4"/>
  </si>
  <si>
    <t>耕起</t>
    <rPh sb="0" eb="2">
      <t>コウキ</t>
    </rPh>
    <phoneticPr fontId="4"/>
  </si>
  <si>
    <t>田植</t>
    <rPh sb="0" eb="2">
      <t>タウエ</t>
    </rPh>
    <phoneticPr fontId="4"/>
  </si>
  <si>
    <t>除草</t>
    <rPh sb="0" eb="2">
      <t>ジョソウ</t>
    </rPh>
    <phoneticPr fontId="4"/>
  </si>
  <si>
    <t>追肥</t>
    <rPh sb="0" eb="2">
      <t>ツイヒ</t>
    </rPh>
    <phoneticPr fontId="4"/>
  </si>
  <si>
    <t>防除</t>
    <rPh sb="0" eb="2">
      <t>ボウジョ</t>
    </rPh>
    <phoneticPr fontId="4"/>
  </si>
  <si>
    <t>刈取，脱穀</t>
    <rPh sb="0" eb="2">
      <t>カリト</t>
    </rPh>
    <rPh sb="3" eb="5">
      <t>ダッコク</t>
    </rPh>
    <phoneticPr fontId="4"/>
  </si>
  <si>
    <t>乾燥調製出荷</t>
    <rPh sb="0" eb="2">
      <t>カンソウ</t>
    </rPh>
    <rPh sb="2" eb="4">
      <t>チョウセイ</t>
    </rPh>
    <rPh sb="4" eb="6">
      <t>シュッカ</t>
    </rPh>
    <phoneticPr fontId="4"/>
  </si>
  <si>
    <t>改良資材散布</t>
    <rPh sb="0" eb="2">
      <t>カイリョウ</t>
    </rPh>
    <rPh sb="2" eb="4">
      <t>シザイ</t>
    </rPh>
    <rPh sb="4" eb="6">
      <t>サンプ</t>
    </rPh>
    <phoneticPr fontId="4"/>
  </si>
  <si>
    <t>加工用米</t>
    <rPh sb="0" eb="3">
      <t>カコウヨウ</t>
    </rPh>
    <rPh sb="3" eb="4">
      <t>マイ</t>
    </rPh>
    <phoneticPr fontId="4"/>
  </si>
  <si>
    <t>１種類</t>
  </si>
  <si>
    <t>混合剤</t>
    <rPh sb="0" eb="3">
      <t>コンゴウザイ</t>
    </rPh>
    <phoneticPr fontId="4"/>
  </si>
  <si>
    <t>3種類</t>
    <phoneticPr fontId="4"/>
  </si>
  <si>
    <t>殺虫剤</t>
    <rPh sb="0" eb="3">
      <t>サッチュウザイ</t>
    </rPh>
    <phoneticPr fontId="4"/>
  </si>
  <si>
    <t>2種類</t>
    <phoneticPr fontId="4"/>
  </si>
  <si>
    <t>6作業</t>
    <rPh sb="1" eb="3">
      <t>サギョウ</t>
    </rPh>
    <phoneticPr fontId="4"/>
  </si>
  <si>
    <t>1作業</t>
    <rPh sb="1" eb="3">
      <t>サギョウ</t>
    </rPh>
    <phoneticPr fontId="4"/>
  </si>
  <si>
    <t>3作業</t>
    <rPh sb="1" eb="3">
      <t>サギョウ</t>
    </rPh>
    <phoneticPr fontId="4"/>
  </si>
  <si>
    <t>ha</t>
  </si>
  <si>
    <t>ha</t>
    <phoneticPr fontId="3"/>
  </si>
  <si>
    <t>営業利益</t>
    <rPh sb="0" eb="2">
      <t>エイギョウ</t>
    </rPh>
    <rPh sb="2" eb="4">
      <t>リエキ</t>
    </rPh>
    <phoneticPr fontId="4"/>
  </si>
  <si>
    <t>右表（イ）　※８－２　水稲算出基礎シート参照</t>
    <phoneticPr fontId="4"/>
  </si>
  <si>
    <t>右表（ウ）　※８－２　水稲算出基礎シート参照</t>
    <phoneticPr fontId="4"/>
  </si>
  <si>
    <t>右表（エ）　※８－２　水稲算出基礎シート参照</t>
    <phoneticPr fontId="4"/>
  </si>
  <si>
    <t>水稲（食用米）</t>
    <rPh sb="0" eb="2">
      <t>スイトウ</t>
    </rPh>
    <rPh sb="3" eb="5">
      <t>ショクヨウ</t>
    </rPh>
    <rPh sb="5" eb="6">
      <t>マイ</t>
    </rPh>
    <phoneticPr fontId="4"/>
  </si>
  <si>
    <t>水稲（加工用米）</t>
    <rPh sb="0" eb="2">
      <t>スイトウ</t>
    </rPh>
    <rPh sb="3" eb="6">
      <t>カコウヨウ</t>
    </rPh>
    <rPh sb="6" eb="7">
      <t>マイ</t>
    </rPh>
    <phoneticPr fontId="4"/>
  </si>
  <si>
    <t>円/10a</t>
    <rPh sb="0" eb="1">
      <t>エン</t>
    </rPh>
    <phoneticPr fontId="4"/>
  </si>
  <si>
    <t>オペ労賃</t>
    <phoneticPr fontId="6"/>
  </si>
  <si>
    <t>補助労務賃金</t>
    <phoneticPr fontId="6"/>
  </si>
  <si>
    <t>オペ</t>
    <phoneticPr fontId="4"/>
  </si>
  <si>
    <t>補助</t>
    <rPh sb="0" eb="2">
      <t>ホジョ</t>
    </rPh>
    <phoneticPr fontId="4"/>
  </si>
  <si>
    <t>合計</t>
    <rPh sb="0" eb="2">
      <t>ゴウケイ</t>
    </rPh>
    <phoneticPr fontId="4"/>
  </si>
  <si>
    <t>食用米（早期コシヒカリ）</t>
    <rPh sb="0" eb="2">
      <t>ショクヨウ</t>
    </rPh>
    <rPh sb="2" eb="3">
      <t>マイ</t>
    </rPh>
    <rPh sb="4" eb="6">
      <t>ソウキ</t>
    </rPh>
    <phoneticPr fontId="3"/>
  </si>
  <si>
    <t>食用米（普通コシヒカリ）</t>
    <rPh sb="0" eb="2">
      <t>ショクヨウ</t>
    </rPh>
    <rPh sb="2" eb="3">
      <t>マイ</t>
    </rPh>
    <rPh sb="4" eb="6">
      <t>フツウ</t>
    </rPh>
    <phoneticPr fontId="3"/>
  </si>
  <si>
    <t>米袋</t>
    <rPh sb="0" eb="1">
      <t>コメ</t>
    </rPh>
    <rPh sb="1" eb="2">
      <t>フクロ</t>
    </rPh>
    <phoneticPr fontId="4"/>
  </si>
  <si>
    <t>検査手数料</t>
    <rPh sb="0" eb="2">
      <t>ケンサ</t>
    </rPh>
    <rPh sb="2" eb="5">
      <t>テスウリョウ</t>
    </rPh>
    <phoneticPr fontId="4"/>
  </si>
  <si>
    <t>米の直接支払交付金</t>
    <rPh sb="0" eb="1">
      <t>コメ</t>
    </rPh>
    <rPh sb="2" eb="4">
      <t>チョクセツ</t>
    </rPh>
    <rPh sb="4" eb="6">
      <t>シハライ</t>
    </rPh>
    <rPh sb="6" eb="9">
      <t>コウフキン</t>
    </rPh>
    <phoneticPr fontId="4"/>
  </si>
  <si>
    <t>直接支払</t>
    <rPh sb="0" eb="2">
      <t>チョクセツ</t>
    </rPh>
    <rPh sb="2" eb="4">
      <t>シハライ</t>
    </rPh>
    <phoneticPr fontId="4"/>
  </si>
  <si>
    <t>込み</t>
    <rPh sb="0" eb="1">
      <t>コ</t>
    </rPh>
    <phoneticPr fontId="4"/>
  </si>
  <si>
    <t>加工用米（中生新千本）</t>
    <rPh sb="0" eb="3">
      <t>カコウヨウ</t>
    </rPh>
    <rPh sb="3" eb="4">
      <t>マイ</t>
    </rPh>
    <rPh sb="5" eb="7">
      <t>ナカテ</t>
    </rPh>
    <rPh sb="7" eb="8">
      <t>シン</t>
    </rPh>
    <rPh sb="8" eb="10">
      <t>センボン</t>
    </rPh>
    <phoneticPr fontId="3"/>
  </si>
  <si>
    <t>食用米（恋の予感）</t>
    <rPh sb="0" eb="2">
      <t>ショクヨウ</t>
    </rPh>
    <rPh sb="2" eb="3">
      <t>マイ</t>
    </rPh>
    <rPh sb="4" eb="5">
      <t>コイ</t>
    </rPh>
    <rPh sb="6" eb="8">
      <t>ヨカン</t>
    </rPh>
    <phoneticPr fontId="3"/>
  </si>
  <si>
    <t>早期コシヒカリ</t>
    <rPh sb="0" eb="2">
      <t>ソウキ</t>
    </rPh>
    <phoneticPr fontId="4"/>
  </si>
  <si>
    <t>コシヒカリ</t>
    <phoneticPr fontId="4"/>
  </si>
  <si>
    <t>恋の予感</t>
    <rPh sb="0" eb="1">
      <t>コイ</t>
    </rPh>
    <rPh sb="2" eb="4">
      <t>ヨカン</t>
    </rPh>
    <phoneticPr fontId="4"/>
  </si>
  <si>
    <t>モチ</t>
  </si>
  <si>
    <t>あきろまん</t>
    <phoneticPr fontId="4"/>
  </si>
  <si>
    <t>　　　　　　　　　　　　　　　　　　月
　　　年</t>
    <rPh sb="18" eb="19">
      <t>ツキ</t>
    </rPh>
    <rPh sb="23" eb="24">
      <t>ネン</t>
    </rPh>
    <phoneticPr fontId="4"/>
  </si>
  <si>
    <t>全品種</t>
    <rPh sb="0" eb="1">
      <t>ゼン</t>
    </rPh>
    <rPh sb="1" eb="3">
      <t>ヒンシュ</t>
    </rPh>
    <phoneticPr fontId="4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</si>
  <si>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4"/>
  </si>
  <si>
    <t>中生新千本</t>
    <rPh sb="0" eb="2">
      <t>ナカテ</t>
    </rPh>
    <rPh sb="2" eb="3">
      <t>シン</t>
    </rPh>
    <rPh sb="3" eb="5">
      <t>センボン</t>
    </rPh>
    <phoneticPr fontId="4"/>
  </si>
  <si>
    <t>普通　　（中部）</t>
    <rPh sb="0" eb="2">
      <t>フツウ</t>
    </rPh>
    <rPh sb="5" eb="6">
      <t>ナカ</t>
    </rPh>
    <phoneticPr fontId="4"/>
  </si>
  <si>
    <t>育苗</t>
    <rPh sb="0" eb="2">
      <t>イクビョウ</t>
    </rPh>
    <phoneticPr fontId="4"/>
  </si>
  <si>
    <t>本田準備</t>
    <rPh sb="0" eb="2">
      <t>ホンデン</t>
    </rPh>
    <rPh sb="2" eb="4">
      <t>ジュンビ</t>
    </rPh>
    <phoneticPr fontId="4"/>
  </si>
  <si>
    <t>収穫・調製</t>
    <rPh sb="0" eb="2">
      <t>シュウカク</t>
    </rPh>
    <rPh sb="3" eb="5">
      <t>チョウセイ</t>
    </rPh>
    <phoneticPr fontId="4"/>
  </si>
  <si>
    <t>土づくり</t>
    <rPh sb="0" eb="1">
      <t>ツチ</t>
    </rPh>
    <phoneticPr fontId="4"/>
  </si>
  <si>
    <t>コンバイン
乾燥機
籾摺り
石抜き
色彩選別機</t>
    <rPh sb="6" eb="9">
      <t>カンソウキ</t>
    </rPh>
    <phoneticPr fontId="4"/>
  </si>
  <si>
    <t>水稲　：　加工用米</t>
    <rPh sb="0" eb="2">
      <t>スイトウ</t>
    </rPh>
    <rPh sb="5" eb="7">
      <t>カコウ</t>
    </rPh>
    <rPh sb="7" eb="8">
      <t>ヨウ</t>
    </rPh>
    <rPh sb="8" eb="9">
      <t>コメ</t>
    </rPh>
    <phoneticPr fontId="4"/>
  </si>
  <si>
    <t>2月～5月</t>
    <rPh sb="1" eb="2">
      <t>ガツ</t>
    </rPh>
    <rPh sb="4" eb="5">
      <t>ガツ</t>
    </rPh>
    <phoneticPr fontId="2"/>
  </si>
  <si>
    <t>4月下旬～5月下旬</t>
    <rPh sb="1" eb="2">
      <t>ガツ</t>
    </rPh>
    <rPh sb="2" eb="4">
      <t>ゲジュン</t>
    </rPh>
    <rPh sb="6" eb="7">
      <t>ガツ</t>
    </rPh>
    <rPh sb="7" eb="9">
      <t>ゲジュン</t>
    </rPh>
    <phoneticPr fontId="2"/>
  </si>
  <si>
    <t>全期間</t>
    <rPh sb="0" eb="3">
      <t>ゼンキカン</t>
    </rPh>
    <phoneticPr fontId="2"/>
  </si>
  <si>
    <t>8月下旬～10月中旬</t>
    <rPh sb="1" eb="2">
      <t>ガツ</t>
    </rPh>
    <rPh sb="2" eb="4">
      <t>ゲジュン</t>
    </rPh>
    <rPh sb="7" eb="8">
      <t>ガツ</t>
    </rPh>
    <rPh sb="8" eb="10">
      <t>チュウジュン</t>
    </rPh>
    <phoneticPr fontId="2"/>
  </si>
  <si>
    <t>10月～11月</t>
    <rPh sb="2" eb="3">
      <t>ガツ</t>
    </rPh>
    <rPh sb="6" eb="7">
      <t>ガツ</t>
    </rPh>
    <phoneticPr fontId="2"/>
  </si>
  <si>
    <t>トラクター</t>
    <phoneticPr fontId="4"/>
  </si>
  <si>
    <t>（除草）</t>
    <rPh sb="1" eb="3">
      <t>ジョソウ</t>
    </rPh>
    <phoneticPr fontId="4"/>
  </si>
  <si>
    <t>その他</t>
    <rPh sb="2" eb="3">
      <t>タ</t>
    </rPh>
    <phoneticPr fontId="2"/>
  </si>
  <si>
    <r>
      <t>3月中旬～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月下旬</t>
    </r>
    <rPh sb="1" eb="2">
      <t>ガツ</t>
    </rPh>
    <rPh sb="2" eb="3">
      <t>チュウ</t>
    </rPh>
    <rPh sb="6" eb="7">
      <t>ガツ</t>
    </rPh>
    <rPh sb="7" eb="8">
      <t>ゲ</t>
    </rPh>
    <phoneticPr fontId="2"/>
  </si>
  <si>
    <t>7月上旬～9月上旬</t>
    <rPh sb="1" eb="2">
      <t>ガツ</t>
    </rPh>
    <rPh sb="2" eb="4">
      <t>ジョウジュン</t>
    </rPh>
    <rPh sb="6" eb="7">
      <t>ガツ</t>
    </rPh>
    <rPh sb="7" eb="8">
      <t>ジョウ</t>
    </rPh>
    <rPh sb="8" eb="9">
      <t>ジュン</t>
    </rPh>
    <phoneticPr fontId="2"/>
  </si>
  <si>
    <r>
      <t>4月中旬～5</t>
    </r>
    <r>
      <rPr>
        <sz val="11"/>
        <rFont val="ＭＳ Ｐゴシック"/>
        <family val="3"/>
        <charset val="128"/>
      </rPr>
      <t>月中旬</t>
    </r>
    <rPh sb="1" eb="2">
      <t>ガツ</t>
    </rPh>
    <rPh sb="2" eb="3">
      <t>チュウ</t>
    </rPh>
    <rPh sb="6" eb="7">
      <t>ガツ</t>
    </rPh>
    <rPh sb="7" eb="8">
      <t>チュウ</t>
    </rPh>
    <phoneticPr fontId="2"/>
  </si>
  <si>
    <t>5月中旬～5月下旬</t>
    <rPh sb="1" eb="2">
      <t>ガツ</t>
    </rPh>
    <rPh sb="2" eb="4">
      <t>チュウジュン</t>
    </rPh>
    <rPh sb="6" eb="7">
      <t>ガツ</t>
    </rPh>
    <rPh sb="7" eb="9">
      <t>ゲジュン</t>
    </rPh>
    <phoneticPr fontId="2"/>
  </si>
  <si>
    <t>8月上旬～８月下旬</t>
    <rPh sb="1" eb="2">
      <t>ガツ</t>
    </rPh>
    <rPh sb="2" eb="4">
      <t>ジョウジュン</t>
    </rPh>
    <rPh sb="6" eb="7">
      <t>ガツ</t>
    </rPh>
    <rPh sb="7" eb="8">
      <t>ゲ</t>
    </rPh>
    <rPh sb="8" eb="9">
      <t>ジュン</t>
    </rPh>
    <phoneticPr fontId="2"/>
  </si>
  <si>
    <t>9月下旬～10月上旬</t>
    <rPh sb="1" eb="2">
      <t>ガツ</t>
    </rPh>
    <rPh sb="2" eb="4">
      <t>ゲジュン</t>
    </rPh>
    <rPh sb="7" eb="8">
      <t>ガツ</t>
    </rPh>
    <rPh sb="8" eb="9">
      <t>ジョウ</t>
    </rPh>
    <rPh sb="9" eb="10">
      <t>ジュン</t>
    </rPh>
    <phoneticPr fontId="2"/>
  </si>
  <si>
    <t>田植</t>
    <rPh sb="0" eb="2">
      <t>タウエ</t>
    </rPh>
    <phoneticPr fontId="4"/>
  </si>
  <si>
    <t>収穫</t>
    <rPh sb="0" eb="2">
      <t>シュウカク</t>
    </rPh>
    <phoneticPr fontId="4"/>
  </si>
  <si>
    <t>中部</t>
    <rPh sb="0" eb="1">
      <t>チュウブ</t>
    </rPh>
    <phoneticPr fontId="3"/>
  </si>
  <si>
    <t>集落法人</t>
    <rPh sb="0" eb="2">
      <t>シュウラク</t>
    </rPh>
    <rPh sb="2" eb="4">
      <t>ホウジン</t>
    </rPh>
    <phoneticPr fontId="3"/>
  </si>
  <si>
    <t>○</t>
    <phoneticPr fontId="3"/>
  </si>
  <si>
    <t>☓</t>
    <phoneticPr fontId="3"/>
  </si>
  <si>
    <t>30ha（借地30ha）</t>
    <phoneticPr fontId="4"/>
  </si>
  <si>
    <t>水稲　：　食用米</t>
    <rPh sb="0" eb="2">
      <t>スイトウ</t>
    </rPh>
    <rPh sb="5" eb="7">
      <t>ショクヨウ</t>
    </rPh>
    <rPh sb="7" eb="8">
      <t>コメ</t>
    </rPh>
    <phoneticPr fontId="4"/>
  </si>
  <si>
    <t>３－２　標準技術（水稲）</t>
    <rPh sb="4" eb="6">
      <t>ヒョウジュン</t>
    </rPh>
    <rPh sb="6" eb="8">
      <t>ギジュツ</t>
    </rPh>
    <rPh sb="9" eb="11">
      <t>スイトウ</t>
    </rPh>
    <phoneticPr fontId="4"/>
  </si>
  <si>
    <t>水稲（食用米，加工米）</t>
    <rPh sb="0" eb="2">
      <t>スイトウ</t>
    </rPh>
    <rPh sb="3" eb="5">
      <t>ショクヨウ</t>
    </rPh>
    <rPh sb="5" eb="6">
      <t>マイ</t>
    </rPh>
    <rPh sb="7" eb="9">
      <t>カコウ</t>
    </rPh>
    <rPh sb="9" eb="10">
      <t>マイ</t>
    </rPh>
    <phoneticPr fontId="4"/>
  </si>
  <si>
    <t>水稲（耐倒伏性弱品種）</t>
    <rPh sb="0" eb="2">
      <t>スイトウ</t>
    </rPh>
    <rPh sb="3" eb="4">
      <t>タイ</t>
    </rPh>
    <rPh sb="4" eb="6">
      <t>トウフク</t>
    </rPh>
    <rPh sb="6" eb="7">
      <t>セイ</t>
    </rPh>
    <rPh sb="7" eb="8">
      <t>ジャク</t>
    </rPh>
    <rPh sb="8" eb="10">
      <t>ヒンシュ</t>
    </rPh>
    <phoneticPr fontId="4"/>
  </si>
  <si>
    <t>７－２　経営収支（水稲部門，1ha当たり）</t>
    <rPh sb="9" eb="11">
      <t>スイトウ</t>
    </rPh>
    <rPh sb="11" eb="13">
      <t>ブモン</t>
    </rPh>
    <rPh sb="17" eb="18">
      <t>ア</t>
    </rPh>
    <phoneticPr fontId="4"/>
  </si>
  <si>
    <t>水稲（耐倒伏性強品種）</t>
    <rPh sb="0" eb="2">
      <t>スイトウ</t>
    </rPh>
    <rPh sb="3" eb="4">
      <t>タイ</t>
    </rPh>
    <rPh sb="4" eb="6">
      <t>トウフク</t>
    </rPh>
    <rPh sb="6" eb="7">
      <t>セイ</t>
    </rPh>
    <rPh sb="7" eb="8">
      <t>キョウ</t>
    </rPh>
    <rPh sb="8" eb="10">
      <t>ヒンシュ</t>
    </rPh>
    <phoneticPr fontId="4"/>
  </si>
  <si>
    <t>７－３　経営収支（水稲（加工用米）部門，1ha当たり）</t>
    <rPh sb="9" eb="11">
      <t>スイトウ</t>
    </rPh>
    <rPh sb="12" eb="15">
      <t>カコウヨウ</t>
    </rPh>
    <rPh sb="15" eb="16">
      <t>マイ</t>
    </rPh>
    <rPh sb="17" eb="19">
      <t>ブモン</t>
    </rPh>
    <rPh sb="23" eb="24">
      <t>ア</t>
    </rPh>
    <phoneticPr fontId="4"/>
  </si>
  <si>
    <t>８－１　経費の算出基礎（水稲（耐倒伏性弱品種），1ha当たり）</t>
    <rPh sb="4" eb="6">
      <t>ケイヒ</t>
    </rPh>
    <rPh sb="7" eb="9">
      <t>サンシュツ</t>
    </rPh>
    <rPh sb="9" eb="11">
      <t>キソ</t>
    </rPh>
    <rPh sb="12" eb="14">
      <t>スイトウ</t>
    </rPh>
    <rPh sb="15" eb="16">
      <t>タイ</t>
    </rPh>
    <rPh sb="16" eb="18">
      <t>トウフク</t>
    </rPh>
    <rPh sb="18" eb="19">
      <t>セイ</t>
    </rPh>
    <rPh sb="19" eb="20">
      <t>ジャク</t>
    </rPh>
    <rPh sb="20" eb="22">
      <t>ヒンシュ</t>
    </rPh>
    <rPh sb="27" eb="28">
      <t>ア</t>
    </rPh>
    <phoneticPr fontId="4"/>
  </si>
  <si>
    <t>８－２　経費の算出基礎（水稲（耐倒伏性強品種，1ha当たり）</t>
    <rPh sb="4" eb="6">
      <t>ケイヒ</t>
    </rPh>
    <rPh sb="7" eb="9">
      <t>サンシュツ</t>
    </rPh>
    <rPh sb="9" eb="11">
      <t>キソ</t>
    </rPh>
    <rPh sb="12" eb="14">
      <t>スイトウ</t>
    </rPh>
    <rPh sb="15" eb="16">
      <t>タイ</t>
    </rPh>
    <rPh sb="16" eb="18">
      <t>トウフク</t>
    </rPh>
    <rPh sb="18" eb="19">
      <t>セイ</t>
    </rPh>
    <rPh sb="19" eb="20">
      <t>キョウ</t>
    </rPh>
    <rPh sb="20" eb="22">
      <t>ヒンシュ</t>
    </rPh>
    <rPh sb="26" eb="27">
      <t>ア</t>
    </rPh>
    <phoneticPr fontId="4"/>
  </si>
  <si>
    <t>８－３　経費の算出基礎（水稲（加工用），1ha当たり）</t>
    <rPh sb="4" eb="6">
      <t>ケイヒ</t>
    </rPh>
    <rPh sb="7" eb="9">
      <t>サンシュツ</t>
    </rPh>
    <rPh sb="9" eb="11">
      <t>キソ</t>
    </rPh>
    <rPh sb="12" eb="14">
      <t>スイトウ</t>
    </rPh>
    <rPh sb="15" eb="18">
      <t>カコウヨウ</t>
    </rPh>
    <rPh sb="23" eb="24">
      <t>ア</t>
    </rPh>
    <phoneticPr fontId="4"/>
  </si>
  <si>
    <t>水稲（食用耐倒伏性弱）</t>
    <rPh sb="0" eb="2">
      <t>スイトウ</t>
    </rPh>
    <rPh sb="3" eb="5">
      <t>ショクヨウ</t>
    </rPh>
    <rPh sb="5" eb="6">
      <t>タイ</t>
    </rPh>
    <rPh sb="6" eb="8">
      <t>トウフク</t>
    </rPh>
    <rPh sb="8" eb="9">
      <t>セイ</t>
    </rPh>
    <rPh sb="9" eb="10">
      <t>ジャク</t>
    </rPh>
    <phoneticPr fontId="4"/>
  </si>
  <si>
    <t>９－２　単価の算出基礎（水稲，1kg当たり）</t>
    <rPh sb="4" eb="6">
      <t>タンカ</t>
    </rPh>
    <rPh sb="12" eb="14">
      <t>スイトウ</t>
    </rPh>
    <phoneticPr fontId="4"/>
  </si>
  <si>
    <t>水稲（食用耐倒伏性強）</t>
    <rPh sb="0" eb="2">
      <t>スイトウ</t>
    </rPh>
    <rPh sb="3" eb="5">
      <t>ショクヨウ</t>
    </rPh>
    <rPh sb="5" eb="6">
      <t>タイ</t>
    </rPh>
    <rPh sb="6" eb="8">
      <t>トウフク</t>
    </rPh>
    <rPh sb="8" eb="9">
      <t>セイ</t>
    </rPh>
    <rPh sb="9" eb="10">
      <t>キョウ</t>
    </rPh>
    <phoneticPr fontId="4"/>
  </si>
  <si>
    <t>組織経営体構成員</t>
    <rPh sb="0" eb="2">
      <t>ソシキ</t>
    </rPh>
    <rPh sb="2" eb="5">
      <t>ケイエイタイ</t>
    </rPh>
    <rPh sb="5" eb="8">
      <t>コウセイイン</t>
    </rPh>
    <phoneticPr fontId="3"/>
  </si>
  <si>
    <t>機械時間（1ha当たり）</t>
    <rPh sb="0" eb="2">
      <t>キカイ</t>
    </rPh>
    <rPh sb="2" eb="4">
      <t>ジカン</t>
    </rPh>
    <phoneticPr fontId="4"/>
  </si>
  <si>
    <t>人力時間（1ha当たり）</t>
    <rPh sb="0" eb="2">
      <t>ジンリキ</t>
    </rPh>
    <rPh sb="2" eb="4">
      <t>ジカン</t>
    </rPh>
    <phoneticPr fontId="4"/>
  </si>
  <si>
    <t>田植機（肥料、育苗箱施用剤、除草剤散布機付）</t>
    <rPh sb="7" eb="9">
      <t>イクビョウ</t>
    </rPh>
    <phoneticPr fontId="4"/>
  </si>
  <si>
    <t>使用資材
（１ha当たり）</t>
    <rPh sb="0" eb="2">
      <t>シヨウ</t>
    </rPh>
    <rPh sb="2" eb="4">
      <t>シザイ</t>
    </rPh>
    <rPh sb="9" eb="10">
      <t>ア</t>
    </rPh>
    <phoneticPr fontId="4"/>
  </si>
  <si>
    <t>中古</t>
    <rPh sb="0" eb="2">
      <t>チュウコ</t>
    </rPh>
    <phoneticPr fontId="4"/>
  </si>
  <si>
    <t>鎌他</t>
    <rPh sb="0" eb="1">
      <t>カマ</t>
    </rPh>
    <rPh sb="1" eb="2">
      <t>ホカ</t>
    </rPh>
    <phoneticPr fontId="4"/>
  </si>
  <si>
    <t>コンバイン２台</t>
    <rPh sb="6" eb="7">
      <t>ダイ</t>
    </rPh>
    <phoneticPr fontId="4"/>
  </si>
  <si>
    <t>ﾌｫｰｸリフト</t>
    <phoneticPr fontId="4"/>
  </si>
  <si>
    <t>土づくり肥料</t>
    <rPh sb="0" eb="1">
      <t>ツチ</t>
    </rPh>
    <rPh sb="4" eb="6">
      <t>ヒリョウ</t>
    </rPh>
    <phoneticPr fontId="4"/>
  </si>
  <si>
    <t>種籾　　　35ｋｇ
種子消毒剤
　殺菌剤　
　殺虫剤　
土壌消毒剤
　殺菌剤　l
育苗培土　</t>
    <rPh sb="0" eb="1">
      <t>タネ</t>
    </rPh>
    <rPh sb="1" eb="2">
      <t>モミ</t>
    </rPh>
    <rPh sb="10" eb="12">
      <t>シュシ</t>
    </rPh>
    <rPh sb="12" eb="14">
      <t>ショウドク</t>
    </rPh>
    <rPh sb="14" eb="15">
      <t>ザイ</t>
    </rPh>
    <rPh sb="17" eb="20">
      <t>サッキンザイ</t>
    </rPh>
    <rPh sb="23" eb="26">
      <t>サッチュウザイ</t>
    </rPh>
    <rPh sb="29" eb="31">
      <t>ドジョウ</t>
    </rPh>
    <rPh sb="31" eb="33">
      <t>ショウドク</t>
    </rPh>
    <rPh sb="33" eb="34">
      <t>ザイ</t>
    </rPh>
    <rPh sb="36" eb="39">
      <t>サッキンザイ</t>
    </rPh>
    <phoneticPr fontId="4"/>
  </si>
  <si>
    <t>（後期除草剤）</t>
    <rPh sb="1" eb="3">
      <t>コウキ</t>
    </rPh>
    <rPh sb="3" eb="6">
      <t>ジョソウザイ</t>
    </rPh>
    <phoneticPr fontId="2"/>
  </si>
  <si>
    <t>殺菌剤　
殺虫剤　
殺菌殺虫混合剤
　　</t>
    <rPh sb="0" eb="3">
      <t>サッキンザイ</t>
    </rPh>
    <rPh sb="6" eb="9">
      <t>サッチュウザイ</t>
    </rPh>
    <rPh sb="12" eb="14">
      <t>サッキン</t>
    </rPh>
    <rPh sb="14" eb="16">
      <t>サッチュウ</t>
    </rPh>
    <rPh sb="16" eb="19">
      <t>コンゴウザイ</t>
    </rPh>
    <phoneticPr fontId="4"/>
  </si>
  <si>
    <t>種籾　　　35ｋｇ
種子消毒剤
　殺菌剤　
　殺虫剤　
土壌消毒剤
　殺菌剤　
育苗培土　</t>
    <rPh sb="0" eb="1">
      <t>タネ</t>
    </rPh>
    <rPh sb="1" eb="2">
      <t>モミ</t>
    </rPh>
    <rPh sb="10" eb="12">
      <t>シュシ</t>
    </rPh>
    <rPh sb="12" eb="14">
      <t>ショウドク</t>
    </rPh>
    <rPh sb="14" eb="15">
      <t>ザイ</t>
    </rPh>
    <rPh sb="17" eb="20">
      <t>サッキンザイ</t>
    </rPh>
    <rPh sb="23" eb="26">
      <t>サッチュウザイ</t>
    </rPh>
    <rPh sb="29" eb="31">
      <t>ドジョウ</t>
    </rPh>
    <rPh sb="31" eb="33">
      <t>ショウドク</t>
    </rPh>
    <rPh sb="33" eb="34">
      <t>ザイ</t>
    </rPh>
    <rPh sb="36" eb="39">
      <t>サッキンザイ</t>
    </rPh>
    <phoneticPr fontId="4"/>
  </si>
  <si>
    <t>殺菌剤
殺虫剤
殺菌殺虫混合剤
　</t>
    <rPh sb="0" eb="3">
      <t>サッキンザイ</t>
    </rPh>
    <rPh sb="5" eb="8">
      <t>サッチュウザイ</t>
    </rPh>
    <rPh sb="10" eb="12">
      <t>サッキン</t>
    </rPh>
    <rPh sb="12" eb="14">
      <t>サッチュウ</t>
    </rPh>
    <rPh sb="14" eb="17">
      <t>コンゴウザイ</t>
    </rPh>
    <phoneticPr fontId="4"/>
  </si>
  <si>
    <t>トラクター
ブロードキャスター</t>
    <phoneticPr fontId="4"/>
  </si>
  <si>
    <t>H24農林水産統計</t>
    <rPh sb="3" eb="5">
      <t>ノウリン</t>
    </rPh>
    <rPh sb="5" eb="7">
      <t>スイサン</t>
    </rPh>
    <rPh sb="7" eb="9">
      <t>トウケイ</t>
    </rPh>
    <phoneticPr fontId="4"/>
  </si>
  <si>
    <t>トラクター
ブロードキャスター</t>
    <phoneticPr fontId="4"/>
  </si>
  <si>
    <t>シート他</t>
    <rPh sb="3" eb="4">
      <t>ホカ</t>
    </rPh>
    <phoneticPr fontId="4"/>
  </si>
  <si>
    <t>3年間</t>
    <rPh sb="1" eb="3">
      <t>ネンカン</t>
    </rPh>
    <phoneticPr fontId="4"/>
  </si>
  <si>
    <t>白ねぎ（関羽一本太）</t>
    <rPh sb="0" eb="1">
      <t>シロ</t>
    </rPh>
    <rPh sb="4" eb="9">
      <t>カンウイッポンフト</t>
    </rPh>
    <phoneticPr fontId="3"/>
  </si>
  <si>
    <t>白ねぎ</t>
    <rPh sb="0" eb="1">
      <t>シロ</t>
    </rPh>
    <phoneticPr fontId="4"/>
  </si>
  <si>
    <t>耕起・整地</t>
    <rPh sb="0" eb="2">
      <t>コウキ</t>
    </rPh>
    <rPh sb="3" eb="5">
      <t>セイチ</t>
    </rPh>
    <phoneticPr fontId="4"/>
  </si>
  <si>
    <t>定植</t>
    <rPh sb="0" eb="2">
      <t>テイショク</t>
    </rPh>
    <phoneticPr fontId="4"/>
  </si>
  <si>
    <t>病害虫防除</t>
    <rPh sb="0" eb="3">
      <t>ビョウガイチュウ</t>
    </rPh>
    <rPh sb="3" eb="5">
      <t>ボウジョ</t>
    </rPh>
    <phoneticPr fontId="4"/>
  </si>
  <si>
    <t>埋戻し①②</t>
    <rPh sb="0" eb="2">
      <t>ウメモド</t>
    </rPh>
    <phoneticPr fontId="4"/>
  </si>
  <si>
    <t>土寄せ①②</t>
    <rPh sb="0" eb="1">
      <t>ツチ</t>
    </rPh>
    <rPh sb="1" eb="2">
      <t>ヨ</t>
    </rPh>
    <phoneticPr fontId="4"/>
  </si>
  <si>
    <t>止め土</t>
    <rPh sb="0" eb="1">
      <t>ト</t>
    </rPh>
    <rPh sb="2" eb="3">
      <t>ツチ</t>
    </rPh>
    <phoneticPr fontId="4"/>
  </si>
  <si>
    <t>出荷調整・出荷</t>
    <rPh sb="5" eb="7">
      <t>シュッカ</t>
    </rPh>
    <phoneticPr fontId="4"/>
  </si>
  <si>
    <t>冬：12～１月</t>
    <rPh sb="0" eb="1">
      <t>フユ</t>
    </rPh>
    <rPh sb="6" eb="7">
      <t>ガツ</t>
    </rPh>
    <phoneticPr fontId="4"/>
  </si>
  <si>
    <t>機械時間（10 a当たり）</t>
    <rPh sb="0" eb="2">
      <t>キカイ</t>
    </rPh>
    <rPh sb="2" eb="4">
      <t>ジカン</t>
    </rPh>
    <phoneticPr fontId="4"/>
  </si>
  <si>
    <t>人力時間（10 a当たり）</t>
    <rPh sb="0" eb="2">
      <t>ジンリキ</t>
    </rPh>
    <rPh sb="2" eb="4">
      <t>ジカン</t>
    </rPh>
    <phoneticPr fontId="4"/>
  </si>
  <si>
    <t>３～５人</t>
    <rPh sb="3" eb="4">
      <t>ニン</t>
    </rPh>
    <phoneticPr fontId="4"/>
  </si>
  <si>
    <t>使用資材
（10a当たり）</t>
    <rPh sb="0" eb="2">
      <t>シヨウ</t>
    </rPh>
    <rPh sb="2" eb="4">
      <t>シザイ</t>
    </rPh>
    <rPh sb="9" eb="10">
      <t>ア</t>
    </rPh>
    <phoneticPr fontId="4"/>
  </si>
  <si>
    <t>秋：11月</t>
    <phoneticPr fontId="4"/>
  </si>
  <si>
    <t>作　業　別</t>
    <phoneticPr fontId="4"/>
  </si>
  <si>
    <t>作　　　型</t>
    <phoneticPr fontId="4"/>
  </si>
  <si>
    <t>排水対策</t>
    <rPh sb="0" eb="2">
      <t>ハイスイ</t>
    </rPh>
    <rPh sb="2" eb="4">
      <t>タイサク</t>
    </rPh>
    <phoneticPr fontId="4"/>
  </si>
  <si>
    <t>植え溝切り</t>
    <rPh sb="0" eb="1">
      <t>ウ</t>
    </rPh>
    <rPh sb="2" eb="3">
      <t>ミゾ</t>
    </rPh>
    <rPh sb="3" eb="4">
      <t>キ</t>
    </rPh>
    <phoneticPr fontId="4"/>
  </si>
  <si>
    <t>土寄せ</t>
    <rPh sb="0" eb="2">
      <t>ツチヨ</t>
    </rPh>
    <phoneticPr fontId="4"/>
  </si>
  <si>
    <t>選果選別</t>
    <rPh sb="0" eb="1">
      <t>セン</t>
    </rPh>
    <rPh sb="1" eb="2">
      <t>カ</t>
    </rPh>
    <rPh sb="2" eb="4">
      <t>センベツ</t>
    </rPh>
    <phoneticPr fontId="4"/>
  </si>
  <si>
    <t>出荷運送</t>
    <rPh sb="0" eb="2">
      <t>シュッカ</t>
    </rPh>
    <rPh sb="2" eb="4">
      <t>ウンソウ</t>
    </rPh>
    <phoneticPr fontId="4"/>
  </si>
  <si>
    <t>旬　別　計</t>
    <phoneticPr fontId="4"/>
  </si>
  <si>
    <t>月　  　計</t>
    <phoneticPr fontId="4"/>
  </si>
  <si>
    <t>５－２　作業別・旬別作業時間（白ねぎ，10a当たり）</t>
    <rPh sb="15" eb="16">
      <t>シロ</t>
    </rPh>
    <phoneticPr fontId="4"/>
  </si>
  <si>
    <t>露地：11～１月どり(収穫機使用）</t>
    <rPh sb="0" eb="2">
      <t>ロジ</t>
    </rPh>
    <rPh sb="7" eb="8">
      <t>ガツ</t>
    </rPh>
    <rPh sb="11" eb="13">
      <t>シュウカク</t>
    </rPh>
    <rPh sb="13" eb="14">
      <t>キ</t>
    </rPh>
    <rPh sb="14" eb="16">
      <t>シヨウ</t>
    </rPh>
    <phoneticPr fontId="4"/>
  </si>
  <si>
    <t>サブソイラー</t>
    <phoneticPr fontId="17"/>
  </si>
  <si>
    <t>深耕ロータリー</t>
    <rPh sb="0" eb="1">
      <t>シン</t>
    </rPh>
    <rPh sb="1" eb="2">
      <t>コウ</t>
    </rPh>
    <phoneticPr fontId="17"/>
  </si>
  <si>
    <t>管理機</t>
    <rPh sb="0" eb="2">
      <t>カンリ</t>
    </rPh>
    <rPh sb="2" eb="3">
      <t>キ</t>
    </rPh>
    <phoneticPr fontId="17"/>
  </si>
  <si>
    <t>根切・葉切り機</t>
    <rPh sb="0" eb="2">
      <t>ネキ</t>
    </rPh>
    <rPh sb="3" eb="5">
      <t>ハキ</t>
    </rPh>
    <rPh sb="6" eb="7">
      <t>キ</t>
    </rPh>
    <phoneticPr fontId="17"/>
  </si>
  <si>
    <t>TNM-21DU-1</t>
    <phoneticPr fontId="17"/>
  </si>
  <si>
    <t>皮剥き機</t>
    <rPh sb="0" eb="1">
      <t>カワ</t>
    </rPh>
    <rPh sb="1" eb="2">
      <t>ム</t>
    </rPh>
    <rPh sb="3" eb="4">
      <t>キ</t>
    </rPh>
    <phoneticPr fontId="17"/>
  </si>
  <si>
    <t>MT-36</t>
  </si>
  <si>
    <t>コンプレッサー</t>
    <phoneticPr fontId="17"/>
  </si>
  <si>
    <t>7.5ｐｓ</t>
    <phoneticPr fontId="17"/>
  </si>
  <si>
    <t>結束機＋2連スイッチ</t>
    <rPh sb="0" eb="2">
      <t>ケッソク</t>
    </rPh>
    <rPh sb="2" eb="3">
      <t>キ</t>
    </rPh>
    <rPh sb="5" eb="6">
      <t>レン</t>
    </rPh>
    <phoneticPr fontId="17"/>
  </si>
  <si>
    <t>自動</t>
    <rPh sb="0" eb="2">
      <t>ジドウ</t>
    </rPh>
    <phoneticPr fontId="17"/>
  </si>
  <si>
    <t>ひっぱりくん</t>
    <phoneticPr fontId="17"/>
  </si>
  <si>
    <t>HP-6</t>
    <phoneticPr fontId="4"/>
  </si>
  <si>
    <t>白ねぎ2ha</t>
    <rPh sb="0" eb="1">
      <t>シロ</t>
    </rPh>
    <phoneticPr fontId="4"/>
  </si>
  <si>
    <t>白ねぎ2ha</t>
    <rPh sb="0" eb="1">
      <t>シロ</t>
    </rPh>
    <phoneticPr fontId="4"/>
  </si>
  <si>
    <t>白ねぎ</t>
    <rPh sb="0" eb="1">
      <t>シロ</t>
    </rPh>
    <phoneticPr fontId="4"/>
  </si>
  <si>
    <t>収穫機</t>
    <rPh sb="0" eb="2">
      <t>シュウカク</t>
    </rPh>
    <rPh sb="2" eb="3">
      <t>キ</t>
    </rPh>
    <phoneticPr fontId="4"/>
  </si>
  <si>
    <t>HG100</t>
    <phoneticPr fontId="4"/>
  </si>
  <si>
    <t>台</t>
    <rPh sb="0" eb="1">
      <t>ダイ</t>
    </rPh>
    <phoneticPr fontId="4"/>
  </si>
  <si>
    <t>粗　　　収　　　益　　　の　　　算　　　出</t>
    <phoneticPr fontId="4"/>
  </si>
  <si>
    <t>右表（粗収益の算出基礎）広島中央卸売市場広島産５カ年平均</t>
    <rPh sb="0" eb="1">
      <t>ミギ</t>
    </rPh>
    <rPh sb="1" eb="2">
      <t>ヒョウ</t>
    </rPh>
    <rPh sb="3" eb="4">
      <t>ソ</t>
    </rPh>
    <rPh sb="4" eb="6">
      <t>シュウエキ</t>
    </rPh>
    <rPh sb="7" eb="9">
      <t>サンシュツ</t>
    </rPh>
    <rPh sb="9" eb="11">
      <t>キソ</t>
    </rPh>
    <phoneticPr fontId="4"/>
  </si>
  <si>
    <t>月</t>
    <rPh sb="0" eb="1">
      <t>ツキ</t>
    </rPh>
    <phoneticPr fontId="4"/>
  </si>
  <si>
    <t>販売量</t>
    <phoneticPr fontId="4"/>
  </si>
  <si>
    <t>売上原価（労賃を除く）</t>
    <rPh sb="0" eb="2">
      <t>ウリアゲ</t>
    </rPh>
    <rPh sb="2" eb="4">
      <t>ゲンカ</t>
    </rPh>
    <rPh sb="5" eb="7">
      <t>ロウチン</t>
    </rPh>
    <rPh sb="8" eb="9">
      <t>ノゾ</t>
    </rPh>
    <phoneticPr fontId="4"/>
  </si>
  <si>
    <t>右表（ア）</t>
    <phoneticPr fontId="4"/>
  </si>
  <si>
    <t>数量</t>
    <phoneticPr fontId="4"/>
  </si>
  <si>
    <t>負担価格の</t>
    <phoneticPr fontId="4"/>
  </si>
  <si>
    <t>チェーンポット苗</t>
    <phoneticPr fontId="4"/>
  </si>
  <si>
    <t>(枚）</t>
    <rPh sb="1" eb="2">
      <t>マイ</t>
    </rPh>
    <phoneticPr fontId="4"/>
  </si>
  <si>
    <t>2.5粒まき　関羽一本太等</t>
    <phoneticPr fontId="4"/>
  </si>
  <si>
    <t>負担価格の</t>
    <phoneticPr fontId="4"/>
  </si>
  <si>
    <t>（イ）肥料名</t>
    <phoneticPr fontId="4"/>
  </si>
  <si>
    <t>牛糞堆肥</t>
    <rPh sb="0" eb="2">
      <t>ギュウフン</t>
    </rPh>
    <rPh sb="2" eb="4">
      <t>タイヒ</t>
    </rPh>
    <phoneticPr fontId="4"/>
  </si>
  <si>
    <t>（ｔ）</t>
    <phoneticPr fontId="4"/>
  </si>
  <si>
    <t>化学肥料</t>
    <rPh sb="0" eb="2">
      <t>カガク</t>
    </rPh>
    <rPh sb="2" eb="4">
      <t>ヒリョウ</t>
    </rPh>
    <phoneticPr fontId="4"/>
  </si>
  <si>
    <t>（ｋｇ）</t>
    <phoneticPr fontId="4"/>
  </si>
  <si>
    <t>kg/苗１枚</t>
    <rPh sb="3" eb="4">
      <t>ナエ</t>
    </rPh>
    <rPh sb="5" eb="6">
      <t>マイ</t>
    </rPh>
    <phoneticPr fontId="4"/>
  </si>
  <si>
    <t>売上原価　計</t>
    <phoneticPr fontId="4"/>
  </si>
  <si>
    <t>130円/箱（ダンボール，結束テープ）</t>
    <phoneticPr fontId="4"/>
  </si>
  <si>
    <t>11円/出荷量（ｋｇ）</t>
    <phoneticPr fontId="4"/>
  </si>
  <si>
    <t>販売額×11.5％</t>
    <phoneticPr fontId="4"/>
  </si>
  <si>
    <t>研修費</t>
    <rPh sb="0" eb="3">
      <t>ケンシュウヒ</t>
    </rPh>
    <phoneticPr fontId="4"/>
  </si>
  <si>
    <t>（ウ）農薬名</t>
    <phoneticPr fontId="4"/>
  </si>
  <si>
    <t>４種類</t>
    <phoneticPr fontId="4"/>
  </si>
  <si>
    <t>２種類</t>
    <phoneticPr fontId="4"/>
  </si>
  <si>
    <t>展着剤</t>
    <rPh sb="0" eb="3">
      <t>テンチャクザイ</t>
    </rPh>
    <phoneticPr fontId="4"/>
  </si>
  <si>
    <t>１種類</t>
    <phoneticPr fontId="4"/>
  </si>
  <si>
    <t>管理雑費</t>
    <rPh sb="0" eb="2">
      <t>カンリ</t>
    </rPh>
    <rPh sb="2" eb="4">
      <t>ザッピ</t>
    </rPh>
    <phoneticPr fontId="4"/>
  </si>
  <si>
    <t>販売費・一般管理費の</t>
    <rPh sb="0" eb="3">
      <t>ハンバイヒ</t>
    </rPh>
    <rPh sb="4" eb="6">
      <t>イッパン</t>
    </rPh>
    <rPh sb="6" eb="9">
      <t>カンリヒ</t>
    </rPh>
    <phoneticPr fontId="4"/>
  </si>
  <si>
    <t>（エ）燃料名</t>
    <phoneticPr fontId="4"/>
  </si>
  <si>
    <t>軽油</t>
    <phoneticPr fontId="4"/>
  </si>
  <si>
    <t>ガソリン</t>
    <phoneticPr fontId="4"/>
  </si>
  <si>
    <t>潤滑油</t>
    <phoneticPr fontId="4"/>
  </si>
  <si>
    <t>燃料費の</t>
    <phoneticPr fontId="4"/>
  </si>
  <si>
    <t>混合</t>
    <phoneticPr fontId="4"/>
  </si>
  <si>
    <t>灯油</t>
    <phoneticPr fontId="4"/>
  </si>
  <si>
    <t>電気</t>
    <phoneticPr fontId="4"/>
  </si>
  <si>
    <t>単価</t>
    <phoneticPr fontId="4"/>
  </si>
  <si>
    <t>t</t>
    <phoneticPr fontId="4"/>
  </si>
  <si>
    <t>収穫ゴザ</t>
    <rPh sb="0" eb="2">
      <t>シュウカク</t>
    </rPh>
    <phoneticPr fontId="4"/>
  </si>
  <si>
    <t>耕起・整地（トラクター・深耕ロータリー）</t>
    <rPh sb="0" eb="2">
      <t>コウキ</t>
    </rPh>
    <rPh sb="3" eb="5">
      <t>セイチ</t>
    </rPh>
    <rPh sb="12" eb="14">
      <t>シンコウ</t>
    </rPh>
    <phoneticPr fontId="4"/>
  </si>
  <si>
    <t>小　計</t>
    <phoneticPr fontId="4"/>
  </si>
  <si>
    <t>植え溝掘り（管理機）</t>
    <rPh sb="0" eb="1">
      <t>ウ</t>
    </rPh>
    <rPh sb="2" eb="3">
      <t>ミゾ</t>
    </rPh>
    <rPh sb="3" eb="4">
      <t>ホ</t>
    </rPh>
    <rPh sb="6" eb="8">
      <t>カンリ</t>
    </rPh>
    <rPh sb="8" eb="9">
      <t>キ</t>
    </rPh>
    <phoneticPr fontId="4"/>
  </si>
  <si>
    <t>ｋｇ</t>
    <phoneticPr fontId="4"/>
  </si>
  <si>
    <t>土寄せ（管理機）</t>
    <rPh sb="0" eb="2">
      <t>ツチヨ</t>
    </rPh>
    <rPh sb="4" eb="6">
      <t>カンリ</t>
    </rPh>
    <rPh sb="6" eb="7">
      <t>キ</t>
    </rPh>
    <phoneticPr fontId="4"/>
  </si>
  <si>
    <t>出荷（軽トラック）</t>
    <rPh sb="0" eb="2">
      <t>シュッカ</t>
    </rPh>
    <rPh sb="3" eb="4">
      <t>ケイ</t>
    </rPh>
    <phoneticPr fontId="4"/>
  </si>
  <si>
    <t>小　計</t>
    <phoneticPr fontId="4"/>
  </si>
  <si>
    <t>小　計</t>
    <phoneticPr fontId="4"/>
  </si>
  <si>
    <t>鍬</t>
    <rPh sb="0" eb="1">
      <t>クワ</t>
    </rPh>
    <phoneticPr fontId="4"/>
  </si>
  <si>
    <t>はさみ</t>
    <phoneticPr fontId="4"/>
  </si>
  <si>
    <t>（２）農薬費</t>
    <phoneticPr fontId="4"/>
  </si>
  <si>
    <t>小　計</t>
    <phoneticPr fontId="4"/>
  </si>
  <si>
    <t>kg</t>
    <phoneticPr fontId="4"/>
  </si>
  <si>
    <t>皮むき機（コンプレッサー）</t>
    <rPh sb="0" eb="1">
      <t>カワ</t>
    </rPh>
    <rPh sb="3" eb="4">
      <t>キ</t>
    </rPh>
    <phoneticPr fontId="4"/>
  </si>
  <si>
    <t>ｍｌ</t>
    <phoneticPr fontId="4"/>
  </si>
  <si>
    <t>kg</t>
    <phoneticPr fontId="4"/>
  </si>
  <si>
    <t>小　計</t>
    <phoneticPr fontId="4"/>
  </si>
  <si>
    <t>金額</t>
    <phoneticPr fontId="4"/>
  </si>
  <si>
    <t>金額</t>
    <phoneticPr fontId="4"/>
  </si>
  <si>
    <t>園芸施設共済</t>
    <rPh sb="0" eb="2">
      <t>エンゲイ</t>
    </rPh>
    <rPh sb="2" eb="4">
      <t>シセツ</t>
    </rPh>
    <rPh sb="4" eb="6">
      <t>キョウサイ</t>
    </rPh>
    <phoneticPr fontId="4"/>
  </si>
  <si>
    <t>ハウス</t>
    <phoneticPr fontId="4"/>
  </si>
  <si>
    <t>ｇ</t>
    <phoneticPr fontId="4"/>
  </si>
  <si>
    <t>kg</t>
    <phoneticPr fontId="4"/>
  </si>
  <si>
    <t>ｍｌ</t>
    <phoneticPr fontId="4"/>
  </si>
  <si>
    <t>展着剤等</t>
    <rPh sb="0" eb="3">
      <t>テンチャクザイ</t>
    </rPh>
    <rPh sb="3" eb="4">
      <t>トウ</t>
    </rPh>
    <phoneticPr fontId="4"/>
  </si>
  <si>
    <t>９－３　単価の算出基礎（白ねぎ，1kg当たり）</t>
    <rPh sb="4" eb="6">
      <t>タンカ</t>
    </rPh>
    <rPh sb="12" eb="13">
      <t>シロ</t>
    </rPh>
    <phoneticPr fontId="4"/>
  </si>
  <si>
    <t>（全産地）</t>
    <phoneticPr fontId="4"/>
  </si>
  <si>
    <t>平成21年</t>
    <phoneticPr fontId="4"/>
  </si>
  <si>
    <t>平成22年</t>
  </si>
  <si>
    <t>平成23年</t>
  </si>
  <si>
    <t>平成24年</t>
  </si>
  <si>
    <t>平成25年</t>
  </si>
  <si>
    <t>平成21年</t>
    <phoneticPr fontId="4"/>
  </si>
  <si>
    <t>3000円/10a</t>
    <rPh sb="4" eb="5">
      <t>エン</t>
    </rPh>
    <phoneticPr fontId="4"/>
  </si>
  <si>
    <t>補助労務賃金</t>
    <phoneticPr fontId="6"/>
  </si>
  <si>
    <t>オペ労賃</t>
    <phoneticPr fontId="6"/>
  </si>
  <si>
    <t>白ネギ</t>
    <rPh sb="0" eb="1">
      <t>シロ</t>
    </rPh>
    <phoneticPr fontId="3"/>
  </si>
  <si>
    <t>トラクター</t>
    <phoneticPr fontId="4"/>
  </si>
  <si>
    <t>フォークリフト</t>
    <phoneticPr fontId="4"/>
  </si>
  <si>
    <t>農機具庫</t>
  </si>
  <si>
    <t>水稲28ha+白ネギ2ha</t>
    <rPh sb="7" eb="8">
      <t>シロ</t>
    </rPh>
    <phoneticPr fontId="3"/>
  </si>
  <si>
    <t>白ねぎ（11月どり）</t>
    <rPh sb="0" eb="1">
      <t>シロ</t>
    </rPh>
    <rPh sb="6" eb="7">
      <t>ガツ</t>
    </rPh>
    <phoneticPr fontId="3"/>
  </si>
  <si>
    <t>11月どり</t>
    <rPh sb="2" eb="3">
      <t>ガツ</t>
    </rPh>
    <phoneticPr fontId="3"/>
  </si>
  <si>
    <t>12～１月どり</t>
    <rPh sb="4" eb="5">
      <t>ガツ</t>
    </rPh>
    <phoneticPr fontId="3"/>
  </si>
  <si>
    <t>白ねぎ（12～1月どり）</t>
    <rPh sb="0" eb="1">
      <t>シロ</t>
    </rPh>
    <rPh sb="8" eb="9">
      <t>ガツ</t>
    </rPh>
    <phoneticPr fontId="3"/>
  </si>
  <si>
    <t>（○）</t>
    <phoneticPr fontId="3"/>
  </si>
  <si>
    <t>●</t>
    <phoneticPr fontId="3"/>
  </si>
  <si>
    <t>×</t>
    <phoneticPr fontId="3"/>
  </si>
  <si>
    <t>（○）</t>
    <phoneticPr fontId="3"/>
  </si>
  <si>
    <t>作業時期</t>
    <rPh sb="0" eb="2">
      <t>サギョウ</t>
    </rPh>
    <rPh sb="2" eb="4">
      <t>ジキ</t>
    </rPh>
    <phoneticPr fontId="4"/>
  </si>
  <si>
    <t>３月</t>
    <rPh sb="1" eb="2">
      <t>ガツ</t>
    </rPh>
    <phoneticPr fontId="4"/>
  </si>
  <si>
    <t>４月</t>
    <rPh sb="1" eb="2">
      <t>ガツ</t>
    </rPh>
    <phoneticPr fontId="4"/>
  </si>
  <si>
    <t>４～５月</t>
    <rPh sb="3" eb="4">
      <t>ガツ</t>
    </rPh>
    <phoneticPr fontId="4"/>
  </si>
  <si>
    <t>５～６月（梅雨入り前）</t>
    <rPh sb="3" eb="4">
      <t>ガツ</t>
    </rPh>
    <rPh sb="5" eb="8">
      <t>ツユイ</t>
    </rPh>
    <rPh sb="9" eb="10">
      <t>マエ</t>
    </rPh>
    <phoneticPr fontId="4"/>
  </si>
  <si>
    <t>６～９月（ただし７月下旬～８月は行わない）</t>
    <rPh sb="3" eb="4">
      <t>ガツ</t>
    </rPh>
    <rPh sb="9" eb="10">
      <t>ガツ</t>
    </rPh>
    <rPh sb="10" eb="12">
      <t>ゲジュン</t>
    </rPh>
    <rPh sb="14" eb="15">
      <t>ガツ</t>
    </rPh>
    <rPh sb="16" eb="17">
      <t>オコナ</t>
    </rPh>
    <phoneticPr fontId="4"/>
  </si>
  <si>
    <t>10月</t>
    <rPh sb="2" eb="3">
      <t>ガツ</t>
    </rPh>
    <phoneticPr fontId="4"/>
  </si>
  <si>
    <t>作　業　別</t>
    <phoneticPr fontId="4"/>
  </si>
  <si>
    <t>作　　　型</t>
    <phoneticPr fontId="4"/>
  </si>
  <si>
    <t>旬　別　計</t>
    <phoneticPr fontId="4"/>
  </si>
  <si>
    <t>月　  　計</t>
    <phoneticPr fontId="4"/>
  </si>
  <si>
    <t>旬　別　計</t>
    <phoneticPr fontId="4"/>
  </si>
  <si>
    <t>月　  　計</t>
    <phoneticPr fontId="4"/>
  </si>
  <si>
    <t>（〇）</t>
    <phoneticPr fontId="4"/>
  </si>
  <si>
    <t>作　業　別</t>
    <phoneticPr fontId="4"/>
  </si>
  <si>
    <t>作　　　型</t>
    <phoneticPr fontId="4"/>
  </si>
  <si>
    <t>（１）10a当たり11月どり</t>
    <rPh sb="6" eb="7">
      <t>ア</t>
    </rPh>
    <rPh sb="11" eb="12">
      <t>ガツ</t>
    </rPh>
    <phoneticPr fontId="4"/>
  </si>
  <si>
    <t>（2）10a当たり12～１月どり</t>
    <rPh sb="6" eb="7">
      <t>ア</t>
    </rPh>
    <rPh sb="13" eb="14">
      <t>ガツ</t>
    </rPh>
    <phoneticPr fontId="4"/>
  </si>
  <si>
    <t>（○）</t>
    <phoneticPr fontId="4"/>
  </si>
  <si>
    <t>ha</t>
    <phoneticPr fontId="4"/>
  </si>
  <si>
    <t>11月どり</t>
    <rPh sb="2" eb="3">
      <t>ガツ</t>
    </rPh>
    <phoneticPr fontId="4"/>
  </si>
  <si>
    <t>12～1月どり</t>
    <rPh sb="4" eb="5">
      <t>ガツ</t>
    </rPh>
    <phoneticPr fontId="4"/>
  </si>
  <si>
    <t>ｈａ</t>
    <phoneticPr fontId="4"/>
  </si>
  <si>
    <t>露地：11月どり</t>
    <rPh sb="0" eb="2">
      <t>ロジ</t>
    </rPh>
    <rPh sb="5" eb="6">
      <t>ガツ</t>
    </rPh>
    <phoneticPr fontId="4"/>
  </si>
  <si>
    <t>チェーンポット苗</t>
    <phoneticPr fontId="4"/>
  </si>
  <si>
    <t>2.5粒まき　関羽一本太等</t>
    <rPh sb="7" eb="12">
      <t>カンウイッポンフト</t>
    </rPh>
    <rPh sb="12" eb="13">
      <t>トウ</t>
    </rPh>
    <phoneticPr fontId="4"/>
  </si>
  <si>
    <t>防除（乗用管理機）</t>
    <rPh sb="0" eb="2">
      <t>ボウジョ</t>
    </rPh>
    <rPh sb="3" eb="5">
      <t>ジョウヨウ</t>
    </rPh>
    <rPh sb="5" eb="7">
      <t>カンリ</t>
    </rPh>
    <rPh sb="7" eb="8">
      <t>キ</t>
    </rPh>
    <phoneticPr fontId="4"/>
  </si>
  <si>
    <t>除草（乗用管理機）</t>
    <rPh sb="0" eb="2">
      <t>ジョソウ</t>
    </rPh>
    <rPh sb="3" eb="5">
      <t>ジョウヨウ</t>
    </rPh>
    <rPh sb="5" eb="7">
      <t>カンリ</t>
    </rPh>
    <rPh sb="7" eb="8">
      <t>キ</t>
    </rPh>
    <phoneticPr fontId="4"/>
  </si>
  <si>
    <t>３作業</t>
    <rPh sb="1" eb="3">
      <t>サギョウ</t>
    </rPh>
    <phoneticPr fontId="4"/>
  </si>
  <si>
    <t>１作業</t>
    <rPh sb="1" eb="3">
      <t>サギョウ</t>
    </rPh>
    <phoneticPr fontId="4"/>
  </si>
  <si>
    <t>７－４　経営収支（白ねぎ部門，1ha当たり）</t>
    <rPh sb="9" eb="10">
      <t>シロ</t>
    </rPh>
    <rPh sb="12" eb="14">
      <t>ブモン</t>
    </rPh>
    <rPh sb="18" eb="19">
      <t>ア</t>
    </rPh>
    <phoneticPr fontId="4"/>
  </si>
  <si>
    <t>７－５　経営収支（白ねぎ部門，1ha当たり）</t>
    <rPh sb="9" eb="10">
      <t>シロ</t>
    </rPh>
    <rPh sb="12" eb="14">
      <t>ブモン</t>
    </rPh>
    <rPh sb="18" eb="19">
      <t>ア</t>
    </rPh>
    <phoneticPr fontId="4"/>
  </si>
  <si>
    <t>３作業</t>
    <rPh sb="1" eb="3">
      <t>サギョウ</t>
    </rPh>
    <phoneticPr fontId="4"/>
  </si>
  <si>
    <t>露地：12～1月どり</t>
    <rPh sb="0" eb="2">
      <t>ロジ</t>
    </rPh>
    <rPh sb="7" eb="8">
      <t>ガツ</t>
    </rPh>
    <phoneticPr fontId="4"/>
  </si>
  <si>
    <t>5.4～6.4</t>
    <phoneticPr fontId="4"/>
  </si>
  <si>
    <t>４種類</t>
    <phoneticPr fontId="4"/>
  </si>
  <si>
    <t>（水田転換初年度～３年までは50ｔ/ha）</t>
    <rPh sb="1" eb="3">
      <t>スイデン</t>
    </rPh>
    <rPh sb="3" eb="5">
      <t>テンカン</t>
    </rPh>
    <rPh sb="5" eb="8">
      <t>ショネンド</t>
    </rPh>
    <rPh sb="10" eb="11">
      <t>ネン</t>
    </rPh>
    <phoneticPr fontId="4"/>
  </si>
  <si>
    <t>3.6～4.3</t>
    <phoneticPr fontId="4"/>
  </si>
  <si>
    <t>溝掘りアタッチ付</t>
    <rPh sb="0" eb="1">
      <t>ミゾ</t>
    </rPh>
    <rPh sb="1" eb="2">
      <t>ホ</t>
    </rPh>
    <rPh sb="7" eb="8">
      <t>ツキ</t>
    </rPh>
    <phoneticPr fontId="17"/>
  </si>
  <si>
    <t>10ｐｓ</t>
    <phoneticPr fontId="4"/>
  </si>
  <si>
    <t>台</t>
    <rPh sb="0" eb="1">
      <t>ダイ</t>
    </rPh>
    <phoneticPr fontId="4"/>
  </si>
  <si>
    <t>露地（夏，秋，冬）</t>
    <rPh sb="0" eb="2">
      <t>ロジ</t>
    </rPh>
    <rPh sb="3" eb="4">
      <t>ナツ</t>
    </rPh>
    <rPh sb="5" eb="6">
      <t>アキ</t>
    </rPh>
    <rPh sb="7" eb="8">
      <t>フユ</t>
    </rPh>
    <phoneticPr fontId="4"/>
  </si>
  <si>
    <r>
      <t>耕起・</t>
    </r>
    <r>
      <rPr>
        <sz val="11"/>
        <rFont val="ＭＳ Ｐゴシック"/>
        <family val="3"/>
        <charset val="128"/>
      </rPr>
      <t>整地</t>
    </r>
    <rPh sb="0" eb="1">
      <t>コウ</t>
    </rPh>
    <rPh sb="1" eb="2">
      <t>キ</t>
    </rPh>
    <rPh sb="3" eb="5">
      <t>セイチ</t>
    </rPh>
    <phoneticPr fontId="4"/>
  </si>
  <si>
    <r>
      <rPr>
        <sz val="11"/>
        <rFont val="ＭＳ Ｐゴシック"/>
        <family val="3"/>
        <charset val="128"/>
      </rPr>
      <t>施肥・定植</t>
    </r>
    <rPh sb="0" eb="2">
      <t>セヒ</t>
    </rPh>
    <rPh sb="3" eb="5">
      <t>テイショク</t>
    </rPh>
    <phoneticPr fontId="4"/>
  </si>
  <si>
    <t>○：播種　△：仮植　×：定植　●：苗引き取り　収穫：■</t>
    <rPh sb="17" eb="18">
      <t>ナエ</t>
    </rPh>
    <rPh sb="18" eb="19">
      <t>ヒ</t>
    </rPh>
    <rPh sb="20" eb="21">
      <t>ト</t>
    </rPh>
    <rPh sb="23" eb="25">
      <t>シュウカク</t>
    </rPh>
    <phoneticPr fontId="4"/>
  </si>
  <si>
    <t>秋～冬どり</t>
    <rPh sb="0" eb="1">
      <t>アキ</t>
    </rPh>
    <rPh sb="2" eb="3">
      <t>フユ</t>
    </rPh>
    <phoneticPr fontId="4"/>
  </si>
  <si>
    <t>右表（イ）　※８－４　白ねぎ算出基礎シート参照</t>
    <phoneticPr fontId="4"/>
  </si>
  <si>
    <t>右表（ウ）　※８－４　白ねぎ算出基礎シート参照</t>
    <phoneticPr fontId="4"/>
  </si>
  <si>
    <t>右表（エ）　※８－４　白ねぎ算出基礎シート参照</t>
    <phoneticPr fontId="4"/>
  </si>
  <si>
    <t>※８－４　白ねぎ算出基礎シート参照</t>
    <rPh sb="5" eb="6">
      <t>シロ</t>
    </rPh>
    <rPh sb="8" eb="10">
      <t>サンシュツ</t>
    </rPh>
    <rPh sb="10" eb="12">
      <t>キソ</t>
    </rPh>
    <rPh sb="15" eb="17">
      <t>サンショウ</t>
    </rPh>
    <phoneticPr fontId="4"/>
  </si>
  <si>
    <t>※８－４　白ねぎ算出基礎シート参照</t>
    <phoneticPr fontId="4"/>
  </si>
  <si>
    <t>右表（イ）　※８－３　水稲算出基礎シート参照</t>
    <rPh sb="11" eb="13">
      <t>スイトウ</t>
    </rPh>
    <phoneticPr fontId="4"/>
  </si>
  <si>
    <t>右表（ウ）　※８－３　水稲算出基礎シート参照</t>
    <rPh sb="11" eb="13">
      <t>スイトウ</t>
    </rPh>
    <phoneticPr fontId="4"/>
  </si>
  <si>
    <t>右表（エ）　※８－３　水稲算出基礎シート参照</t>
    <rPh sb="11" eb="13">
      <t>スイトウ</t>
    </rPh>
    <phoneticPr fontId="4"/>
  </si>
  <si>
    <t>※８－３　水稲算出基礎シート参照</t>
    <rPh sb="5" eb="7">
      <t>スイトウ</t>
    </rPh>
    <rPh sb="7" eb="9">
      <t>サンシュツ</t>
    </rPh>
    <rPh sb="9" eb="11">
      <t>キソ</t>
    </rPh>
    <rPh sb="14" eb="16">
      <t>サンショウ</t>
    </rPh>
    <phoneticPr fontId="4"/>
  </si>
  <si>
    <t>稚苗疎植移植体系</t>
    <rPh sb="0" eb="2">
      <t>チビョウ</t>
    </rPh>
    <rPh sb="2" eb="3">
      <t>ソ</t>
    </rPh>
    <rPh sb="3" eb="4">
      <t>ショク</t>
    </rPh>
    <rPh sb="4" eb="6">
      <t>イショク</t>
    </rPh>
    <rPh sb="6" eb="8">
      <t>タイケイ</t>
    </rPh>
    <phoneticPr fontId="3"/>
  </si>
  <si>
    <t>水稲：系統利用（一部構成員へ販売）
加工用米：系統利用（複数年契約）</t>
    <rPh sb="0" eb="2">
      <t>スイトウ</t>
    </rPh>
    <rPh sb="10" eb="13">
      <t>コウセイイン</t>
    </rPh>
    <rPh sb="14" eb="16">
      <t>ハンバイ</t>
    </rPh>
    <rPh sb="18" eb="21">
      <t>カコウヨウ</t>
    </rPh>
    <rPh sb="21" eb="22">
      <t>マイ</t>
    </rPh>
    <rPh sb="28" eb="30">
      <t>フクスウ</t>
    </rPh>
    <rPh sb="30" eb="31">
      <t>ネン</t>
    </rPh>
    <rPh sb="31" eb="33">
      <t>ケイヤク</t>
    </rPh>
    <phoneticPr fontId="3"/>
  </si>
  <si>
    <t>大型機械化体系
　畦畔管理作業，水管理作業は，他へ委託する</t>
    <rPh sb="0" eb="2">
      <t>オオガタ</t>
    </rPh>
    <rPh sb="2" eb="5">
      <t>キカイカ</t>
    </rPh>
    <rPh sb="5" eb="7">
      <t>タイケイ</t>
    </rPh>
    <rPh sb="9" eb="11">
      <t>ケイハン</t>
    </rPh>
    <rPh sb="11" eb="13">
      <t>カンリ</t>
    </rPh>
    <rPh sb="13" eb="15">
      <t>サギョウ</t>
    </rPh>
    <rPh sb="16" eb="17">
      <t>ミズ</t>
    </rPh>
    <rPh sb="17" eb="19">
      <t>カンリ</t>
    </rPh>
    <rPh sb="19" eb="21">
      <t>サギョウ</t>
    </rPh>
    <rPh sb="23" eb="24">
      <t>タ</t>
    </rPh>
    <rPh sb="25" eb="27">
      <t>イタク</t>
    </rPh>
    <phoneticPr fontId="3"/>
  </si>
  <si>
    <t>ほ場整備完了水田，平均30a規模
排水の良い圃場（降雨後24時間後に排水されていること）</t>
    <rPh sb="1" eb="2">
      <t>ジョウ</t>
    </rPh>
    <rPh sb="2" eb="4">
      <t>セイビ</t>
    </rPh>
    <rPh sb="4" eb="6">
      <t>カンリョウ</t>
    </rPh>
    <rPh sb="6" eb="8">
      <t>スイデン</t>
    </rPh>
    <rPh sb="9" eb="11">
      <t>ヘイキン</t>
    </rPh>
    <rPh sb="14" eb="16">
      <t>キボ</t>
    </rPh>
    <rPh sb="17" eb="19">
      <t>ハイスイ</t>
    </rPh>
    <rPh sb="20" eb="21">
      <t>ヨ</t>
    </rPh>
    <rPh sb="22" eb="24">
      <t>ホジョウ</t>
    </rPh>
    <rPh sb="25" eb="27">
      <t>コウウ</t>
    </rPh>
    <rPh sb="27" eb="28">
      <t>ゴ</t>
    </rPh>
    <rPh sb="30" eb="32">
      <t>ジカン</t>
    </rPh>
    <rPh sb="32" eb="33">
      <t>ゴ</t>
    </rPh>
    <rPh sb="34" eb="36">
      <t>ハイスイ</t>
    </rPh>
    <phoneticPr fontId="3"/>
  </si>
  <si>
    <t>ほ場整備完了水田，平均30a規模</t>
    <rPh sb="1" eb="2">
      <t>ジョウ</t>
    </rPh>
    <rPh sb="2" eb="4">
      <t>セイビ</t>
    </rPh>
    <rPh sb="4" eb="6">
      <t>カンリョウ</t>
    </rPh>
    <rPh sb="6" eb="8">
      <t>スイデン</t>
    </rPh>
    <rPh sb="9" eb="11">
      <t>ヘイキン</t>
    </rPh>
    <rPh sb="14" eb="16">
      <t>キボ</t>
    </rPh>
    <phoneticPr fontId="3"/>
  </si>
  <si>
    <t>簡易定植機，管理機，防除機，出荷調整機械，収穫機，水稲育苗ハウス利用</t>
    <rPh sb="0" eb="2">
      <t>カンイ</t>
    </rPh>
    <rPh sb="21" eb="23">
      <t>シュウカク</t>
    </rPh>
    <rPh sb="23" eb="24">
      <t>キ</t>
    </rPh>
    <rPh sb="25" eb="27">
      <t>スイトウ</t>
    </rPh>
    <phoneticPr fontId="3"/>
  </si>
  <si>
    <t>露地栽培　チェーンポットCP303の2.5粒まき苗(30日育苗）を購入，50枚/10a（33000本/10a）定植</t>
    <phoneticPr fontId="3"/>
  </si>
  <si>
    <t>個選共販</t>
    <phoneticPr fontId="3"/>
  </si>
  <si>
    <t>適期に土寄せをするため，排水の良い圃場を選ぶ。雑草対策を徹底する。</t>
    <phoneticPr fontId="3"/>
  </si>
  <si>
    <t>肥料
　基肥一発型緩効性肥料　350kg～550kg
箱施用剤　
除草剤　</t>
    <rPh sb="0" eb="2">
      <t>ヒリョウ</t>
    </rPh>
    <rPh sb="4" eb="6">
      <t>モトゴエ</t>
    </rPh>
    <rPh sb="6" eb="8">
      <t>イッパツ</t>
    </rPh>
    <rPh sb="8" eb="9">
      <t>カタ</t>
    </rPh>
    <rPh sb="9" eb="12">
      <t>カンコウセイ</t>
    </rPh>
    <rPh sb="12" eb="14">
      <t>ヒリョウ</t>
    </rPh>
    <rPh sb="27" eb="28">
      <t>ハコ</t>
    </rPh>
    <rPh sb="28" eb="30">
      <t>セヨウ</t>
    </rPh>
    <rPh sb="30" eb="31">
      <t>ザイ</t>
    </rPh>
    <rPh sb="33" eb="36">
      <t>ジョソウザイ</t>
    </rPh>
    <phoneticPr fontId="4"/>
  </si>
  <si>
    <t>肥料
　基肥一発型緩効性肥料　500kg
箱施用剤　
除草剤　</t>
    <rPh sb="0" eb="2">
      <t>ヒリョウ</t>
    </rPh>
    <rPh sb="4" eb="6">
      <t>モトゴエ</t>
    </rPh>
    <rPh sb="6" eb="8">
      <t>イッパツ</t>
    </rPh>
    <rPh sb="8" eb="9">
      <t>カタ</t>
    </rPh>
    <rPh sb="9" eb="12">
      <t>カンコウセイ</t>
    </rPh>
    <rPh sb="12" eb="14">
      <t>ヒリョウ</t>
    </rPh>
    <rPh sb="21" eb="22">
      <t>ハコ</t>
    </rPh>
    <rPh sb="22" eb="24">
      <t>セヨウ</t>
    </rPh>
    <rPh sb="24" eb="25">
      <t>ザイ</t>
    </rPh>
    <rPh sb="27" eb="30">
      <t>ジョソウザイ</t>
    </rPh>
    <phoneticPr fontId="4"/>
  </si>
  <si>
    <t>トラクター（サブソイラー・深耕ロータリー）</t>
    <rPh sb="13" eb="15">
      <t>シンコウ</t>
    </rPh>
    <phoneticPr fontId="4"/>
  </si>
  <si>
    <t>管理機
ひっぱりくん</t>
    <rPh sb="0" eb="2">
      <t>カンリ</t>
    </rPh>
    <rPh sb="2" eb="3">
      <t>キ</t>
    </rPh>
    <phoneticPr fontId="4"/>
  </si>
  <si>
    <t>三角鍬</t>
    <rPh sb="0" eb="2">
      <t>サンカク</t>
    </rPh>
    <rPh sb="2" eb="3">
      <t>クワ</t>
    </rPh>
    <phoneticPr fontId="4"/>
  </si>
  <si>
    <t>管理機</t>
    <rPh sb="0" eb="2">
      <t>カンリ</t>
    </rPh>
    <rPh sb="2" eb="3">
      <t>キ</t>
    </rPh>
    <phoneticPr fontId="4"/>
  </si>
  <si>
    <t>根切葉切機
皮むき機
コンプレッサー
結束機
軽トラック</t>
    <rPh sb="0" eb="2">
      <t>ネキ</t>
    </rPh>
    <rPh sb="2" eb="3">
      <t>ハ</t>
    </rPh>
    <rPh sb="3" eb="4">
      <t>キ</t>
    </rPh>
    <rPh sb="4" eb="5">
      <t>キ</t>
    </rPh>
    <rPh sb="6" eb="7">
      <t>カワ</t>
    </rPh>
    <rPh sb="9" eb="10">
      <t>キ</t>
    </rPh>
    <rPh sb="19" eb="21">
      <t>ケッソク</t>
    </rPh>
    <rPh sb="21" eb="22">
      <t>キ</t>
    </rPh>
    <rPh sb="23" eb="24">
      <t>ケイ</t>
    </rPh>
    <phoneticPr fontId="4"/>
  </si>
  <si>
    <t>埋戻し①：１時間
埋戻し②：２時間</t>
    <rPh sb="0" eb="2">
      <t>ウメモド</t>
    </rPh>
    <rPh sb="6" eb="8">
      <t>ジカン</t>
    </rPh>
    <rPh sb="9" eb="11">
      <t>ウメモド</t>
    </rPh>
    <rPh sb="15" eb="17">
      <t>ジカン</t>
    </rPh>
    <phoneticPr fontId="4"/>
  </si>
  <si>
    <t>牛糞堆肥　10ｔ
（ただし水田転換1～２年目）
牛糞堆肥　３～６ｔ
（ただし水田転換３年目～，または畑地）</t>
    <rPh sb="0" eb="2">
      <t>ギュウフン</t>
    </rPh>
    <rPh sb="2" eb="4">
      <t>タイヒ</t>
    </rPh>
    <rPh sb="13" eb="15">
      <t>スイデン</t>
    </rPh>
    <rPh sb="15" eb="17">
      <t>テンカン</t>
    </rPh>
    <rPh sb="20" eb="22">
      <t>ネンメ</t>
    </rPh>
    <rPh sb="24" eb="26">
      <t>ギュウフン</t>
    </rPh>
    <rPh sb="26" eb="28">
      <t>タイヒ</t>
    </rPh>
    <rPh sb="38" eb="40">
      <t>スイデン</t>
    </rPh>
    <rPh sb="40" eb="42">
      <t>テンカン</t>
    </rPh>
    <rPh sb="43" eb="45">
      <t>ネンメ</t>
    </rPh>
    <rPh sb="50" eb="52">
      <t>ハタチ</t>
    </rPh>
    <phoneticPr fontId="4"/>
  </si>
  <si>
    <t>基肥（例：ユートップ50号）
　夏：1.5ｋｇ/苗１枚
　秋冬：２ｋｇ/苗１枚
除草剤</t>
    <rPh sb="0" eb="2">
      <t>モトゴエ</t>
    </rPh>
    <rPh sb="3" eb="4">
      <t>レイ</t>
    </rPh>
    <rPh sb="12" eb="13">
      <t>ゴウ</t>
    </rPh>
    <rPh sb="16" eb="17">
      <t>ナツ</t>
    </rPh>
    <rPh sb="24" eb="25">
      <t>ナエ</t>
    </rPh>
    <rPh sb="26" eb="27">
      <t>マイ</t>
    </rPh>
    <rPh sb="29" eb="31">
      <t>シュウトウ</t>
    </rPh>
    <rPh sb="36" eb="37">
      <t>ナエ</t>
    </rPh>
    <rPh sb="38" eb="39">
      <t>マイ</t>
    </rPh>
    <rPh sb="40" eb="43">
      <t>ジョソウザイ</t>
    </rPh>
    <phoneticPr fontId="4"/>
  </si>
  <si>
    <t>殺菌剤
殺虫剤</t>
    <rPh sb="0" eb="3">
      <t>サッキンザイ</t>
    </rPh>
    <rPh sb="4" eb="7">
      <t>サッチュウザイ</t>
    </rPh>
    <phoneticPr fontId="4"/>
  </si>
  <si>
    <t>殺菌剤
殺虫剤
除草剤</t>
    <rPh sb="0" eb="3">
      <t>サッキンザイ</t>
    </rPh>
    <rPh sb="4" eb="7">
      <t>サッチュウザイ</t>
    </rPh>
    <rPh sb="8" eb="11">
      <t>ジョソウザイ</t>
    </rPh>
    <phoneticPr fontId="4"/>
  </si>
  <si>
    <t>追肥（例：い～ね463）
　冬：0.6ｋｇ/苗１枚</t>
    <rPh sb="0" eb="2">
      <t>ツイヒ</t>
    </rPh>
    <rPh sb="3" eb="4">
      <t>レイ</t>
    </rPh>
    <rPh sb="14" eb="15">
      <t>フユ</t>
    </rPh>
    <rPh sb="22" eb="23">
      <t>ナエ</t>
    </rPh>
    <rPh sb="24" eb="25">
      <t>マイ</t>
    </rPh>
    <phoneticPr fontId="4"/>
  </si>
  <si>
    <t>ゴザ</t>
    <phoneticPr fontId="4"/>
  </si>
  <si>
    <t>結束テープ
段ボール</t>
    <rPh sb="0" eb="2">
      <t>ケッソク</t>
    </rPh>
    <rPh sb="6" eb="7">
      <t>ダン</t>
    </rPh>
    <phoneticPr fontId="4"/>
  </si>
  <si>
    <t>米の直接支払交付金</t>
    <phoneticPr fontId="4"/>
  </si>
  <si>
    <t>（3）白ねぎ労働時間</t>
    <rPh sb="3" eb="4">
      <t>シロ</t>
    </rPh>
    <rPh sb="6" eb="8">
      <t>ロウドウ</t>
    </rPh>
    <rPh sb="8" eb="10">
      <t>ジカン</t>
    </rPh>
    <phoneticPr fontId="4"/>
  </si>
  <si>
    <t>労務費の1.2％</t>
    <rPh sb="0" eb="3">
      <t>ロウムヒ</t>
    </rPh>
    <phoneticPr fontId="4"/>
  </si>
  <si>
    <t>労務費の1.2％</t>
    <phoneticPr fontId="4"/>
  </si>
  <si>
    <t>水稲</t>
    <rPh sb="0" eb="2">
      <t>スイトウ</t>
    </rPh>
    <phoneticPr fontId="3"/>
  </si>
  <si>
    <t>白ねぎ</t>
    <rPh sb="0" eb="1">
      <t>シロ</t>
    </rPh>
    <phoneticPr fontId="3"/>
  </si>
  <si>
    <t>耕起（トラクター）</t>
    <rPh sb="0" eb="2">
      <t>コウキ</t>
    </rPh>
    <phoneticPr fontId="4"/>
  </si>
  <si>
    <t>代かき（トラクター）</t>
    <rPh sb="0" eb="1">
      <t>シロ</t>
    </rPh>
    <phoneticPr fontId="4"/>
  </si>
  <si>
    <t>資材散布（トラクター，ブロードﾟｷｬｽﾀｰ）</t>
    <rPh sb="0" eb="2">
      <t>シザイ</t>
    </rPh>
    <rPh sb="2" eb="4">
      <t>サンプ</t>
    </rPh>
    <phoneticPr fontId="4"/>
  </si>
  <si>
    <t>収穫（コンバイン）</t>
    <rPh sb="0" eb="2">
      <t>シュウカク</t>
    </rPh>
    <phoneticPr fontId="4"/>
  </si>
  <si>
    <t>防除（管理ビーグル）</t>
    <rPh sb="0" eb="2">
      <t>ボウジョ</t>
    </rPh>
    <rPh sb="3" eb="5">
      <t>カンリ</t>
    </rPh>
    <phoneticPr fontId="4"/>
  </si>
  <si>
    <t>田植（田植機）</t>
    <rPh sb="0" eb="2">
      <t>タウエ</t>
    </rPh>
    <rPh sb="3" eb="5">
      <t>タウ</t>
    </rPh>
    <rPh sb="5" eb="6">
      <t>キ</t>
    </rPh>
    <phoneticPr fontId="4"/>
  </si>
  <si>
    <t>乾燥（乾燥機）</t>
    <rPh sb="0" eb="2">
      <t>カンソウ</t>
    </rPh>
    <rPh sb="3" eb="6">
      <t>カンソウキ</t>
    </rPh>
    <phoneticPr fontId="4"/>
  </si>
  <si>
    <t>調製（籾摺機）</t>
    <rPh sb="0" eb="2">
      <t>チョウセイ</t>
    </rPh>
    <rPh sb="3" eb="4">
      <t>モミ</t>
    </rPh>
    <rPh sb="4" eb="5">
      <t>スリ</t>
    </rPh>
    <rPh sb="5" eb="6">
      <t>キ</t>
    </rPh>
    <phoneticPr fontId="4"/>
  </si>
  <si>
    <t>育苗（育苗関連機器）</t>
    <rPh sb="0" eb="2">
      <t>イクビョウ</t>
    </rPh>
    <rPh sb="3" eb="5">
      <t>イクビョウ</t>
    </rPh>
    <rPh sb="5" eb="7">
      <t>カンレン</t>
    </rPh>
    <rPh sb="7" eb="9">
      <t>キキ</t>
    </rPh>
    <phoneticPr fontId="4"/>
  </si>
  <si>
    <t>普通
（秋冬白ねぎ）</t>
    <rPh sb="0" eb="2">
      <t>フツウ</t>
    </rPh>
    <rPh sb="4" eb="6">
      <t>アキフユ</t>
    </rPh>
    <rPh sb="6" eb="7">
      <t>シロ</t>
    </rPh>
    <phoneticPr fontId="3"/>
  </si>
  <si>
    <t>農機具庫</t>
    <rPh sb="0" eb="3">
      <t>ノウキグ</t>
    </rPh>
    <rPh sb="3" eb="4">
      <t>コ</t>
    </rPh>
    <phoneticPr fontId="4"/>
  </si>
  <si>
    <t>鉄骨　スレート</t>
    <phoneticPr fontId="4"/>
  </si>
  <si>
    <t>乾燥調製施設</t>
    <rPh sb="0" eb="2">
      <t>カンソウ</t>
    </rPh>
    <rPh sb="2" eb="4">
      <t>チョウセイ</t>
    </rPh>
    <rPh sb="4" eb="6">
      <t>シセツ</t>
    </rPh>
    <phoneticPr fontId="4"/>
  </si>
  <si>
    <t>育苗ハウス</t>
    <rPh sb="0" eb="2">
      <t>イクビョウ</t>
    </rPh>
    <phoneticPr fontId="4"/>
  </si>
  <si>
    <t>鉄パイプ</t>
    <rPh sb="0" eb="1">
      <t>テツ</t>
    </rPh>
    <phoneticPr fontId="4"/>
  </si>
  <si>
    <t>トラクター</t>
    <phoneticPr fontId="4"/>
  </si>
  <si>
    <t>46ｐｓキャビン付（ロータリー）</t>
    <rPh sb="8" eb="9">
      <t>ツキ</t>
    </rPh>
    <phoneticPr fontId="4"/>
  </si>
  <si>
    <t>トラクター</t>
    <phoneticPr fontId="4"/>
  </si>
  <si>
    <t>ドライブハロー</t>
    <phoneticPr fontId="4"/>
  </si>
  <si>
    <t>2.8.ｍ幅</t>
    <rPh sb="5" eb="6">
      <t>ハバ</t>
    </rPh>
    <phoneticPr fontId="4"/>
  </si>
  <si>
    <t>台</t>
    <rPh sb="0" eb="1">
      <t>ダイ</t>
    </rPh>
    <phoneticPr fontId="4"/>
  </si>
  <si>
    <t>乗用田植機</t>
    <rPh sb="0" eb="2">
      <t>ジョウヨウ</t>
    </rPh>
    <rPh sb="2" eb="4">
      <t>タウエ</t>
    </rPh>
    <rPh sb="4" eb="5">
      <t>キ</t>
    </rPh>
    <phoneticPr fontId="4"/>
  </si>
  <si>
    <t>８条側条施肥機付</t>
    <rPh sb="1" eb="2">
      <t>ジョウ</t>
    </rPh>
    <rPh sb="2" eb="3">
      <t>ソク</t>
    </rPh>
    <rPh sb="3" eb="4">
      <t>ジョウ</t>
    </rPh>
    <rPh sb="4" eb="6">
      <t>セヒ</t>
    </rPh>
    <rPh sb="6" eb="7">
      <t>キ</t>
    </rPh>
    <rPh sb="7" eb="8">
      <t>ツキ</t>
    </rPh>
    <phoneticPr fontId="4"/>
  </si>
  <si>
    <t>コンバイン</t>
    <phoneticPr fontId="4"/>
  </si>
  <si>
    <t>４条刈</t>
    <rPh sb="1" eb="2">
      <t>ジョウ</t>
    </rPh>
    <rPh sb="2" eb="3">
      <t>カリ</t>
    </rPh>
    <phoneticPr fontId="4"/>
  </si>
  <si>
    <t>催芽機</t>
    <rPh sb="0" eb="2">
      <t>サイガ</t>
    </rPh>
    <rPh sb="2" eb="3">
      <t>キ</t>
    </rPh>
    <phoneticPr fontId="4"/>
  </si>
  <si>
    <t>200㎏/回</t>
    <rPh sb="5" eb="6">
      <t>カイ</t>
    </rPh>
    <phoneticPr fontId="4"/>
  </si>
  <si>
    <t>播種覆土一連機械</t>
    <rPh sb="0" eb="2">
      <t>ハシュ</t>
    </rPh>
    <rPh sb="2" eb="4">
      <t>フクド</t>
    </rPh>
    <rPh sb="4" eb="6">
      <t>イチレン</t>
    </rPh>
    <rPh sb="6" eb="8">
      <t>キカイ</t>
    </rPh>
    <phoneticPr fontId="4"/>
  </si>
  <si>
    <t>（260箱/時間）</t>
    <rPh sb="4" eb="5">
      <t>ハコ</t>
    </rPh>
    <rPh sb="6" eb="8">
      <t>ジカン</t>
    </rPh>
    <phoneticPr fontId="4"/>
  </si>
  <si>
    <t>育苗器</t>
    <rPh sb="0" eb="2">
      <t>イクビョウ</t>
    </rPh>
    <rPh sb="2" eb="3">
      <t>キ</t>
    </rPh>
    <phoneticPr fontId="4"/>
  </si>
  <si>
    <t>480箱/回，フォークリフト</t>
    <rPh sb="3" eb="4">
      <t>ハコ</t>
    </rPh>
    <rPh sb="5" eb="6">
      <t>カイ</t>
    </rPh>
    <phoneticPr fontId="4"/>
  </si>
  <si>
    <t>育苗箱</t>
    <rPh sb="0" eb="2">
      <t>イクビョウ</t>
    </rPh>
    <rPh sb="2" eb="3">
      <t>ハコ</t>
    </rPh>
    <phoneticPr fontId="4"/>
  </si>
  <si>
    <t>450円/箱</t>
    <rPh sb="3" eb="4">
      <t>エン</t>
    </rPh>
    <rPh sb="5" eb="6">
      <t>ハコ</t>
    </rPh>
    <phoneticPr fontId="4"/>
  </si>
  <si>
    <t>箱</t>
    <rPh sb="0" eb="1">
      <t>ハコ</t>
    </rPh>
    <phoneticPr fontId="4"/>
  </si>
  <si>
    <t>乾燥調製一式</t>
    <rPh sb="0" eb="2">
      <t>カンソウ</t>
    </rPh>
    <rPh sb="2" eb="4">
      <t>チョウセイ</t>
    </rPh>
    <rPh sb="4" eb="6">
      <t>イッシキ</t>
    </rPh>
    <phoneticPr fontId="4"/>
  </si>
  <si>
    <t>一式</t>
    <rPh sb="0" eb="2">
      <t>イッシキ</t>
    </rPh>
    <phoneticPr fontId="4"/>
  </si>
  <si>
    <t>乗用管理機</t>
    <rPh sb="0" eb="2">
      <t>ジョウヨウ</t>
    </rPh>
    <rPh sb="2" eb="4">
      <t>カンリ</t>
    </rPh>
    <rPh sb="4" eb="5">
      <t>キ</t>
    </rPh>
    <phoneticPr fontId="4"/>
  </si>
  <si>
    <t>散布幅10ｍ</t>
    <rPh sb="0" eb="2">
      <t>サンプ</t>
    </rPh>
    <rPh sb="2" eb="3">
      <t>ハバ</t>
    </rPh>
    <phoneticPr fontId="4"/>
  </si>
  <si>
    <t>ブロードキャスター</t>
    <phoneticPr fontId="4"/>
  </si>
  <si>
    <t>400リットル</t>
    <phoneticPr fontId="4"/>
  </si>
  <si>
    <t>フォークリフト</t>
    <phoneticPr fontId="4"/>
  </si>
  <si>
    <t>普通トラック</t>
    <rPh sb="0" eb="2">
      <t>フツウ</t>
    </rPh>
    <phoneticPr fontId="4"/>
  </si>
  <si>
    <t>２ｔトラック中古</t>
    <rPh sb="6" eb="8">
      <t>チュウコ</t>
    </rPh>
    <phoneticPr fontId="4"/>
  </si>
  <si>
    <t>軽トラック</t>
    <rPh sb="0" eb="1">
      <t>ケイ</t>
    </rPh>
    <phoneticPr fontId="4"/>
  </si>
  <si>
    <t>高圧洗浄機</t>
    <rPh sb="0" eb="2">
      <t>コウアツ</t>
    </rPh>
    <rPh sb="2" eb="4">
      <t>センジョウ</t>
    </rPh>
    <rPh sb="4" eb="5">
      <t>キ</t>
    </rPh>
    <phoneticPr fontId="4"/>
  </si>
  <si>
    <t>育苗ハウス</t>
    <rPh sb="0" eb="2">
      <t>イクビョウ</t>
    </rPh>
    <phoneticPr fontId="4"/>
  </si>
  <si>
    <t>農機具庫</t>
    <rPh sb="0" eb="3">
      <t>ノウキグ</t>
    </rPh>
    <rPh sb="3" eb="4">
      <t>コ</t>
    </rPh>
    <phoneticPr fontId="4"/>
  </si>
  <si>
    <t>乾燥調製施設</t>
    <rPh sb="0" eb="2">
      <t>カンソウ</t>
    </rPh>
    <rPh sb="2" eb="4">
      <t>チョウセイ</t>
    </rPh>
    <rPh sb="4" eb="6">
      <t>シセツ</t>
    </rPh>
    <phoneticPr fontId="4"/>
  </si>
  <si>
    <t xml:space="preserve">
塩水選-種子消毒-浸種-催芽（鳩胸）
土入れ（床土）-は種-床土の消毒-覆土-育苗器で加温
出芽-緑化-硬化</t>
    <rPh sb="1" eb="2">
      <t>シオ</t>
    </rPh>
    <rPh sb="2" eb="3">
      <t>ミズ</t>
    </rPh>
    <rPh sb="3" eb="4">
      <t>セン</t>
    </rPh>
    <rPh sb="5" eb="7">
      <t>シュシ</t>
    </rPh>
    <rPh sb="7" eb="9">
      <t>ショウドク</t>
    </rPh>
    <rPh sb="10" eb="12">
      <t>シンシュ</t>
    </rPh>
    <rPh sb="13" eb="14">
      <t>サイ</t>
    </rPh>
    <rPh sb="14" eb="15">
      <t>メ</t>
    </rPh>
    <rPh sb="16" eb="18">
      <t>ハトムネ</t>
    </rPh>
    <rPh sb="20" eb="21">
      <t>ツチ</t>
    </rPh>
    <rPh sb="21" eb="22">
      <t>イ</t>
    </rPh>
    <rPh sb="24" eb="25">
      <t>トコ</t>
    </rPh>
    <rPh sb="25" eb="26">
      <t>ツチ</t>
    </rPh>
    <rPh sb="29" eb="30">
      <t>シュ</t>
    </rPh>
    <rPh sb="31" eb="32">
      <t>トコ</t>
    </rPh>
    <rPh sb="32" eb="33">
      <t>ツチ</t>
    </rPh>
    <rPh sb="34" eb="36">
      <t>ショウドク</t>
    </rPh>
    <rPh sb="37" eb="39">
      <t>フクド</t>
    </rPh>
    <rPh sb="40" eb="42">
      <t>イクビョウ</t>
    </rPh>
    <rPh sb="42" eb="43">
      <t>キ</t>
    </rPh>
    <rPh sb="44" eb="46">
      <t>カオン</t>
    </rPh>
    <rPh sb="47" eb="49">
      <t>シュツガ</t>
    </rPh>
    <rPh sb="50" eb="52">
      <t>リョッカ</t>
    </rPh>
    <rPh sb="53" eb="55">
      <t>コウカ</t>
    </rPh>
    <phoneticPr fontId="4"/>
  </si>
  <si>
    <t xml:space="preserve">
耕起する。
入水後代かきを2回する。</t>
    <rPh sb="1" eb="3">
      <t>コウキ</t>
    </rPh>
    <rPh sb="7" eb="9">
      <t>ニュウスイ</t>
    </rPh>
    <rPh sb="9" eb="10">
      <t>ゴ</t>
    </rPh>
    <rPh sb="10" eb="11">
      <t>シロ</t>
    </rPh>
    <rPh sb="15" eb="16">
      <t>カイ</t>
    </rPh>
    <phoneticPr fontId="4"/>
  </si>
  <si>
    <t xml:space="preserve">
田植機（肥料、箱施用剤、除草剤散布機付）で移植する。</t>
    <rPh sb="1" eb="3">
      <t>タウエ</t>
    </rPh>
    <rPh sb="3" eb="4">
      <t>キ</t>
    </rPh>
    <rPh sb="5" eb="7">
      <t>ヒリョウ</t>
    </rPh>
    <rPh sb="8" eb="9">
      <t>ハコ</t>
    </rPh>
    <rPh sb="9" eb="11">
      <t>セヨウ</t>
    </rPh>
    <rPh sb="11" eb="12">
      <t>ザイ</t>
    </rPh>
    <rPh sb="13" eb="15">
      <t>ジョソウ</t>
    </rPh>
    <rPh sb="15" eb="16">
      <t>ザイ</t>
    </rPh>
    <rPh sb="16" eb="18">
      <t>サンプ</t>
    </rPh>
    <rPh sb="18" eb="19">
      <t>キ</t>
    </rPh>
    <rPh sb="19" eb="20">
      <t>ツキ</t>
    </rPh>
    <rPh sb="22" eb="24">
      <t>イショク</t>
    </rPh>
    <phoneticPr fontId="4"/>
  </si>
  <si>
    <t xml:space="preserve">
雑草が多い場合は、水稲生育期に除草剤を散布する。</t>
    <rPh sb="1" eb="3">
      <t>ザッソウ</t>
    </rPh>
    <rPh sb="4" eb="5">
      <t>オオ</t>
    </rPh>
    <rPh sb="6" eb="8">
      <t>バアイ</t>
    </rPh>
    <rPh sb="10" eb="12">
      <t>スイトウ</t>
    </rPh>
    <rPh sb="12" eb="14">
      <t>セイイク</t>
    </rPh>
    <rPh sb="14" eb="15">
      <t>キ</t>
    </rPh>
    <rPh sb="16" eb="19">
      <t>ジョソウザイ</t>
    </rPh>
    <rPh sb="20" eb="22">
      <t>サンプ</t>
    </rPh>
    <phoneticPr fontId="4"/>
  </si>
  <si>
    <t xml:space="preserve">
活着するまで深水管理
初期生育期から最高分げつ期まで間断かんがい
無効分げつ期頃中干し
幼穂形成期以降間断かんがい
出穂後２５日から３０日頃落水</t>
    <rPh sb="1" eb="2">
      <t>カツ</t>
    </rPh>
    <rPh sb="2" eb="3">
      <t>チャク</t>
    </rPh>
    <rPh sb="7" eb="8">
      <t>フカ</t>
    </rPh>
    <rPh sb="8" eb="9">
      <t>ミズ</t>
    </rPh>
    <rPh sb="9" eb="11">
      <t>カンリ</t>
    </rPh>
    <rPh sb="12" eb="14">
      <t>ショキ</t>
    </rPh>
    <rPh sb="14" eb="16">
      <t>セイイク</t>
    </rPh>
    <rPh sb="16" eb="17">
      <t>キ</t>
    </rPh>
    <rPh sb="19" eb="21">
      <t>サイコウ</t>
    </rPh>
    <rPh sb="21" eb="22">
      <t>ブン</t>
    </rPh>
    <rPh sb="24" eb="25">
      <t>キ</t>
    </rPh>
    <rPh sb="27" eb="29">
      <t>カンダン</t>
    </rPh>
    <rPh sb="34" eb="36">
      <t>ムコウ</t>
    </rPh>
    <rPh sb="36" eb="37">
      <t>ブン</t>
    </rPh>
    <rPh sb="39" eb="40">
      <t>キ</t>
    </rPh>
    <rPh sb="40" eb="41">
      <t>コロ</t>
    </rPh>
    <rPh sb="41" eb="42">
      <t>ナカ</t>
    </rPh>
    <rPh sb="42" eb="43">
      <t>ホ</t>
    </rPh>
    <rPh sb="45" eb="46">
      <t>ヨウ</t>
    </rPh>
    <rPh sb="46" eb="47">
      <t>ホ</t>
    </rPh>
    <rPh sb="47" eb="50">
      <t>ケイセイキ</t>
    </rPh>
    <rPh sb="50" eb="52">
      <t>イコウ</t>
    </rPh>
    <rPh sb="52" eb="54">
      <t>カンダン</t>
    </rPh>
    <rPh sb="59" eb="60">
      <t>デ</t>
    </rPh>
    <rPh sb="60" eb="61">
      <t>ホ</t>
    </rPh>
    <rPh sb="61" eb="62">
      <t>ゴ</t>
    </rPh>
    <rPh sb="64" eb="65">
      <t>ヒ</t>
    </rPh>
    <rPh sb="69" eb="70">
      <t>ヒ</t>
    </rPh>
    <rPh sb="70" eb="71">
      <t>コロ</t>
    </rPh>
    <rPh sb="71" eb="73">
      <t>ラクスイ</t>
    </rPh>
    <phoneticPr fontId="4"/>
  </si>
  <si>
    <t xml:space="preserve">
いもち病
紋枯病
セジロウンカ
トビイロウンカ
カメムシ類
等病害虫防除</t>
    <rPh sb="4" eb="5">
      <t>ビョウ</t>
    </rPh>
    <rPh sb="6" eb="7">
      <t>モン</t>
    </rPh>
    <rPh sb="7" eb="8">
      <t>ガ</t>
    </rPh>
    <rPh sb="8" eb="9">
      <t>ビョウ</t>
    </rPh>
    <rPh sb="29" eb="30">
      <t>ルイ</t>
    </rPh>
    <phoneticPr fontId="4"/>
  </si>
  <si>
    <t xml:space="preserve">
コンバインによる収穫
乾燥機による生籾乾燥
籾摺り、石抜き、色彩選別機による調製</t>
    <rPh sb="9" eb="11">
      <t>シュウカク</t>
    </rPh>
    <rPh sb="12" eb="15">
      <t>カンソウキ</t>
    </rPh>
    <rPh sb="18" eb="19">
      <t>ナマ</t>
    </rPh>
    <rPh sb="19" eb="20">
      <t>モミ</t>
    </rPh>
    <rPh sb="20" eb="22">
      <t>カンソウ</t>
    </rPh>
    <rPh sb="23" eb="25">
      <t>モミス</t>
    </rPh>
    <rPh sb="27" eb="28">
      <t>イシ</t>
    </rPh>
    <rPh sb="28" eb="29">
      <t>ヌ</t>
    </rPh>
    <rPh sb="31" eb="33">
      <t>シキサイ</t>
    </rPh>
    <rPh sb="33" eb="35">
      <t>センベツ</t>
    </rPh>
    <rPh sb="35" eb="36">
      <t>キ</t>
    </rPh>
    <rPh sb="39" eb="41">
      <t>チョウセイ</t>
    </rPh>
    <phoneticPr fontId="4"/>
  </si>
  <si>
    <t xml:space="preserve">
土づくり肥料を散布して耕起する。</t>
    <rPh sb="1" eb="2">
      <t>ツチ</t>
    </rPh>
    <rPh sb="5" eb="7">
      <t>ヒリョウ</t>
    </rPh>
    <rPh sb="8" eb="10">
      <t>サンプ</t>
    </rPh>
    <rPh sb="12" eb="14">
      <t>コウキ</t>
    </rPh>
    <phoneticPr fontId="4"/>
  </si>
  <si>
    <t xml:space="preserve">
土づくり肥料等を散布して耕起する。
入水後代かきする。</t>
    <rPh sb="1" eb="2">
      <t>ツチ</t>
    </rPh>
    <rPh sb="5" eb="7">
      <t>ヒリョウ</t>
    </rPh>
    <rPh sb="7" eb="8">
      <t>トウ</t>
    </rPh>
    <rPh sb="9" eb="11">
      <t>サンプ</t>
    </rPh>
    <rPh sb="13" eb="15">
      <t>コウキ</t>
    </rPh>
    <rPh sb="19" eb="21">
      <t>ニュウスイ</t>
    </rPh>
    <rPh sb="21" eb="22">
      <t>ゴ</t>
    </rPh>
    <rPh sb="22" eb="23">
      <t>シロ</t>
    </rPh>
    <phoneticPr fontId="4"/>
  </si>
  <si>
    <t xml:space="preserve">
　作土の深さにより育苗枚数が異なる。
作土15ｃｍ以下
　　　　：35～50枚/10a
作土20ｃｍ程度
　　　　：60枚/10a
作土30ｃｍ程度
　　　　：80枚/10a</t>
    <rPh sb="2" eb="3">
      <t>サク</t>
    </rPh>
    <rPh sb="3" eb="4">
      <t>ド</t>
    </rPh>
    <rPh sb="5" eb="6">
      <t>フカ</t>
    </rPh>
    <rPh sb="10" eb="12">
      <t>イクビョウ</t>
    </rPh>
    <rPh sb="12" eb="14">
      <t>マイスウ</t>
    </rPh>
    <rPh sb="15" eb="16">
      <t>コト</t>
    </rPh>
    <rPh sb="21" eb="22">
      <t>サク</t>
    </rPh>
    <rPh sb="22" eb="23">
      <t>ド</t>
    </rPh>
    <rPh sb="27" eb="29">
      <t>イカ</t>
    </rPh>
    <rPh sb="40" eb="41">
      <t>マイ</t>
    </rPh>
    <rPh sb="46" eb="47">
      <t>サク</t>
    </rPh>
    <rPh sb="47" eb="48">
      <t>ド</t>
    </rPh>
    <rPh sb="52" eb="54">
      <t>テイド</t>
    </rPh>
    <rPh sb="62" eb="63">
      <t>マイ</t>
    </rPh>
    <rPh sb="68" eb="69">
      <t>サク</t>
    </rPh>
    <rPh sb="69" eb="70">
      <t>ド</t>
    </rPh>
    <rPh sb="74" eb="76">
      <t>テイド</t>
    </rPh>
    <rPh sb="84" eb="85">
      <t>マイ</t>
    </rPh>
    <phoneticPr fontId="4"/>
  </si>
  <si>
    <t xml:space="preserve">
　サブソイラーで排水を良くすること。
　深耕ロータリーで深耕し，作土を確保すること。</t>
    <rPh sb="9" eb="11">
      <t>ハイスイ</t>
    </rPh>
    <rPh sb="12" eb="13">
      <t>ヨ</t>
    </rPh>
    <rPh sb="21" eb="23">
      <t>シンコウ</t>
    </rPh>
    <rPh sb="29" eb="31">
      <t>シンコウ</t>
    </rPh>
    <rPh sb="33" eb="34">
      <t>サク</t>
    </rPh>
    <rPh sb="34" eb="35">
      <t>ド</t>
    </rPh>
    <rPh sb="36" eb="38">
      <t>カクホ</t>
    </rPh>
    <phoneticPr fontId="4"/>
  </si>
  <si>
    <t xml:space="preserve">
　 幅30ｃｍ，深さ15～20ｃｍの植え溝を掘る。
　植え溝が底土から５ｃｍ以上になるように掘る。
 条間は作土によって以下のように異なる。
　作土15ｃｍ以下
　　　　：120～140ｃｍ
　作土20ｃｍ以上
　　　　：90～120ｃｍ</t>
    <rPh sb="3" eb="4">
      <t>ハバ</t>
    </rPh>
    <rPh sb="9" eb="10">
      <t>フカ</t>
    </rPh>
    <rPh sb="19" eb="20">
      <t>ウ</t>
    </rPh>
    <rPh sb="21" eb="22">
      <t>ミゾ</t>
    </rPh>
    <rPh sb="23" eb="24">
      <t>ホ</t>
    </rPh>
    <rPh sb="52" eb="54">
      <t>ジョウカン</t>
    </rPh>
    <rPh sb="55" eb="56">
      <t>サク</t>
    </rPh>
    <rPh sb="56" eb="57">
      <t>ド</t>
    </rPh>
    <rPh sb="61" eb="63">
      <t>イカ</t>
    </rPh>
    <rPh sb="67" eb="68">
      <t>コト</t>
    </rPh>
    <rPh sb="74" eb="75">
      <t>サク</t>
    </rPh>
    <rPh sb="75" eb="76">
      <t>ド</t>
    </rPh>
    <rPh sb="80" eb="82">
      <t>イカ</t>
    </rPh>
    <rPh sb="99" eb="100">
      <t>サク</t>
    </rPh>
    <rPh sb="100" eb="101">
      <t>ド</t>
    </rPh>
    <rPh sb="105" eb="107">
      <t>イジョウ</t>
    </rPh>
    <phoneticPr fontId="4"/>
  </si>
  <si>
    <t xml:space="preserve">
　通路の雑草は，小さいうちに管理機等で鋤き込む。（その際にねぎに土がかからないようにする）
　ねぎ付近の雑草は，除草剤と埋戻し・土寄せで除草する。</t>
    <rPh sb="50" eb="52">
      <t>フキン</t>
    </rPh>
    <rPh sb="53" eb="55">
      <t>ザッソウ</t>
    </rPh>
    <rPh sb="57" eb="60">
      <t>ジョソウザイ</t>
    </rPh>
    <rPh sb="61" eb="63">
      <t>ウメモド</t>
    </rPh>
    <rPh sb="65" eb="67">
      <t>ツチヨ</t>
    </rPh>
    <rPh sb="69" eb="71">
      <t>ジョソウ</t>
    </rPh>
    <phoneticPr fontId="4"/>
  </si>
  <si>
    <t xml:space="preserve">
　省力化を図る場合は，粒剤中心に行う。
　病気は予防を中心に行う。</t>
    <rPh sb="2" eb="5">
      <t>ショウリョクカ</t>
    </rPh>
    <rPh sb="6" eb="7">
      <t>ハカ</t>
    </rPh>
    <rPh sb="8" eb="10">
      <t>バアイ</t>
    </rPh>
    <rPh sb="12" eb="14">
      <t>リュウザイ</t>
    </rPh>
    <rPh sb="14" eb="16">
      <t>チュウシン</t>
    </rPh>
    <rPh sb="17" eb="18">
      <t>オコナ</t>
    </rPh>
    <rPh sb="22" eb="24">
      <t>ビョウキ</t>
    </rPh>
    <rPh sb="25" eb="27">
      <t>ヨボウ</t>
    </rPh>
    <rPh sb="28" eb="30">
      <t>チュウシン</t>
    </rPh>
    <rPh sb="31" eb="32">
      <t>オコナ</t>
    </rPh>
    <phoneticPr fontId="4"/>
  </si>
  <si>
    <t xml:space="preserve">
　定植後14～20日で埋戻し①を行う。
　埋戻し①後，14～20日で埋戻し②を行う。</t>
    <rPh sb="2" eb="4">
      <t>テイショク</t>
    </rPh>
    <rPh sb="4" eb="5">
      <t>ゴ</t>
    </rPh>
    <rPh sb="10" eb="11">
      <t>ニチ</t>
    </rPh>
    <rPh sb="12" eb="14">
      <t>ウメモド</t>
    </rPh>
    <rPh sb="17" eb="18">
      <t>オコナ</t>
    </rPh>
    <rPh sb="22" eb="24">
      <t>ウメモド</t>
    </rPh>
    <rPh sb="26" eb="27">
      <t>ゴ</t>
    </rPh>
    <rPh sb="33" eb="34">
      <t>ニチ</t>
    </rPh>
    <rPh sb="35" eb="37">
      <t>ウメモド</t>
    </rPh>
    <rPh sb="40" eb="41">
      <t>オコナ</t>
    </rPh>
    <phoneticPr fontId="4"/>
  </si>
  <si>
    <t xml:space="preserve">
　埋戻し②後，20～30日後に土寄せ①を行う。
　土寄せ②後，20～30日後に土寄せ②を行う。</t>
    <rPh sb="2" eb="4">
      <t>ウメモド</t>
    </rPh>
    <rPh sb="6" eb="7">
      <t>ゴ</t>
    </rPh>
    <rPh sb="13" eb="15">
      <t>ニチゴ</t>
    </rPh>
    <rPh sb="16" eb="18">
      <t>ツチヨ</t>
    </rPh>
    <rPh sb="21" eb="22">
      <t>オコナ</t>
    </rPh>
    <rPh sb="26" eb="28">
      <t>ツチヨ</t>
    </rPh>
    <rPh sb="30" eb="31">
      <t>ゴ</t>
    </rPh>
    <rPh sb="37" eb="39">
      <t>ニチゴ</t>
    </rPh>
    <rPh sb="40" eb="42">
      <t>ツチヨ</t>
    </rPh>
    <rPh sb="45" eb="46">
      <t>オコナ</t>
    </rPh>
    <phoneticPr fontId="4"/>
  </si>
  <si>
    <t xml:space="preserve">
　土寄せ②終了後，収穫開始予定日の30日前に止め土を行う。</t>
    <rPh sb="2" eb="4">
      <t>ツチヨ</t>
    </rPh>
    <rPh sb="6" eb="9">
      <t>シュウリョウゴ</t>
    </rPh>
    <rPh sb="10" eb="12">
      <t>シュウカク</t>
    </rPh>
    <rPh sb="12" eb="14">
      <t>カイシ</t>
    </rPh>
    <rPh sb="14" eb="17">
      <t>ヨテイビ</t>
    </rPh>
    <rPh sb="20" eb="21">
      <t>ニチ</t>
    </rPh>
    <rPh sb="21" eb="22">
      <t>マエ</t>
    </rPh>
    <rPh sb="23" eb="24">
      <t>ト</t>
    </rPh>
    <rPh sb="25" eb="26">
      <t>ツチ</t>
    </rPh>
    <rPh sb="27" eb="28">
      <t>オコナ</t>
    </rPh>
    <phoneticPr fontId="4"/>
  </si>
  <si>
    <t xml:space="preserve">
　収穫後は霜が当たらない場所や凍らない場所に立てて保管する。</t>
    <rPh sb="2" eb="4">
      <t>シュウカク</t>
    </rPh>
    <rPh sb="4" eb="5">
      <t>ゴ</t>
    </rPh>
    <rPh sb="6" eb="7">
      <t>シモ</t>
    </rPh>
    <rPh sb="8" eb="9">
      <t>ア</t>
    </rPh>
    <rPh sb="13" eb="15">
      <t>バショ</t>
    </rPh>
    <rPh sb="16" eb="17">
      <t>コオ</t>
    </rPh>
    <rPh sb="20" eb="22">
      <t>バショ</t>
    </rPh>
    <rPh sb="23" eb="24">
      <t>タ</t>
    </rPh>
    <rPh sb="26" eb="28">
      <t>ホカン</t>
    </rPh>
    <phoneticPr fontId="4"/>
  </si>
  <si>
    <t xml:space="preserve">
　皮むき作業をスムーズに行うため，根切りを根元を切り落とさない程度に切る。</t>
    <rPh sb="2" eb="3">
      <t>カワ</t>
    </rPh>
    <rPh sb="5" eb="7">
      <t>サギョウ</t>
    </rPh>
    <rPh sb="13" eb="14">
      <t>オコナ</t>
    </rPh>
    <rPh sb="18" eb="20">
      <t>ネキ</t>
    </rPh>
    <rPh sb="22" eb="24">
      <t>ネモト</t>
    </rPh>
    <rPh sb="25" eb="26">
      <t>キ</t>
    </rPh>
    <rPh sb="27" eb="28">
      <t>オ</t>
    </rPh>
    <rPh sb="32" eb="34">
      <t>テイド</t>
    </rPh>
    <rPh sb="35" eb="36">
      <t>キ</t>
    </rPh>
    <phoneticPr fontId="4"/>
  </si>
  <si>
    <t xml:space="preserve">
　２粒まきとする。
　気温が上昇し始める３月は，ハウス・小トンネルの開閉をこまめにすること。</t>
    <rPh sb="3" eb="4">
      <t>リュウ</t>
    </rPh>
    <rPh sb="12" eb="14">
      <t>キオン</t>
    </rPh>
    <rPh sb="15" eb="17">
      <t>ジョウショウ</t>
    </rPh>
    <rPh sb="18" eb="19">
      <t>ハジ</t>
    </rPh>
    <rPh sb="22" eb="23">
      <t>ガツ</t>
    </rPh>
    <rPh sb="29" eb="30">
      <t>コ</t>
    </rPh>
    <rPh sb="35" eb="37">
      <t>カイヘイ</t>
    </rPh>
    <phoneticPr fontId="4"/>
  </si>
  <si>
    <t xml:space="preserve">
　しっかりと深耕すること。
　明渠を深く掘ること。</t>
    <rPh sb="7" eb="9">
      <t>シンコウ</t>
    </rPh>
    <rPh sb="16" eb="18">
      <t>メイキョ</t>
    </rPh>
    <rPh sb="19" eb="20">
      <t>フカ</t>
    </rPh>
    <rPh sb="21" eb="22">
      <t>ホ</t>
    </rPh>
    <phoneticPr fontId="4"/>
  </si>
  <si>
    <t xml:space="preserve">
　定植後に必要に応じて除草剤（例：ゴーゴーサン乳剤）を散布する。</t>
    <rPh sb="2" eb="4">
      <t>テイショク</t>
    </rPh>
    <rPh sb="4" eb="5">
      <t>ゴ</t>
    </rPh>
    <rPh sb="6" eb="8">
      <t>ヒツヨウ</t>
    </rPh>
    <rPh sb="9" eb="10">
      <t>オウ</t>
    </rPh>
    <rPh sb="12" eb="15">
      <t>ジョソウザイ</t>
    </rPh>
    <rPh sb="16" eb="17">
      <t>レイ</t>
    </rPh>
    <rPh sb="24" eb="26">
      <t>ニュウザイ</t>
    </rPh>
    <rPh sb="28" eb="30">
      <t>サンプ</t>
    </rPh>
    <phoneticPr fontId="4"/>
  </si>
  <si>
    <t xml:space="preserve">
　埋戻しや土寄せ後，草が生えないうちに除草剤を散布する。</t>
    <rPh sb="2" eb="4">
      <t>ウメモド</t>
    </rPh>
    <rPh sb="6" eb="8">
      <t>ツチヨ</t>
    </rPh>
    <rPh sb="9" eb="10">
      <t>ゴ</t>
    </rPh>
    <rPh sb="11" eb="12">
      <t>クサ</t>
    </rPh>
    <rPh sb="13" eb="14">
      <t>ハ</t>
    </rPh>
    <rPh sb="20" eb="23">
      <t>ジョソウザイ</t>
    </rPh>
    <rPh sb="24" eb="26">
      <t>サンプ</t>
    </rPh>
    <phoneticPr fontId="4"/>
  </si>
  <si>
    <t xml:space="preserve">
　曲がったねぎの原因となるため，管理機では行わない。
　病気予防として分岐部にかからないようにする。
　埋戻しと同時に軟腐病対策薬剤（例：オリゼメート粒剤）を散布する。
　埋戻し後に除草剤（例：トレファノ乳剤）を散布する。</t>
    <rPh sb="2" eb="3">
      <t>マ</t>
    </rPh>
    <rPh sb="9" eb="11">
      <t>ゲンイン</t>
    </rPh>
    <rPh sb="17" eb="19">
      <t>カンリ</t>
    </rPh>
    <rPh sb="19" eb="20">
      <t>キ</t>
    </rPh>
    <rPh sb="22" eb="23">
      <t>オコナ</t>
    </rPh>
    <rPh sb="29" eb="31">
      <t>ビョウキ</t>
    </rPh>
    <rPh sb="31" eb="33">
      <t>ヨボウ</t>
    </rPh>
    <rPh sb="36" eb="38">
      <t>ブンキ</t>
    </rPh>
    <rPh sb="38" eb="39">
      <t>ブ</t>
    </rPh>
    <rPh sb="53" eb="55">
      <t>ウメモド</t>
    </rPh>
    <rPh sb="57" eb="59">
      <t>ドウジ</t>
    </rPh>
    <rPh sb="60" eb="63">
      <t>ナンプビョウ</t>
    </rPh>
    <rPh sb="63" eb="65">
      <t>タイサク</t>
    </rPh>
    <rPh sb="65" eb="67">
      <t>ヤクザイ</t>
    </rPh>
    <rPh sb="68" eb="69">
      <t>レイ</t>
    </rPh>
    <rPh sb="76" eb="78">
      <t>リュウザイ</t>
    </rPh>
    <rPh sb="80" eb="82">
      <t>サンプ</t>
    </rPh>
    <rPh sb="87" eb="89">
      <t>ウメモド</t>
    </rPh>
    <rPh sb="90" eb="91">
      <t>ゴ</t>
    </rPh>
    <rPh sb="92" eb="95">
      <t>ジョソウザイ</t>
    </rPh>
    <rPh sb="96" eb="97">
      <t>レイ</t>
    </rPh>
    <rPh sb="103" eb="105">
      <t>ニュウザイ</t>
    </rPh>
    <rPh sb="107" eb="109">
      <t>サンプ</t>
    </rPh>
    <phoneticPr fontId="4"/>
  </si>
  <si>
    <t xml:space="preserve">
　夕方の涼しい時間に行う。
　秋冬では，７月下旬～８月末までは行わない。
　病気予防として分岐部にかからないようにする。
　合わせて病害虫防除（粒剤）を行う。
　土寄せ後に除草剤（例：トレファノサイド乳剤）を散布する。</t>
    <rPh sb="2" eb="4">
      <t>ユウガタ</t>
    </rPh>
    <rPh sb="5" eb="6">
      <t>スズ</t>
    </rPh>
    <rPh sb="8" eb="10">
      <t>ジカン</t>
    </rPh>
    <rPh sb="11" eb="12">
      <t>オコナ</t>
    </rPh>
    <rPh sb="16" eb="18">
      <t>シュウトウ</t>
    </rPh>
    <rPh sb="22" eb="23">
      <t>ガツ</t>
    </rPh>
    <rPh sb="23" eb="25">
      <t>ゲジュン</t>
    </rPh>
    <rPh sb="27" eb="28">
      <t>ガツ</t>
    </rPh>
    <rPh sb="28" eb="29">
      <t>マツ</t>
    </rPh>
    <rPh sb="32" eb="33">
      <t>オコナ</t>
    </rPh>
    <rPh sb="46" eb="48">
      <t>ブンキ</t>
    </rPh>
    <rPh sb="48" eb="49">
      <t>ブ</t>
    </rPh>
    <rPh sb="63" eb="64">
      <t>ア</t>
    </rPh>
    <rPh sb="67" eb="70">
      <t>ビョウガイチュウ</t>
    </rPh>
    <rPh sb="70" eb="72">
      <t>ボウジョ</t>
    </rPh>
    <rPh sb="73" eb="75">
      <t>リュウザイ</t>
    </rPh>
    <rPh sb="77" eb="78">
      <t>オコナ</t>
    </rPh>
    <rPh sb="82" eb="84">
      <t>ツチヨ</t>
    </rPh>
    <rPh sb="85" eb="86">
      <t>ゴ</t>
    </rPh>
    <rPh sb="87" eb="90">
      <t>ジョソウザイ</t>
    </rPh>
    <rPh sb="91" eb="92">
      <t>レイ</t>
    </rPh>
    <rPh sb="101" eb="103">
      <t>ニュウザイ</t>
    </rPh>
    <rPh sb="105" eb="107">
      <t>サンプ</t>
    </rPh>
    <phoneticPr fontId="4"/>
  </si>
  <si>
    <t xml:space="preserve">
　軟白部分と緑色の境界を明確にするため，分岐部までしっかりとかける。
　土が沈んだ場合も再度土をかける。</t>
    <rPh sb="2" eb="4">
      <t>ナンパク</t>
    </rPh>
    <rPh sb="4" eb="6">
      <t>ブブン</t>
    </rPh>
    <rPh sb="7" eb="8">
      <t>ミドリ</t>
    </rPh>
    <rPh sb="8" eb="9">
      <t>イロ</t>
    </rPh>
    <rPh sb="10" eb="12">
      <t>キョウカイ</t>
    </rPh>
    <rPh sb="13" eb="15">
      <t>メイカク</t>
    </rPh>
    <rPh sb="21" eb="23">
      <t>ブンキ</t>
    </rPh>
    <rPh sb="23" eb="24">
      <t>ブ</t>
    </rPh>
    <rPh sb="37" eb="38">
      <t>ツチ</t>
    </rPh>
    <rPh sb="39" eb="40">
      <t>シズ</t>
    </rPh>
    <rPh sb="42" eb="44">
      <t>バアイ</t>
    </rPh>
    <rPh sb="45" eb="47">
      <t>サイド</t>
    </rPh>
    <rPh sb="47" eb="48">
      <t>ツチ</t>
    </rPh>
    <phoneticPr fontId="4"/>
  </si>
  <si>
    <t xml:space="preserve">
　無駄のない作業導線とすること。</t>
    <rPh sb="2" eb="4">
      <t>ムダ</t>
    </rPh>
    <rPh sb="7" eb="9">
      <t>サギョウ</t>
    </rPh>
    <rPh sb="9" eb="11">
      <t>ドウセン</t>
    </rPh>
    <phoneticPr fontId="4"/>
  </si>
  <si>
    <t xml:space="preserve">
塩水選、種子消毒の実施
適正な温度管理
は種量の適正化</t>
    <rPh sb="1" eb="2">
      <t>シオ</t>
    </rPh>
    <rPh sb="2" eb="3">
      <t>ミズ</t>
    </rPh>
    <rPh sb="3" eb="4">
      <t>セン</t>
    </rPh>
    <rPh sb="5" eb="7">
      <t>シュシ</t>
    </rPh>
    <rPh sb="7" eb="9">
      <t>ショウドク</t>
    </rPh>
    <rPh sb="10" eb="12">
      <t>ジッシ</t>
    </rPh>
    <rPh sb="13" eb="15">
      <t>テキセイ</t>
    </rPh>
    <rPh sb="16" eb="18">
      <t>オンド</t>
    </rPh>
    <rPh sb="18" eb="20">
      <t>カンリ</t>
    </rPh>
    <rPh sb="22" eb="23">
      <t>シュ</t>
    </rPh>
    <rPh sb="23" eb="24">
      <t>リョウ</t>
    </rPh>
    <rPh sb="25" eb="27">
      <t>テキセイ</t>
    </rPh>
    <rPh sb="27" eb="28">
      <t>カ</t>
    </rPh>
    <phoneticPr fontId="4"/>
  </si>
  <si>
    <t xml:space="preserve">
田面の均平化</t>
    <rPh sb="1" eb="2">
      <t>タ</t>
    </rPh>
    <rPh sb="2" eb="3">
      <t>メン</t>
    </rPh>
    <rPh sb="4" eb="5">
      <t>ヒトシ</t>
    </rPh>
    <rPh sb="5" eb="6">
      <t>ヘイ</t>
    </rPh>
    <rPh sb="6" eb="7">
      <t>カ</t>
    </rPh>
    <phoneticPr fontId="4"/>
  </si>
  <si>
    <t xml:space="preserve">
適期田植
適正な栽植密度</t>
    <rPh sb="1" eb="3">
      <t>テッキ</t>
    </rPh>
    <rPh sb="3" eb="5">
      <t>タウ</t>
    </rPh>
    <rPh sb="6" eb="8">
      <t>テキセイ</t>
    </rPh>
    <rPh sb="9" eb="11">
      <t>サイショク</t>
    </rPh>
    <rPh sb="11" eb="13">
      <t>ミツド</t>
    </rPh>
    <phoneticPr fontId="4"/>
  </si>
  <si>
    <t xml:space="preserve">
適正な水管理
使用薬量を均一に散布</t>
    <rPh sb="1" eb="3">
      <t>テキセイ</t>
    </rPh>
    <rPh sb="4" eb="5">
      <t>ミズ</t>
    </rPh>
    <rPh sb="5" eb="7">
      <t>カンリ</t>
    </rPh>
    <rPh sb="8" eb="10">
      <t>シヨウ</t>
    </rPh>
    <rPh sb="10" eb="11">
      <t>ヤク</t>
    </rPh>
    <rPh sb="11" eb="12">
      <t>リョウ</t>
    </rPh>
    <rPh sb="13" eb="15">
      <t>キンイツ</t>
    </rPh>
    <rPh sb="16" eb="18">
      <t>サンプ</t>
    </rPh>
    <phoneticPr fontId="4"/>
  </si>
  <si>
    <t xml:space="preserve">
間断かんがい、中干しの実施
適期落水の実施</t>
    <rPh sb="1" eb="3">
      <t>カンダン</t>
    </rPh>
    <rPh sb="8" eb="9">
      <t>ナカ</t>
    </rPh>
    <rPh sb="9" eb="10">
      <t>ホ</t>
    </rPh>
    <rPh sb="12" eb="14">
      <t>ジッシ</t>
    </rPh>
    <rPh sb="15" eb="17">
      <t>テッキ</t>
    </rPh>
    <rPh sb="17" eb="19">
      <t>ラクスイ</t>
    </rPh>
    <rPh sb="20" eb="22">
      <t>ジッシ</t>
    </rPh>
    <phoneticPr fontId="4"/>
  </si>
  <si>
    <t xml:space="preserve">
適期防除</t>
    <rPh sb="1" eb="3">
      <t>テッキ</t>
    </rPh>
    <rPh sb="3" eb="5">
      <t>ボウジョ</t>
    </rPh>
    <phoneticPr fontId="4"/>
  </si>
  <si>
    <t xml:space="preserve">
適期刈取
適正な乾燥調製</t>
    <rPh sb="1" eb="3">
      <t>テッキ</t>
    </rPh>
    <rPh sb="3" eb="5">
      <t>カリト</t>
    </rPh>
    <rPh sb="6" eb="8">
      <t>テキセイ</t>
    </rPh>
    <rPh sb="9" eb="11">
      <t>カンソウ</t>
    </rPh>
    <rPh sb="11" eb="13">
      <t>チョウセイ</t>
    </rPh>
    <phoneticPr fontId="4"/>
  </si>
  <si>
    <t xml:space="preserve">
稲わらの早期鋤き込み
土づくりの実施</t>
    <rPh sb="1" eb="2">
      <t>イネ</t>
    </rPh>
    <rPh sb="5" eb="7">
      <t>ソウキ</t>
    </rPh>
    <rPh sb="7" eb="8">
      <t>ス</t>
    </rPh>
    <rPh sb="9" eb="10">
      <t>コ</t>
    </rPh>
    <rPh sb="12" eb="13">
      <t>ツチ</t>
    </rPh>
    <rPh sb="17" eb="19">
      <t>ジッシ</t>
    </rPh>
    <phoneticPr fontId="4"/>
  </si>
  <si>
    <t>台</t>
    <rPh sb="0" eb="1">
      <t>ダイ</t>
    </rPh>
    <phoneticPr fontId="4"/>
  </si>
  <si>
    <t>品   種</t>
    <phoneticPr fontId="3"/>
  </si>
  <si>
    <t>３－３　標準技術（白ねぎ）</t>
    <rPh sb="4" eb="6">
      <t>ヒョウジュン</t>
    </rPh>
    <rPh sb="6" eb="8">
      <t>ギジュツ</t>
    </rPh>
    <rPh sb="9" eb="10">
      <t>シロ</t>
    </rPh>
    <phoneticPr fontId="4"/>
  </si>
  <si>
    <t>７　経営収支（水稲部門，1ha当たり）は24,25,26Pを参照</t>
    <rPh sb="7" eb="9">
      <t>スイトウ</t>
    </rPh>
    <rPh sb="9" eb="11">
      <t>ブモン</t>
    </rPh>
    <rPh sb="15" eb="16">
      <t>ア</t>
    </rPh>
    <rPh sb="30" eb="32">
      <t>サンショウ</t>
    </rPh>
    <phoneticPr fontId="4"/>
  </si>
  <si>
    <t>品種の組み合わせで機械の効率利用を図る</t>
    <phoneticPr fontId="3"/>
  </si>
  <si>
    <t>Ａ（８～９月）</t>
    <rPh sb="5" eb="6">
      <t>ガツ</t>
    </rPh>
    <phoneticPr fontId="4"/>
  </si>
  <si>
    <t>Ａ（10～1月）</t>
    <rPh sb="6" eb="7">
      <t>ガツ</t>
    </rPh>
    <phoneticPr fontId="4"/>
  </si>
  <si>
    <t>Ａ</t>
  </si>
  <si>
    <t>Ａ</t>
    <phoneticPr fontId="4"/>
  </si>
  <si>
    <t>Ｂ</t>
  </si>
  <si>
    <t>Ｂ</t>
    <phoneticPr fontId="4"/>
  </si>
  <si>
    <t>Ｃ</t>
  </si>
  <si>
    <t>Ｃ</t>
    <phoneticPr fontId="4"/>
  </si>
  <si>
    <t>Ｄ</t>
  </si>
  <si>
    <t>Ｄ</t>
    <phoneticPr fontId="4"/>
  </si>
  <si>
    <t>土壌改良資材</t>
    <rPh sb="0" eb="2">
      <t>ドジョウ</t>
    </rPh>
    <rPh sb="2" eb="4">
      <t>カイリョウ</t>
    </rPh>
    <rPh sb="4" eb="6">
      <t>シザイ</t>
    </rPh>
    <phoneticPr fontId="4"/>
  </si>
  <si>
    <t>緩効性肥料</t>
    <rPh sb="0" eb="3">
      <t>カンコウセイ</t>
    </rPh>
    <rPh sb="3" eb="5">
      <t>ヒリョウ</t>
    </rPh>
    <phoneticPr fontId="4"/>
  </si>
  <si>
    <t>種子消毒殺菌剤</t>
    <rPh sb="0" eb="2">
      <t>シュシ</t>
    </rPh>
    <rPh sb="2" eb="4">
      <t>ショウドク</t>
    </rPh>
    <rPh sb="4" eb="7">
      <t>サッキンザイ</t>
    </rPh>
    <phoneticPr fontId="4"/>
  </si>
  <si>
    <t>育苗用殺菌剤</t>
    <rPh sb="0" eb="2">
      <t>イクビョウ</t>
    </rPh>
    <rPh sb="2" eb="3">
      <t>ヨウ</t>
    </rPh>
    <rPh sb="3" eb="6">
      <t>サッキンザイ</t>
    </rPh>
    <phoneticPr fontId="4"/>
  </si>
  <si>
    <t>種子消毒殺虫剤</t>
    <rPh sb="0" eb="2">
      <t>シュシ</t>
    </rPh>
    <rPh sb="2" eb="4">
      <t>ショウドク</t>
    </rPh>
    <rPh sb="4" eb="7">
      <t>サッチュウザイ</t>
    </rPh>
    <phoneticPr fontId="4"/>
  </si>
  <si>
    <t>一発剤</t>
    <rPh sb="0" eb="2">
      <t>イッパツ</t>
    </rPh>
    <rPh sb="2" eb="3">
      <t>ザイ</t>
    </rPh>
    <phoneticPr fontId="4"/>
  </si>
  <si>
    <t>箱施用剤</t>
    <rPh sb="0" eb="1">
      <t>ハコ</t>
    </rPh>
    <rPh sb="1" eb="3">
      <t>セヨウ</t>
    </rPh>
    <rPh sb="3" eb="4">
      <t>ザイ</t>
    </rPh>
    <phoneticPr fontId="4"/>
  </si>
  <si>
    <t>殺虫殺菌剤</t>
    <rPh sb="0" eb="2">
      <t>サッチュウ</t>
    </rPh>
    <rPh sb="2" eb="4">
      <t>サッキン</t>
    </rPh>
    <rPh sb="4" eb="5">
      <t>ザイ</t>
    </rPh>
    <phoneticPr fontId="4"/>
  </si>
  <si>
    <t>８－４　経費の算出基礎（白ねぎ，1ha当たり）</t>
    <rPh sb="4" eb="6">
      <t>ケイヒ</t>
    </rPh>
    <rPh sb="7" eb="9">
      <t>サンシュツ</t>
    </rPh>
    <rPh sb="9" eb="11">
      <t>キソ</t>
    </rPh>
    <rPh sb="12" eb="13">
      <t>シロ</t>
    </rPh>
    <rPh sb="19" eb="20">
      <t>ア</t>
    </rPh>
    <phoneticPr fontId="4"/>
  </si>
  <si>
    <t>A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</si>
</sst>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76" formatCode="#,##0_);[Red]\(#,##0\)"/>
    <numFmt numFmtId="177" formatCode="#,##0;&quot;▲ &quot;#,##0"/>
    <numFmt numFmtId="178" formatCode="#,##0.0;&quot;▲ &quot;#,##0.0"/>
    <numFmt numFmtId="179" formatCode="#,##0.0_);[Red]\(#,##0.0\)"/>
    <numFmt numFmtId="180" formatCode="0\ &quot;年&quot;"/>
    <numFmt numFmtId="181" formatCode="#,##0;&quot;△ &quot;#,##0"/>
    <numFmt numFmtId="182" formatCode="0.0%"/>
    <numFmt numFmtId="183" formatCode="0.0_);[Red]\(0.0\)"/>
    <numFmt numFmtId="184" formatCode="0&quot;ha&quot;"/>
    <numFmt numFmtId="185" formatCode="#,##0.00_);[Red]\(#,##0.00\)"/>
    <numFmt numFmtId="186" formatCode="&quot;水&quot;&quot;稲&quot;#,##0.0&quot;ha&quot;"/>
    <numFmt numFmtId="187" formatCode="&quot;大豆&quot;#,##0.0&quot;ha&quot;"/>
    <numFmt numFmtId="188" formatCode="0&quot;円/時&quot;"/>
    <numFmt numFmtId="189" formatCode="0&quot;円/袋&quot;"/>
    <numFmt numFmtId="190" formatCode="0&quot;円/10a&quot;"/>
    <numFmt numFmtId="191" formatCode="0.0_);\(0.0\)"/>
    <numFmt numFmtId="192" formatCode="0.0&quot;ha&quot;"/>
    <numFmt numFmtId="193" formatCode="#,##0.00;&quot;▲ &quot;#,##0.00"/>
    <numFmt numFmtId="194" formatCode="0.0_ "/>
    <numFmt numFmtId="195" formatCode="0_ 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359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dotted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dotted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 diagonalDown="1"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 style="thin">
        <color indexed="8"/>
      </diagonal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 diagonalDown="1"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 style="thin">
        <color indexed="8"/>
      </diagonal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 style="thin">
        <color indexed="8"/>
      </diagonal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/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double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7" fontId="13" fillId="0" borderId="0"/>
    <xf numFmtId="0" fontId="12" fillId="0" borderId="0"/>
    <xf numFmtId="0" fontId="1" fillId="0" borderId="0"/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1357">
    <xf numFmtId="0" fontId="0" fillId="0" borderId="0" xfId="0">
      <alignment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Border="1" applyAlignment="1">
      <alignment vertical="center"/>
    </xf>
    <xf numFmtId="177" fontId="0" fillId="0" borderId="0" xfId="0" applyNumberForma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38" fontId="0" fillId="0" borderId="0" xfId="1" applyFont="1" applyAlignment="1">
      <alignment vertical="center"/>
    </xf>
    <xf numFmtId="0" fontId="0" fillId="0" borderId="77" xfId="0" applyFont="1" applyBorder="1" applyAlignment="1">
      <alignment horizontal="center" vertical="center"/>
    </xf>
    <xf numFmtId="0" fontId="0" fillId="0" borderId="35" xfId="0" applyFont="1" applyBorder="1" applyAlignment="1">
      <alignment vertical="center" wrapText="1"/>
    </xf>
    <xf numFmtId="0" fontId="0" fillId="0" borderId="64" xfId="0" applyFont="1" applyBorder="1" applyAlignment="1">
      <alignment vertical="center"/>
    </xf>
    <xf numFmtId="181" fontId="0" fillId="0" borderId="37" xfId="0" applyNumberFormat="1" applyFont="1" applyBorder="1" applyAlignment="1">
      <alignment horizontal="right" vertical="center"/>
    </xf>
    <xf numFmtId="38" fontId="0" fillId="0" borderId="59" xfId="1" applyFont="1" applyBorder="1" applyAlignment="1">
      <alignment vertical="center" shrinkToFit="1"/>
    </xf>
    <xf numFmtId="0" fontId="0" fillId="0" borderId="34" xfId="0" applyFont="1" applyBorder="1" applyAlignment="1">
      <alignment vertical="center"/>
    </xf>
    <xf numFmtId="0" fontId="0" fillId="0" borderId="39" xfId="0" applyFont="1" applyBorder="1" applyAlignment="1">
      <alignment vertical="center"/>
    </xf>
    <xf numFmtId="181" fontId="0" fillId="0" borderId="39" xfId="0" applyNumberFormat="1" applyFont="1" applyBorder="1" applyAlignment="1">
      <alignment horizontal="right" vertical="center"/>
    </xf>
    <xf numFmtId="38" fontId="0" fillId="0" borderId="60" xfId="1" applyFont="1" applyBorder="1" applyAlignment="1">
      <alignment vertical="center" shrinkToFit="1"/>
    </xf>
    <xf numFmtId="181" fontId="0" fillId="3" borderId="39" xfId="0" applyNumberFormat="1" applyFont="1" applyFill="1" applyBorder="1" applyAlignment="1">
      <alignment horizontal="right" vertical="center"/>
    </xf>
    <xf numFmtId="181" fontId="0" fillId="3" borderId="41" xfId="0" applyNumberFormat="1" applyFont="1" applyFill="1" applyBorder="1" applyAlignment="1">
      <alignment horizontal="right" vertical="center"/>
    </xf>
    <xf numFmtId="181" fontId="0" fillId="0" borderId="24" xfId="0" applyNumberFormat="1" applyFont="1" applyBorder="1" applyAlignment="1">
      <alignment horizontal="right" vertical="center"/>
    </xf>
    <xf numFmtId="0" fontId="0" fillId="0" borderId="24" xfId="0" applyFont="1" applyBorder="1" applyAlignment="1">
      <alignment vertical="center"/>
    </xf>
    <xf numFmtId="181" fontId="0" fillId="4" borderId="39" xfId="0" applyNumberFormat="1" applyFont="1" applyFill="1" applyBorder="1" applyAlignment="1">
      <alignment horizontal="right" vertical="center"/>
    </xf>
    <xf numFmtId="181" fontId="0" fillId="0" borderId="34" xfId="0" applyNumberFormat="1" applyFont="1" applyBorder="1" applyAlignment="1">
      <alignment horizontal="right" vertical="center"/>
    </xf>
    <xf numFmtId="0" fontId="0" fillId="0" borderId="24" xfId="0" applyFont="1" applyFill="1" applyBorder="1" applyAlignment="1">
      <alignment vertical="center"/>
    </xf>
    <xf numFmtId="0" fontId="9" fillId="0" borderId="39" xfId="0" applyFont="1" applyBorder="1" applyAlignment="1">
      <alignment vertical="center"/>
    </xf>
    <xf numFmtId="181" fontId="0" fillId="4" borderId="61" xfId="0" applyNumberFormat="1" applyFont="1" applyFill="1" applyBorder="1" applyAlignment="1">
      <alignment horizontal="right" vertical="center"/>
    </xf>
    <xf numFmtId="38" fontId="0" fillId="0" borderId="62" xfId="1" applyFont="1" applyBorder="1" applyAlignment="1">
      <alignment vertical="center" shrinkToFit="1"/>
    </xf>
    <xf numFmtId="181" fontId="0" fillId="3" borderId="42" xfId="1" applyNumberFormat="1" applyFont="1" applyFill="1" applyBorder="1" applyAlignment="1">
      <alignment horizontal="right" vertical="center"/>
    </xf>
    <xf numFmtId="38" fontId="0" fillId="0" borderId="63" xfId="1" applyFont="1" applyBorder="1" applyAlignment="1">
      <alignment vertical="center" shrinkToFit="1"/>
    </xf>
    <xf numFmtId="0" fontId="0" fillId="0" borderId="120" xfId="0" applyFont="1" applyBorder="1" applyAlignment="1">
      <alignment vertical="center"/>
    </xf>
    <xf numFmtId="0" fontId="0" fillId="0" borderId="124" xfId="0" applyFont="1" applyBorder="1" applyAlignment="1">
      <alignment vertical="center"/>
    </xf>
    <xf numFmtId="181" fontId="0" fillId="0" borderId="24" xfId="1" applyNumberFormat="1" applyFont="1" applyBorder="1" applyAlignment="1">
      <alignment horizontal="right" vertical="center"/>
    </xf>
    <xf numFmtId="38" fontId="0" fillId="0" borderId="66" xfId="1" applyFont="1" applyBorder="1" applyAlignment="1">
      <alignment vertical="center" shrinkToFit="1"/>
    </xf>
    <xf numFmtId="0" fontId="0" fillId="0" borderId="34" xfId="0" applyFont="1" applyFill="1" applyBorder="1" applyAlignment="1">
      <alignment vertical="center"/>
    </xf>
    <xf numFmtId="0" fontId="0" fillId="0" borderId="39" xfId="0" applyFont="1" applyFill="1" applyBorder="1" applyAlignment="1">
      <alignment vertical="center"/>
    </xf>
    <xf numFmtId="0" fontId="0" fillId="0" borderId="54" xfId="0" applyFont="1" applyFill="1" applyBorder="1" applyAlignment="1">
      <alignment vertical="center"/>
    </xf>
    <xf numFmtId="0" fontId="0" fillId="0" borderId="41" xfId="0" applyFont="1" applyFill="1" applyBorder="1" applyAlignment="1">
      <alignment vertical="center"/>
    </xf>
    <xf numFmtId="38" fontId="0" fillId="0" borderId="65" xfId="1" applyFont="1" applyBorder="1" applyAlignment="1">
      <alignment vertical="center" shrinkToFit="1"/>
    </xf>
    <xf numFmtId="181" fontId="0" fillId="4" borderId="47" xfId="1" applyNumberFormat="1" applyFont="1" applyFill="1" applyBorder="1" applyAlignment="1">
      <alignment horizontal="right" vertical="center"/>
    </xf>
    <xf numFmtId="181" fontId="0" fillId="3" borderId="48" xfId="1" applyNumberFormat="1" applyFont="1" applyFill="1" applyBorder="1" applyAlignment="1">
      <alignment horizontal="right" vertical="center"/>
    </xf>
    <xf numFmtId="176" fontId="0" fillId="0" borderId="1" xfId="0" applyNumberFormat="1" applyFont="1" applyBorder="1" applyAlignment="1">
      <alignment vertical="center" shrinkToFit="1"/>
    </xf>
    <xf numFmtId="176" fontId="0" fillId="0" borderId="0" xfId="0" applyNumberFormat="1" applyFont="1" applyAlignment="1">
      <alignment vertical="center"/>
    </xf>
    <xf numFmtId="179" fontId="0" fillId="0" borderId="0" xfId="0" applyNumberFormat="1" applyFont="1" applyAlignment="1">
      <alignment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left" vertical="center"/>
    </xf>
    <xf numFmtId="179" fontId="0" fillId="0" borderId="72" xfId="0" applyNumberFormat="1" applyFont="1" applyBorder="1" applyAlignment="1">
      <alignment horizontal="center" vertical="center" shrinkToFit="1"/>
    </xf>
    <xf numFmtId="176" fontId="0" fillId="0" borderId="89" xfId="0" applyNumberFormat="1" applyFont="1" applyBorder="1" applyAlignment="1">
      <alignment horizontal="center" vertical="center" shrinkToFit="1"/>
    </xf>
    <xf numFmtId="176" fontId="0" fillId="0" borderId="1" xfId="0" applyNumberFormat="1" applyFont="1" applyBorder="1" applyAlignment="1">
      <alignment horizontal="center" vertical="center" shrinkToFit="1"/>
    </xf>
    <xf numFmtId="179" fontId="0" fillId="0" borderId="1" xfId="0" applyNumberFormat="1" applyFont="1" applyBorder="1" applyAlignment="1">
      <alignment horizontal="center" vertical="center" shrinkToFit="1"/>
    </xf>
    <xf numFmtId="182" fontId="0" fillId="0" borderId="1" xfId="4" applyNumberFormat="1" applyFont="1" applyBorder="1" applyAlignment="1">
      <alignment vertical="center" shrinkToFit="1"/>
    </xf>
    <xf numFmtId="9" fontId="0" fillId="0" borderId="1" xfId="0" applyNumberFormat="1" applyFont="1" applyBorder="1" applyAlignment="1">
      <alignment vertical="center" shrinkToFit="1"/>
    </xf>
    <xf numFmtId="176" fontId="0" fillId="0" borderId="1" xfId="0" applyNumberFormat="1" applyFont="1" applyBorder="1" applyAlignment="1">
      <alignment horizontal="right" vertical="center" shrinkToFit="1"/>
    </xf>
    <xf numFmtId="176" fontId="0" fillId="0" borderId="1" xfId="0" applyNumberFormat="1" applyFont="1" applyBorder="1" applyAlignment="1">
      <alignment horizontal="left" vertical="center" shrinkToFit="1"/>
    </xf>
    <xf numFmtId="176" fontId="0" fillId="2" borderId="1" xfId="0" applyNumberFormat="1" applyFont="1" applyFill="1" applyBorder="1" applyAlignment="1">
      <alignment horizontal="center" vertical="center" shrinkToFit="1"/>
    </xf>
    <xf numFmtId="176" fontId="0" fillId="2" borderId="1" xfId="0" applyNumberFormat="1" applyFont="1" applyFill="1" applyBorder="1" applyAlignment="1">
      <alignment vertical="center" shrinkToFit="1"/>
    </xf>
    <xf numFmtId="176" fontId="0" fillId="2" borderId="1" xfId="0" applyNumberFormat="1" applyFont="1" applyFill="1" applyBorder="1" applyAlignment="1">
      <alignment horizontal="left" vertical="center" shrinkToFit="1"/>
    </xf>
    <xf numFmtId="179" fontId="0" fillId="2" borderId="1" xfId="0" applyNumberFormat="1" applyFont="1" applyFill="1" applyBorder="1" applyAlignment="1">
      <alignment vertical="center" shrinkToFit="1"/>
    </xf>
    <xf numFmtId="9" fontId="0" fillId="0" borderId="1" xfId="0" applyNumberFormat="1" applyFont="1" applyFill="1" applyBorder="1" applyAlignment="1">
      <alignment vertical="center" shrinkToFit="1"/>
    </xf>
    <xf numFmtId="176" fontId="0" fillId="0" borderId="1" xfId="0" applyNumberFormat="1" applyFont="1" applyFill="1" applyBorder="1" applyAlignment="1">
      <alignment vertical="center" shrinkToFit="1"/>
    </xf>
    <xf numFmtId="9" fontId="0" fillId="0" borderId="1" xfId="4" applyFont="1" applyBorder="1" applyAlignment="1">
      <alignment vertical="center" shrinkToFit="1"/>
    </xf>
    <xf numFmtId="176" fontId="0" fillId="2" borderId="10" xfId="0" applyNumberFormat="1" applyFont="1" applyFill="1" applyBorder="1" applyAlignment="1">
      <alignment vertical="center" shrinkToFit="1"/>
    </xf>
    <xf numFmtId="176" fontId="0" fillId="0" borderId="85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horizontal="left" vertical="center" shrinkToFit="1"/>
    </xf>
    <xf numFmtId="179" fontId="0" fillId="0" borderId="19" xfId="0" applyNumberFormat="1" applyFont="1" applyFill="1" applyBorder="1" applyAlignment="1">
      <alignment vertical="center" shrinkToFit="1"/>
    </xf>
    <xf numFmtId="176" fontId="0" fillId="0" borderId="1" xfId="0" applyNumberFormat="1" applyFont="1" applyBorder="1" applyAlignment="1">
      <alignment horizontal="center" vertical="center"/>
    </xf>
    <xf numFmtId="176" fontId="0" fillId="0" borderId="69" xfId="0" applyNumberFormat="1" applyFont="1" applyBorder="1" applyAlignment="1">
      <alignment horizontal="center" vertical="center"/>
    </xf>
    <xf numFmtId="176" fontId="0" fillId="0" borderId="68" xfId="0" applyNumberFormat="1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center" vertical="center"/>
    </xf>
    <xf numFmtId="176" fontId="0" fillId="0" borderId="10" xfId="0" applyNumberFormat="1" applyFont="1" applyBorder="1" applyAlignment="1">
      <alignment vertical="center"/>
    </xf>
    <xf numFmtId="176" fontId="0" fillId="0" borderId="32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57" xfId="0" applyNumberFormat="1" applyFont="1" applyBorder="1" applyAlignment="1">
      <alignment vertical="center"/>
    </xf>
    <xf numFmtId="176" fontId="0" fillId="0" borderId="7" xfId="0" applyNumberFormat="1" applyFont="1" applyBorder="1" applyAlignment="1">
      <alignment horizontal="left" vertical="center" indent="1"/>
    </xf>
    <xf numFmtId="179" fontId="0" fillId="0" borderId="1" xfId="0" applyNumberFormat="1" applyFont="1" applyBorder="1" applyAlignment="1">
      <alignment vertical="center" shrinkToFit="1"/>
    </xf>
    <xf numFmtId="179" fontId="0" fillId="0" borderId="68" xfId="0" applyNumberFormat="1" applyFont="1" applyBorder="1" applyAlignment="1">
      <alignment vertical="center" shrinkToFit="1"/>
    </xf>
    <xf numFmtId="179" fontId="0" fillId="0" borderId="2" xfId="0" applyNumberFormat="1" applyFont="1" applyBorder="1" applyAlignment="1">
      <alignment vertical="center" shrinkToFit="1"/>
    </xf>
    <xf numFmtId="176" fontId="0" fillId="0" borderId="7" xfId="0" applyNumberFormat="1" applyFont="1" applyBorder="1" applyAlignment="1">
      <alignment horizontal="center" vertical="center"/>
    </xf>
    <xf numFmtId="179" fontId="0" fillId="0" borderId="69" xfId="0" applyNumberFormat="1" applyFont="1" applyBorder="1" applyAlignment="1">
      <alignment vertical="center" shrinkToFit="1"/>
    </xf>
    <xf numFmtId="179" fontId="0" fillId="0" borderId="8" xfId="0" applyNumberFormat="1" applyFont="1" applyBorder="1" applyAlignment="1">
      <alignment vertical="center" shrinkToFit="1"/>
    </xf>
    <xf numFmtId="176" fontId="0" fillId="0" borderId="70" xfId="0" applyNumberFormat="1" applyFont="1" applyBorder="1" applyAlignment="1">
      <alignment horizontal="center" vertical="center"/>
    </xf>
    <xf numFmtId="179" fontId="0" fillId="0" borderId="19" xfId="0" applyNumberFormat="1" applyFont="1" applyBorder="1" applyAlignment="1">
      <alignment vertical="center" shrinkToFit="1"/>
    </xf>
    <xf numFmtId="179" fontId="0" fillId="0" borderId="18" xfId="0" applyNumberFormat="1" applyFont="1" applyBorder="1" applyAlignment="1">
      <alignment vertical="center" shrinkToFit="1"/>
    </xf>
    <xf numFmtId="179" fontId="0" fillId="0" borderId="71" xfId="0" applyNumberFormat="1" applyFont="1" applyBorder="1" applyAlignment="1">
      <alignment vertical="center" shrinkToFit="1"/>
    </xf>
    <xf numFmtId="0" fontId="1" fillId="0" borderId="0" xfId="2" applyFont="1" applyBorder="1" applyAlignment="1">
      <alignment vertical="center"/>
    </xf>
    <xf numFmtId="0" fontId="1" fillId="0" borderId="0" xfId="2" applyFont="1" applyAlignment="1">
      <alignment vertical="center"/>
    </xf>
    <xf numFmtId="0" fontId="11" fillId="0" borderId="0" xfId="2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49" xfId="2" applyFont="1" applyBorder="1" applyAlignment="1">
      <alignment horizontal="center" vertical="center" wrapText="1"/>
    </xf>
    <xf numFmtId="0" fontId="8" fillId="0" borderId="0" xfId="2" applyFont="1" applyBorder="1" applyAlignment="1">
      <alignment vertical="center" wrapText="1"/>
    </xf>
    <xf numFmtId="0" fontId="8" fillId="0" borderId="32" xfId="2" applyFont="1" applyBorder="1" applyAlignment="1">
      <alignment vertical="center" wrapText="1"/>
    </xf>
    <xf numFmtId="0" fontId="1" fillId="0" borderId="0" xfId="2" applyFont="1" applyAlignment="1">
      <alignment vertical="center" wrapText="1"/>
    </xf>
    <xf numFmtId="177" fontId="0" fillId="0" borderId="0" xfId="0" applyNumberFormat="1" applyFont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right" vertical="center"/>
    </xf>
    <xf numFmtId="177" fontId="0" fillId="0" borderId="4" xfId="0" applyNumberFormat="1" applyFont="1" applyBorder="1" applyAlignment="1">
      <alignment vertical="center"/>
    </xf>
    <xf numFmtId="177" fontId="0" fillId="0" borderId="5" xfId="0" applyNumberFormat="1" applyFont="1" applyBorder="1" applyAlignment="1">
      <alignment vertical="center"/>
    </xf>
    <xf numFmtId="177" fontId="0" fillId="0" borderId="4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vertical="center" shrinkToFit="1"/>
    </xf>
    <xf numFmtId="177" fontId="0" fillId="0" borderId="10" xfId="0" applyNumberFormat="1" applyFont="1" applyBorder="1" applyAlignment="1">
      <alignment vertical="center" shrinkToFit="1"/>
    </xf>
    <xf numFmtId="177" fontId="0" fillId="2" borderId="10" xfId="0" applyNumberFormat="1" applyFont="1" applyFill="1" applyBorder="1" applyAlignment="1">
      <alignment horizontal="center" vertical="center" shrinkToFit="1"/>
    </xf>
    <xf numFmtId="177" fontId="0" fillId="2" borderId="114" xfId="0" applyNumberFormat="1" applyFont="1" applyFill="1" applyBorder="1" applyAlignment="1">
      <alignment vertical="center" shrinkToFit="1"/>
    </xf>
    <xf numFmtId="178" fontId="0" fillId="2" borderId="114" xfId="0" applyNumberFormat="1" applyFont="1" applyFill="1" applyBorder="1" applyAlignment="1">
      <alignment vertical="center" shrinkToFit="1"/>
    </xf>
    <xf numFmtId="177" fontId="0" fillId="0" borderId="0" xfId="0" applyNumberFormat="1" applyFont="1" applyFill="1" applyBorder="1" applyAlignment="1">
      <alignment vertical="center"/>
    </xf>
    <xf numFmtId="177" fontId="0" fillId="2" borderId="17" xfId="0" applyNumberFormat="1" applyFont="1" applyFill="1" applyBorder="1" applyAlignment="1">
      <alignment vertical="center"/>
    </xf>
    <xf numFmtId="177" fontId="0" fillId="2" borderId="11" xfId="0" applyNumberFormat="1" applyFont="1" applyFill="1" applyBorder="1" applyAlignment="1">
      <alignment vertical="center"/>
    </xf>
    <xf numFmtId="177" fontId="0" fillId="0" borderId="14" xfId="3" applyNumberFormat="1" applyFont="1" applyBorder="1" applyAlignment="1">
      <alignment vertical="center" shrinkToFit="1"/>
    </xf>
    <xf numFmtId="177" fontId="0" fillId="0" borderId="14" xfId="0" applyNumberFormat="1" applyFont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horizontal="left" vertical="center"/>
    </xf>
    <xf numFmtId="177" fontId="0" fillId="0" borderId="15" xfId="0" applyNumberFormat="1" applyFont="1" applyBorder="1" applyAlignment="1">
      <alignment vertical="center"/>
    </xf>
    <xf numFmtId="177" fontId="0" fillId="0" borderId="0" xfId="3" applyNumberFormat="1" applyFont="1" applyAlignment="1">
      <alignment vertical="center"/>
    </xf>
    <xf numFmtId="177" fontId="0" fillId="0" borderId="0" xfId="3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center" vertical="center"/>
    </xf>
    <xf numFmtId="177" fontId="0" fillId="0" borderId="0" xfId="0" applyNumberFormat="1" applyFont="1" applyBorder="1" applyAlignment="1">
      <alignment vertical="center" shrinkToFit="1"/>
    </xf>
    <xf numFmtId="177" fontId="0" fillId="0" borderId="0" xfId="0" applyNumberFormat="1" applyFont="1" applyBorder="1" applyAlignment="1">
      <alignment horizontal="center" vertical="center" shrinkToFit="1"/>
    </xf>
    <xf numFmtId="177" fontId="0" fillId="2" borderId="18" xfId="0" applyNumberFormat="1" applyFont="1" applyFill="1" applyBorder="1" applyAlignment="1">
      <alignment vertical="center"/>
    </xf>
    <xf numFmtId="177" fontId="0" fillId="2" borderId="19" xfId="0" applyNumberFormat="1" applyFont="1" applyFill="1" applyBorder="1" applyAlignment="1">
      <alignment vertical="center"/>
    </xf>
    <xf numFmtId="177" fontId="0" fillId="0" borderId="38" xfId="3" applyNumberFormat="1" applyFont="1" applyBorder="1" applyAlignment="1">
      <alignment vertical="center"/>
    </xf>
    <xf numFmtId="181" fontId="0" fillId="0" borderId="45" xfId="1" applyNumberFormat="1" applyFont="1" applyBorder="1" applyAlignment="1">
      <alignment vertical="center"/>
    </xf>
    <xf numFmtId="177" fontId="0" fillId="0" borderId="46" xfId="3" applyNumberFormat="1" applyFont="1" applyBorder="1" applyAlignment="1">
      <alignment vertical="center"/>
    </xf>
    <xf numFmtId="176" fontId="0" fillId="0" borderId="0" xfId="0" applyNumberFormat="1" applyFont="1" applyAlignment="1">
      <alignment vertical="center" shrinkToFit="1"/>
    </xf>
    <xf numFmtId="176" fontId="0" fillId="0" borderId="0" xfId="0" applyNumberFormat="1" applyFont="1" applyBorder="1" applyAlignment="1">
      <alignment vertical="center" shrinkToFit="1"/>
    </xf>
    <xf numFmtId="177" fontId="0" fillId="0" borderId="5" xfId="0" applyNumberFormat="1" applyFont="1" applyBorder="1" applyAlignment="1">
      <alignment horizontal="center" vertical="center" shrinkToFit="1"/>
    </xf>
    <xf numFmtId="177" fontId="0" fillId="2" borderId="1" xfId="0" applyNumberFormat="1" applyFont="1" applyFill="1" applyBorder="1" applyAlignment="1">
      <alignment vertical="center" shrinkToFit="1"/>
    </xf>
    <xf numFmtId="177" fontId="0" fillId="0" borderId="1" xfId="3" applyNumberFormat="1" applyFont="1" applyBorder="1" applyAlignment="1">
      <alignment vertical="center" shrinkToFit="1"/>
    </xf>
    <xf numFmtId="177" fontId="0" fillId="0" borderId="89" xfId="0" applyNumberFormat="1" applyFont="1" applyFill="1" applyBorder="1" applyAlignment="1">
      <alignment vertical="center"/>
    </xf>
    <xf numFmtId="177" fontId="0" fillId="0" borderId="89" xfId="0" applyNumberFormat="1" applyFont="1" applyFill="1" applyBorder="1" applyAlignment="1">
      <alignment vertical="center"/>
    </xf>
    <xf numFmtId="177" fontId="0" fillId="0" borderId="89" xfId="0" applyNumberFormat="1" applyFont="1" applyBorder="1" applyAlignment="1">
      <alignment vertical="center" shrinkToFit="1"/>
    </xf>
    <xf numFmtId="177" fontId="0" fillId="0" borderId="13" xfId="0" applyNumberFormat="1" applyFont="1" applyBorder="1" applyAlignment="1">
      <alignment vertical="center" shrinkToFit="1"/>
    </xf>
    <xf numFmtId="176" fontId="0" fillId="0" borderId="116" xfId="0" applyNumberFormat="1" applyFont="1" applyBorder="1" applyAlignment="1">
      <alignment horizontal="center" vertical="center" shrinkToFit="1"/>
    </xf>
    <xf numFmtId="176" fontId="0" fillId="0" borderId="76" xfId="0" applyNumberFormat="1" applyFont="1" applyBorder="1" applyAlignment="1">
      <alignment vertical="center" shrinkToFit="1"/>
    </xf>
    <xf numFmtId="176" fontId="0" fillId="0" borderId="2" xfId="0" applyNumberFormat="1" applyFont="1" applyBorder="1" applyAlignment="1">
      <alignment vertical="center" shrinkToFit="1"/>
    </xf>
    <xf numFmtId="176" fontId="0" fillId="2" borderId="114" xfId="0" applyNumberFormat="1" applyFont="1" applyFill="1" applyBorder="1" applyAlignment="1">
      <alignment vertical="center" shrinkToFit="1"/>
    </xf>
    <xf numFmtId="176" fontId="0" fillId="2" borderId="129" xfId="0" applyNumberFormat="1" applyFont="1" applyFill="1" applyBorder="1" applyAlignment="1">
      <alignment vertical="center" shrinkToFit="1"/>
    </xf>
    <xf numFmtId="176" fontId="0" fillId="2" borderId="11" xfId="0" applyNumberFormat="1" applyFont="1" applyFill="1" applyBorder="1" applyAlignment="1">
      <alignment horizontal="center" vertical="center" shrinkToFit="1"/>
    </xf>
    <xf numFmtId="176" fontId="0" fillId="2" borderId="11" xfId="0" applyNumberFormat="1" applyFont="1" applyFill="1" applyBorder="1" applyAlignment="1">
      <alignment vertical="center" shrinkToFit="1"/>
    </xf>
    <xf numFmtId="176" fontId="0" fillId="2" borderId="130" xfId="0" applyNumberFormat="1" applyFont="1" applyFill="1" applyBorder="1" applyAlignment="1">
      <alignment vertical="center" shrinkToFit="1"/>
    </xf>
    <xf numFmtId="176" fontId="0" fillId="2" borderId="19" xfId="0" applyNumberFormat="1" applyFont="1" applyFill="1" applyBorder="1" applyAlignment="1">
      <alignment horizontal="center" vertical="center" shrinkToFit="1"/>
    </xf>
    <xf numFmtId="176" fontId="0" fillId="2" borderId="19" xfId="0" applyNumberFormat="1" applyFont="1" applyFill="1" applyBorder="1" applyAlignment="1">
      <alignment vertical="center" shrinkToFit="1"/>
    </xf>
    <xf numFmtId="176" fontId="0" fillId="2" borderId="71" xfId="0" applyNumberFormat="1" applyFont="1" applyFill="1" applyBorder="1" applyAlignment="1">
      <alignment vertical="center" shrinkToFit="1"/>
    </xf>
    <xf numFmtId="176" fontId="0" fillId="0" borderId="24" xfId="0" applyNumberFormat="1" applyFont="1" applyBorder="1" applyAlignment="1">
      <alignment vertical="center" shrinkToFit="1"/>
    </xf>
    <xf numFmtId="176" fontId="0" fillId="0" borderId="55" xfId="0" applyNumberFormat="1" applyFont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Border="1" applyAlignment="1">
      <alignment horizontal="left" vertical="center"/>
    </xf>
    <xf numFmtId="176" fontId="0" fillId="5" borderId="19" xfId="0" applyNumberFormat="1" applyFont="1" applyFill="1" applyBorder="1" applyAlignment="1">
      <alignment vertical="center" shrinkToFit="1"/>
    </xf>
    <xf numFmtId="183" fontId="0" fillId="5" borderId="114" xfId="0" applyNumberFormat="1" applyFont="1" applyFill="1" applyBorder="1" applyAlignment="1">
      <alignment vertical="center" shrinkToFit="1"/>
    </xf>
    <xf numFmtId="183" fontId="0" fillId="5" borderId="52" xfId="0" applyNumberFormat="1" applyFont="1" applyFill="1" applyBorder="1" applyAlignment="1">
      <alignment vertical="center" shrinkToFit="1"/>
    </xf>
    <xf numFmtId="183" fontId="0" fillId="5" borderId="22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Alignment="1">
      <alignment vertical="center"/>
    </xf>
    <xf numFmtId="177" fontId="0" fillId="0" borderId="76" xfId="0" applyNumberFormat="1" applyFont="1" applyBorder="1" applyAlignment="1">
      <alignment vertical="center" shrinkToFit="1"/>
    </xf>
    <xf numFmtId="177" fontId="0" fillId="2" borderId="137" xfId="0" applyNumberFormat="1" applyFont="1" applyFill="1" applyBorder="1" applyAlignment="1">
      <alignment vertical="center" shrinkToFit="1"/>
    </xf>
    <xf numFmtId="177" fontId="0" fillId="2" borderId="117" xfId="0" applyNumberFormat="1" applyFont="1" applyFill="1" applyBorder="1" applyAlignment="1">
      <alignment vertical="center" shrinkToFit="1"/>
    </xf>
    <xf numFmtId="177" fontId="0" fillId="2" borderId="118" xfId="0" applyNumberFormat="1" applyFont="1" applyFill="1" applyBorder="1" applyAlignment="1">
      <alignment vertical="center" shrinkToFit="1"/>
    </xf>
    <xf numFmtId="177" fontId="0" fillId="2" borderId="131" xfId="0" applyNumberFormat="1" applyFont="1" applyFill="1" applyBorder="1" applyAlignment="1">
      <alignment vertical="center" shrinkToFit="1"/>
    </xf>
    <xf numFmtId="177" fontId="0" fillId="0" borderId="89" xfId="0" applyNumberFormat="1" applyFont="1" applyBorder="1" applyAlignment="1">
      <alignment horizontal="center" vertical="center" shrinkToFit="1"/>
    </xf>
    <xf numFmtId="181" fontId="0" fillId="0" borderId="34" xfId="1" applyNumberFormat="1" applyFont="1" applyFill="1" applyBorder="1" applyAlignment="1">
      <alignment vertical="center"/>
    </xf>
    <xf numFmtId="181" fontId="0" fillId="0" borderId="24" xfId="1" applyNumberFormat="1" applyFont="1" applyFill="1" applyBorder="1" applyAlignment="1">
      <alignment vertical="center"/>
    </xf>
    <xf numFmtId="181" fontId="0" fillId="5" borderId="47" xfId="1" applyNumberFormat="1" applyFont="1" applyFill="1" applyBorder="1" applyAlignment="1">
      <alignment vertical="center"/>
    </xf>
    <xf numFmtId="177" fontId="0" fillId="0" borderId="1" xfId="0" applyNumberForma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0" fontId="0" fillId="0" borderId="53" xfId="0" applyFont="1" applyBorder="1" applyAlignment="1">
      <alignment vertical="center"/>
    </xf>
    <xf numFmtId="0" fontId="0" fillId="0" borderId="43" xfId="0" applyFont="1" applyBorder="1" applyAlignment="1">
      <alignment vertical="center"/>
    </xf>
    <xf numFmtId="181" fontId="0" fillId="0" borderId="144" xfId="1" applyNumberFormat="1" applyFont="1" applyFill="1" applyBorder="1" applyAlignment="1">
      <alignment vertical="center"/>
    </xf>
    <xf numFmtId="177" fontId="0" fillId="0" borderId="145" xfId="0" applyNumberFormat="1" applyFill="1" applyBorder="1" applyAlignment="1">
      <alignment vertical="center"/>
    </xf>
    <xf numFmtId="177" fontId="0" fillId="0" borderId="146" xfId="3" applyNumberFormat="1" applyFont="1" applyBorder="1" applyAlignment="1">
      <alignment vertical="center"/>
    </xf>
    <xf numFmtId="177" fontId="0" fillId="5" borderId="147" xfId="0" applyNumberFormat="1" applyFont="1" applyFill="1" applyBorder="1" applyAlignment="1">
      <alignment vertical="center" shrinkToFit="1"/>
    </xf>
    <xf numFmtId="177" fontId="0" fillId="0" borderId="147" xfId="3" applyNumberFormat="1" applyFont="1" applyBorder="1" applyAlignment="1">
      <alignment vertical="center"/>
    </xf>
    <xf numFmtId="177" fontId="0" fillId="0" borderId="110" xfId="3" applyNumberFormat="1" applyFont="1" applyBorder="1" applyAlignment="1">
      <alignment horizontal="right" vertical="center"/>
    </xf>
    <xf numFmtId="177" fontId="0" fillId="0" borderId="110" xfId="3" applyNumberFormat="1" applyFont="1" applyBorder="1" applyAlignment="1">
      <alignment horizontal="left" vertical="center" shrinkToFit="1"/>
    </xf>
    <xf numFmtId="177" fontId="0" fillId="0" borderId="148" xfId="0" applyNumberFormat="1" applyFont="1" applyBorder="1" applyAlignment="1">
      <alignment vertical="center"/>
    </xf>
    <xf numFmtId="177" fontId="0" fillId="0" borderId="149" xfId="0" applyNumberFormat="1" applyFont="1" applyBorder="1" applyAlignment="1">
      <alignment vertical="center"/>
    </xf>
    <xf numFmtId="177" fontId="0" fillId="0" borderId="150" xfId="0" applyNumberFormat="1" applyFont="1" applyBorder="1" applyAlignment="1">
      <alignment vertical="center"/>
    </xf>
    <xf numFmtId="177" fontId="0" fillId="0" borderId="145" xfId="0" applyNumberFormat="1" applyFont="1" applyBorder="1" applyAlignment="1">
      <alignment vertical="center"/>
    </xf>
    <xf numFmtId="177" fontId="0" fillId="0" borderId="149" xfId="3" applyNumberFormat="1" applyFont="1" applyBorder="1" applyAlignment="1">
      <alignment vertical="center" shrinkToFit="1"/>
    </xf>
    <xf numFmtId="177" fontId="0" fillId="0" borderId="152" xfId="3" applyNumberFormat="1" applyFont="1" applyBorder="1" applyAlignment="1">
      <alignment vertical="center"/>
    </xf>
    <xf numFmtId="177" fontId="0" fillId="0" borderId="153" xfId="3" applyNumberFormat="1" applyFont="1" applyBorder="1" applyAlignment="1">
      <alignment vertical="center"/>
    </xf>
    <xf numFmtId="177" fontId="0" fillId="0" borderId="149" xfId="0" applyNumberFormat="1" applyFont="1" applyFill="1" applyBorder="1" applyAlignment="1">
      <alignment vertical="center"/>
    </xf>
    <xf numFmtId="177" fontId="0" fillId="0" borderId="145" xfId="0" applyNumberFormat="1" applyFont="1" applyFill="1" applyBorder="1" applyAlignment="1">
      <alignment horizontal="center" vertical="center"/>
    </xf>
    <xf numFmtId="177" fontId="0" fillId="0" borderId="145" xfId="0" applyNumberFormat="1" applyFont="1" applyFill="1" applyBorder="1" applyAlignment="1">
      <alignment vertical="center"/>
    </xf>
    <xf numFmtId="177" fontId="0" fillId="0" borderId="149" xfId="0" applyNumberFormat="1" applyFill="1" applyBorder="1" applyAlignment="1">
      <alignment vertical="center"/>
    </xf>
    <xf numFmtId="178" fontId="0" fillId="0" borderId="145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/>
    </xf>
    <xf numFmtId="9" fontId="0" fillId="0" borderId="14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2" xfId="0" applyNumberFormat="1" applyFill="1" applyBorder="1" applyAlignment="1">
      <alignment vertical="center"/>
    </xf>
    <xf numFmtId="177" fontId="0" fillId="0" borderId="132" xfId="0" applyNumberFormat="1" applyFont="1" applyFill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79" xfId="0" applyNumberFormat="1" applyFont="1" applyFill="1" applyBorder="1" applyAlignment="1">
      <alignment horizontal="center" vertical="center"/>
    </xf>
    <xf numFmtId="177" fontId="0" fillId="0" borderId="13" xfId="0" applyNumberFormat="1" applyFill="1" applyBorder="1" applyAlignment="1">
      <alignment vertical="center"/>
    </xf>
    <xf numFmtId="177" fontId="0" fillId="0" borderId="49" xfId="0" applyNumberFormat="1" applyFont="1" applyFill="1" applyBorder="1" applyAlignment="1">
      <alignment vertical="center"/>
    </xf>
    <xf numFmtId="177" fontId="0" fillId="0" borderId="21" xfId="0" applyNumberFormat="1" applyFill="1" applyBorder="1" applyAlignment="1">
      <alignment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7" xfId="0" applyNumberFormat="1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7" xfId="0" applyNumberFormat="1" applyFon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vertical="center" shrinkToFit="1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49" xfId="0" applyNumberFormat="1" applyFont="1" applyFill="1" applyBorder="1" applyAlignment="1">
      <alignment vertical="center" shrinkToFit="1"/>
    </xf>
    <xf numFmtId="177" fontId="0" fillId="0" borderId="10" xfId="0" applyNumberFormat="1" applyFont="1" applyFill="1" applyBorder="1" applyAlignment="1">
      <alignment vertical="center" shrinkToFit="1"/>
    </xf>
    <xf numFmtId="177" fontId="0" fillId="0" borderId="73" xfId="0" applyNumberFormat="1" applyFont="1" applyFill="1" applyBorder="1" applyAlignment="1">
      <alignment vertical="center" shrinkToFit="1"/>
    </xf>
    <xf numFmtId="177" fontId="0" fillId="0" borderId="89" xfId="0" applyNumberFormat="1" applyFont="1" applyFill="1" applyBorder="1" applyAlignment="1">
      <alignment vertical="center" shrinkToFit="1"/>
    </xf>
    <xf numFmtId="177" fontId="0" fillId="0" borderId="9" xfId="0" applyNumberFormat="1" applyFill="1" applyBorder="1" applyAlignment="1">
      <alignment vertical="center" shrinkToFit="1"/>
    </xf>
    <xf numFmtId="177" fontId="0" fillId="0" borderId="49" xfId="0" applyNumberFormat="1" applyFont="1" applyFill="1" applyBorder="1" applyAlignment="1">
      <alignment vertical="center" shrinkToFit="1"/>
    </xf>
    <xf numFmtId="177" fontId="0" fillId="0" borderId="8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 shrinkToFit="1"/>
    </xf>
    <xf numFmtId="177" fontId="0" fillId="0" borderId="150" xfId="0" applyNumberFormat="1" applyFont="1" applyFill="1" applyBorder="1" applyAlignment="1">
      <alignment vertical="center"/>
    </xf>
    <xf numFmtId="177" fontId="0" fillId="0" borderId="1" xfId="0" applyNumberFormat="1" applyFill="1" applyBorder="1" applyAlignment="1">
      <alignment vertical="center" shrinkToFit="1"/>
    </xf>
    <xf numFmtId="177" fontId="0" fillId="0" borderId="89" xfId="0" applyNumberFormat="1" applyFont="1" applyFill="1" applyBorder="1" applyAlignment="1">
      <alignment vertical="center" shrinkToFit="1"/>
    </xf>
    <xf numFmtId="177" fontId="0" fillId="0" borderId="145" xfId="3" applyNumberFormat="1" applyFont="1" applyFill="1" applyBorder="1" applyAlignment="1">
      <alignment vertical="center"/>
    </xf>
    <xf numFmtId="0" fontId="0" fillId="0" borderId="14" xfId="3" applyFont="1" applyFill="1" applyBorder="1" applyAlignment="1">
      <alignment vertical="center" shrinkToFit="1"/>
    </xf>
    <xf numFmtId="0" fontId="0" fillId="0" borderId="15" xfId="3" applyFont="1" applyFill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left" vertical="center"/>
    </xf>
    <xf numFmtId="178" fontId="0" fillId="0" borderId="149" xfId="0" applyNumberFormat="1" applyFont="1" applyFill="1" applyBorder="1" applyAlignment="1">
      <alignment horizontal="left" vertical="center"/>
    </xf>
    <xf numFmtId="177" fontId="0" fillId="0" borderId="149" xfId="3" applyNumberFormat="1" applyFont="1" applyFill="1" applyBorder="1" applyAlignment="1">
      <alignment vertical="center" shrinkToFit="1"/>
    </xf>
    <xf numFmtId="177" fontId="0" fillId="0" borderId="1" xfId="3" applyNumberFormat="1" applyFont="1" applyFill="1" applyBorder="1" applyAlignment="1">
      <alignment vertical="center" shrinkToFit="1"/>
    </xf>
    <xf numFmtId="182" fontId="0" fillId="0" borderId="14" xfId="0" applyNumberFormat="1" applyFont="1" applyFill="1" applyBorder="1" applyAlignment="1">
      <alignment vertical="center"/>
    </xf>
    <xf numFmtId="177" fontId="0" fillId="0" borderId="155" xfId="3" applyNumberFormat="1" applyFont="1" applyBorder="1" applyAlignment="1">
      <alignment horizontal="center" vertical="center" shrinkToFit="1"/>
    </xf>
    <xf numFmtId="176" fontId="0" fillId="2" borderId="50" xfId="0" applyNumberFormat="1" applyFont="1" applyFill="1" applyBorder="1" applyAlignment="1">
      <alignment horizontal="center" vertical="center" shrinkToFit="1"/>
    </xf>
    <xf numFmtId="177" fontId="0" fillId="2" borderId="50" xfId="0" applyNumberFormat="1" applyFont="1" applyFill="1" applyBorder="1" applyAlignment="1">
      <alignment vertical="center" shrinkToFit="1"/>
    </xf>
    <xf numFmtId="177" fontId="0" fillId="0" borderId="160" xfId="3" applyNumberFormat="1" applyFont="1" applyBorder="1" applyAlignment="1">
      <alignment vertical="center" shrinkToFit="1"/>
    </xf>
    <xf numFmtId="177" fontId="0" fillId="0" borderId="24" xfId="3" applyNumberFormat="1" applyFont="1" applyBorder="1" applyAlignment="1">
      <alignment vertical="center" shrinkToFit="1"/>
    </xf>
    <xf numFmtId="177" fontId="0" fillId="0" borderId="24" xfId="3" applyNumberFormat="1" applyFont="1" applyFill="1" applyBorder="1" applyAlignment="1">
      <alignment vertical="center" shrinkToFit="1"/>
    </xf>
    <xf numFmtId="176" fontId="0" fillId="2" borderId="158" xfId="0" applyNumberFormat="1" applyFont="1" applyFill="1" applyBorder="1" applyAlignment="1">
      <alignment vertical="center" shrinkToFit="1"/>
    </xf>
    <xf numFmtId="176" fontId="0" fillId="0" borderId="60" xfId="0" applyNumberFormat="1" applyFont="1" applyBorder="1" applyAlignment="1">
      <alignment vertical="center"/>
    </xf>
    <xf numFmtId="177" fontId="0" fillId="2" borderId="50" xfId="3" applyNumberFormat="1" applyFont="1" applyFill="1" applyBorder="1" applyAlignment="1">
      <alignment horizontal="center" vertical="center" shrinkToFit="1"/>
    </xf>
    <xf numFmtId="177" fontId="0" fillId="2" borderId="50" xfId="3" applyNumberFormat="1" applyFont="1" applyFill="1" applyBorder="1" applyAlignment="1">
      <alignment vertical="center" shrinkToFit="1"/>
    </xf>
    <xf numFmtId="176" fontId="0" fillId="5" borderId="158" xfId="0" applyNumberFormat="1" applyFont="1" applyFill="1" applyBorder="1" applyAlignment="1">
      <alignment vertical="center"/>
    </xf>
    <xf numFmtId="176" fontId="0" fillId="0" borderId="24" xfId="3" applyNumberFormat="1" applyFont="1" applyFill="1" applyBorder="1" applyAlignment="1">
      <alignment vertical="center" shrinkToFit="1"/>
    </xf>
    <xf numFmtId="176" fontId="0" fillId="0" borderId="115" xfId="0" applyNumberFormat="1" applyFont="1" applyBorder="1" applyAlignment="1">
      <alignment vertical="center" shrinkToFit="1"/>
    </xf>
    <xf numFmtId="177" fontId="0" fillId="0" borderId="115" xfId="0" applyNumberFormat="1" applyFont="1" applyBorder="1" applyAlignment="1">
      <alignment horizontal="center" vertical="center" shrinkToFit="1"/>
    </xf>
    <xf numFmtId="177" fontId="0" fillId="0" borderId="55" xfId="0" applyNumberFormat="1" applyFont="1" applyBorder="1" applyAlignment="1">
      <alignment horizontal="center" vertical="center" shrinkToFit="1"/>
    </xf>
    <xf numFmtId="177" fontId="0" fillId="0" borderId="116" xfId="0" applyNumberFormat="1" applyFont="1" applyBorder="1" applyAlignment="1">
      <alignment horizontal="center" vertical="center" shrinkToFit="1"/>
    </xf>
    <xf numFmtId="177" fontId="0" fillId="0" borderId="88" xfId="0" applyNumberFormat="1" applyFont="1" applyBorder="1" applyAlignment="1">
      <alignment vertical="center" shrinkToFit="1"/>
    </xf>
    <xf numFmtId="176" fontId="0" fillId="5" borderId="114" xfId="0" applyNumberFormat="1" applyFont="1" applyFill="1" applyBorder="1" applyAlignment="1">
      <alignment horizontal="center" vertical="center" shrinkToFit="1"/>
    </xf>
    <xf numFmtId="177" fontId="0" fillId="2" borderId="137" xfId="0" applyNumberFormat="1" applyFont="1" applyFill="1" applyBorder="1" applyAlignment="1">
      <alignment horizontal="center" vertical="center" shrinkToFit="1"/>
    </xf>
    <xf numFmtId="177" fontId="0" fillId="0" borderId="37" xfId="0" applyNumberFormat="1" applyFont="1" applyBorder="1" applyAlignment="1">
      <alignment horizontal="center" vertical="center" shrinkToFit="1"/>
    </xf>
    <xf numFmtId="177" fontId="0" fillId="0" borderId="59" xfId="0" applyNumberFormat="1" applyFont="1" applyBorder="1" applyAlignment="1">
      <alignment horizontal="center" vertical="center" shrinkToFit="1"/>
    </xf>
    <xf numFmtId="176" fontId="0" fillId="0" borderId="161" xfId="0" applyNumberFormat="1" applyFont="1" applyBorder="1" applyAlignment="1">
      <alignment vertical="center"/>
    </xf>
    <xf numFmtId="176" fontId="0" fillId="0" borderId="164" xfId="0" applyNumberFormat="1" applyFont="1" applyBorder="1" applyAlignment="1">
      <alignment vertical="center"/>
    </xf>
    <xf numFmtId="179" fontId="0" fillId="0" borderId="24" xfId="0" applyNumberFormat="1" applyFont="1" applyFill="1" applyBorder="1" applyAlignment="1">
      <alignment vertical="center"/>
    </xf>
    <xf numFmtId="9" fontId="0" fillId="0" borderId="24" xfId="3" applyNumberFormat="1" applyFont="1" applyFill="1" applyBorder="1" applyAlignment="1">
      <alignment vertical="center" shrinkToFit="1"/>
    </xf>
    <xf numFmtId="179" fontId="0" fillId="0" borderId="160" xfId="0" applyNumberFormat="1" applyBorder="1" applyAlignment="1">
      <alignment vertical="center" shrinkToFit="1"/>
    </xf>
    <xf numFmtId="9" fontId="0" fillId="0" borderId="160" xfId="3" applyNumberFormat="1" applyFont="1" applyFill="1" applyBorder="1" applyAlignment="1">
      <alignment vertical="center" shrinkToFit="1"/>
    </xf>
    <xf numFmtId="3" fontId="0" fillId="0" borderId="24" xfId="5" applyNumberFormat="1" applyFont="1" applyFill="1" applyBorder="1" applyAlignment="1">
      <alignment vertical="center" shrinkToFit="1"/>
    </xf>
    <xf numFmtId="176" fontId="0" fillId="0" borderId="60" xfId="0" applyNumberFormat="1" applyFont="1" applyBorder="1" applyAlignment="1">
      <alignment vertical="center" shrinkToFit="1"/>
    </xf>
    <xf numFmtId="177" fontId="0" fillId="2" borderId="169" xfId="0" applyNumberFormat="1" applyFont="1" applyFill="1" applyBorder="1" applyAlignment="1">
      <alignment vertical="center" shrinkToFit="1"/>
    </xf>
    <xf numFmtId="176" fontId="0" fillId="2" borderId="170" xfId="0" applyNumberFormat="1" applyFont="1" applyFill="1" applyBorder="1" applyAlignment="1">
      <alignment vertical="center" shrinkToFit="1"/>
    </xf>
    <xf numFmtId="177" fontId="0" fillId="2" borderId="166" xfId="3" applyNumberFormat="1" applyFont="1" applyFill="1" applyBorder="1" applyAlignment="1">
      <alignment horizontal="center" vertical="center" shrinkToFit="1"/>
    </xf>
    <xf numFmtId="177" fontId="0" fillId="2" borderId="166" xfId="3" applyNumberFormat="1" applyFont="1" applyFill="1" applyBorder="1" applyAlignment="1">
      <alignment vertical="center" shrinkToFit="1"/>
    </xf>
    <xf numFmtId="176" fontId="0" fillId="5" borderId="171" xfId="0" applyNumberFormat="1" applyFont="1" applyFill="1" applyBorder="1" applyAlignment="1">
      <alignment vertical="center"/>
    </xf>
    <xf numFmtId="177" fontId="0" fillId="0" borderId="167" xfId="0" applyNumberFormat="1" applyFill="1" applyBorder="1" applyAlignment="1">
      <alignment vertical="center"/>
    </xf>
    <xf numFmtId="181" fontId="0" fillId="0" borderId="135" xfId="0" applyNumberFormat="1" applyFont="1" applyBorder="1" applyAlignment="1">
      <alignment horizontal="right" vertical="center"/>
    </xf>
    <xf numFmtId="181" fontId="0" fillId="3" borderId="96" xfId="1" applyNumberFormat="1" applyFont="1" applyFill="1" applyBorder="1" applyAlignment="1">
      <alignment horizontal="right" vertical="center"/>
    </xf>
    <xf numFmtId="177" fontId="0" fillId="0" borderId="7" xfId="0" applyNumberFormat="1" applyFill="1" applyBorder="1" applyAlignment="1">
      <alignment vertical="center" shrinkToFit="1"/>
    </xf>
    <xf numFmtId="181" fontId="0" fillId="0" borderId="134" xfId="0" applyNumberFormat="1" applyFont="1" applyBorder="1" applyAlignment="1">
      <alignment horizontal="right" vertical="center"/>
    </xf>
    <xf numFmtId="0" fontId="0" fillId="0" borderId="0" xfId="2" applyFont="1" applyAlignment="1">
      <alignment vertical="center"/>
    </xf>
    <xf numFmtId="0" fontId="1" fillId="0" borderId="0" xfId="2" applyFont="1" applyAlignment="1">
      <alignment horizontal="right" vertical="center"/>
    </xf>
    <xf numFmtId="177" fontId="0" fillId="0" borderId="1" xfId="0" applyNumberFormat="1" applyFill="1" applyBorder="1" applyAlignment="1">
      <alignment horizontal="center" vertical="center" shrinkToFit="1"/>
    </xf>
    <xf numFmtId="177" fontId="0" fillId="0" borderId="12" xfId="0" applyNumberFormat="1" applyFill="1" applyBorder="1" applyAlignment="1">
      <alignment horizontal="center" vertical="center"/>
    </xf>
    <xf numFmtId="177" fontId="0" fillId="0" borderId="12" xfId="0" applyNumberFormat="1" applyFill="1" applyBorder="1" applyAlignment="1">
      <alignment horizontal="center" vertical="center" shrinkToFit="1"/>
    </xf>
    <xf numFmtId="177" fontId="0" fillId="0" borderId="89" xfId="0" applyNumberFormat="1" applyFont="1" applyBorder="1" applyAlignment="1">
      <alignment horizontal="center" vertical="center" shrinkToFit="1"/>
    </xf>
    <xf numFmtId="177" fontId="0" fillId="0" borderId="167" xfId="0" applyNumberFormat="1" applyFont="1" applyBorder="1" applyAlignment="1">
      <alignment vertical="center" shrinkToFit="1"/>
    </xf>
    <xf numFmtId="176" fontId="0" fillId="0" borderId="145" xfId="0" applyNumberFormat="1" applyFont="1" applyBorder="1" applyAlignment="1">
      <alignment vertical="center" shrinkToFit="1"/>
    </xf>
    <xf numFmtId="176" fontId="4" fillId="0" borderId="179" xfId="0" applyNumberFormat="1" applyFont="1" applyBorder="1" applyAlignment="1">
      <alignment horizontal="left" vertical="center" wrapText="1"/>
    </xf>
    <xf numFmtId="176" fontId="0" fillId="0" borderId="180" xfId="0" applyNumberFormat="1" applyFont="1" applyBorder="1" applyAlignment="1">
      <alignment horizontal="center" vertical="center" shrinkToFit="1"/>
    </xf>
    <xf numFmtId="176" fontId="0" fillId="0" borderId="181" xfId="0" applyNumberFormat="1" applyFont="1" applyBorder="1" applyAlignment="1">
      <alignment horizontal="center" vertical="center" shrinkToFit="1"/>
    </xf>
    <xf numFmtId="176" fontId="0" fillId="0" borderId="89" xfId="0" applyNumberFormat="1" applyFont="1" applyBorder="1" applyAlignment="1">
      <alignment vertical="center" shrinkToFit="1"/>
    </xf>
    <xf numFmtId="176" fontId="0" fillId="0" borderId="70" xfId="0" applyNumberFormat="1" applyFont="1" applyBorder="1" applyAlignment="1">
      <alignment horizontal="center" vertical="center" shrinkToFit="1"/>
    </xf>
    <xf numFmtId="176" fontId="0" fillId="0" borderId="19" xfId="0" applyNumberFormat="1" applyFont="1" applyBorder="1" applyAlignment="1">
      <alignment vertical="center" shrinkToFit="1"/>
    </xf>
    <xf numFmtId="176" fontId="0" fillId="0" borderId="71" xfId="0" applyNumberFormat="1" applyFont="1" applyBorder="1" applyAlignment="1">
      <alignment vertical="center" shrinkToFit="1"/>
    </xf>
    <xf numFmtId="0" fontId="0" fillId="0" borderId="24" xfId="0" applyFont="1" applyFill="1" applyBorder="1" applyAlignment="1">
      <alignment vertical="center"/>
    </xf>
    <xf numFmtId="177" fontId="0" fillId="0" borderId="89" xfId="0" applyNumberFormat="1" applyFont="1" applyFill="1" applyBorder="1" applyAlignment="1">
      <alignment vertical="center" shrinkToFit="1"/>
    </xf>
    <xf numFmtId="177" fontId="0" fillId="0" borderId="14" xfId="0" applyNumberFormat="1" applyFont="1" applyFill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5" xfId="0" applyNumberFormat="1" applyFont="1" applyBorder="1" applyAlignment="1">
      <alignment horizontal="center" vertical="center" shrinkToFit="1"/>
    </xf>
    <xf numFmtId="176" fontId="0" fillId="0" borderId="182" xfId="0" applyNumberFormat="1" applyFont="1" applyBorder="1" applyAlignment="1">
      <alignment horizontal="center" vertical="center" shrinkToFit="1"/>
    </xf>
    <xf numFmtId="176" fontId="0" fillId="0" borderId="2" xfId="0" applyNumberFormat="1" applyFont="1" applyBorder="1" applyAlignment="1">
      <alignment horizontal="center" vertical="center" shrinkToFit="1"/>
    </xf>
    <xf numFmtId="176" fontId="0" fillId="2" borderId="2" xfId="0" applyNumberFormat="1" applyFont="1" applyFill="1" applyBorder="1" applyAlignment="1">
      <alignment vertical="center" shrinkToFit="1"/>
    </xf>
    <xf numFmtId="176" fontId="0" fillId="0" borderId="71" xfId="0" applyNumberFormat="1" applyFont="1" applyFill="1" applyBorder="1" applyAlignment="1">
      <alignment vertical="center" shrinkToFit="1"/>
    </xf>
    <xf numFmtId="0" fontId="0" fillId="0" borderId="167" xfId="2" applyFont="1" applyBorder="1" applyAlignment="1">
      <alignment vertical="center"/>
    </xf>
    <xf numFmtId="0" fontId="0" fillId="0" borderId="134" xfId="0" applyFont="1" applyBorder="1" applyAlignment="1">
      <alignment horizontal="center" vertical="center"/>
    </xf>
    <xf numFmtId="181" fontId="0" fillId="0" borderId="184" xfId="0" applyNumberFormat="1" applyFont="1" applyBorder="1" applyAlignment="1">
      <alignment horizontal="right" vertical="center"/>
    </xf>
    <xf numFmtId="181" fontId="0" fillId="3" borderId="135" xfId="1" applyNumberFormat="1" applyFont="1" applyFill="1" applyBorder="1" applyAlignment="1">
      <alignment horizontal="right" vertical="center"/>
    </xf>
    <xf numFmtId="176" fontId="4" fillId="0" borderId="187" xfId="0" applyNumberFormat="1" applyFont="1" applyBorder="1" applyAlignment="1">
      <alignment horizontal="left" vertical="center" wrapText="1"/>
    </xf>
    <xf numFmtId="176" fontId="0" fillId="0" borderId="188" xfId="0" applyNumberFormat="1" applyFont="1" applyBorder="1" applyAlignment="1">
      <alignment horizontal="center" vertical="center" shrinkToFit="1"/>
    </xf>
    <xf numFmtId="176" fontId="0" fillId="0" borderId="102" xfId="0" applyNumberFormat="1" applyFont="1" applyBorder="1" applyAlignment="1">
      <alignment horizontal="center" vertical="center" shrinkToFit="1"/>
    </xf>
    <xf numFmtId="176" fontId="0" fillId="0" borderId="189" xfId="0" applyNumberFormat="1" applyFont="1" applyBorder="1" applyAlignment="1">
      <alignment vertical="center" shrinkToFit="1"/>
    </xf>
    <xf numFmtId="177" fontId="0" fillId="0" borderId="49" xfId="0" applyNumberFormat="1" applyFont="1" applyBorder="1" applyAlignment="1">
      <alignment horizontal="center" vertical="center" shrinkToFit="1"/>
    </xf>
    <xf numFmtId="176" fontId="0" fillId="5" borderId="11" xfId="0" applyNumberFormat="1" applyFont="1" applyFill="1" applyBorder="1" applyAlignment="1">
      <alignment horizontal="center" vertical="center" shrinkToFit="1"/>
    </xf>
    <xf numFmtId="183" fontId="0" fillId="5" borderId="11" xfId="0" applyNumberFormat="1" applyFont="1" applyFill="1" applyBorder="1" applyAlignment="1">
      <alignment vertical="center" shrinkToFit="1"/>
    </xf>
    <xf numFmtId="179" fontId="0" fillId="0" borderId="186" xfId="0" applyNumberFormat="1" applyFont="1" applyBorder="1" applyAlignment="1">
      <alignment horizontal="center" vertical="center" shrinkToFit="1"/>
    </xf>
    <xf numFmtId="176" fontId="0" fillId="5" borderId="198" xfId="0" applyNumberFormat="1" applyFont="1" applyFill="1" applyBorder="1" applyAlignment="1">
      <alignment vertical="center" shrinkToFit="1"/>
    </xf>
    <xf numFmtId="177" fontId="0" fillId="0" borderId="189" xfId="0" applyNumberFormat="1" applyFont="1" applyBorder="1" applyAlignment="1">
      <alignment vertical="center" shrinkToFit="1"/>
    </xf>
    <xf numFmtId="177" fontId="0" fillId="0" borderId="189" xfId="0" applyNumberFormat="1" applyFont="1" applyBorder="1" applyAlignment="1">
      <alignment horizontal="center" vertical="center" shrinkToFit="1"/>
    </xf>
    <xf numFmtId="177" fontId="0" fillId="0" borderId="167" xfId="0" applyNumberFormat="1" applyFont="1" applyBorder="1" applyAlignment="1">
      <alignment horizontal="center" vertical="center" shrinkToFit="1"/>
    </xf>
    <xf numFmtId="176" fontId="0" fillId="0" borderId="55" xfId="0" applyNumberFormat="1" applyFont="1" applyFill="1" applyBorder="1" applyAlignment="1">
      <alignment horizontal="center" vertical="center" shrinkToFit="1"/>
    </xf>
    <xf numFmtId="177" fontId="0" fillId="0" borderId="89" xfId="0" applyNumberFormat="1" applyFont="1" applyBorder="1" applyAlignment="1">
      <alignment horizontal="center" vertical="center" shrinkToFit="1"/>
    </xf>
    <xf numFmtId="177" fontId="0" fillId="0" borderId="49" xfId="0" applyNumberFormat="1" applyFont="1" applyBorder="1" applyAlignment="1">
      <alignment horizontal="center" vertical="center" shrinkToFit="1"/>
    </xf>
    <xf numFmtId="177" fontId="0" fillId="0" borderId="5" xfId="0" applyNumberFormat="1" applyFont="1" applyBorder="1" applyAlignment="1">
      <alignment horizontal="center" vertical="center" shrinkToFit="1"/>
    </xf>
    <xf numFmtId="185" fontId="0" fillId="0" borderId="1" xfId="0" applyNumberFormat="1" applyFont="1" applyBorder="1" applyAlignment="1">
      <alignment vertical="center" shrinkToFit="1"/>
    </xf>
    <xf numFmtId="176" fontId="4" fillId="0" borderId="208" xfId="0" applyNumberFormat="1" applyFont="1" applyBorder="1" applyAlignment="1">
      <alignment horizontal="left" vertical="center" wrapText="1"/>
    </xf>
    <xf numFmtId="176" fontId="0" fillId="0" borderId="209" xfId="0" applyNumberFormat="1" applyFont="1" applyBorder="1" applyAlignment="1">
      <alignment horizontal="center" vertical="center" shrinkToFit="1"/>
    </xf>
    <xf numFmtId="176" fontId="0" fillId="0" borderId="210" xfId="0" applyNumberFormat="1" applyFont="1" applyBorder="1" applyAlignment="1">
      <alignment horizontal="center" vertical="center" shrinkToFit="1"/>
    </xf>
    <xf numFmtId="176" fontId="0" fillId="0" borderId="211" xfId="0" applyNumberFormat="1" applyFont="1" applyBorder="1" applyAlignment="1">
      <alignment horizontal="center" vertical="center" shrinkToFit="1"/>
    </xf>
    <xf numFmtId="176" fontId="0" fillId="0" borderId="212" xfId="0" applyNumberFormat="1" applyFont="1" applyBorder="1" applyAlignment="1">
      <alignment vertical="center" shrinkToFit="1"/>
    </xf>
    <xf numFmtId="176" fontId="0" fillId="0" borderId="213" xfId="0" applyNumberFormat="1" applyFont="1" applyBorder="1" applyAlignment="1">
      <alignment vertical="center" shrinkToFit="1"/>
    </xf>
    <xf numFmtId="176" fontId="0" fillId="0" borderId="44" xfId="0" applyNumberFormat="1" applyFont="1" applyBorder="1" applyAlignment="1">
      <alignment horizontal="center" vertical="center" shrinkToFit="1"/>
    </xf>
    <xf numFmtId="176" fontId="0" fillId="0" borderId="147" xfId="0" applyNumberFormat="1" applyFont="1" applyBorder="1" applyAlignment="1">
      <alignment vertical="center" shrinkToFit="1"/>
    </xf>
    <xf numFmtId="176" fontId="0" fillId="0" borderId="214" xfId="0" applyNumberFormat="1" applyFont="1" applyBorder="1" applyAlignment="1">
      <alignment vertical="center" shrinkToFit="1"/>
    </xf>
    <xf numFmtId="176" fontId="0" fillId="0" borderId="215" xfId="0" applyNumberFormat="1" applyFont="1" applyBorder="1" applyAlignment="1">
      <alignment vertical="center" shrinkToFit="1"/>
    </xf>
    <xf numFmtId="181" fontId="0" fillId="0" borderId="217" xfId="0" applyNumberFormat="1" applyFont="1" applyBorder="1" applyAlignment="1">
      <alignment horizontal="right" vertical="center"/>
    </xf>
    <xf numFmtId="184" fontId="0" fillId="0" borderId="78" xfId="0" applyNumberFormat="1" applyFont="1" applyBorder="1" applyAlignment="1">
      <alignment horizontal="center" vertical="center"/>
    </xf>
    <xf numFmtId="188" fontId="0" fillId="0" borderId="150" xfId="0" applyNumberFormat="1" applyFont="1" applyBorder="1" applyAlignment="1">
      <alignment vertical="center"/>
    </xf>
    <xf numFmtId="189" fontId="0" fillId="0" borderId="150" xfId="0" applyNumberFormat="1" applyFont="1" applyFill="1" applyBorder="1" applyAlignment="1">
      <alignment vertical="center"/>
    </xf>
    <xf numFmtId="189" fontId="0" fillId="0" borderId="15" xfId="0" applyNumberFormat="1" applyFont="1" applyFill="1" applyBorder="1" applyAlignment="1">
      <alignment vertical="center"/>
    </xf>
    <xf numFmtId="177" fontId="0" fillId="0" borderId="146" xfId="3" applyNumberFormat="1" applyFont="1" applyBorder="1" applyAlignment="1">
      <alignment vertical="center" shrinkToFit="1"/>
    </xf>
    <xf numFmtId="190" fontId="0" fillId="0" borderId="151" xfId="3" applyNumberFormat="1" applyFont="1" applyBorder="1" applyAlignment="1">
      <alignment vertical="center"/>
    </xf>
    <xf numFmtId="177" fontId="0" fillId="0" borderId="230" xfId="0" applyNumberFormat="1" applyFill="1" applyBorder="1" applyAlignment="1">
      <alignment vertical="center" shrinkToFit="1"/>
    </xf>
    <xf numFmtId="177" fontId="0" fillId="0" borderId="12" xfId="0" applyNumberFormat="1" applyFont="1" applyFill="1" applyBorder="1" applyAlignment="1">
      <alignment horizontal="center" vertical="center"/>
    </xf>
    <xf numFmtId="179" fontId="0" fillId="0" borderId="24" xfId="0" applyNumberFormat="1" applyFont="1" applyBorder="1" applyAlignment="1">
      <alignment vertical="center"/>
    </xf>
    <xf numFmtId="176" fontId="0" fillId="0" borderId="233" xfId="0" applyNumberFormat="1" applyFont="1" applyBorder="1" applyAlignment="1">
      <alignment vertical="center"/>
    </xf>
    <xf numFmtId="176" fontId="0" fillId="0" borderId="34" xfId="0" applyNumberFormat="1" applyFont="1" applyBorder="1" applyAlignment="1">
      <alignment vertical="center"/>
    </xf>
    <xf numFmtId="176" fontId="0" fillId="0" borderId="39" xfId="0" applyNumberFormat="1" applyFont="1" applyBorder="1" applyAlignment="1">
      <alignment vertical="center"/>
    </xf>
    <xf numFmtId="176" fontId="0" fillId="0" borderId="38" xfId="0" applyNumberFormat="1" applyFont="1" applyBorder="1" applyAlignment="1">
      <alignment vertical="center"/>
    </xf>
    <xf numFmtId="176" fontId="0" fillId="0" borderId="38" xfId="0" applyNumberFormat="1" applyBorder="1" applyAlignment="1">
      <alignment vertical="center"/>
    </xf>
    <xf numFmtId="0" fontId="1" fillId="0" borderId="222" xfId="2" applyFont="1" applyFill="1" applyBorder="1" applyAlignment="1">
      <alignment vertical="center" wrapText="1"/>
    </xf>
    <xf numFmtId="0" fontId="1" fillId="0" borderId="0" xfId="2" applyFont="1" applyFill="1" applyBorder="1" applyAlignment="1">
      <alignment vertical="center" wrapText="1"/>
    </xf>
    <xf numFmtId="0" fontId="1" fillId="0" borderId="185" xfId="2" applyFont="1" applyFill="1" applyBorder="1" applyAlignment="1">
      <alignment vertical="center" wrapText="1"/>
    </xf>
    <xf numFmtId="0" fontId="0" fillId="0" borderId="27" xfId="2" applyFont="1" applyBorder="1" applyAlignment="1">
      <alignment horizontal="center" vertical="center" wrapText="1"/>
    </xf>
    <xf numFmtId="0" fontId="0" fillId="0" borderId="28" xfId="2" applyFont="1" applyBorder="1" applyAlignment="1">
      <alignment horizontal="center" vertical="center" wrapText="1"/>
    </xf>
    <xf numFmtId="0" fontId="0" fillId="0" borderId="14" xfId="2" applyFont="1" applyBorder="1" applyAlignment="1">
      <alignment horizontal="center" vertical="center" wrapText="1"/>
    </xf>
    <xf numFmtId="0" fontId="0" fillId="0" borderId="121" xfId="2" applyFont="1" applyBorder="1" applyAlignment="1">
      <alignment horizontal="center" vertical="center" wrapText="1"/>
    </xf>
    <xf numFmtId="0" fontId="8" fillId="0" borderId="213" xfId="2" applyFont="1" applyBorder="1" applyAlignment="1">
      <alignment vertical="center" wrapText="1"/>
    </xf>
    <xf numFmtId="0" fontId="1" fillId="0" borderId="213" xfId="2" applyFont="1" applyBorder="1" applyAlignment="1">
      <alignment horizontal="center" vertical="center" shrinkToFit="1"/>
    </xf>
    <xf numFmtId="0" fontId="1" fillId="0" borderId="189" xfId="2" applyFont="1" applyBorder="1" applyAlignment="1">
      <alignment horizontal="center" vertical="center" wrapText="1"/>
    </xf>
    <xf numFmtId="0" fontId="8" fillId="0" borderId="213" xfId="2" applyFont="1" applyBorder="1" applyAlignment="1">
      <alignment horizontal="center" vertical="center" wrapText="1"/>
    </xf>
    <xf numFmtId="0" fontId="1" fillId="0" borderId="213" xfId="2" applyFont="1" applyBorder="1" applyAlignment="1">
      <alignment horizontal="center" vertical="center" wrapText="1"/>
    </xf>
    <xf numFmtId="0" fontId="1" fillId="0" borderId="213" xfId="2" applyFont="1" applyBorder="1" applyAlignment="1">
      <alignment horizontal="left" vertical="center" wrapText="1"/>
    </xf>
    <xf numFmtId="176" fontId="0" fillId="0" borderId="232" xfId="0" applyNumberFormat="1" applyFont="1" applyBorder="1" applyAlignment="1">
      <alignment vertical="center" shrinkToFit="1"/>
    </xf>
    <xf numFmtId="177" fontId="0" fillId="0" borderId="89" xfId="0" applyNumberFormat="1" applyFont="1" applyFill="1" applyBorder="1" applyAlignment="1">
      <alignment vertical="center" shrinkToFit="1"/>
    </xf>
    <xf numFmtId="176" fontId="1" fillId="0" borderId="189" xfId="0" applyNumberFormat="1" applyFont="1" applyBorder="1" applyAlignment="1">
      <alignment vertical="center" shrinkToFit="1"/>
    </xf>
    <xf numFmtId="188" fontId="0" fillId="0" borderId="150" xfId="0" applyNumberFormat="1" applyFont="1" applyFill="1" applyBorder="1" applyAlignment="1">
      <alignment vertical="center"/>
    </xf>
    <xf numFmtId="177" fontId="0" fillId="0" borderId="14" xfId="0" applyNumberFormat="1" applyFill="1" applyBorder="1" applyAlignment="1">
      <alignment vertical="center"/>
    </xf>
    <xf numFmtId="177" fontId="0" fillId="0" borderId="0" xfId="0" applyNumberFormat="1" applyFont="1" applyBorder="1" applyAlignment="1">
      <alignment horizontal="center" vertical="center" shrinkToFit="1"/>
    </xf>
    <xf numFmtId="0" fontId="0" fillId="0" borderId="185" xfId="2" applyFont="1" applyFill="1" applyBorder="1" applyAlignment="1">
      <alignment vertical="center" wrapText="1"/>
    </xf>
    <xf numFmtId="0" fontId="1" fillId="0" borderId="247" xfId="2" applyFont="1" applyBorder="1" applyAlignment="1">
      <alignment vertical="center"/>
    </xf>
    <xf numFmtId="0" fontId="0" fillId="0" borderId="126" xfId="2" applyFont="1" applyBorder="1" applyAlignment="1">
      <alignment horizontal="center" vertical="center" wrapText="1"/>
    </xf>
    <xf numFmtId="176" fontId="0" fillId="0" borderId="231" xfId="0" applyNumberFormat="1" applyFont="1" applyBorder="1" applyAlignment="1">
      <alignment horizontal="center" vertical="center"/>
    </xf>
    <xf numFmtId="176" fontId="0" fillId="0" borderId="251" xfId="0" applyNumberFormat="1" applyFont="1" applyBorder="1" applyAlignment="1">
      <alignment horizontal="center" vertical="center"/>
    </xf>
    <xf numFmtId="176" fontId="0" fillId="0" borderId="149" xfId="0" applyNumberFormat="1" applyFont="1" applyBorder="1" applyAlignment="1">
      <alignment horizontal="center" vertical="center"/>
    </xf>
    <xf numFmtId="179" fontId="0" fillId="0" borderId="231" xfId="0" applyNumberFormat="1" applyFont="1" applyBorder="1" applyAlignment="1">
      <alignment vertical="center" shrinkToFit="1"/>
    </xf>
    <xf numFmtId="179" fontId="0" fillId="0" borderId="251" xfId="0" applyNumberFormat="1" applyFont="1" applyBorder="1" applyAlignment="1">
      <alignment vertical="center" shrinkToFit="1"/>
    </xf>
    <xf numFmtId="179" fontId="0" fillId="0" borderId="232" xfId="0" applyNumberFormat="1" applyFont="1" applyBorder="1" applyAlignment="1">
      <alignment vertical="center" shrinkToFit="1"/>
    </xf>
    <xf numFmtId="179" fontId="0" fillId="0" borderId="149" xfId="0" applyNumberFormat="1" applyFont="1" applyBorder="1" applyAlignment="1">
      <alignment vertical="center" shrinkToFit="1"/>
    </xf>
    <xf numFmtId="176" fontId="0" fillId="0" borderId="252" xfId="0" applyNumberFormat="1" applyFont="1" applyBorder="1" applyAlignment="1">
      <alignment vertical="center"/>
    </xf>
    <xf numFmtId="176" fontId="0" fillId="0" borderId="253" xfId="0" applyNumberFormat="1" applyFont="1" applyBorder="1" applyAlignment="1">
      <alignment vertical="center"/>
    </xf>
    <xf numFmtId="176" fontId="0" fillId="0" borderId="231" xfId="0" applyNumberFormat="1" applyFont="1" applyBorder="1" applyAlignment="1">
      <alignment vertical="center"/>
    </xf>
    <xf numFmtId="176" fontId="0" fillId="0" borderId="149" xfId="0" applyNumberFormat="1" applyFont="1" applyBorder="1" applyAlignment="1">
      <alignment vertical="center"/>
    </xf>
    <xf numFmtId="176" fontId="0" fillId="0" borderId="232" xfId="0" applyNumberFormat="1" applyFont="1" applyBorder="1" applyAlignment="1">
      <alignment vertical="center"/>
    </xf>
    <xf numFmtId="0" fontId="0" fillId="0" borderId="14" xfId="2" applyFont="1" applyBorder="1" applyAlignment="1">
      <alignment horizontal="center" vertical="center"/>
    </xf>
    <xf numFmtId="176" fontId="0" fillId="0" borderId="231" xfId="0" applyNumberFormat="1" applyFont="1" applyBorder="1" applyAlignment="1">
      <alignment vertical="center" shrinkToFit="1"/>
    </xf>
    <xf numFmtId="176" fontId="0" fillId="0" borderId="189" xfId="0" applyNumberFormat="1" applyFont="1" applyFill="1" applyBorder="1" applyAlignment="1">
      <alignment vertical="center" shrinkToFit="1"/>
    </xf>
    <xf numFmtId="176" fontId="1" fillId="0" borderId="231" xfId="0" applyNumberFormat="1" applyFont="1" applyBorder="1" applyAlignment="1">
      <alignment vertical="center" shrinkToFit="1"/>
    </xf>
    <xf numFmtId="176" fontId="1" fillId="0" borderId="232" xfId="0" applyNumberFormat="1" applyFont="1" applyBorder="1" applyAlignment="1">
      <alignment vertical="center" shrinkToFit="1"/>
    </xf>
    <xf numFmtId="3" fontId="16" fillId="0" borderId="231" xfId="8" applyNumberFormat="1" applyFont="1" applyBorder="1" applyAlignment="1">
      <alignment vertical="center" wrapText="1"/>
    </xf>
    <xf numFmtId="3" fontId="0" fillId="0" borderId="231" xfId="8" applyNumberFormat="1" applyFont="1" applyBorder="1" applyAlignment="1">
      <alignment vertical="center"/>
    </xf>
    <xf numFmtId="1" fontId="16" fillId="0" borderId="231" xfId="8" applyNumberFormat="1" applyFont="1" applyBorder="1" applyAlignment="1">
      <alignment vertical="center"/>
    </xf>
    <xf numFmtId="9" fontId="1" fillId="0" borderId="231" xfId="0" applyNumberFormat="1" applyFont="1" applyBorder="1" applyAlignment="1">
      <alignment vertical="center" shrinkToFit="1"/>
    </xf>
    <xf numFmtId="176" fontId="0" fillId="0" borderId="228" xfId="0" applyNumberFormat="1" applyFont="1" applyBorder="1" applyAlignment="1">
      <alignment vertical="center" shrinkToFit="1"/>
    </xf>
    <xf numFmtId="176" fontId="0" fillId="0" borderId="255" xfId="0" applyNumberFormat="1" applyFont="1" applyBorder="1" applyAlignment="1">
      <alignment vertical="center" shrinkToFit="1"/>
    </xf>
    <xf numFmtId="9" fontId="0" fillId="0" borderId="255" xfId="0" applyNumberFormat="1" applyFont="1" applyBorder="1" applyAlignment="1">
      <alignment vertical="center" shrinkToFit="1"/>
    </xf>
    <xf numFmtId="9" fontId="0" fillId="0" borderId="228" xfId="0" applyNumberFormat="1" applyFont="1" applyBorder="1" applyAlignment="1">
      <alignment vertical="center" shrinkToFit="1"/>
    </xf>
    <xf numFmtId="176" fontId="0" fillId="0" borderId="255" xfId="0" applyNumberFormat="1" applyFont="1" applyFill="1" applyBorder="1" applyAlignment="1">
      <alignment vertical="center" shrinkToFit="1"/>
    </xf>
    <xf numFmtId="176" fontId="0" fillId="0" borderId="228" xfId="0" applyNumberFormat="1" applyFont="1" applyFill="1" applyBorder="1" applyAlignment="1">
      <alignment vertical="center" shrinkToFit="1"/>
    </xf>
    <xf numFmtId="1" fontId="0" fillId="0" borderId="231" xfId="8" applyNumberFormat="1" applyFont="1" applyFill="1" applyBorder="1" applyAlignment="1">
      <alignment vertical="center" wrapText="1"/>
    </xf>
    <xf numFmtId="182" fontId="1" fillId="0" borderId="231" xfId="4" applyNumberFormat="1" applyFont="1" applyBorder="1" applyAlignment="1">
      <alignment vertical="center" shrinkToFit="1"/>
    </xf>
    <xf numFmtId="186" fontId="0" fillId="0" borderId="1" xfId="0" applyNumberFormat="1" applyFont="1" applyFill="1" applyBorder="1" applyAlignment="1">
      <alignment vertical="center" shrinkToFit="1"/>
    </xf>
    <xf numFmtId="177" fontId="0" fillId="0" borderId="180" xfId="0" applyNumberFormat="1" applyFont="1" applyBorder="1" applyAlignment="1">
      <alignment vertical="center"/>
    </xf>
    <xf numFmtId="177" fontId="0" fillId="0" borderId="231" xfId="0" applyNumberFormat="1" applyFont="1" applyFill="1" applyBorder="1" applyAlignment="1">
      <alignment vertical="center" shrinkToFit="1"/>
    </xf>
    <xf numFmtId="178" fontId="0" fillId="0" borderId="167" xfId="0" applyNumberFormat="1" applyFont="1" applyFill="1" applyBorder="1" applyAlignment="1">
      <alignment horizontal="left" vertical="center"/>
    </xf>
    <xf numFmtId="177" fontId="0" fillId="0" borderId="259" xfId="0" applyNumberFormat="1" applyFont="1" applyBorder="1" applyAlignment="1">
      <alignment vertical="center"/>
    </xf>
    <xf numFmtId="177" fontId="0" fillId="0" borderId="260" xfId="0" applyNumberFormat="1" applyFont="1" applyBorder="1" applyAlignment="1">
      <alignment vertical="center"/>
    </xf>
    <xf numFmtId="193" fontId="0" fillId="0" borderId="259" xfId="0" applyNumberFormat="1" applyFont="1" applyBorder="1" applyAlignment="1">
      <alignment vertical="center"/>
    </xf>
    <xf numFmtId="177" fontId="0" fillId="0" borderId="228" xfId="0" applyNumberFormat="1" applyFont="1" applyFill="1" applyBorder="1" applyAlignment="1">
      <alignment vertical="center"/>
    </xf>
    <xf numFmtId="177" fontId="0" fillId="0" borderId="231" xfId="0" applyNumberFormat="1" applyFont="1" applyFill="1" applyBorder="1" applyAlignment="1">
      <alignment vertical="center"/>
    </xf>
    <xf numFmtId="177" fontId="0" fillId="0" borderId="231" xfId="3" applyNumberFormat="1" applyFont="1" applyFill="1" applyBorder="1" applyAlignment="1">
      <alignment vertical="center"/>
    </xf>
    <xf numFmtId="182" fontId="0" fillId="0" borderId="174" xfId="0" applyNumberFormat="1" applyFont="1" applyFill="1" applyBorder="1" applyAlignment="1">
      <alignment vertical="center"/>
    </xf>
    <xf numFmtId="177" fontId="0" fillId="0" borderId="174" xfId="0" applyNumberFormat="1" applyFont="1" applyBorder="1" applyAlignment="1">
      <alignment vertical="center"/>
    </xf>
    <xf numFmtId="177" fontId="0" fillId="2" borderId="231" xfId="0" applyNumberFormat="1" applyFont="1" applyFill="1" applyBorder="1" applyAlignment="1">
      <alignment vertical="center" shrinkToFit="1"/>
    </xf>
    <xf numFmtId="177" fontId="0" fillId="0" borderId="231" xfId="0" applyNumberFormat="1" applyFont="1" applyBorder="1" applyAlignment="1">
      <alignment vertical="center" shrinkToFit="1"/>
    </xf>
    <xf numFmtId="177" fontId="0" fillId="0" borderId="231" xfId="3" applyNumberFormat="1" applyFont="1" applyBorder="1" applyAlignment="1">
      <alignment vertical="center" shrinkToFit="1"/>
    </xf>
    <xf numFmtId="0" fontId="0" fillId="0" borderId="174" xfId="3" applyFont="1" applyFill="1" applyBorder="1" applyAlignment="1">
      <alignment vertical="center" shrinkToFit="1"/>
    </xf>
    <xf numFmtId="178" fontId="0" fillId="0" borderId="174" xfId="0" applyNumberFormat="1" applyFont="1" applyFill="1" applyBorder="1" applyAlignment="1">
      <alignment horizontal="left" vertical="center"/>
    </xf>
    <xf numFmtId="177" fontId="0" fillId="0" borderId="174" xfId="3" applyNumberFormat="1" applyFont="1" applyFill="1" applyBorder="1" applyAlignment="1">
      <alignment vertical="center" shrinkToFit="1"/>
    </xf>
    <xf numFmtId="177" fontId="0" fillId="0" borderId="231" xfId="0" applyNumberFormat="1" applyFont="1" applyFill="1" applyBorder="1" applyAlignment="1">
      <alignment horizontal="center" vertical="center"/>
    </xf>
    <xf numFmtId="177" fontId="0" fillId="0" borderId="231" xfId="3" applyNumberFormat="1" applyFont="1" applyFill="1" applyBorder="1" applyAlignment="1">
      <alignment vertical="center" shrinkToFit="1"/>
    </xf>
    <xf numFmtId="177" fontId="0" fillId="0" borderId="0" xfId="3" applyNumberFormat="1" applyFont="1" applyBorder="1" applyAlignment="1">
      <alignment horizontal="right" vertical="center"/>
    </xf>
    <xf numFmtId="178" fontId="0" fillId="0" borderId="231" xfId="0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181" fontId="0" fillId="0" borderId="0" xfId="0" applyNumberFormat="1" applyFont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77" fontId="0" fillId="0" borderId="0" xfId="0" applyNumberFormat="1" applyFont="1" applyBorder="1" applyAlignment="1">
      <alignment horizontal="left" vertical="center"/>
    </xf>
    <xf numFmtId="179" fontId="0" fillId="0" borderId="261" xfId="0" applyNumberFormat="1" applyFont="1" applyBorder="1" applyAlignment="1">
      <alignment horizontal="center" vertical="center" shrinkToFit="1"/>
    </xf>
    <xf numFmtId="177" fontId="0" fillId="0" borderId="263" xfId="0" applyNumberFormat="1" applyFont="1" applyBorder="1" applyAlignment="1">
      <alignment horizontal="center" vertical="center" shrinkToFit="1"/>
    </xf>
    <xf numFmtId="177" fontId="0" fillId="0" borderId="238" xfId="0" applyNumberFormat="1" applyFont="1" applyBorder="1" applyAlignment="1">
      <alignment horizontal="center" vertical="center" shrinkToFit="1"/>
    </xf>
    <xf numFmtId="177" fontId="0" fillId="0" borderId="181" xfId="0" applyNumberFormat="1" applyFont="1" applyBorder="1" applyAlignment="1">
      <alignment horizontal="center" vertical="center" shrinkToFit="1"/>
    </xf>
    <xf numFmtId="176" fontId="0" fillId="0" borderId="231" xfId="0" applyNumberFormat="1" applyFont="1" applyBorder="1" applyAlignment="1">
      <alignment horizontal="center" vertical="center" shrinkToFit="1"/>
    </xf>
    <xf numFmtId="176" fontId="0" fillId="0" borderId="231" xfId="0" applyNumberFormat="1" applyFont="1" applyFill="1" applyBorder="1" applyAlignment="1">
      <alignment vertical="center" shrinkToFit="1"/>
    </xf>
    <xf numFmtId="177" fontId="0" fillId="0" borderId="257" xfId="0" applyNumberFormat="1" applyFont="1" applyBorder="1" applyAlignment="1">
      <alignment vertical="center" shrinkToFit="1"/>
    </xf>
    <xf numFmtId="177" fontId="0" fillId="0" borderId="215" xfId="0" applyNumberFormat="1" applyFont="1" applyBorder="1" applyAlignment="1">
      <alignment vertical="center" shrinkToFit="1"/>
    </xf>
    <xf numFmtId="177" fontId="0" fillId="0" borderId="215" xfId="0" applyNumberFormat="1" applyFont="1" applyBorder="1" applyAlignment="1">
      <alignment horizontal="center" vertical="center" shrinkToFit="1"/>
    </xf>
    <xf numFmtId="176" fontId="5" fillId="0" borderId="231" xfId="0" applyNumberFormat="1" applyFont="1" applyBorder="1" applyAlignment="1">
      <alignment vertical="center" wrapText="1" shrinkToFit="1"/>
    </xf>
    <xf numFmtId="183" fontId="0" fillId="0" borderId="231" xfId="0" applyNumberFormat="1" applyFont="1" applyBorder="1" applyAlignment="1">
      <alignment vertical="center" shrinkToFit="1"/>
    </xf>
    <xf numFmtId="176" fontId="0" fillId="0" borderId="99" xfId="0" applyNumberFormat="1" applyFont="1" applyBorder="1" applyAlignment="1">
      <alignment vertical="center" shrinkToFit="1"/>
    </xf>
    <xf numFmtId="179" fontId="0" fillId="0" borderId="24" xfId="0" applyNumberFormat="1" applyFont="1" applyBorder="1" applyAlignment="1">
      <alignment horizontal="center" vertical="center"/>
    </xf>
    <xf numFmtId="176" fontId="0" fillId="0" borderId="265" xfId="0" applyNumberFormat="1" applyFont="1" applyBorder="1" applyAlignment="1">
      <alignment vertical="center" shrinkToFit="1"/>
    </xf>
    <xf numFmtId="176" fontId="0" fillId="0" borderId="266" xfId="0" applyNumberFormat="1" applyFont="1" applyBorder="1" applyAlignment="1">
      <alignment vertical="center"/>
    </xf>
    <xf numFmtId="179" fontId="0" fillId="0" borderId="266" xfId="0" applyNumberFormat="1" applyFont="1" applyBorder="1" applyAlignment="1">
      <alignment vertical="center"/>
    </xf>
    <xf numFmtId="179" fontId="0" fillId="0" borderId="76" xfId="0" applyNumberFormat="1" applyFont="1" applyBorder="1" applyAlignment="1">
      <alignment vertical="center"/>
    </xf>
    <xf numFmtId="176" fontId="0" fillId="5" borderId="129" xfId="0" applyNumberFormat="1" applyFont="1" applyFill="1" applyBorder="1" applyAlignment="1">
      <alignment vertical="center" shrinkToFit="1"/>
    </xf>
    <xf numFmtId="176" fontId="0" fillId="0" borderId="149" xfId="0" applyNumberFormat="1" applyFont="1" applyBorder="1" applyAlignment="1">
      <alignment vertical="center" shrinkToFit="1"/>
    </xf>
    <xf numFmtId="176" fontId="0" fillId="0" borderId="267" xfId="0" applyNumberFormat="1" applyFont="1" applyBorder="1" applyAlignment="1">
      <alignment vertical="center"/>
    </xf>
    <xf numFmtId="176" fontId="0" fillId="0" borderId="268" xfId="0" applyNumberFormat="1" applyFont="1" applyBorder="1" applyAlignment="1">
      <alignment vertical="center"/>
    </xf>
    <xf numFmtId="176" fontId="0" fillId="0" borderId="269" xfId="0" applyNumberFormat="1" applyFont="1" applyBorder="1" applyAlignment="1">
      <alignment vertical="center"/>
    </xf>
    <xf numFmtId="176" fontId="0" fillId="0" borderId="34" xfId="0" applyNumberFormat="1" applyFont="1" applyBorder="1" applyAlignment="1"/>
    <xf numFmtId="176" fontId="0" fillId="0" borderId="269" xfId="0" applyNumberFormat="1" applyFont="1" applyBorder="1" applyAlignment="1"/>
    <xf numFmtId="183" fontId="0" fillId="0" borderId="10" xfId="0" applyNumberFormat="1" applyFont="1" applyBorder="1" applyAlignment="1">
      <alignment vertical="center" shrinkToFit="1"/>
    </xf>
    <xf numFmtId="176" fontId="0" fillId="5" borderId="22" xfId="0" applyNumberFormat="1" applyFont="1" applyFill="1" applyBorder="1" applyAlignment="1">
      <alignment horizontal="center" vertical="center" shrinkToFit="1"/>
    </xf>
    <xf numFmtId="177" fontId="0" fillId="2" borderId="168" xfId="0" applyNumberFormat="1" applyFont="1" applyFill="1" applyBorder="1" applyAlignment="1">
      <alignment vertical="center" shrinkToFit="1"/>
    </xf>
    <xf numFmtId="177" fontId="0" fillId="2" borderId="170" xfId="0" applyNumberFormat="1" applyFont="1" applyFill="1" applyBorder="1" applyAlignment="1">
      <alignment vertical="center" shrinkToFit="1"/>
    </xf>
    <xf numFmtId="176" fontId="0" fillId="0" borderId="258" xfId="0" applyNumberFormat="1" applyFont="1" applyBorder="1" applyAlignment="1">
      <alignment vertical="center"/>
    </xf>
    <xf numFmtId="176" fontId="0" fillId="5" borderId="131" xfId="0" applyNumberFormat="1" applyFont="1" applyFill="1" applyBorder="1" applyAlignment="1">
      <alignment horizontal="center" vertical="center" shrinkToFit="1"/>
    </xf>
    <xf numFmtId="183" fontId="0" fillId="5" borderId="131" xfId="0" applyNumberFormat="1" applyFont="1" applyFill="1" applyBorder="1" applyAlignment="1">
      <alignment vertical="center" shrinkToFit="1"/>
    </xf>
    <xf numFmtId="183" fontId="0" fillId="5" borderId="169" xfId="0" applyNumberFormat="1" applyFont="1" applyFill="1" applyBorder="1" applyAlignment="1">
      <alignment vertical="center" shrinkToFit="1"/>
    </xf>
    <xf numFmtId="183" fontId="0" fillId="5" borderId="136" xfId="0" applyNumberFormat="1" applyFont="1" applyFill="1" applyBorder="1" applyAlignment="1">
      <alignment vertical="center" shrinkToFit="1"/>
    </xf>
    <xf numFmtId="176" fontId="0" fillId="5" borderId="170" xfId="0" applyNumberFormat="1" applyFont="1" applyFill="1" applyBorder="1" applyAlignment="1">
      <alignment vertical="center" shrinkToFit="1"/>
    </xf>
    <xf numFmtId="177" fontId="0" fillId="0" borderId="191" xfId="3" applyNumberFormat="1" applyFont="1" applyBorder="1" applyAlignment="1">
      <alignment horizontal="center" vertical="center" shrinkToFit="1"/>
    </xf>
    <xf numFmtId="177" fontId="0" fillId="0" borderId="191" xfId="0" applyNumberFormat="1" applyFont="1" applyBorder="1" applyAlignment="1">
      <alignment horizontal="center" vertical="center" shrinkToFit="1"/>
    </xf>
    <xf numFmtId="177" fontId="0" fillId="0" borderId="192" xfId="0" applyNumberFormat="1" applyFont="1" applyBorder="1" applyAlignment="1">
      <alignment horizontal="center" vertical="center" shrinkToFit="1"/>
    </xf>
    <xf numFmtId="176" fontId="0" fillId="0" borderId="216" xfId="0" applyNumberFormat="1" applyFont="1" applyBorder="1" applyAlignment="1">
      <alignment vertical="center"/>
    </xf>
    <xf numFmtId="179" fontId="0" fillId="2" borderId="50" xfId="0" applyNumberFormat="1" applyFont="1" applyFill="1" applyBorder="1" applyAlignment="1">
      <alignment vertical="center" shrinkToFit="1"/>
    </xf>
    <xf numFmtId="179" fontId="0" fillId="0" borderId="160" xfId="0" applyNumberFormat="1" applyFont="1" applyBorder="1" applyAlignment="1">
      <alignment vertical="center"/>
    </xf>
    <xf numFmtId="178" fontId="0" fillId="0" borderId="24" xfId="3" applyNumberFormat="1" applyFont="1" applyBorder="1" applyAlignment="1">
      <alignment vertical="center" shrinkToFit="1"/>
    </xf>
    <xf numFmtId="178" fontId="0" fillId="0" borderId="24" xfId="0" applyNumberFormat="1" applyFont="1" applyBorder="1" applyAlignment="1">
      <alignment vertical="center" shrinkToFit="1"/>
    </xf>
    <xf numFmtId="178" fontId="0" fillId="2" borderId="50" xfId="3" applyNumberFormat="1" applyFont="1" applyFill="1" applyBorder="1" applyAlignment="1">
      <alignment vertical="center" shrinkToFit="1"/>
    </xf>
    <xf numFmtId="176" fontId="0" fillId="0" borderId="229" xfId="0" applyNumberFormat="1" applyFont="1" applyFill="1" applyBorder="1" applyAlignment="1">
      <alignment horizontal="left" vertical="center" shrinkToFit="1"/>
    </xf>
    <xf numFmtId="176" fontId="0" fillId="0" borderId="229" xfId="0" applyNumberFormat="1" applyFont="1" applyBorder="1" applyAlignment="1">
      <alignment vertical="center"/>
    </xf>
    <xf numFmtId="179" fontId="0" fillId="0" borderId="227" xfId="0" applyNumberFormat="1" applyFont="1" applyBorder="1" applyAlignment="1">
      <alignment vertical="center"/>
    </xf>
    <xf numFmtId="176" fontId="0" fillId="0" borderId="233" xfId="3" applyNumberFormat="1" applyFont="1" applyFill="1" applyBorder="1" applyAlignment="1">
      <alignment vertical="center" shrinkToFit="1"/>
    </xf>
    <xf numFmtId="176" fontId="0" fillId="0" borderId="66" xfId="0" applyNumberFormat="1" applyFont="1" applyBorder="1" applyAlignment="1">
      <alignment vertical="center"/>
    </xf>
    <xf numFmtId="176" fontId="0" fillId="2" borderId="166" xfId="0" applyNumberFormat="1" applyFont="1" applyFill="1" applyBorder="1" applyAlignment="1">
      <alignment horizontal="center" vertical="center" shrinkToFit="1"/>
    </xf>
    <xf numFmtId="177" fontId="0" fillId="2" borderId="166" xfId="0" applyNumberFormat="1" applyFont="1" applyFill="1" applyBorder="1" applyAlignment="1">
      <alignment vertical="center" shrinkToFit="1"/>
    </xf>
    <xf numFmtId="176" fontId="0" fillId="2" borderId="171" xfId="0" applyNumberFormat="1" applyFont="1" applyFill="1" applyBorder="1" applyAlignment="1">
      <alignment vertical="center" shrinkToFit="1"/>
    </xf>
    <xf numFmtId="176" fontId="0" fillId="2" borderId="271" xfId="0" applyNumberFormat="1" applyFont="1" applyFill="1" applyBorder="1" applyAlignment="1">
      <alignment vertical="center" shrinkToFit="1"/>
    </xf>
    <xf numFmtId="176" fontId="0" fillId="0" borderId="249" xfId="0" applyNumberFormat="1" applyFont="1" applyBorder="1" applyAlignment="1">
      <alignment horizontal="center" vertical="center" shrinkToFit="1"/>
    </xf>
    <xf numFmtId="177" fontId="0" fillId="0" borderId="272" xfId="0" applyNumberFormat="1" applyFill="1" applyBorder="1" applyAlignment="1">
      <alignment vertical="center"/>
    </xf>
    <xf numFmtId="177" fontId="0" fillId="0" borderId="273" xfId="0" applyNumberFormat="1" applyFill="1" applyBorder="1" applyAlignment="1">
      <alignment vertical="center"/>
    </xf>
    <xf numFmtId="176" fontId="0" fillId="0" borderId="274" xfId="0" applyNumberFormat="1" applyFont="1" applyBorder="1" applyAlignment="1">
      <alignment vertical="center" shrinkToFit="1"/>
    </xf>
    <xf numFmtId="177" fontId="0" fillId="0" borderId="275" xfId="0" applyNumberFormat="1" applyFill="1" applyBorder="1" applyAlignment="1">
      <alignment vertical="center"/>
    </xf>
    <xf numFmtId="177" fontId="0" fillId="0" borderId="276" xfId="0" applyNumberFormat="1" applyFill="1" applyBorder="1" applyAlignment="1">
      <alignment vertical="center"/>
    </xf>
    <xf numFmtId="177" fontId="0" fillId="0" borderId="250" xfId="0" applyNumberFormat="1" applyFont="1" applyFill="1" applyBorder="1" applyAlignment="1">
      <alignment vertical="center"/>
    </xf>
    <xf numFmtId="177" fontId="0" fillId="0" borderId="149" xfId="0" applyNumberFormat="1" applyFont="1" applyFill="1" applyBorder="1" applyAlignment="1">
      <alignment horizontal="center" vertical="center"/>
    </xf>
    <xf numFmtId="177" fontId="0" fillId="0" borderId="278" xfId="3" applyNumberFormat="1" applyFont="1" applyBorder="1" applyAlignment="1">
      <alignment vertical="center" shrinkToFit="1"/>
    </xf>
    <xf numFmtId="181" fontId="0" fillId="0" borderId="279" xfId="0" applyNumberFormat="1" applyFont="1" applyBorder="1" applyAlignment="1">
      <alignment horizontal="right" vertical="center"/>
    </xf>
    <xf numFmtId="194" fontId="1" fillId="0" borderId="0" xfId="2" applyNumberFormat="1" applyFont="1" applyFill="1" applyBorder="1" applyAlignment="1">
      <alignment vertical="center" shrinkToFit="1"/>
    </xf>
    <xf numFmtId="0" fontId="1" fillId="0" borderId="185" xfId="2" applyFont="1" applyFill="1" applyBorder="1" applyAlignment="1">
      <alignment vertical="center" shrinkToFit="1"/>
    </xf>
    <xf numFmtId="0" fontId="1" fillId="0" borderId="37" xfId="2" applyFont="1" applyBorder="1" applyAlignment="1">
      <alignment horizontal="center" vertical="center"/>
    </xf>
    <xf numFmtId="0" fontId="1" fillId="0" borderId="87" xfId="2" applyFont="1" applyBorder="1" applyAlignment="1">
      <alignment horizontal="center" vertical="center" wrapText="1"/>
    </xf>
    <xf numFmtId="0" fontId="1" fillId="0" borderId="55" xfId="2" applyFont="1" applyBorder="1" applyAlignment="1">
      <alignment horizontal="center" vertical="center" wrapText="1"/>
    </xf>
    <xf numFmtId="0" fontId="1" fillId="0" borderId="238" xfId="2" applyFont="1" applyBorder="1" applyAlignment="1">
      <alignment horizontal="center" vertical="center"/>
    </xf>
    <xf numFmtId="0" fontId="1" fillId="0" borderId="167" xfId="2" applyFont="1" applyBorder="1" applyAlignment="1">
      <alignment horizontal="center" vertical="center" wrapText="1"/>
    </xf>
    <xf numFmtId="0" fontId="1" fillId="0" borderId="189" xfId="2" applyFont="1" applyBorder="1" applyAlignment="1">
      <alignment vertical="top" wrapText="1"/>
    </xf>
    <xf numFmtId="0" fontId="1" fillId="0" borderId="189" xfId="2" applyFont="1" applyBorder="1" applyAlignment="1">
      <alignment horizontal="center" vertical="center"/>
    </xf>
    <xf numFmtId="0" fontId="1" fillId="0" borderId="169" xfId="2" applyFont="1" applyBorder="1" applyAlignment="1">
      <alignment horizontal="left" vertical="top" wrapText="1"/>
    </xf>
    <xf numFmtId="9" fontId="0" fillId="0" borderId="189" xfId="0" applyNumberFormat="1" applyFont="1" applyBorder="1" applyAlignment="1">
      <alignment vertical="center" shrinkToFit="1"/>
    </xf>
    <xf numFmtId="176" fontId="0" fillId="0" borderId="231" xfId="8" applyNumberFormat="1" applyFont="1" applyBorder="1" applyAlignment="1">
      <alignment vertical="center"/>
    </xf>
    <xf numFmtId="1" fontId="0" fillId="0" borderId="231" xfId="8" applyNumberFormat="1" applyFont="1" applyBorder="1" applyAlignment="1">
      <alignment vertical="center"/>
    </xf>
    <xf numFmtId="177" fontId="0" fillId="0" borderId="174" xfId="0" applyNumberFormat="1" applyFont="1" applyFill="1" applyBorder="1" applyAlignment="1">
      <alignment vertical="center"/>
    </xf>
    <xf numFmtId="177" fontId="0" fillId="0" borderId="0" xfId="0" applyNumberFormat="1" applyFont="1" applyBorder="1" applyAlignment="1">
      <alignment horizontal="center" vertical="center" shrinkToFit="1"/>
    </xf>
    <xf numFmtId="176" fontId="0" fillId="0" borderId="228" xfId="0" applyNumberFormat="1" applyFont="1" applyBorder="1" applyAlignment="1">
      <alignment horizontal="left" vertical="center" shrinkToFit="1"/>
    </xf>
    <xf numFmtId="177" fontId="0" fillId="0" borderId="167" xfId="0" applyNumberFormat="1" applyFont="1" applyFill="1" applyBorder="1" applyAlignment="1">
      <alignment vertical="center"/>
    </xf>
    <xf numFmtId="176" fontId="0" fillId="0" borderId="288" xfId="0" applyNumberFormat="1" applyFont="1" applyBorder="1" applyAlignment="1">
      <alignment vertical="center"/>
    </xf>
    <xf numFmtId="179" fontId="0" fillId="0" borderId="289" xfId="0" applyNumberFormat="1" applyFont="1" applyBorder="1" applyAlignment="1">
      <alignment vertical="center" shrinkToFit="1"/>
    </xf>
    <xf numFmtId="179" fontId="0" fillId="0" borderId="290" xfId="0" applyNumberFormat="1" applyFont="1" applyBorder="1" applyAlignment="1">
      <alignment vertical="center" shrinkToFit="1"/>
    </xf>
    <xf numFmtId="179" fontId="0" fillId="0" borderId="0" xfId="0" applyNumberFormat="1" applyFont="1" applyBorder="1" applyAlignment="1">
      <alignment vertical="center" shrinkToFit="1"/>
    </xf>
    <xf numFmtId="179" fontId="0" fillId="0" borderId="0" xfId="0" applyNumberFormat="1" applyFont="1" applyBorder="1" applyAlignment="1">
      <alignment vertical="center"/>
    </xf>
    <xf numFmtId="179" fontId="0" fillId="0" borderId="291" xfId="0" applyNumberFormat="1" applyFont="1" applyBorder="1" applyAlignment="1">
      <alignment vertical="center" shrinkToFit="1"/>
    </xf>
    <xf numFmtId="195" fontId="0" fillId="0" borderId="232" xfId="0" applyNumberFormat="1" applyFont="1" applyBorder="1" applyAlignment="1">
      <alignment vertical="center" shrinkToFit="1"/>
    </xf>
    <xf numFmtId="179" fontId="0" fillId="0" borderId="292" xfId="0" applyNumberFormat="1" applyFont="1" applyBorder="1" applyAlignment="1">
      <alignment vertical="center" shrinkToFit="1"/>
    </xf>
    <xf numFmtId="179" fontId="0" fillId="0" borderId="293" xfId="0" applyNumberFormat="1" applyFont="1" applyBorder="1" applyAlignment="1">
      <alignment vertical="center" shrinkToFit="1"/>
    </xf>
    <xf numFmtId="179" fontId="0" fillId="0" borderId="167" xfId="0" applyNumberFormat="1" applyFont="1" applyBorder="1" applyAlignment="1">
      <alignment vertical="center" shrinkToFit="1"/>
    </xf>
    <xf numFmtId="179" fontId="0" fillId="0" borderId="294" xfId="0" applyNumberFormat="1" applyFont="1" applyBorder="1" applyAlignment="1">
      <alignment vertical="center" shrinkToFit="1"/>
    </xf>
    <xf numFmtId="177" fontId="0" fillId="0" borderId="277" xfId="0" applyNumberFormat="1" applyFont="1" applyFill="1" applyBorder="1" applyAlignment="1">
      <alignment vertical="center"/>
    </xf>
    <xf numFmtId="0" fontId="0" fillId="0" borderId="278" xfId="0" applyFont="1" applyFill="1" applyBorder="1" applyAlignment="1">
      <alignment vertical="center"/>
    </xf>
    <xf numFmtId="178" fontId="0" fillId="0" borderId="24" xfId="0" applyNumberFormat="1" applyFont="1" applyBorder="1" applyAlignment="1">
      <alignment vertical="center"/>
    </xf>
    <xf numFmtId="181" fontId="0" fillId="4" borderId="47" xfId="0" applyNumberFormat="1" applyFont="1" applyFill="1" applyBorder="1" applyAlignment="1">
      <alignment horizontal="right" vertical="center"/>
    </xf>
    <xf numFmtId="181" fontId="0" fillId="0" borderId="279" xfId="1" applyNumberFormat="1" applyFont="1" applyBorder="1" applyAlignment="1">
      <alignment horizontal="right" vertical="center"/>
    </xf>
    <xf numFmtId="181" fontId="0" fillId="0" borderId="296" xfId="1" applyNumberFormat="1" applyFont="1" applyBorder="1" applyAlignment="1">
      <alignment horizontal="right" vertical="center"/>
    </xf>
    <xf numFmtId="0" fontId="0" fillId="0" borderId="167" xfId="2" applyFont="1" applyBorder="1" applyAlignment="1">
      <alignment horizontal="left" vertical="top" wrapText="1"/>
    </xf>
    <xf numFmtId="181" fontId="0" fillId="6" borderId="39" xfId="0" applyNumberFormat="1" applyFont="1" applyFill="1" applyBorder="1" applyAlignment="1">
      <alignment horizontal="right" vertical="center"/>
    </xf>
    <xf numFmtId="181" fontId="0" fillId="6" borderId="47" xfId="0" applyNumberFormat="1" applyFont="1" applyFill="1" applyBorder="1" applyAlignment="1">
      <alignment horizontal="right" vertical="center"/>
    </xf>
    <xf numFmtId="181" fontId="0" fillId="6" borderId="47" xfId="1" applyNumberFormat="1" applyFont="1" applyFill="1" applyBorder="1" applyAlignment="1">
      <alignment horizontal="right" vertical="center"/>
    </xf>
    <xf numFmtId="0" fontId="0" fillId="0" borderId="49" xfId="2" applyFont="1" applyBorder="1" applyAlignment="1">
      <alignment horizontal="center" vertical="center" wrapText="1"/>
    </xf>
    <xf numFmtId="0" fontId="0" fillId="0" borderId="0" xfId="2" applyFont="1" applyBorder="1" applyAlignment="1">
      <alignment horizontal="center" vertical="center" wrapText="1"/>
    </xf>
    <xf numFmtId="176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center" vertical="center"/>
    </xf>
    <xf numFmtId="176" fontId="0" fillId="0" borderId="73" xfId="0" applyNumberFormat="1" applyFont="1" applyBorder="1" applyAlignment="1">
      <alignment horizontal="left" vertical="center" indent="1"/>
    </xf>
    <xf numFmtId="176" fontId="0" fillId="0" borderId="49" xfId="0" applyNumberFormat="1" applyFont="1" applyBorder="1" applyAlignment="1">
      <alignment horizontal="left" vertical="center" indent="1"/>
    </xf>
    <xf numFmtId="176" fontId="0" fillId="0" borderId="190" xfId="0" applyNumberFormat="1" applyFont="1" applyBorder="1" applyAlignment="1">
      <alignment vertical="center" shrinkToFit="1"/>
    </xf>
    <xf numFmtId="176" fontId="0" fillId="0" borderId="215" xfId="0" applyNumberFormat="1" applyFont="1" applyBorder="1" applyAlignment="1">
      <alignment vertical="center" shrinkToFit="1"/>
    </xf>
    <xf numFmtId="9" fontId="0" fillId="0" borderId="255" xfId="0" applyNumberFormat="1" applyFont="1" applyBorder="1" applyAlignment="1">
      <alignment horizontal="right" vertical="center" shrinkToFit="1"/>
    </xf>
    <xf numFmtId="176" fontId="0" fillId="0" borderId="255" xfId="0" applyNumberFormat="1" applyFont="1" applyBorder="1" applyAlignment="1">
      <alignment horizontal="right" vertical="center" shrinkToFit="1"/>
    </xf>
    <xf numFmtId="176" fontId="0" fillId="0" borderId="18" xfId="0" applyNumberFormat="1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176" fontId="0" fillId="0" borderId="72" xfId="0" applyNumberFormat="1" applyFont="1" applyBorder="1" applyAlignment="1">
      <alignment horizontal="center" vertical="center" shrinkToFit="1"/>
    </xf>
    <xf numFmtId="9" fontId="0" fillId="0" borderId="190" xfId="0" applyNumberFormat="1" applyFont="1" applyBorder="1" applyAlignment="1">
      <alignment vertical="center" shrinkToFit="1"/>
    </xf>
    <xf numFmtId="176" fontId="0" fillId="0" borderId="23" xfId="0" applyNumberFormat="1" applyFont="1" applyFill="1" applyBorder="1" applyAlignment="1">
      <alignment vertical="center" shrinkToFit="1"/>
    </xf>
    <xf numFmtId="177" fontId="0" fillId="0" borderId="89" xfId="0" applyNumberFormat="1" applyFont="1" applyFill="1" applyBorder="1" applyAlignment="1">
      <alignment vertical="center" shrinkToFit="1"/>
    </xf>
    <xf numFmtId="177" fontId="0" fillId="0" borderId="277" xfId="0" applyNumberFormat="1" applyFont="1" applyFill="1" applyBorder="1" applyAlignment="1">
      <alignment vertical="center" shrinkToFit="1"/>
    </xf>
    <xf numFmtId="177" fontId="0" fillId="0" borderId="189" xfId="0" applyNumberFormat="1" applyFont="1" applyBorder="1" applyAlignment="1">
      <alignment horizontal="center" vertical="center" shrinkToFit="1"/>
    </xf>
    <xf numFmtId="177" fontId="0" fillId="0" borderId="231" xfId="0" applyNumberFormat="1" applyFont="1" applyBorder="1" applyAlignment="1">
      <alignment vertical="center"/>
    </xf>
    <xf numFmtId="177" fontId="0" fillId="0" borderId="149" xfId="0" applyNumberFormat="1" applyFont="1" applyBorder="1" applyAlignment="1">
      <alignment vertical="center"/>
    </xf>
    <xf numFmtId="177" fontId="0" fillId="2" borderId="168" xfId="0" applyNumberFormat="1" applyFont="1" applyFill="1" applyBorder="1" applyAlignment="1">
      <alignment horizontal="center" vertical="center" shrinkToFit="1"/>
    </xf>
    <xf numFmtId="176" fontId="0" fillId="0" borderId="24" xfId="0" applyNumberFormat="1" applyFont="1" applyBorder="1" applyAlignment="1">
      <alignment vertical="center"/>
    </xf>
    <xf numFmtId="177" fontId="0" fillId="0" borderId="37" xfId="3" applyNumberFormat="1" applyFont="1" applyBorder="1" applyAlignment="1">
      <alignment horizontal="center" vertical="center" shrinkToFit="1"/>
    </xf>
    <xf numFmtId="177" fontId="0" fillId="0" borderId="180" xfId="0" applyNumberFormat="1" applyFont="1" applyBorder="1" applyAlignment="1">
      <alignment horizontal="center" vertical="center" shrinkToFit="1"/>
    </xf>
    <xf numFmtId="0" fontId="0" fillId="0" borderId="74" xfId="0" applyFont="1" applyBorder="1" applyAlignment="1">
      <alignment horizontal="center" vertical="center" shrinkToFit="1"/>
    </xf>
    <xf numFmtId="0" fontId="0" fillId="0" borderId="75" xfId="0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0" fillId="0" borderId="0" xfId="2" applyFont="1" applyAlignment="1">
      <alignment horizontal="justify" vertical="center"/>
    </xf>
    <xf numFmtId="0" fontId="0" fillId="0" borderId="55" xfId="2" applyFont="1" applyBorder="1" applyAlignment="1">
      <alignment horizontal="center" vertical="center" wrapText="1"/>
    </xf>
    <xf numFmtId="0" fontId="0" fillId="0" borderId="167" xfId="2" applyFont="1" applyBorder="1" applyAlignment="1">
      <alignment horizontal="left" vertical="center"/>
    </xf>
    <xf numFmtId="0" fontId="0" fillId="0" borderId="174" xfId="2" applyFont="1" applyBorder="1" applyAlignment="1">
      <alignment vertical="center" wrapText="1"/>
    </xf>
    <xf numFmtId="0" fontId="0" fillId="0" borderId="49" xfId="2" applyFont="1" applyBorder="1" applyAlignment="1">
      <alignment vertical="center" wrapText="1"/>
    </xf>
    <xf numFmtId="184" fontId="0" fillId="0" borderId="23" xfId="2" applyNumberFormat="1" applyFont="1" applyFill="1" applyBorder="1" applyAlignment="1">
      <alignment vertical="center" wrapText="1"/>
    </xf>
    <xf numFmtId="0" fontId="0" fillId="0" borderId="25" xfId="2" applyFont="1" applyBorder="1" applyAlignment="1">
      <alignment horizontal="center" vertical="center" wrapText="1"/>
    </xf>
    <xf numFmtId="0" fontId="0" fillId="0" borderId="26" xfId="2" applyFont="1" applyBorder="1" applyAlignment="1">
      <alignment horizontal="center" vertical="center" wrapText="1"/>
    </xf>
    <xf numFmtId="0" fontId="0" fillId="0" borderId="29" xfId="2" applyFont="1" applyBorder="1" applyAlignment="1">
      <alignment horizontal="center" vertical="center" wrapText="1"/>
    </xf>
    <xf numFmtId="184" fontId="0" fillId="0" borderId="89" xfId="2" applyNumberFormat="1" applyFont="1" applyFill="1" applyBorder="1" applyAlignment="1">
      <alignment vertical="center" wrapText="1"/>
    </xf>
    <xf numFmtId="0" fontId="0" fillId="0" borderId="13" xfId="2" applyFont="1" applyBorder="1" applyAlignment="1">
      <alignment horizontal="center" vertical="center" wrapText="1"/>
    </xf>
    <xf numFmtId="0" fontId="0" fillId="0" borderId="125" xfId="2" applyFont="1" applyBorder="1" applyAlignment="1">
      <alignment horizontal="center" vertical="center" wrapText="1"/>
    </xf>
    <xf numFmtId="0" fontId="0" fillId="0" borderId="15" xfId="2" applyFont="1" applyBorder="1" applyAlignment="1">
      <alignment horizontal="center" vertical="center" wrapText="1"/>
    </xf>
    <xf numFmtId="192" fontId="0" fillId="0" borderId="89" xfId="2" applyNumberFormat="1" applyFont="1" applyFill="1" applyBorder="1" applyAlignment="1">
      <alignment vertical="center" shrinkToFit="1"/>
    </xf>
    <xf numFmtId="192" fontId="0" fillId="0" borderId="89" xfId="2" applyNumberFormat="1" applyFont="1" applyFill="1" applyBorder="1" applyAlignment="1">
      <alignment vertical="center" wrapText="1"/>
    </xf>
    <xf numFmtId="184" fontId="0" fillId="0" borderId="16" xfId="2" applyNumberFormat="1" applyFont="1" applyBorder="1" applyAlignment="1">
      <alignment vertical="center" wrapText="1"/>
    </xf>
    <xf numFmtId="0" fontId="0" fillId="0" borderId="10" xfId="2" applyFont="1" applyBorder="1" applyAlignment="1">
      <alignment horizontal="center" vertical="center" wrapText="1"/>
    </xf>
    <xf numFmtId="0" fontId="0" fillId="0" borderId="1" xfId="2" applyFont="1" applyBorder="1" applyAlignment="1">
      <alignment horizontal="center" vertical="center" wrapText="1"/>
    </xf>
    <xf numFmtId="0" fontId="0" fillId="0" borderId="8" xfId="2" applyFont="1" applyBorder="1" applyAlignment="1">
      <alignment horizontal="center" vertical="center" wrapText="1"/>
    </xf>
    <xf numFmtId="0" fontId="0" fillId="0" borderId="123" xfId="2" applyFont="1" applyBorder="1" applyAlignment="1">
      <alignment horizontal="center" vertical="center" wrapText="1"/>
    </xf>
    <xf numFmtId="0" fontId="0" fillId="0" borderId="30" xfId="2" applyFont="1" applyBorder="1" applyAlignment="1">
      <alignment horizontal="center" vertical="center" wrapText="1"/>
    </xf>
    <xf numFmtId="0" fontId="0" fillId="0" borderId="31" xfId="2" applyFont="1" applyBorder="1" applyAlignment="1">
      <alignment horizontal="center" vertical="center" wrapText="1"/>
    </xf>
    <xf numFmtId="0" fontId="0" fillId="0" borderId="57" xfId="2" applyFont="1" applyBorder="1" applyAlignment="1">
      <alignment horizontal="center" vertical="center" wrapText="1"/>
    </xf>
    <xf numFmtId="0" fontId="0" fillId="0" borderId="0" xfId="2" applyFont="1" applyAlignment="1">
      <alignment horizontal="right" vertical="center"/>
    </xf>
    <xf numFmtId="176" fontId="0" fillId="0" borderId="16" xfId="0" applyNumberFormat="1" applyFont="1" applyBorder="1" applyAlignment="1">
      <alignment horizontal="left" vertical="center" shrinkToFit="1"/>
    </xf>
    <xf numFmtId="176" fontId="0" fillId="0" borderId="16" xfId="0" applyNumberFormat="1" applyFont="1" applyBorder="1" applyAlignment="1">
      <alignment horizontal="right" vertical="center" shrinkToFit="1"/>
    </xf>
    <xf numFmtId="9" fontId="0" fillId="0" borderId="16" xfId="0" applyNumberFormat="1" applyFont="1" applyBorder="1" applyAlignment="1">
      <alignment horizontal="right" vertical="center" shrinkToFit="1"/>
    </xf>
    <xf numFmtId="176" fontId="0" fillId="0" borderId="16" xfId="0" applyNumberFormat="1" applyFont="1" applyFill="1" applyBorder="1" applyAlignment="1">
      <alignment horizontal="right" vertical="center" shrinkToFit="1"/>
    </xf>
    <xf numFmtId="176" fontId="0" fillId="0" borderId="189" xfId="0" applyNumberFormat="1" applyFont="1" applyBorder="1" applyAlignment="1">
      <alignment horizontal="right" vertical="center" shrinkToFit="1"/>
    </xf>
    <xf numFmtId="3" fontId="16" fillId="0" borderId="228" xfId="8" applyNumberFormat="1" applyFont="1" applyBorder="1" applyAlignment="1">
      <alignment horizontal="left" vertical="center" wrapText="1"/>
    </xf>
    <xf numFmtId="3" fontId="0" fillId="0" borderId="228" xfId="8" applyNumberFormat="1" applyFont="1" applyBorder="1" applyAlignment="1">
      <alignment horizontal="left" vertical="center"/>
    </xf>
    <xf numFmtId="176" fontId="0" fillId="0" borderId="228" xfId="0" applyNumberFormat="1" applyFont="1" applyBorder="1" applyAlignment="1">
      <alignment horizontal="right" vertical="center" shrinkToFit="1"/>
    </xf>
    <xf numFmtId="176" fontId="0" fillId="0" borderId="228" xfId="8" applyNumberFormat="1" applyFont="1" applyBorder="1" applyAlignment="1">
      <alignment horizontal="right" vertical="center"/>
    </xf>
    <xf numFmtId="177" fontId="0" fillId="0" borderId="21" xfId="0" applyNumberFormat="1" applyFont="1" applyFill="1" applyBorder="1" applyAlignment="1">
      <alignment vertical="center" shrinkToFit="1"/>
    </xf>
    <xf numFmtId="177" fontId="0" fillId="0" borderId="12" xfId="0" applyNumberFormat="1" applyFont="1" applyFill="1" applyBorder="1" applyAlignment="1">
      <alignment vertical="center"/>
    </xf>
    <xf numFmtId="177" fontId="0" fillId="0" borderId="0" xfId="0" applyNumberFormat="1" applyFont="1" applyBorder="1" applyAlignment="1">
      <alignment vertical="center" textRotation="255" shrinkToFit="1"/>
    </xf>
    <xf numFmtId="179" fontId="0" fillId="0" borderId="186" xfId="0" applyNumberFormat="1" applyFont="1" applyFill="1" applyBorder="1" applyAlignment="1">
      <alignment horizontal="center" vertical="center" shrinkToFit="1"/>
    </xf>
    <xf numFmtId="177" fontId="0" fillId="0" borderId="88" xfId="0" applyNumberFormat="1" applyFont="1" applyFill="1" applyBorder="1" applyAlignment="1">
      <alignment vertical="center" shrinkToFit="1"/>
    </xf>
    <xf numFmtId="177" fontId="0" fillId="0" borderId="89" xfId="0" applyNumberFormat="1" applyFont="1" applyFill="1" applyBorder="1" applyAlignment="1">
      <alignment horizontal="center" vertical="center" shrinkToFit="1"/>
    </xf>
    <xf numFmtId="177" fontId="0" fillId="0" borderId="76" xfId="0" applyNumberFormat="1" applyFont="1" applyFill="1" applyBorder="1" applyAlignment="1">
      <alignment vertical="center" shrinkToFit="1"/>
    </xf>
    <xf numFmtId="176" fontId="0" fillId="0" borderId="295" xfId="0" applyNumberFormat="1" applyFont="1" applyBorder="1" applyAlignment="1">
      <alignment vertical="center"/>
    </xf>
    <xf numFmtId="176" fontId="0" fillId="0" borderId="270" xfId="0" applyNumberFormat="1" applyFont="1" applyBorder="1" applyAlignment="1">
      <alignment vertical="center"/>
    </xf>
    <xf numFmtId="178" fontId="0" fillId="0" borderId="24" xfId="3" applyNumberFormat="1" applyFont="1" applyFill="1" applyBorder="1" applyAlignment="1">
      <alignment vertical="center" shrinkToFit="1"/>
    </xf>
    <xf numFmtId="179" fontId="0" fillId="0" borderId="160" xfId="3" applyNumberFormat="1" applyFont="1" applyFill="1" applyBorder="1" applyAlignment="1">
      <alignment vertical="center" shrinkToFit="1"/>
    </xf>
    <xf numFmtId="179" fontId="0" fillId="0" borderId="24" xfId="3" applyNumberFormat="1" applyFont="1" applyFill="1" applyBorder="1" applyAlignment="1">
      <alignment vertical="center" shrinkToFit="1"/>
    </xf>
    <xf numFmtId="0" fontId="8" fillId="0" borderId="298" xfId="2" applyFont="1" applyBorder="1" applyAlignment="1">
      <alignment horizontal="center" vertical="center" wrapText="1"/>
    </xf>
    <xf numFmtId="0" fontId="8" fillId="0" borderId="299" xfId="2" applyFont="1" applyBorder="1" applyAlignment="1">
      <alignment horizontal="center" vertical="center" wrapText="1"/>
    </xf>
    <xf numFmtId="0" fontId="8" fillId="0" borderId="277" xfId="2" applyFont="1" applyFill="1" applyBorder="1" applyAlignment="1">
      <alignment horizontal="center" vertical="center" wrapText="1"/>
    </xf>
    <xf numFmtId="0" fontId="8" fillId="0" borderId="277" xfId="2" applyFont="1" applyBorder="1" applyAlignment="1">
      <alignment vertical="center" wrapText="1"/>
    </xf>
    <xf numFmtId="0" fontId="0" fillId="0" borderId="277" xfId="2" applyFont="1" applyBorder="1" applyAlignment="1">
      <alignment horizontal="center" vertical="center" shrinkToFit="1"/>
    </xf>
    <xf numFmtId="0" fontId="1" fillId="0" borderId="277" xfId="2" applyFont="1" applyBorder="1" applyAlignment="1">
      <alignment horizontal="center" vertical="center" shrinkToFit="1"/>
    </xf>
    <xf numFmtId="0" fontId="0" fillId="0" borderId="277" xfId="2" applyFont="1" applyBorder="1" applyAlignment="1">
      <alignment vertical="center" wrapText="1"/>
    </xf>
    <xf numFmtId="0" fontId="8" fillId="0" borderId="277" xfId="2" applyFont="1" applyFill="1" applyBorder="1" applyAlignment="1">
      <alignment vertical="center" wrapText="1"/>
    </xf>
    <xf numFmtId="0" fontId="8" fillId="0" borderId="277" xfId="2" applyFont="1" applyFill="1" applyBorder="1" applyAlignment="1">
      <alignment horizontal="center" vertical="center"/>
    </xf>
    <xf numFmtId="0" fontId="1" fillId="0" borderId="277" xfId="2" applyFont="1" applyBorder="1" applyAlignment="1">
      <alignment horizontal="center" vertical="center" wrapText="1"/>
    </xf>
    <xf numFmtId="191" fontId="1" fillId="0" borderId="277" xfId="2" applyNumberFormat="1" applyFont="1" applyBorder="1" applyAlignment="1">
      <alignment horizontal="center" vertical="center" wrapText="1"/>
    </xf>
    <xf numFmtId="0" fontId="8" fillId="0" borderId="277" xfId="2" applyFont="1" applyBorder="1" applyAlignment="1">
      <alignment horizontal="center" vertical="center" wrapText="1"/>
    </xf>
    <xf numFmtId="0" fontId="0" fillId="0" borderId="277" xfId="2" applyFont="1" applyFill="1" applyBorder="1" applyAlignment="1">
      <alignment horizontal="center" vertical="center" wrapText="1"/>
    </xf>
    <xf numFmtId="0" fontId="8" fillId="0" borderId="277" xfId="2" applyFont="1" applyBorder="1" applyAlignment="1">
      <alignment horizontal="left" vertical="center" wrapText="1"/>
    </xf>
    <xf numFmtId="0" fontId="0" fillId="0" borderId="277" xfId="2" applyFont="1" applyBorder="1" applyAlignment="1">
      <alignment horizontal="left" vertical="center" wrapText="1"/>
    </xf>
    <xf numFmtId="0" fontId="1" fillId="0" borderId="277" xfId="2" applyFont="1" applyBorder="1" applyAlignment="1">
      <alignment horizontal="left" vertical="center" wrapText="1"/>
    </xf>
    <xf numFmtId="0" fontId="0" fillId="0" borderId="277" xfId="2" applyFont="1" applyFill="1" applyBorder="1" applyAlignment="1">
      <alignment horizontal="left" vertical="center" wrapText="1"/>
    </xf>
    <xf numFmtId="0" fontId="0" fillId="0" borderId="277" xfId="2" applyFont="1" applyFill="1" applyBorder="1" applyAlignment="1">
      <alignment horizontal="center" vertical="center" shrinkToFit="1"/>
    </xf>
    <xf numFmtId="0" fontId="1" fillId="0" borderId="277" xfId="2" applyFont="1" applyFill="1" applyBorder="1" applyAlignment="1">
      <alignment horizontal="center" vertical="center" shrinkToFit="1"/>
    </xf>
    <xf numFmtId="0" fontId="0" fillId="0" borderId="277" xfId="2" applyFont="1" applyFill="1" applyBorder="1" applyAlignment="1">
      <alignment vertical="center" wrapText="1"/>
    </xf>
    <xf numFmtId="0" fontId="1" fillId="0" borderId="277" xfId="2" applyFont="1" applyFill="1" applyBorder="1" applyAlignment="1">
      <alignment horizontal="center" vertical="center" wrapText="1"/>
    </xf>
    <xf numFmtId="191" fontId="1" fillId="0" borderId="277" xfId="2" applyNumberFormat="1" applyFont="1" applyFill="1" applyBorder="1" applyAlignment="1">
      <alignment horizontal="center" vertical="center" wrapText="1"/>
    </xf>
    <xf numFmtId="0" fontId="8" fillId="0" borderId="277" xfId="2" applyFont="1" applyFill="1" applyBorder="1" applyAlignment="1">
      <alignment horizontal="left" vertical="center" wrapText="1"/>
    </xf>
    <xf numFmtId="0" fontId="1" fillId="0" borderId="277" xfId="2" applyFont="1" applyFill="1" applyBorder="1" applyAlignment="1">
      <alignment horizontal="left" vertical="center" wrapText="1"/>
    </xf>
    <xf numFmtId="177" fontId="1" fillId="0" borderId="24" xfId="3" applyNumberFormat="1" applyFont="1" applyBorder="1" applyAlignment="1">
      <alignment vertical="center" shrinkToFit="1"/>
    </xf>
    <xf numFmtId="176" fontId="1" fillId="0" borderId="60" xfId="0" applyNumberFormat="1" applyFont="1" applyBorder="1" applyAlignment="1">
      <alignment vertical="center"/>
    </xf>
    <xf numFmtId="182" fontId="0" fillId="0" borderId="0" xfId="0" applyNumberFormat="1" applyFont="1" applyBorder="1" applyAlignment="1">
      <alignment horizontal="right" vertical="center"/>
    </xf>
    <xf numFmtId="176" fontId="0" fillId="0" borderId="2" xfId="0" applyNumberFormat="1" applyFont="1" applyFill="1" applyBorder="1" applyAlignment="1">
      <alignment vertical="center" shrinkToFit="1"/>
    </xf>
    <xf numFmtId="187" fontId="0" fillId="0" borderId="1" xfId="0" applyNumberFormat="1" applyFont="1" applyFill="1" applyBorder="1" applyAlignment="1">
      <alignment horizontal="right" vertical="center" shrinkToFit="1"/>
    </xf>
    <xf numFmtId="186" fontId="0" fillId="0" borderId="1" xfId="0" applyNumberFormat="1" applyFont="1" applyFill="1" applyBorder="1" applyAlignment="1">
      <alignment horizontal="right" vertical="center" shrinkToFit="1"/>
    </xf>
    <xf numFmtId="186" fontId="0" fillId="0" borderId="231" xfId="0" applyNumberFormat="1" applyFont="1" applyFill="1" applyBorder="1" applyAlignment="1">
      <alignment horizontal="right" vertical="center" shrinkToFit="1"/>
    </xf>
    <xf numFmtId="176" fontId="0" fillId="0" borderId="1" xfId="0" applyNumberFormat="1" applyFont="1" applyFill="1" applyBorder="1" applyAlignment="1">
      <alignment horizontal="right" vertical="center" shrinkToFit="1"/>
    </xf>
    <xf numFmtId="177" fontId="19" fillId="0" borderId="0" xfId="0" applyNumberFormat="1" applyFont="1" applyAlignment="1">
      <alignment vertical="center"/>
    </xf>
    <xf numFmtId="177" fontId="20" fillId="7" borderId="0" xfId="0" applyNumberFormat="1" applyFont="1" applyFill="1" applyAlignment="1">
      <alignment vertical="center"/>
    </xf>
    <xf numFmtId="0" fontId="0" fillId="0" borderId="49" xfId="2" applyFont="1" applyBorder="1" applyAlignment="1">
      <alignment horizontal="center" vertical="center" wrapText="1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215" xfId="0" applyNumberFormat="1" applyFont="1" applyFill="1" applyBorder="1" applyAlignment="1">
      <alignment vertical="center" shrinkToFit="1"/>
    </xf>
    <xf numFmtId="177" fontId="0" fillId="0" borderId="231" xfId="0" applyNumberFormat="1" applyFont="1" applyFill="1" applyBorder="1" applyAlignment="1">
      <alignment horizontal="center" vertical="center" shrinkToFit="1"/>
    </xf>
    <xf numFmtId="177" fontId="0" fillId="0" borderId="149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7" fontId="0" fillId="0" borderId="37" xfId="3" applyNumberFormat="1" applyFont="1" applyBorder="1" applyAlignment="1">
      <alignment horizontal="center" vertical="center" shrinkToFit="1"/>
    </xf>
    <xf numFmtId="176" fontId="0" fillId="0" borderId="160" xfId="0" applyNumberFormat="1" applyFont="1" applyBorder="1" applyAlignment="1">
      <alignment vertical="center"/>
    </xf>
    <xf numFmtId="176" fontId="1" fillId="0" borderId="24" xfId="0" applyNumberFormat="1" applyFont="1" applyBorder="1" applyAlignment="1">
      <alignment vertical="center"/>
    </xf>
    <xf numFmtId="0" fontId="1" fillId="0" borderId="0" xfId="2"/>
    <xf numFmtId="0" fontId="0" fillId="0" borderId="280" xfId="0" applyNumberFormat="1" applyFont="1" applyBorder="1" applyAlignment="1">
      <alignment horizontal="right" vertical="center"/>
    </xf>
    <xf numFmtId="0" fontId="0" fillId="0" borderId="233" xfId="2" applyFont="1" applyBorder="1" applyAlignment="1">
      <alignment vertical="top" wrapText="1"/>
    </xf>
    <xf numFmtId="0" fontId="0" fillId="0" borderId="49" xfId="2" applyFont="1" applyBorder="1" applyAlignment="1">
      <alignment vertical="top" wrapText="1"/>
    </xf>
    <xf numFmtId="0" fontId="0" fillId="0" borderId="189" xfId="2" applyFont="1" applyBorder="1" applyAlignment="1">
      <alignment vertical="top" wrapText="1"/>
    </xf>
    <xf numFmtId="0" fontId="0" fillId="0" borderId="229" xfId="2" applyFont="1" applyBorder="1" applyAlignment="1">
      <alignment vertical="top" wrapText="1"/>
    </xf>
    <xf numFmtId="0" fontId="0" fillId="0" borderId="189" xfId="2" applyFont="1" applyBorder="1" applyAlignment="1">
      <alignment vertical="center" wrapText="1"/>
    </xf>
    <xf numFmtId="0" fontId="0" fillId="0" borderId="229" xfId="2" applyFont="1" applyBorder="1" applyAlignment="1">
      <alignment vertical="center"/>
    </xf>
    <xf numFmtId="0" fontId="0" fillId="0" borderId="189" xfId="2" applyFont="1" applyBorder="1" applyAlignment="1">
      <alignment horizontal="left" vertical="top" wrapText="1"/>
    </xf>
    <xf numFmtId="0" fontId="0" fillId="0" borderId="24" xfId="2" applyFont="1" applyBorder="1" applyAlignment="1">
      <alignment vertical="top" wrapText="1"/>
    </xf>
    <xf numFmtId="0" fontId="0" fillId="0" borderId="169" xfId="2" applyFont="1" applyBorder="1" applyAlignment="1">
      <alignment vertical="top" wrapText="1"/>
    </xf>
    <xf numFmtId="0" fontId="0" fillId="0" borderId="169" xfId="2" applyFont="1" applyBorder="1" applyAlignment="1">
      <alignment horizontal="left" vertical="top" wrapText="1"/>
    </xf>
    <xf numFmtId="176" fontId="20" fillId="0" borderId="0" xfId="0" applyNumberFormat="1" applyFont="1" applyAlignment="1">
      <alignment vertical="center"/>
    </xf>
    <xf numFmtId="179" fontId="0" fillId="0" borderId="68" xfId="0" applyNumberFormat="1" applyFont="1" applyFill="1" applyBorder="1" applyAlignment="1">
      <alignment vertical="center" shrinkToFit="1"/>
    </xf>
    <xf numFmtId="176" fontId="20" fillId="0" borderId="0" xfId="0" applyNumberFormat="1" applyFont="1" applyFill="1" applyBorder="1" applyAlignment="1">
      <alignment vertical="center"/>
    </xf>
    <xf numFmtId="179" fontId="20" fillId="0" borderId="0" xfId="0" applyNumberFormat="1" applyFont="1" applyFill="1" applyBorder="1" applyAlignment="1">
      <alignment vertical="center"/>
    </xf>
    <xf numFmtId="182" fontId="1" fillId="0" borderId="1" xfId="4" applyNumberFormat="1" applyFont="1" applyFill="1" applyBorder="1" applyAlignment="1">
      <alignment vertical="center" shrinkToFit="1"/>
    </xf>
    <xf numFmtId="182" fontId="1" fillId="0" borderId="1" xfId="4" applyNumberFormat="1" applyFont="1" applyBorder="1" applyAlignment="1">
      <alignment vertical="center" shrinkToFit="1"/>
    </xf>
    <xf numFmtId="176" fontId="1" fillId="0" borderId="1" xfId="0" applyNumberFormat="1" applyFont="1" applyFill="1" applyBorder="1" applyAlignment="1">
      <alignment vertical="center" shrinkToFit="1"/>
    </xf>
    <xf numFmtId="9" fontId="1" fillId="0" borderId="1" xfId="0" applyNumberFormat="1" applyFont="1" applyFill="1" applyBorder="1" applyAlignment="1">
      <alignment vertical="center" shrinkToFit="1"/>
    </xf>
    <xf numFmtId="176" fontId="1" fillId="0" borderId="2" xfId="0" applyNumberFormat="1" applyFont="1" applyFill="1" applyBorder="1" applyAlignment="1">
      <alignment vertical="center" shrinkToFit="1"/>
    </xf>
    <xf numFmtId="182" fontId="1" fillId="0" borderId="231" xfId="4" applyNumberFormat="1" applyFont="1" applyFill="1" applyBorder="1" applyAlignment="1">
      <alignment vertical="center" shrinkToFit="1"/>
    </xf>
    <xf numFmtId="9" fontId="1" fillId="0" borderId="231" xfId="0" applyNumberFormat="1" applyFont="1" applyFill="1" applyBorder="1" applyAlignment="1">
      <alignment vertical="center" shrinkToFit="1"/>
    </xf>
    <xf numFmtId="176" fontId="1" fillId="0" borderId="231" xfId="0" applyNumberFormat="1" applyFont="1" applyFill="1" applyBorder="1" applyAlignment="1">
      <alignment vertical="center" shrinkToFit="1"/>
    </xf>
    <xf numFmtId="176" fontId="1" fillId="0" borderId="232" xfId="0" applyNumberFormat="1" applyFont="1" applyFill="1" applyBorder="1" applyAlignment="1">
      <alignment vertical="center" shrinkToFit="1"/>
    </xf>
    <xf numFmtId="176" fontId="1" fillId="0" borderId="1" xfId="0" applyNumberFormat="1" applyFont="1" applyBorder="1" applyAlignment="1">
      <alignment vertical="center" shrinkToFit="1"/>
    </xf>
    <xf numFmtId="176" fontId="1" fillId="0" borderId="2" xfId="0" applyNumberFormat="1" applyFont="1" applyBorder="1" applyAlignment="1">
      <alignment vertical="center" shrinkToFit="1"/>
    </xf>
    <xf numFmtId="179" fontId="1" fillId="2" borderId="1" xfId="0" applyNumberFormat="1" applyFont="1" applyFill="1" applyBorder="1" applyAlignment="1">
      <alignment vertical="center" shrinkToFit="1"/>
    </xf>
    <xf numFmtId="176" fontId="1" fillId="2" borderId="1" xfId="0" applyNumberFormat="1" applyFont="1" applyFill="1" applyBorder="1" applyAlignment="1">
      <alignment vertical="center" shrinkToFit="1"/>
    </xf>
    <xf numFmtId="176" fontId="1" fillId="2" borderId="2" xfId="0" applyNumberFormat="1" applyFont="1" applyFill="1" applyBorder="1" applyAlignment="1">
      <alignment vertical="center" shrinkToFit="1"/>
    </xf>
    <xf numFmtId="38" fontId="1" fillId="0" borderId="1" xfId="1" applyFont="1" applyFill="1" applyBorder="1" applyAlignment="1">
      <alignment vertical="center" shrinkToFit="1"/>
    </xf>
    <xf numFmtId="177" fontId="1" fillId="0" borderId="1" xfId="0" applyNumberFormat="1" applyFont="1" applyFill="1" applyBorder="1" applyAlignment="1">
      <alignment vertical="center" shrinkToFit="1"/>
    </xf>
    <xf numFmtId="177" fontId="0" fillId="0" borderId="305" xfId="0" applyNumberFormat="1" applyFont="1" applyBorder="1" applyAlignment="1">
      <alignment vertical="center"/>
    </xf>
    <xf numFmtId="177" fontId="0" fillId="0" borderId="306" xfId="0" applyNumberFormat="1" applyFont="1" applyBorder="1" applyAlignment="1">
      <alignment vertical="center"/>
    </xf>
    <xf numFmtId="177" fontId="0" fillId="0" borderId="307" xfId="0" applyNumberFormat="1" applyFont="1" applyFill="1" applyBorder="1" applyAlignment="1">
      <alignment vertical="center" shrinkToFit="1"/>
    </xf>
    <xf numFmtId="177" fontId="0" fillId="0" borderId="24" xfId="0" applyNumberFormat="1" applyFont="1" applyBorder="1" applyAlignment="1">
      <alignment vertical="center"/>
    </xf>
    <xf numFmtId="177" fontId="0" fillId="0" borderId="10" xfId="0" applyNumberFormat="1" applyFill="1" applyBorder="1" applyAlignment="1">
      <alignment vertical="center"/>
    </xf>
    <xf numFmtId="178" fontId="0" fillId="0" borderId="10" xfId="0" applyNumberFormat="1" applyFont="1" applyFill="1" applyBorder="1" applyAlignment="1">
      <alignment vertical="center"/>
    </xf>
    <xf numFmtId="177" fontId="0" fillId="0" borderId="10" xfId="0" applyNumberFormat="1" applyFont="1" applyFill="1" applyBorder="1" applyAlignment="1">
      <alignment vertical="center"/>
    </xf>
    <xf numFmtId="177" fontId="0" fillId="0" borderId="34" xfId="0" applyNumberFormat="1" applyFont="1" applyBorder="1" applyAlignment="1">
      <alignment vertical="center"/>
    </xf>
    <xf numFmtId="177" fontId="0" fillId="0" borderId="39" xfId="0" applyNumberFormat="1" applyFont="1" applyBorder="1" applyAlignment="1">
      <alignment vertical="center"/>
    </xf>
    <xf numFmtId="177" fontId="0" fillId="0" borderId="285" xfId="0" applyNumberFormat="1" applyFont="1" applyBorder="1" applyAlignment="1">
      <alignment vertical="center"/>
    </xf>
    <xf numFmtId="177" fontId="0" fillId="0" borderId="278" xfId="0" applyNumberFormat="1" applyFont="1" applyFill="1" applyBorder="1" applyAlignment="1">
      <alignment vertical="center"/>
    </xf>
    <xf numFmtId="188" fontId="0" fillId="0" borderId="149" xfId="0" applyNumberFormat="1" applyFont="1" applyBorder="1" applyAlignment="1">
      <alignment vertical="center"/>
    </xf>
    <xf numFmtId="177" fontId="0" fillId="0" borderId="278" xfId="0" applyNumberFormat="1" applyBorder="1" applyAlignment="1">
      <alignment vertical="center"/>
    </xf>
    <xf numFmtId="177" fontId="0" fillId="0" borderId="278" xfId="0" applyNumberFormat="1" applyFont="1" applyBorder="1" applyAlignment="1">
      <alignment vertical="center"/>
    </xf>
    <xf numFmtId="189" fontId="0" fillId="0" borderId="149" xfId="0" applyNumberFormat="1" applyFont="1" applyFill="1" applyBorder="1" applyAlignment="1">
      <alignment vertical="center"/>
    </xf>
    <xf numFmtId="0" fontId="0" fillId="0" borderId="278" xfId="3" applyFont="1" applyFill="1" applyBorder="1" applyAlignment="1">
      <alignment vertical="center" shrinkToFit="1"/>
    </xf>
    <xf numFmtId="189" fontId="0" fillId="0" borderId="278" xfId="0" applyNumberFormat="1" applyFont="1" applyFill="1" applyBorder="1" applyAlignment="1">
      <alignment vertical="center"/>
    </xf>
    <xf numFmtId="178" fontId="0" fillId="0" borderId="278" xfId="0" applyNumberFormat="1" applyFont="1" applyFill="1" applyBorder="1" applyAlignment="1">
      <alignment horizontal="left" vertical="center"/>
    </xf>
    <xf numFmtId="177" fontId="0" fillId="0" borderId="211" xfId="0" applyNumberFormat="1" applyFont="1" applyFill="1" applyBorder="1" applyAlignment="1">
      <alignment horizontal="center" vertical="center" shrinkToFit="1"/>
    </xf>
    <xf numFmtId="177" fontId="0" fillId="0" borderId="231" xfId="0" applyNumberFormat="1" applyFill="1" applyBorder="1" applyAlignment="1">
      <alignment horizontal="center" vertical="center" shrinkToFit="1"/>
    </xf>
    <xf numFmtId="177" fontId="0" fillId="0" borderId="196" xfId="0" applyNumberFormat="1" applyFont="1" applyBorder="1" applyAlignment="1">
      <alignment vertical="center"/>
    </xf>
    <xf numFmtId="177" fontId="0" fillId="0" borderId="235" xfId="0" applyNumberFormat="1" applyFont="1" applyFill="1" applyBorder="1" applyAlignment="1">
      <alignment vertical="center" shrinkToFit="1"/>
    </xf>
    <xf numFmtId="177" fontId="0" fillId="0" borderId="211" xfId="0" applyNumberFormat="1" applyFont="1" applyFill="1" applyBorder="1" applyAlignment="1">
      <alignment vertical="center" shrinkToFit="1"/>
    </xf>
    <xf numFmtId="177" fontId="0" fillId="0" borderId="196" xfId="0" applyNumberFormat="1" applyFont="1" applyBorder="1" applyAlignment="1">
      <alignment vertical="center" shrinkToFit="1"/>
    </xf>
    <xf numFmtId="177" fontId="0" fillId="0" borderId="231" xfId="0" applyNumberFormat="1" applyFill="1" applyBorder="1" applyAlignment="1">
      <alignment vertical="center"/>
    </xf>
    <xf numFmtId="9" fontId="0" fillId="0" borderId="278" xfId="0" applyNumberFormat="1" applyFont="1" applyFill="1" applyBorder="1" applyAlignment="1">
      <alignment vertical="center"/>
    </xf>
    <xf numFmtId="177" fontId="0" fillId="0" borderId="312" xfId="0" applyNumberFormat="1" applyFont="1" applyFill="1" applyBorder="1" applyAlignment="1">
      <alignment horizontal="left" vertical="center"/>
    </xf>
    <xf numFmtId="177" fontId="0" fillId="2" borderId="147" xfId="0" applyNumberFormat="1" applyFont="1" applyFill="1" applyBorder="1" applyAlignment="1">
      <alignment vertical="center"/>
    </xf>
    <xf numFmtId="177" fontId="0" fillId="2" borderId="110" xfId="0" applyNumberFormat="1" applyFont="1" applyFill="1" applyBorder="1" applyAlignment="1">
      <alignment vertical="center"/>
    </xf>
    <xf numFmtId="177" fontId="0" fillId="0" borderId="316" xfId="0" applyNumberFormat="1" applyFill="1" applyBorder="1" applyAlignment="1">
      <alignment vertical="center" shrinkToFit="1"/>
    </xf>
    <xf numFmtId="179" fontId="0" fillId="0" borderId="233" xfId="0" applyNumberFormat="1" applyFont="1" applyBorder="1" applyAlignment="1">
      <alignment horizontal="center" vertical="center" shrinkToFit="1"/>
    </xf>
    <xf numFmtId="183" fontId="0" fillId="0" borderId="231" xfId="0" applyNumberFormat="1" applyFont="1" applyFill="1" applyBorder="1" applyAlignment="1">
      <alignment vertical="center" shrinkToFit="1"/>
    </xf>
    <xf numFmtId="176" fontId="0" fillId="0" borderId="319" xfId="0" applyNumberFormat="1" applyFont="1" applyBorder="1" applyAlignment="1">
      <alignment vertical="center" shrinkToFit="1"/>
    </xf>
    <xf numFmtId="183" fontId="0" fillId="0" borderId="319" xfId="0" applyNumberFormat="1" applyFont="1" applyFill="1" applyBorder="1" applyAlignment="1">
      <alignment vertical="center" shrinkToFit="1"/>
    </xf>
    <xf numFmtId="183" fontId="0" fillId="0" borderId="319" xfId="0" applyNumberFormat="1" applyFont="1" applyBorder="1" applyAlignment="1">
      <alignment vertical="center" shrinkToFit="1"/>
    </xf>
    <xf numFmtId="176" fontId="0" fillId="0" borderId="320" xfId="0" applyNumberFormat="1" applyFont="1" applyBorder="1" applyAlignment="1">
      <alignment vertical="center" shrinkToFit="1"/>
    </xf>
    <xf numFmtId="176" fontId="0" fillId="0" borderId="321" xfId="0" applyNumberFormat="1" applyFont="1" applyBorder="1" applyAlignment="1">
      <alignment vertical="center" shrinkToFit="1"/>
    </xf>
    <xf numFmtId="183" fontId="0" fillId="0" borderId="321" xfId="0" applyNumberFormat="1" applyFont="1" applyBorder="1" applyAlignment="1">
      <alignment vertical="center" shrinkToFit="1"/>
    </xf>
    <xf numFmtId="176" fontId="0" fillId="0" borderId="322" xfId="0" applyNumberFormat="1" applyFont="1" applyBorder="1" applyAlignment="1">
      <alignment vertical="center" shrinkToFit="1"/>
    </xf>
    <xf numFmtId="176" fontId="0" fillId="5" borderId="323" xfId="0" applyNumberFormat="1" applyFont="1" applyFill="1" applyBorder="1" applyAlignment="1">
      <alignment horizontal="center" vertical="center" shrinkToFit="1"/>
    </xf>
    <xf numFmtId="183" fontId="0" fillId="5" borderId="323" xfId="0" applyNumberFormat="1" applyFont="1" applyFill="1" applyBorder="1" applyAlignment="1">
      <alignment vertical="center" shrinkToFit="1"/>
    </xf>
    <xf numFmtId="176" fontId="0" fillId="5" borderId="324" xfId="0" applyNumberFormat="1" applyFont="1" applyFill="1" applyBorder="1" applyAlignment="1">
      <alignment vertical="center" shrinkToFit="1"/>
    </xf>
    <xf numFmtId="183" fontId="0" fillId="5" borderId="325" xfId="0" applyNumberFormat="1" applyFont="1" applyFill="1" applyBorder="1" applyAlignment="1">
      <alignment vertical="center" shrinkToFit="1"/>
    </xf>
    <xf numFmtId="183" fontId="0" fillId="5" borderId="326" xfId="0" applyNumberFormat="1" applyFont="1" applyFill="1" applyBorder="1" applyAlignment="1">
      <alignment vertical="center" shrinkToFit="1"/>
    </xf>
    <xf numFmtId="176" fontId="0" fillId="5" borderId="327" xfId="0" applyNumberFormat="1" applyFont="1" applyFill="1" applyBorder="1" applyAlignment="1">
      <alignment horizontal="center" vertical="center" shrinkToFit="1"/>
    </xf>
    <xf numFmtId="183" fontId="0" fillId="5" borderId="327" xfId="0" applyNumberFormat="1" applyFont="1" applyFill="1" applyBorder="1" applyAlignment="1">
      <alignment vertical="center" shrinkToFit="1"/>
    </xf>
    <xf numFmtId="183" fontId="0" fillId="5" borderId="328" xfId="0" applyNumberFormat="1" applyFont="1" applyFill="1" applyBorder="1" applyAlignment="1">
      <alignment vertical="center" shrinkToFit="1"/>
    </xf>
    <xf numFmtId="183" fontId="0" fillId="5" borderId="329" xfId="0" applyNumberFormat="1" applyFont="1" applyFill="1" applyBorder="1" applyAlignment="1">
      <alignment vertical="center" shrinkToFit="1"/>
    </xf>
    <xf numFmtId="176" fontId="0" fillId="5" borderId="330" xfId="0" applyNumberFormat="1" applyFont="1" applyFill="1" applyBorder="1" applyAlignment="1">
      <alignment vertical="center" shrinkToFit="1"/>
    </xf>
    <xf numFmtId="177" fontId="0" fillId="0" borderId="261" xfId="3" applyNumberFormat="1" applyFont="1" applyBorder="1" applyAlignment="1">
      <alignment horizontal="center" vertical="center" shrinkToFit="1"/>
    </xf>
    <xf numFmtId="177" fontId="0" fillId="0" borderId="262" xfId="0" applyNumberFormat="1" applyFont="1" applyBorder="1" applyAlignment="1">
      <alignment horizontal="center" vertical="center" shrinkToFit="1"/>
    </xf>
    <xf numFmtId="176" fontId="0" fillId="2" borderId="331" xfId="0" applyNumberFormat="1" applyFont="1" applyFill="1" applyBorder="1" applyAlignment="1">
      <alignment horizontal="center" vertical="center" shrinkToFit="1"/>
    </xf>
    <xf numFmtId="177" fontId="0" fillId="2" borderId="331" xfId="0" applyNumberFormat="1" applyFont="1" applyFill="1" applyBorder="1" applyAlignment="1">
      <alignment vertical="center" shrinkToFit="1"/>
    </xf>
    <xf numFmtId="176" fontId="0" fillId="2" borderId="332" xfId="0" applyNumberFormat="1" applyFont="1" applyFill="1" applyBorder="1" applyAlignment="1">
      <alignment vertical="center" shrinkToFit="1"/>
    </xf>
    <xf numFmtId="177" fontId="0" fillId="2" borderId="327" xfId="0" applyNumberFormat="1" applyFont="1" applyFill="1" applyBorder="1" applyAlignment="1">
      <alignment vertical="center" shrinkToFit="1"/>
    </xf>
    <xf numFmtId="176" fontId="0" fillId="2" borderId="330" xfId="0" applyNumberFormat="1" applyFont="1" applyFill="1" applyBorder="1" applyAlignment="1">
      <alignment vertical="center" shrinkToFit="1"/>
    </xf>
    <xf numFmtId="179" fontId="0" fillId="0" borderId="60" xfId="0" applyNumberFormat="1" applyFont="1" applyBorder="1" applyAlignment="1">
      <alignment vertical="center"/>
    </xf>
    <xf numFmtId="177" fontId="0" fillId="2" borderId="331" xfId="3" applyNumberFormat="1" applyFont="1" applyFill="1" applyBorder="1" applyAlignment="1">
      <alignment horizontal="center" vertical="center" shrinkToFit="1"/>
    </xf>
    <xf numFmtId="177" fontId="0" fillId="2" borderId="331" xfId="3" applyNumberFormat="1" applyFont="1" applyFill="1" applyBorder="1" applyAlignment="1">
      <alignment vertical="center" shrinkToFit="1"/>
    </xf>
    <xf numFmtId="176" fontId="0" fillId="5" borderId="332" xfId="0" applyNumberFormat="1" applyFont="1" applyFill="1" applyBorder="1" applyAlignment="1">
      <alignment vertical="center"/>
    </xf>
    <xf numFmtId="177" fontId="0" fillId="2" borderId="328" xfId="0" applyNumberFormat="1" applyFont="1" applyFill="1" applyBorder="1" applyAlignment="1">
      <alignment vertical="center" shrinkToFit="1"/>
    </xf>
    <xf numFmtId="176" fontId="0" fillId="0" borderId="337" xfId="0" applyNumberFormat="1" applyFont="1" applyBorder="1" applyAlignment="1">
      <alignment vertical="center" shrinkToFit="1"/>
    </xf>
    <xf numFmtId="183" fontId="0" fillId="0" borderId="337" xfId="0" applyNumberFormat="1" applyFont="1" applyFill="1" applyBorder="1" applyAlignment="1">
      <alignment vertical="center" shrinkToFit="1"/>
    </xf>
    <xf numFmtId="183" fontId="0" fillId="0" borderId="337" xfId="0" applyNumberFormat="1" applyFont="1" applyBorder="1" applyAlignment="1">
      <alignment vertical="center" shrinkToFit="1"/>
    </xf>
    <xf numFmtId="176" fontId="0" fillId="0" borderId="338" xfId="0" applyNumberFormat="1" applyFont="1" applyBorder="1" applyAlignment="1">
      <alignment vertical="center" shrinkToFit="1"/>
    </xf>
    <xf numFmtId="176" fontId="0" fillId="0" borderId="339" xfId="0" applyNumberFormat="1" applyFont="1" applyBorder="1" applyAlignment="1">
      <alignment vertical="center" shrinkToFit="1"/>
    </xf>
    <xf numFmtId="183" fontId="0" fillId="0" borderId="339" xfId="0" applyNumberFormat="1" applyFont="1" applyBorder="1" applyAlignment="1">
      <alignment vertical="center" shrinkToFit="1"/>
    </xf>
    <xf numFmtId="176" fontId="0" fillId="0" borderId="340" xfId="0" applyNumberFormat="1" applyFont="1" applyBorder="1" applyAlignment="1">
      <alignment vertical="center" shrinkToFit="1"/>
    </xf>
    <xf numFmtId="176" fontId="0" fillId="5" borderId="341" xfId="0" applyNumberFormat="1" applyFont="1" applyFill="1" applyBorder="1" applyAlignment="1">
      <alignment horizontal="center" vertical="center" shrinkToFit="1"/>
    </xf>
    <xf numFmtId="183" fontId="0" fillId="5" borderId="341" xfId="0" applyNumberFormat="1" applyFont="1" applyFill="1" applyBorder="1" applyAlignment="1">
      <alignment vertical="center" shrinkToFit="1"/>
    </xf>
    <xf numFmtId="176" fontId="0" fillId="5" borderId="342" xfId="0" applyNumberFormat="1" applyFont="1" applyFill="1" applyBorder="1" applyAlignment="1">
      <alignment vertical="center" shrinkToFit="1"/>
    </xf>
    <xf numFmtId="183" fontId="0" fillId="5" borderId="343" xfId="0" applyNumberFormat="1" applyFont="1" applyFill="1" applyBorder="1" applyAlignment="1">
      <alignment vertical="center" shrinkToFit="1"/>
    </xf>
    <xf numFmtId="183" fontId="0" fillId="5" borderId="344" xfId="0" applyNumberFormat="1" applyFont="1" applyFill="1" applyBorder="1" applyAlignment="1">
      <alignment vertical="center" shrinkToFit="1"/>
    </xf>
    <xf numFmtId="176" fontId="0" fillId="5" borderId="345" xfId="0" applyNumberFormat="1" applyFont="1" applyFill="1" applyBorder="1" applyAlignment="1">
      <alignment horizontal="center" vertical="center" shrinkToFit="1"/>
    </xf>
    <xf numFmtId="183" fontId="0" fillId="5" borderId="345" xfId="0" applyNumberFormat="1" applyFont="1" applyFill="1" applyBorder="1" applyAlignment="1">
      <alignment vertical="center" shrinkToFit="1"/>
    </xf>
    <xf numFmtId="183" fontId="0" fillId="5" borderId="346" xfId="0" applyNumberFormat="1" applyFont="1" applyFill="1" applyBorder="1" applyAlignment="1">
      <alignment vertical="center" shrinkToFit="1"/>
    </xf>
    <xf numFmtId="183" fontId="0" fillId="5" borderId="347" xfId="0" applyNumberFormat="1" applyFont="1" applyFill="1" applyBorder="1" applyAlignment="1">
      <alignment vertical="center" shrinkToFit="1"/>
    </xf>
    <xf numFmtId="176" fontId="0" fillId="5" borderId="348" xfId="0" applyNumberFormat="1" applyFont="1" applyFill="1" applyBorder="1" applyAlignment="1">
      <alignment vertical="center" shrinkToFit="1"/>
    </xf>
    <xf numFmtId="177" fontId="0" fillId="2" borderId="349" xfId="3" applyNumberFormat="1" applyFont="1" applyFill="1" applyBorder="1" applyAlignment="1">
      <alignment horizontal="center" vertical="center" shrinkToFit="1"/>
    </xf>
    <xf numFmtId="177" fontId="0" fillId="2" borderId="349" xfId="3" applyNumberFormat="1" applyFont="1" applyFill="1" applyBorder="1" applyAlignment="1">
      <alignment vertical="center" shrinkToFit="1"/>
    </xf>
    <xf numFmtId="176" fontId="0" fillId="5" borderId="350" xfId="0" applyNumberFormat="1" applyFont="1" applyFill="1" applyBorder="1" applyAlignment="1">
      <alignment vertical="center"/>
    </xf>
    <xf numFmtId="177" fontId="0" fillId="2" borderId="346" xfId="0" applyNumberFormat="1" applyFont="1" applyFill="1" applyBorder="1" applyAlignment="1">
      <alignment vertical="center" shrinkToFit="1"/>
    </xf>
    <xf numFmtId="176" fontId="0" fillId="2" borderId="348" xfId="0" applyNumberFormat="1" applyFont="1" applyFill="1" applyBorder="1" applyAlignment="1">
      <alignment vertical="center" shrinkToFit="1"/>
    </xf>
    <xf numFmtId="177" fontId="0" fillId="0" borderId="261" xfId="0" applyNumberFormat="1" applyFont="1" applyBorder="1" applyAlignment="1">
      <alignment horizontal="center" vertical="center" shrinkToFit="1"/>
    </xf>
    <xf numFmtId="176" fontId="0" fillId="0" borderId="186" xfId="0" applyNumberFormat="1" applyFont="1" applyBorder="1" applyAlignment="1">
      <alignment vertical="center"/>
    </xf>
    <xf numFmtId="176" fontId="0" fillId="0" borderId="194" xfId="0" applyNumberFormat="1" applyFont="1" applyBorder="1" applyAlignment="1">
      <alignment vertical="center"/>
    </xf>
    <xf numFmtId="176" fontId="0" fillId="2" borderId="349" xfId="0" applyNumberFormat="1" applyFont="1" applyFill="1" applyBorder="1" applyAlignment="1">
      <alignment horizontal="center" vertical="center" shrinkToFit="1"/>
    </xf>
    <xf numFmtId="177" fontId="0" fillId="2" borderId="349" xfId="0" applyNumberFormat="1" applyFont="1" applyFill="1" applyBorder="1" applyAlignment="1">
      <alignment vertical="center" shrinkToFit="1"/>
    </xf>
    <xf numFmtId="176" fontId="0" fillId="2" borderId="350" xfId="0" applyNumberFormat="1" applyFont="1" applyFill="1" applyBorder="1" applyAlignment="1">
      <alignment vertical="center" shrinkToFit="1"/>
    </xf>
    <xf numFmtId="177" fontId="0" fillId="2" borderId="345" xfId="0" applyNumberFormat="1" applyFont="1" applyFill="1" applyBorder="1" applyAlignment="1">
      <alignment vertical="center" shrinkToFit="1"/>
    </xf>
    <xf numFmtId="177" fontId="0" fillId="0" borderId="278" xfId="0" applyNumberFormat="1" applyFont="1" applyFill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21" xfId="0" applyNumberFormat="1" applyFont="1" applyFill="1" applyBorder="1" applyAlignment="1">
      <alignment horizontal="center" vertical="center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231" xfId="0" applyNumberFormat="1" applyFont="1" applyFill="1" applyBorder="1" applyAlignment="1">
      <alignment horizontal="center" vertical="center" shrinkToFit="1"/>
    </xf>
    <xf numFmtId="177" fontId="0" fillId="0" borderId="167" xfId="0" applyNumberFormat="1" applyFont="1" applyFill="1" applyBorder="1" applyAlignment="1">
      <alignment vertical="center" shrinkToFit="1"/>
    </xf>
    <xf numFmtId="177" fontId="0" fillId="0" borderId="167" xfId="0" applyNumberFormat="1" applyFont="1" applyBorder="1" applyAlignment="1">
      <alignment vertical="center"/>
    </xf>
    <xf numFmtId="177" fontId="0" fillId="0" borderId="278" xfId="0" applyNumberFormat="1" applyFont="1" applyBorder="1" applyAlignment="1">
      <alignment vertical="center"/>
    </xf>
    <xf numFmtId="177" fontId="0" fillId="0" borderId="312" xfId="0" applyNumberFormat="1" applyFont="1" applyBorder="1" applyAlignment="1">
      <alignment vertical="center"/>
    </xf>
    <xf numFmtId="177" fontId="0" fillId="0" borderId="314" xfId="0" applyNumberFormat="1" applyFont="1" applyFill="1" applyBorder="1" applyAlignment="1">
      <alignment horizontal="center" vertical="center"/>
    </xf>
    <xf numFmtId="177" fontId="0" fillId="0" borderId="167" xfId="0" applyNumberFormat="1" applyFont="1" applyFill="1" applyBorder="1" applyAlignment="1">
      <alignment vertical="center"/>
    </xf>
    <xf numFmtId="177" fontId="0" fillId="0" borderId="312" xfId="0" applyNumberFormat="1" applyFont="1" applyFill="1" applyBorder="1" applyAlignment="1">
      <alignment vertical="center"/>
    </xf>
    <xf numFmtId="177" fontId="0" fillId="0" borderId="315" xfId="0" applyNumberFormat="1" applyFont="1" applyBorder="1" applyAlignment="1">
      <alignment vertical="center"/>
    </xf>
    <xf numFmtId="177" fontId="0" fillId="0" borderId="255" xfId="0" applyNumberFormat="1" applyFont="1" applyFill="1" applyBorder="1" applyAlignment="1">
      <alignment vertical="center" shrinkToFit="1"/>
    </xf>
    <xf numFmtId="177" fontId="0" fillId="0" borderId="277" xfId="0" applyNumberFormat="1" applyFont="1" applyFill="1" applyBorder="1" applyAlignment="1">
      <alignment vertical="center" shrinkToFit="1"/>
    </xf>
    <xf numFmtId="177" fontId="0" fillId="0" borderId="149" xfId="0" applyNumberFormat="1" applyFont="1" applyBorder="1" applyAlignment="1">
      <alignment vertical="center"/>
    </xf>
    <xf numFmtId="177" fontId="20" fillId="0" borderId="231" xfId="0" applyNumberFormat="1" applyFont="1" applyFill="1" applyBorder="1" applyAlignment="1">
      <alignment vertical="center"/>
    </xf>
    <xf numFmtId="177" fontId="0" fillId="0" borderId="258" xfId="0" applyNumberFormat="1" applyFont="1" applyFill="1" applyBorder="1" applyAlignment="1">
      <alignment vertical="center" shrinkToFit="1"/>
    </xf>
    <xf numFmtId="177" fontId="0" fillId="0" borderId="121" xfId="0" applyNumberFormat="1" applyFont="1" applyFill="1" applyBorder="1" applyAlignment="1">
      <alignment vertical="center"/>
    </xf>
    <xf numFmtId="177" fontId="0" fillId="0" borderId="255" xfId="0" applyNumberFormat="1" applyFont="1" applyFill="1" applyBorder="1" applyAlignment="1">
      <alignment vertical="center"/>
    </xf>
    <xf numFmtId="178" fontId="0" fillId="0" borderId="278" xfId="0" applyNumberFormat="1" applyFont="1" applyBorder="1" applyAlignment="1">
      <alignment horizontal="left" vertical="center"/>
    </xf>
    <xf numFmtId="177" fontId="0" fillId="0" borderId="347" xfId="0" applyNumberFormat="1" applyFont="1" applyBorder="1" applyAlignment="1">
      <alignment vertical="center"/>
    </xf>
    <xf numFmtId="177" fontId="0" fillId="0" borderId="196" xfId="0" applyNumberFormat="1" applyFont="1" applyFill="1" applyBorder="1" applyAlignment="1">
      <alignment vertical="center" shrinkToFit="1"/>
    </xf>
    <xf numFmtId="177" fontId="0" fillId="0" borderId="355" xfId="0" applyNumberFormat="1" applyFont="1" applyBorder="1" applyAlignment="1">
      <alignment vertical="center"/>
    </xf>
    <xf numFmtId="177" fontId="0" fillId="2" borderId="341" xfId="0" applyNumberFormat="1" applyFont="1" applyFill="1" applyBorder="1" applyAlignment="1">
      <alignment vertical="center" shrinkToFit="1"/>
    </xf>
    <xf numFmtId="178" fontId="0" fillId="2" borderId="341" xfId="0" applyNumberFormat="1" applyFont="1" applyFill="1" applyBorder="1" applyAlignment="1">
      <alignment vertical="center" shrinkToFit="1"/>
    </xf>
    <xf numFmtId="0" fontId="0" fillId="0" borderId="312" xfId="0" applyFont="1" applyFill="1" applyBorder="1" applyAlignment="1">
      <alignment vertical="center"/>
    </xf>
    <xf numFmtId="178" fontId="0" fillId="0" borderId="278" xfId="0" applyNumberFormat="1" applyFont="1" applyFill="1" applyBorder="1" applyAlignment="1">
      <alignment horizontal="right" vertical="center"/>
    </xf>
    <xf numFmtId="0" fontId="0" fillId="0" borderId="312" xfId="0" applyFont="1" applyFill="1" applyBorder="1" applyAlignment="1">
      <alignment horizontal="left" vertical="center"/>
    </xf>
    <xf numFmtId="177" fontId="0" fillId="0" borderId="337" xfId="0" applyNumberFormat="1" applyFont="1" applyBorder="1" applyAlignment="1">
      <alignment vertical="center"/>
    </xf>
    <xf numFmtId="177" fontId="0" fillId="0" borderId="356" xfId="0" applyNumberFormat="1" applyFont="1" applyBorder="1" applyAlignment="1">
      <alignment vertical="center"/>
    </xf>
    <xf numFmtId="178" fontId="0" fillId="0" borderId="278" xfId="0" applyNumberFormat="1" applyFont="1" applyFill="1" applyBorder="1" applyAlignment="1">
      <alignment vertical="center"/>
    </xf>
    <xf numFmtId="177" fontId="0" fillId="0" borderId="311" xfId="0" applyNumberFormat="1" applyFont="1" applyFill="1" applyBorder="1" applyAlignment="1">
      <alignment horizontal="center" vertical="center"/>
    </xf>
    <xf numFmtId="177" fontId="0" fillId="0" borderId="345" xfId="0" applyNumberFormat="1" applyFont="1" applyBorder="1" applyAlignment="1">
      <alignment vertical="center"/>
    </xf>
    <xf numFmtId="177" fontId="20" fillId="0" borderId="231" xfId="0" applyNumberFormat="1" applyFont="1" applyFill="1" applyBorder="1" applyAlignment="1">
      <alignment vertical="center" shrinkToFit="1"/>
    </xf>
    <xf numFmtId="177" fontId="20" fillId="0" borderId="140" xfId="0" applyNumberFormat="1" applyFont="1" applyBorder="1" applyAlignment="1">
      <alignment vertical="center"/>
    </xf>
    <xf numFmtId="177" fontId="0" fillId="0" borderId="99" xfId="0" applyNumberFormat="1" applyFont="1" applyBorder="1" applyAlignment="1">
      <alignment vertical="center"/>
    </xf>
    <xf numFmtId="0" fontId="8" fillId="0" borderId="277" xfId="2" applyFont="1" applyBorder="1" applyAlignment="1">
      <alignment vertical="top" wrapText="1"/>
    </xf>
    <xf numFmtId="0" fontId="8" fillId="0" borderId="213" xfId="2" applyFont="1" applyBorder="1" applyAlignment="1">
      <alignment vertical="top" wrapText="1"/>
    </xf>
    <xf numFmtId="0" fontId="8" fillId="0" borderId="277" xfId="2" applyFont="1" applyFill="1" applyBorder="1" applyAlignment="1">
      <alignment vertical="top" wrapText="1"/>
    </xf>
    <xf numFmtId="0" fontId="8" fillId="0" borderId="202" xfId="2" applyFont="1" applyBorder="1" applyAlignment="1">
      <alignment horizontal="left" vertical="top" wrapText="1"/>
    </xf>
    <xf numFmtId="0" fontId="0" fillId="0" borderId="202" xfId="2" applyFont="1" applyBorder="1" applyAlignment="1">
      <alignment horizontal="left" vertical="top" wrapText="1"/>
    </xf>
    <xf numFmtId="0" fontId="1" fillId="0" borderId="204" xfId="2" applyFont="1" applyBorder="1" applyAlignment="1">
      <alignment horizontal="center" vertical="top" wrapText="1"/>
    </xf>
    <xf numFmtId="0" fontId="1" fillId="0" borderId="204" xfId="2" applyFont="1" applyBorder="1" applyAlignment="1">
      <alignment horizontal="left" vertical="top" wrapText="1"/>
    </xf>
    <xf numFmtId="176" fontId="20" fillId="0" borderId="1" xfId="0" applyNumberFormat="1" applyFont="1" applyBorder="1" applyAlignment="1">
      <alignment vertical="center" shrinkToFit="1"/>
    </xf>
    <xf numFmtId="184" fontId="20" fillId="0" borderId="89" xfId="2" applyNumberFormat="1" applyFont="1" applyFill="1" applyBorder="1" applyAlignment="1">
      <alignment vertical="center" wrapText="1"/>
    </xf>
    <xf numFmtId="177" fontId="0" fillId="0" borderId="145" xfId="0" applyNumberFormat="1" applyFill="1" applyBorder="1" applyAlignment="1">
      <alignment horizontal="right" vertical="center"/>
    </xf>
    <xf numFmtId="182" fontId="0" fillId="0" borderId="149" xfId="0" applyNumberFormat="1" applyFont="1" applyFill="1" applyBorder="1" applyAlignment="1">
      <alignment horizontal="left" vertical="center"/>
    </xf>
    <xf numFmtId="177" fontId="0" fillId="0" borderId="231" xfId="0" applyNumberFormat="1" applyFont="1" applyFill="1" applyBorder="1" applyAlignment="1">
      <alignment horizontal="right" vertical="center"/>
    </xf>
    <xf numFmtId="176" fontId="0" fillId="0" borderId="214" xfId="0" applyNumberFormat="1" applyFont="1" applyFill="1" applyBorder="1" applyAlignment="1">
      <alignment vertical="center" shrinkToFit="1"/>
    </xf>
    <xf numFmtId="176" fontId="0" fillId="0" borderId="358" xfId="0" applyNumberFormat="1" applyFont="1" applyBorder="1" applyAlignment="1">
      <alignment horizontal="center" vertical="center" shrinkToFit="1"/>
    </xf>
    <xf numFmtId="3" fontId="0" fillId="0" borderId="228" xfId="0" applyNumberFormat="1" applyFont="1" applyFill="1" applyBorder="1" applyAlignment="1">
      <alignment vertical="center"/>
    </xf>
    <xf numFmtId="3" fontId="6" fillId="0" borderId="228" xfId="0" applyNumberFormat="1" applyFont="1" applyFill="1" applyBorder="1" applyAlignment="1"/>
    <xf numFmtId="176" fontId="0" fillId="2" borderId="341" xfId="0" applyNumberFormat="1" applyFont="1" applyFill="1" applyBorder="1" applyAlignment="1">
      <alignment vertical="center" shrinkToFit="1"/>
    </xf>
    <xf numFmtId="3" fontId="0" fillId="0" borderId="216" xfId="0" applyNumberFormat="1" applyFont="1" applyFill="1" applyBorder="1" applyAlignment="1">
      <alignment vertical="center"/>
    </xf>
    <xf numFmtId="0" fontId="0" fillId="0" borderId="176" xfId="0" applyFont="1" applyBorder="1" applyAlignment="1">
      <alignment horizontal="center" vertical="center" shrinkToFit="1"/>
    </xf>
    <xf numFmtId="0" fontId="0" fillId="0" borderId="178" xfId="0" applyFont="1" applyBorder="1" applyAlignment="1">
      <alignment horizontal="center" vertical="center" shrinkToFit="1"/>
    </xf>
    <xf numFmtId="0" fontId="0" fillId="0" borderId="177" xfId="0" applyFont="1" applyBorder="1" applyAlignment="1">
      <alignment horizontal="center" vertical="center" shrinkToFit="1"/>
    </xf>
    <xf numFmtId="0" fontId="0" fillId="0" borderId="14" xfId="2" applyFont="1" applyBorder="1" applyAlignment="1">
      <alignment horizontal="center" vertical="center" wrapText="1"/>
    </xf>
    <xf numFmtId="0" fontId="0" fillId="0" borderId="15" xfId="2" applyFont="1" applyBorder="1" applyAlignment="1">
      <alignment horizontal="center" vertical="center" wrapText="1"/>
    </xf>
    <xf numFmtId="0" fontId="0" fillId="0" borderId="3" xfId="2" applyFont="1" applyBorder="1" applyAlignment="1">
      <alignment horizontal="center" vertical="center" wrapText="1"/>
    </xf>
    <xf numFmtId="0" fontId="0" fillId="0" borderId="4" xfId="2" applyFont="1" applyBorder="1" applyAlignment="1">
      <alignment horizontal="center" vertical="center" wrapText="1"/>
    </xf>
    <xf numFmtId="0" fontId="0" fillId="0" borderId="5" xfId="2" applyFont="1" applyBorder="1" applyAlignment="1">
      <alignment vertical="center" wrapText="1"/>
    </xf>
    <xf numFmtId="0" fontId="0" fillId="0" borderId="4" xfId="2" applyFont="1" applyBorder="1" applyAlignment="1">
      <alignment vertical="center" wrapText="1"/>
    </xf>
    <xf numFmtId="0" fontId="0" fillId="0" borderId="87" xfId="2" applyFont="1" applyBorder="1" applyAlignment="1">
      <alignment vertical="center" wrapText="1"/>
    </xf>
    <xf numFmtId="0" fontId="0" fillId="0" borderId="5" xfId="2" applyFont="1" applyBorder="1" applyAlignment="1">
      <alignment horizontal="center" vertical="center" wrapText="1"/>
    </xf>
    <xf numFmtId="0" fontId="0" fillId="0" borderId="6" xfId="2" applyFont="1" applyBorder="1" applyAlignment="1">
      <alignment horizontal="center" vertical="center" wrapText="1"/>
    </xf>
    <xf numFmtId="0" fontId="0" fillId="0" borderId="101" xfId="0" quotePrefix="1" applyFont="1" applyBorder="1" applyAlignment="1">
      <alignment horizontal="center" vertical="center" shrinkToFit="1"/>
    </xf>
    <xf numFmtId="0" fontId="0" fillId="0" borderId="101" xfId="0" applyFont="1" applyBorder="1" applyAlignment="1">
      <alignment horizontal="center" vertical="center" shrinkToFit="1"/>
    </xf>
    <xf numFmtId="0" fontId="0" fillId="0" borderId="102" xfId="0" applyFont="1" applyBorder="1" applyAlignment="1">
      <alignment horizontal="center" vertical="center" shrinkToFit="1"/>
    </xf>
    <xf numFmtId="0" fontId="0" fillId="0" borderId="103" xfId="0" applyFont="1" applyBorder="1" applyAlignment="1">
      <alignment horizontal="center" vertical="center" shrinkToFit="1"/>
    </xf>
    <xf numFmtId="0" fontId="0" fillId="0" borderId="104" xfId="0" applyFont="1" applyBorder="1" applyAlignment="1">
      <alignment horizontal="center" vertical="center" shrinkToFit="1"/>
    </xf>
    <xf numFmtId="0" fontId="0" fillId="0" borderId="105" xfId="0" applyFont="1" applyBorder="1" applyAlignment="1">
      <alignment horizontal="center" vertical="center" shrinkToFit="1"/>
    </xf>
    <xf numFmtId="0" fontId="0" fillId="0" borderId="75" xfId="0" applyFont="1" applyBorder="1" applyAlignment="1">
      <alignment horizontal="center" vertical="center" wrapText="1" shrinkToFit="1"/>
    </xf>
    <xf numFmtId="0" fontId="0" fillId="0" borderId="75" xfId="0" applyFont="1" applyBorder="1" applyAlignment="1">
      <alignment horizontal="center" vertical="center" shrinkToFit="1"/>
    </xf>
    <xf numFmtId="0" fontId="0" fillId="0" borderId="10" xfId="2" applyFont="1" applyBorder="1" applyAlignment="1">
      <alignment horizontal="left" vertical="center" wrapText="1"/>
    </xf>
    <xf numFmtId="0" fontId="0" fillId="0" borderId="0" xfId="2" applyFont="1" applyBorder="1" applyAlignment="1">
      <alignment horizontal="left" vertical="center" wrapText="1"/>
    </xf>
    <xf numFmtId="0" fontId="0" fillId="0" borderId="83" xfId="2" applyFont="1" applyBorder="1" applyAlignment="1">
      <alignment horizontal="left" vertical="center" wrapText="1"/>
    </xf>
    <xf numFmtId="184" fontId="0" fillId="0" borderId="0" xfId="2" applyNumberFormat="1" applyFont="1" applyBorder="1" applyAlignment="1">
      <alignment horizontal="center" vertical="center" wrapText="1"/>
    </xf>
    <xf numFmtId="184" fontId="0" fillId="0" borderId="32" xfId="2" applyNumberFormat="1" applyFont="1" applyBorder="1" applyAlignment="1">
      <alignment horizontal="center" vertical="center" wrapText="1"/>
    </xf>
    <xf numFmtId="0" fontId="0" fillId="0" borderId="88" xfId="2" applyFont="1" applyBorder="1" applyAlignment="1">
      <alignment horizontal="center" vertical="center" wrapText="1"/>
    </xf>
    <xf numFmtId="0" fontId="0" fillId="0" borderId="89" xfId="2" applyFont="1" applyBorder="1" applyAlignment="1">
      <alignment horizontal="center" vertical="center" wrapText="1"/>
    </xf>
    <xf numFmtId="0" fontId="0" fillId="0" borderId="13" xfId="2" applyFont="1" applyBorder="1" applyAlignment="1">
      <alignment horizontal="center" vertical="center" wrapText="1"/>
    </xf>
    <xf numFmtId="0" fontId="0" fillId="0" borderId="56" xfId="2" applyFont="1" applyBorder="1" applyAlignment="1">
      <alignment horizontal="center" vertical="center" wrapText="1"/>
    </xf>
    <xf numFmtId="0" fontId="0" fillId="0" borderId="16" xfId="2" applyFont="1" applyBorder="1" applyAlignment="1">
      <alignment horizontal="center" vertical="center" wrapText="1"/>
    </xf>
    <xf numFmtId="0" fontId="0" fillId="0" borderId="10" xfId="2" applyFont="1" applyBorder="1" applyAlignment="1">
      <alignment vertical="center" wrapText="1"/>
    </xf>
    <xf numFmtId="0" fontId="0" fillId="0" borderId="0" xfId="2" applyFont="1" applyBorder="1" applyAlignment="1">
      <alignment vertical="center" wrapText="1"/>
    </xf>
    <xf numFmtId="0" fontId="0" fillId="0" borderId="25" xfId="2" applyFont="1" applyBorder="1" applyAlignment="1">
      <alignment horizontal="center" vertical="center" wrapText="1"/>
    </xf>
    <xf numFmtId="0" fontId="0" fillId="0" borderId="26" xfId="2" applyFont="1" applyBorder="1" applyAlignment="1">
      <alignment horizontal="center" vertical="center" wrapText="1"/>
    </xf>
    <xf numFmtId="0" fontId="0" fillId="0" borderId="121" xfId="2" applyFont="1" applyBorder="1" applyAlignment="1">
      <alignment horizontal="center" vertical="center" wrapText="1"/>
    </xf>
    <xf numFmtId="184" fontId="0" fillId="0" borderId="25" xfId="2" applyNumberFormat="1" applyFont="1" applyBorder="1" applyAlignment="1">
      <alignment horizontal="center" vertical="center" wrapText="1"/>
    </xf>
    <xf numFmtId="184" fontId="0" fillId="0" borderId="26" xfId="2" applyNumberFormat="1" applyFont="1" applyBorder="1" applyAlignment="1">
      <alignment horizontal="center" vertical="center" wrapText="1"/>
    </xf>
    <xf numFmtId="184" fontId="0" fillId="0" borderId="121" xfId="2" applyNumberFormat="1" applyFont="1" applyBorder="1" applyAlignment="1">
      <alignment horizontal="center" vertical="center" wrapText="1"/>
    </xf>
    <xf numFmtId="0" fontId="0" fillId="0" borderId="49" xfId="2" applyFont="1" applyBorder="1" applyAlignment="1">
      <alignment horizontal="center" vertical="center" wrapText="1"/>
    </xf>
    <xf numFmtId="0" fontId="0" fillId="0" borderId="33" xfId="2" applyFont="1" applyBorder="1" applyAlignment="1">
      <alignment horizontal="center" vertical="center" wrapText="1"/>
    </xf>
    <xf numFmtId="0" fontId="0" fillId="0" borderId="10" xfId="2" applyFont="1" applyBorder="1" applyAlignment="1">
      <alignment horizontal="center" vertical="center" wrapText="1"/>
    </xf>
    <xf numFmtId="0" fontId="0" fillId="0" borderId="19" xfId="2" applyFont="1" applyBorder="1" applyAlignment="1">
      <alignment vertical="center" wrapText="1"/>
    </xf>
    <xf numFmtId="0" fontId="0" fillId="0" borderId="18" xfId="2" applyFont="1" applyBorder="1" applyAlignment="1">
      <alignment vertical="center" wrapText="1"/>
    </xf>
    <xf numFmtId="0" fontId="0" fillId="0" borderId="80" xfId="2" applyFont="1" applyBorder="1" applyAlignment="1">
      <alignment horizontal="center" vertical="center" textRotation="255" shrinkToFit="1"/>
    </xf>
    <xf numFmtId="0" fontId="0" fillId="0" borderId="56" xfId="2" applyFont="1" applyBorder="1" applyAlignment="1">
      <alignment horizontal="center" vertical="center" textRotation="255" shrinkToFit="1"/>
    </xf>
    <xf numFmtId="0" fontId="0" fillId="0" borderId="81" xfId="2" applyFont="1" applyBorder="1" applyAlignment="1">
      <alignment horizontal="center" vertical="center" textRotation="255" shrinkToFit="1"/>
    </xf>
    <xf numFmtId="0" fontId="0" fillId="0" borderId="13" xfId="2" applyFont="1" applyBorder="1" applyAlignment="1">
      <alignment horizontal="left" vertical="center" wrapText="1"/>
    </xf>
    <xf numFmtId="0" fontId="0" fillId="0" borderId="14" xfId="2" applyFont="1" applyBorder="1" applyAlignment="1">
      <alignment horizontal="left" vertical="center" wrapText="1"/>
    </xf>
    <xf numFmtId="0" fontId="0" fillId="0" borderId="49" xfId="2" applyFont="1" applyBorder="1" applyAlignment="1">
      <alignment horizontal="left" vertical="center" wrapText="1"/>
    </xf>
    <xf numFmtId="184" fontId="0" fillId="0" borderId="13" xfId="2" applyNumberFormat="1" applyFont="1" applyBorder="1" applyAlignment="1">
      <alignment horizontal="center" vertical="center" wrapText="1"/>
    </xf>
    <xf numFmtId="184" fontId="0" fillId="0" borderId="14" xfId="2" applyNumberFormat="1" applyFont="1" applyBorder="1" applyAlignment="1">
      <alignment horizontal="center" vertical="center" wrapText="1"/>
    </xf>
    <xf numFmtId="184" fontId="0" fillId="0" borderId="15" xfId="2" applyNumberFormat="1" applyFont="1" applyBorder="1" applyAlignment="1">
      <alignment horizontal="center" vertical="center" wrapText="1"/>
    </xf>
    <xf numFmtId="184" fontId="0" fillId="0" borderId="49" xfId="2" applyNumberFormat="1" applyFont="1" applyBorder="1" applyAlignment="1">
      <alignment horizontal="center" vertical="center" wrapText="1"/>
    </xf>
    <xf numFmtId="0" fontId="0" fillId="0" borderId="13" xfId="2" applyFont="1" applyBorder="1" applyAlignment="1">
      <alignment vertical="center" wrapText="1"/>
    </xf>
    <xf numFmtId="0" fontId="0" fillId="0" borderId="14" xfId="2" applyFont="1" applyBorder="1" applyAlignment="1">
      <alignment vertical="center" wrapText="1"/>
    </xf>
    <xf numFmtId="0" fontId="0" fillId="0" borderId="87" xfId="2" applyFont="1" applyBorder="1" applyAlignment="1">
      <alignment horizontal="center" vertical="center" wrapText="1"/>
    </xf>
    <xf numFmtId="0" fontId="0" fillId="0" borderId="90" xfId="2" applyFont="1" applyBorder="1" applyAlignment="1">
      <alignment horizontal="center" vertical="center" wrapText="1"/>
    </xf>
    <xf numFmtId="0" fontId="0" fillId="0" borderId="91" xfId="2" applyFont="1" applyBorder="1" applyAlignment="1">
      <alignment horizontal="center" vertical="center" wrapText="1"/>
    </xf>
    <xf numFmtId="0" fontId="1" fillId="0" borderId="25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0" fontId="1" fillId="0" borderId="29" xfId="2" applyFont="1" applyBorder="1" applyAlignment="1">
      <alignment horizontal="center" vertical="center" wrapText="1"/>
    </xf>
    <xf numFmtId="0" fontId="8" fillId="0" borderId="0" xfId="2" applyFont="1" applyFill="1" applyBorder="1" applyAlignment="1">
      <alignment vertical="center" wrapText="1"/>
    </xf>
    <xf numFmtId="0" fontId="0" fillId="0" borderId="167" xfId="2" applyFont="1" applyBorder="1" applyAlignment="1">
      <alignment horizontal="center" vertical="center" wrapText="1"/>
    </xf>
    <xf numFmtId="0" fontId="0" fillId="0" borderId="278" xfId="2" applyFont="1" applyBorder="1" applyAlignment="1">
      <alignment horizontal="center" vertical="center" wrapText="1"/>
    </xf>
    <xf numFmtId="0" fontId="0" fillId="0" borderId="167" xfId="2" applyFont="1" applyBorder="1" applyAlignment="1">
      <alignment horizontal="right" vertical="center" wrapText="1"/>
    </xf>
    <xf numFmtId="0" fontId="0" fillId="0" borderId="278" xfId="2" applyFont="1" applyBorder="1" applyAlignment="1">
      <alignment horizontal="right" vertical="center" wrapText="1"/>
    </xf>
    <xf numFmtId="0" fontId="0" fillId="0" borderId="49" xfId="2" applyFont="1" applyBorder="1" applyAlignment="1">
      <alignment horizontal="right" vertical="center" wrapText="1"/>
    </xf>
    <xf numFmtId="0" fontId="0" fillId="0" borderId="19" xfId="2" applyFont="1" applyBorder="1" applyAlignment="1">
      <alignment horizontal="left" vertical="center" wrapText="1"/>
    </xf>
    <xf numFmtId="0" fontId="0" fillId="0" borderId="18" xfId="2" applyFont="1" applyBorder="1" applyAlignment="1">
      <alignment horizontal="left" vertical="center" wrapText="1"/>
    </xf>
    <xf numFmtId="0" fontId="0" fillId="0" borderId="122" xfId="2" applyFont="1" applyBorder="1" applyAlignment="1">
      <alignment horizontal="left" vertical="center" wrapText="1"/>
    </xf>
    <xf numFmtId="184" fontId="0" fillId="0" borderId="18" xfId="2" applyNumberFormat="1" applyFont="1" applyBorder="1" applyAlignment="1">
      <alignment horizontal="center" vertical="center" wrapText="1"/>
    </xf>
    <xf numFmtId="184" fontId="0" fillId="0" borderId="20" xfId="2" applyNumberFormat="1" applyFont="1" applyBorder="1" applyAlignment="1">
      <alignment horizontal="center" vertical="center" wrapText="1"/>
    </xf>
    <xf numFmtId="184" fontId="0" fillId="0" borderId="19" xfId="2" applyNumberFormat="1" applyFont="1" applyBorder="1" applyAlignment="1">
      <alignment horizontal="center" vertical="center" wrapText="1"/>
    </xf>
    <xf numFmtId="0" fontId="1" fillId="0" borderId="36" xfId="2" applyFont="1" applyBorder="1" applyAlignment="1">
      <alignment horizontal="center" vertical="center"/>
    </xf>
    <xf numFmtId="0" fontId="1" fillId="0" borderId="222" xfId="2" applyFont="1" applyBorder="1" applyAlignment="1">
      <alignment horizontal="center" vertical="center"/>
    </xf>
    <xf numFmtId="0" fontId="1" fillId="0" borderId="223" xfId="2" applyFont="1" applyBorder="1" applyAlignment="1">
      <alignment horizontal="center" vertical="center"/>
    </xf>
    <xf numFmtId="0" fontId="1" fillId="0" borderId="196" xfId="2" applyFont="1" applyBorder="1" applyAlignment="1">
      <alignment horizontal="center" vertical="center"/>
    </xf>
    <xf numFmtId="0" fontId="1" fillId="0" borderId="0" xfId="2" applyFont="1" applyBorder="1" applyAlignment="1">
      <alignment horizontal="center" vertical="center"/>
    </xf>
    <xf numFmtId="0" fontId="1" fillId="0" borderId="183" xfId="2" applyFont="1" applyBorder="1" applyAlignment="1">
      <alignment horizontal="center" vertical="center"/>
    </xf>
    <xf numFmtId="0" fontId="0" fillId="0" borderId="225" xfId="2" applyFont="1" applyBorder="1" applyAlignment="1">
      <alignment horizontal="left" vertical="center" wrapText="1"/>
    </xf>
    <xf numFmtId="0" fontId="1" fillId="0" borderId="222" xfId="2" applyFont="1" applyBorder="1" applyAlignment="1">
      <alignment horizontal="left" vertical="center" wrapText="1"/>
    </xf>
    <xf numFmtId="0" fontId="1" fillId="0" borderId="226" xfId="2" applyFont="1" applyBorder="1" applyAlignment="1">
      <alignment horizontal="left" vertical="center" wrapText="1"/>
    </xf>
    <xf numFmtId="0" fontId="1" fillId="0" borderId="53" xfId="2" applyFont="1" applyBorder="1" applyAlignment="1">
      <alignment horizontal="left" vertical="center" wrapText="1"/>
    </xf>
    <xf numFmtId="0" fontId="1" fillId="0" borderId="0" xfId="2" applyFont="1" applyBorder="1" applyAlignment="1">
      <alignment horizontal="left" vertical="center" wrapText="1"/>
    </xf>
    <xf numFmtId="0" fontId="1" fillId="0" borderId="227" xfId="2" applyFont="1" applyBorder="1" applyAlignment="1">
      <alignment horizontal="left" vertical="center" wrapText="1"/>
    </xf>
    <xf numFmtId="0" fontId="0" fillId="0" borderId="47" xfId="2" applyFont="1" applyBorder="1" applyAlignment="1">
      <alignment vertical="center" wrapText="1"/>
    </xf>
    <xf numFmtId="0" fontId="1" fillId="0" borderId="47" xfId="2" applyFont="1" applyBorder="1" applyAlignment="1">
      <alignment vertical="center" wrapText="1"/>
    </xf>
    <xf numFmtId="0" fontId="1" fillId="0" borderId="62" xfId="2" applyFont="1" applyBorder="1" applyAlignment="1">
      <alignment vertical="center" wrapText="1"/>
    </xf>
    <xf numFmtId="0" fontId="1" fillId="0" borderId="99" xfId="2" applyFont="1" applyBorder="1" applyAlignment="1">
      <alignment horizontal="center" vertical="center"/>
    </xf>
    <xf numFmtId="0" fontId="1" fillId="0" borderId="24" xfId="2" applyFont="1" applyBorder="1" applyAlignment="1">
      <alignment horizontal="center" vertical="center"/>
    </xf>
    <xf numFmtId="0" fontId="0" fillId="0" borderId="24" xfId="2" applyFont="1" applyBorder="1" applyAlignment="1">
      <alignment vertical="center" wrapText="1"/>
    </xf>
    <xf numFmtId="0" fontId="1" fillId="0" borderId="24" xfId="2" applyFont="1" applyBorder="1" applyAlignment="1">
      <alignment vertical="center" wrapText="1"/>
    </xf>
    <xf numFmtId="0" fontId="1" fillId="0" borderId="60" xfId="2" applyFont="1" applyBorder="1" applyAlignment="1">
      <alignment vertical="center" wrapText="1"/>
    </xf>
    <xf numFmtId="0" fontId="1" fillId="0" borderId="19" xfId="2" applyFont="1" applyBorder="1" applyAlignment="1">
      <alignment horizontal="center" vertical="center" wrapText="1"/>
    </xf>
    <xf numFmtId="0" fontId="1" fillId="0" borderId="18" xfId="2" applyFont="1" applyBorder="1" applyAlignment="1">
      <alignment horizontal="center" vertical="center" wrapText="1"/>
    </xf>
    <xf numFmtId="0" fontId="1" fillId="0" borderId="20" xfId="2" applyFont="1" applyBorder="1" applyAlignment="1">
      <alignment horizontal="center" vertical="center" wrapText="1"/>
    </xf>
    <xf numFmtId="0" fontId="8" fillId="0" borderId="92" xfId="2" applyFont="1" applyBorder="1" applyAlignment="1">
      <alignment horizontal="center" vertical="center" wrapText="1"/>
    </xf>
    <xf numFmtId="0" fontId="8" fillId="0" borderId="93" xfId="2" applyFont="1" applyBorder="1" applyAlignment="1">
      <alignment horizontal="center" vertical="center" wrapText="1"/>
    </xf>
    <xf numFmtId="0" fontId="8" fillId="0" borderId="94" xfId="2" applyFont="1" applyBorder="1" applyAlignment="1">
      <alignment horizontal="center" vertical="center" wrapText="1"/>
    </xf>
    <xf numFmtId="0" fontId="1" fillId="0" borderId="95" xfId="2" applyFont="1" applyBorder="1" applyAlignment="1">
      <alignment horizontal="center" vertical="center"/>
    </xf>
    <xf numFmtId="0" fontId="1" fillId="0" borderId="96" xfId="2" applyFont="1" applyBorder="1" applyAlignment="1">
      <alignment horizontal="center" vertical="center"/>
    </xf>
    <xf numFmtId="0" fontId="1" fillId="0" borderId="97" xfId="2" applyFont="1" applyBorder="1" applyAlignment="1">
      <alignment horizontal="center" vertical="center"/>
    </xf>
    <xf numFmtId="0" fontId="8" fillId="0" borderId="58" xfId="2" applyFont="1" applyBorder="1" applyAlignment="1">
      <alignment horizontal="center" vertical="center" wrapText="1"/>
    </xf>
    <xf numFmtId="0" fontId="8" fillId="0" borderId="56" xfId="2" applyFont="1" applyBorder="1" applyAlignment="1">
      <alignment horizontal="center" vertical="center" wrapText="1"/>
    </xf>
    <xf numFmtId="0" fontId="8" fillId="0" borderId="33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left" vertical="center" indent="1"/>
    </xf>
    <xf numFmtId="0" fontId="8" fillId="0" borderId="0" xfId="2" applyFont="1" applyBorder="1" applyAlignment="1">
      <alignment horizontal="left" vertical="center" indent="1"/>
    </xf>
    <xf numFmtId="0" fontId="0" fillId="0" borderId="222" xfId="2" applyFont="1" applyFill="1" applyBorder="1" applyAlignment="1">
      <alignment horizontal="left" vertical="center" shrinkToFit="1"/>
    </xf>
    <xf numFmtId="0" fontId="1" fillId="0" borderId="222" xfId="2" applyFont="1" applyFill="1" applyBorder="1" applyAlignment="1">
      <alignment horizontal="left" vertical="center" shrinkToFit="1"/>
    </xf>
    <xf numFmtId="0" fontId="0" fillId="0" borderId="222" xfId="2" applyFont="1" applyFill="1" applyBorder="1" applyAlignment="1">
      <alignment horizontal="center" vertical="center" wrapText="1"/>
    </xf>
    <xf numFmtId="0" fontId="1" fillId="0" borderId="222" xfId="2" applyFont="1" applyFill="1" applyBorder="1" applyAlignment="1">
      <alignment horizontal="center" vertical="center" wrapText="1"/>
    </xf>
    <xf numFmtId="0" fontId="0" fillId="0" borderId="222" xfId="2" applyFont="1" applyBorder="1" applyAlignment="1">
      <alignment horizontal="center" vertical="center" wrapText="1"/>
    </xf>
    <xf numFmtId="0" fontId="1" fillId="0" borderId="222" xfId="2" applyFont="1" applyBorder="1" applyAlignment="1">
      <alignment horizontal="center" vertical="center" wrapText="1"/>
    </xf>
    <xf numFmtId="0" fontId="1" fillId="0" borderId="226" xfId="2" applyFont="1" applyBorder="1" applyAlignment="1">
      <alignment horizontal="center" vertical="center" wrapText="1"/>
    </xf>
    <xf numFmtId="0" fontId="0" fillId="0" borderId="36" xfId="2" applyFont="1" applyBorder="1" applyAlignment="1">
      <alignment horizontal="center" vertical="center"/>
    </xf>
    <xf numFmtId="0" fontId="0" fillId="0" borderId="225" xfId="2" applyFont="1" applyFill="1" applyBorder="1" applyAlignment="1">
      <alignment horizontal="left" vertical="center" shrinkToFit="1"/>
    </xf>
    <xf numFmtId="0" fontId="0" fillId="0" borderId="53" xfId="2" applyFont="1" applyFill="1" applyBorder="1" applyAlignment="1">
      <alignment horizontal="left" vertical="center" wrapText="1"/>
    </xf>
    <xf numFmtId="0" fontId="1" fillId="0" borderId="0" xfId="2" applyFont="1" applyFill="1" applyBorder="1" applyAlignment="1">
      <alignment horizontal="left" vertical="center" wrapText="1"/>
    </xf>
    <xf numFmtId="0" fontId="1" fillId="0" borderId="0" xfId="2" applyFont="1" applyFill="1" applyBorder="1" applyAlignment="1">
      <alignment horizontal="center" vertical="center" wrapText="1"/>
    </xf>
    <xf numFmtId="0" fontId="1" fillId="0" borderId="0" xfId="2" applyFont="1" applyBorder="1" applyAlignment="1">
      <alignment horizontal="center" vertical="center" wrapText="1"/>
    </xf>
    <xf numFmtId="0" fontId="1" fillId="0" borderId="227" xfId="2" applyFont="1" applyBorder="1" applyAlignment="1">
      <alignment horizontal="center" vertical="center" wrapText="1"/>
    </xf>
    <xf numFmtId="0" fontId="0" fillId="0" borderId="0" xfId="2" applyFont="1" applyFill="1" applyBorder="1" applyAlignment="1">
      <alignment horizontal="left" vertical="center" wrapText="1"/>
    </xf>
    <xf numFmtId="0" fontId="0" fillId="0" borderId="0" xfId="2" applyFont="1" applyFill="1" applyBorder="1" applyAlignment="1">
      <alignment horizontal="left" vertical="center" shrinkToFit="1"/>
    </xf>
    <xf numFmtId="0" fontId="1" fillId="0" borderId="0" xfId="2" applyFont="1" applyFill="1" applyBorder="1" applyAlignment="1">
      <alignment horizontal="left" vertical="center" shrinkToFit="1"/>
    </xf>
    <xf numFmtId="0" fontId="0" fillId="0" borderId="196" xfId="2" applyFont="1" applyBorder="1" applyAlignment="1">
      <alignment horizontal="center" vertical="center"/>
    </xf>
    <xf numFmtId="0" fontId="1" fillId="0" borderId="224" xfId="2" applyFont="1" applyBorder="1" applyAlignment="1">
      <alignment horizontal="center" vertical="center"/>
    </xf>
    <xf numFmtId="0" fontId="1" fillId="0" borderId="220" xfId="2" applyFont="1" applyBorder="1" applyAlignment="1">
      <alignment horizontal="center" vertical="center"/>
    </xf>
    <xf numFmtId="0" fontId="1" fillId="0" borderId="218" xfId="2" applyFont="1" applyBorder="1" applyAlignment="1">
      <alignment horizontal="center" vertical="center"/>
    </xf>
    <xf numFmtId="0" fontId="1" fillId="0" borderId="39" xfId="2" applyFont="1" applyBorder="1" applyAlignment="1">
      <alignment horizontal="center" vertical="center"/>
    </xf>
    <xf numFmtId="0" fontId="1" fillId="0" borderId="61" xfId="2" applyFont="1" applyBorder="1" applyAlignment="1">
      <alignment horizontal="center" vertical="center"/>
    </xf>
    <xf numFmtId="0" fontId="1" fillId="0" borderId="47" xfId="2" applyFont="1" applyBorder="1" applyAlignment="1">
      <alignment horizontal="center" vertical="center"/>
    </xf>
    <xf numFmtId="0" fontId="1" fillId="0" borderId="100" xfId="2" applyFont="1" applyBorder="1" applyAlignment="1">
      <alignment horizontal="center" vertical="center"/>
    </xf>
    <xf numFmtId="0" fontId="0" fillId="0" borderId="219" xfId="2" applyFont="1" applyFill="1" applyBorder="1" applyAlignment="1">
      <alignment horizontal="left" vertical="center" wrapText="1"/>
    </xf>
    <xf numFmtId="0" fontId="1" fillId="0" borderId="185" xfId="2" applyFont="1" applyFill="1" applyBorder="1" applyAlignment="1">
      <alignment horizontal="left" vertical="center" wrapText="1"/>
    </xf>
    <xf numFmtId="0" fontId="0" fillId="0" borderId="185" xfId="2" applyFont="1" applyFill="1" applyBorder="1" applyAlignment="1">
      <alignment horizontal="center" vertical="center" wrapText="1"/>
    </xf>
    <xf numFmtId="0" fontId="1" fillId="0" borderId="185" xfId="2" applyFont="1" applyFill="1" applyBorder="1" applyAlignment="1">
      <alignment horizontal="center" vertical="center" wrapText="1"/>
    </xf>
    <xf numFmtId="0" fontId="0" fillId="0" borderId="185" xfId="2" applyFont="1" applyFill="1" applyBorder="1" applyAlignment="1">
      <alignment horizontal="left" vertical="center" wrapText="1"/>
    </xf>
    <xf numFmtId="0" fontId="0" fillId="0" borderId="185" xfId="2" applyFont="1" applyBorder="1" applyAlignment="1">
      <alignment horizontal="center" vertical="center" wrapText="1"/>
    </xf>
    <xf numFmtId="0" fontId="1" fillId="0" borderId="185" xfId="2" applyFont="1" applyBorder="1" applyAlignment="1">
      <alignment horizontal="center" vertical="center" wrapText="1"/>
    </xf>
    <xf numFmtId="0" fontId="1" fillId="0" borderId="221" xfId="2" applyFont="1" applyBorder="1" applyAlignment="1">
      <alignment horizontal="center" vertical="center" wrapText="1"/>
    </xf>
    <xf numFmtId="0" fontId="1" fillId="0" borderId="303" xfId="2" applyFont="1" applyBorder="1" applyAlignment="1">
      <alignment horizontal="center" vertical="center"/>
    </xf>
    <xf numFmtId="0" fontId="1" fillId="0" borderId="281" xfId="2" applyFont="1" applyBorder="1" applyAlignment="1">
      <alignment horizontal="center" vertical="center"/>
    </xf>
    <xf numFmtId="0" fontId="1" fillId="0" borderId="304" xfId="2" applyFont="1" applyBorder="1" applyAlignment="1">
      <alignment horizontal="center" vertical="center"/>
    </xf>
    <xf numFmtId="0" fontId="0" fillId="0" borderId="300" xfId="2" applyFont="1" applyBorder="1" applyAlignment="1">
      <alignment horizontal="left" vertical="center" wrapText="1"/>
    </xf>
    <xf numFmtId="0" fontId="0" fillId="0" borderId="281" xfId="2" applyFont="1" applyBorder="1" applyAlignment="1">
      <alignment horizontal="left" vertical="center" wrapText="1"/>
    </xf>
    <xf numFmtId="0" fontId="0" fillId="0" borderId="301" xfId="2" applyFont="1" applyBorder="1" applyAlignment="1">
      <alignment horizontal="left" vertical="center" wrapText="1"/>
    </xf>
    <xf numFmtId="0" fontId="0" fillId="0" borderId="302" xfId="2" applyFont="1" applyBorder="1" applyAlignment="1">
      <alignment horizontal="left" vertical="center" wrapText="1"/>
    </xf>
    <xf numFmtId="0" fontId="0" fillId="0" borderId="220" xfId="2" applyFont="1" applyBorder="1" applyAlignment="1">
      <alignment horizontal="left" vertical="center" wrapText="1"/>
    </xf>
    <xf numFmtId="0" fontId="0" fillId="0" borderId="221" xfId="2" applyFont="1" applyBorder="1" applyAlignment="1">
      <alignment horizontal="left" vertical="center" wrapText="1"/>
    </xf>
    <xf numFmtId="0" fontId="0" fillId="0" borderId="0" xfId="2" applyFont="1" applyFill="1" applyBorder="1" applyAlignment="1">
      <alignment horizontal="center" vertical="center" wrapText="1"/>
    </xf>
    <xf numFmtId="0" fontId="0" fillId="0" borderId="0" xfId="2" applyFont="1" applyBorder="1" applyAlignment="1">
      <alignment horizontal="center" vertical="center" wrapText="1"/>
    </xf>
    <xf numFmtId="0" fontId="8" fillId="0" borderId="234" xfId="2" applyFont="1" applyFill="1" applyBorder="1" applyAlignment="1">
      <alignment horizontal="center" vertical="center" textRotation="255" wrapText="1"/>
    </xf>
    <xf numFmtId="0" fontId="8" fillId="0" borderId="297" xfId="2" applyFont="1" applyBorder="1" applyAlignment="1">
      <alignment horizontal="center" vertical="center" wrapText="1"/>
    </xf>
    <xf numFmtId="0" fontId="8" fillId="0" borderId="298" xfId="2" applyFont="1" applyBorder="1" applyAlignment="1">
      <alignment horizontal="center" vertical="center" wrapText="1"/>
    </xf>
    <xf numFmtId="0" fontId="1" fillId="0" borderId="236" xfId="2" applyFont="1" applyBorder="1" applyAlignment="1">
      <alignment horizontal="center" vertical="center"/>
    </xf>
    <xf numFmtId="0" fontId="1" fillId="0" borderId="237" xfId="2" applyFont="1" applyBorder="1" applyAlignment="1">
      <alignment horizontal="center" vertical="center"/>
    </xf>
    <xf numFmtId="0" fontId="0" fillId="0" borderId="235" xfId="2" applyFont="1" applyFill="1" applyBorder="1" applyAlignment="1">
      <alignment horizontal="center" vertical="center" wrapText="1"/>
    </xf>
    <xf numFmtId="0" fontId="1" fillId="0" borderId="49" xfId="2" applyFont="1" applyFill="1" applyBorder="1" applyAlignment="1">
      <alignment horizontal="center" vertical="center"/>
    </xf>
    <xf numFmtId="0" fontId="1" fillId="0" borderId="242" xfId="2" applyFont="1" applyBorder="1" applyAlignment="1">
      <alignment horizontal="center" vertical="center" wrapText="1"/>
    </xf>
    <xf numFmtId="0" fontId="1" fillId="0" borderId="246" xfId="2" applyFont="1" applyBorder="1" applyAlignment="1">
      <alignment horizontal="center" vertical="center" wrapText="1"/>
    </xf>
    <xf numFmtId="0" fontId="1" fillId="0" borderId="190" xfId="2" applyFont="1" applyBorder="1" applyAlignment="1">
      <alignment horizontal="center" vertical="center" wrapText="1"/>
    </xf>
    <xf numFmtId="0" fontId="1" fillId="0" borderId="215" xfId="2" applyFont="1" applyBorder="1" applyAlignment="1">
      <alignment horizontal="center" vertical="center" wrapText="1"/>
    </xf>
    <xf numFmtId="0" fontId="1" fillId="0" borderId="73" xfId="2" applyFont="1" applyBorder="1" applyAlignment="1">
      <alignment horizontal="center" vertical="center"/>
    </xf>
    <xf numFmtId="0" fontId="1" fillId="0" borderId="49" xfId="2" applyFont="1" applyBorder="1" applyAlignment="1">
      <alignment horizontal="center" vertical="center"/>
    </xf>
    <xf numFmtId="0" fontId="1" fillId="0" borderId="84" xfId="2" applyFont="1" applyBorder="1" applyAlignment="1">
      <alignment horizontal="center" vertical="center"/>
    </xf>
    <xf numFmtId="0" fontId="1" fillId="0" borderId="85" xfId="2" applyFont="1" applyBorder="1" applyAlignment="1">
      <alignment horizontal="center" vertical="center"/>
    </xf>
    <xf numFmtId="0" fontId="1" fillId="0" borderId="206" xfId="2" applyFont="1" applyBorder="1" applyAlignment="1">
      <alignment horizontal="center" vertical="center"/>
    </xf>
    <xf numFmtId="0" fontId="1" fillId="0" borderId="207" xfId="2" applyFont="1" applyBorder="1" applyAlignment="1">
      <alignment horizontal="center" vertical="center"/>
    </xf>
    <xf numFmtId="0" fontId="1" fillId="0" borderId="10" xfId="2" applyFont="1" applyBorder="1" applyAlignment="1">
      <alignment horizontal="center" vertical="center"/>
    </xf>
    <xf numFmtId="0" fontId="1" fillId="0" borderId="115" xfId="2" applyFont="1" applyBorder="1" applyAlignment="1">
      <alignment horizontal="center" vertical="center" wrapText="1"/>
    </xf>
    <xf numFmtId="0" fontId="1" fillId="0" borderId="180" xfId="2" applyFont="1" applyBorder="1" applyAlignment="1">
      <alignment horizontal="center" vertical="center" wrapText="1"/>
    </xf>
    <xf numFmtId="0" fontId="1" fillId="0" borderId="88" xfId="2" applyFont="1" applyBorder="1" applyAlignment="1">
      <alignment horizontal="center" vertical="center" textRotation="255" wrapText="1"/>
    </xf>
    <xf numFmtId="0" fontId="1" fillId="0" borderId="10" xfId="2" applyFont="1" applyBorder="1" applyAlignment="1">
      <alignment horizontal="center" vertical="center" wrapText="1"/>
    </xf>
    <xf numFmtId="0" fontId="1" fillId="0" borderId="231" xfId="2" applyFont="1" applyBorder="1" applyAlignment="1">
      <alignment horizontal="center" vertical="center" wrapText="1"/>
    </xf>
    <xf numFmtId="0" fontId="1" fillId="0" borderId="241" xfId="2" applyFont="1" applyBorder="1" applyAlignment="1">
      <alignment horizontal="center" vertical="center" wrapText="1"/>
    </xf>
    <xf numFmtId="0" fontId="1" fillId="0" borderId="245" xfId="2" applyFont="1" applyBorder="1" applyAlignment="1">
      <alignment horizontal="center" vertical="center" wrapText="1"/>
    </xf>
    <xf numFmtId="0" fontId="1" fillId="0" borderId="42" xfId="2" applyFont="1" applyBorder="1" applyAlignment="1">
      <alignment horizontal="center" vertical="center"/>
    </xf>
    <xf numFmtId="0" fontId="1" fillId="0" borderId="233" xfId="2" applyFont="1" applyBorder="1" applyAlignment="1">
      <alignment horizontal="center" vertical="center"/>
    </xf>
    <xf numFmtId="0" fontId="1" fillId="0" borderId="239" xfId="2" applyFont="1" applyBorder="1" applyAlignment="1">
      <alignment horizontal="center" vertical="center" wrapText="1"/>
    </xf>
    <xf numFmtId="0" fontId="1" fillId="0" borderId="243" xfId="2" applyFont="1" applyBorder="1" applyAlignment="1">
      <alignment horizontal="center" vertical="center" wrapText="1"/>
    </xf>
    <xf numFmtId="0" fontId="1" fillId="0" borderId="240" xfId="2" applyFont="1" applyBorder="1" applyAlignment="1">
      <alignment horizontal="center" vertical="center" wrapText="1"/>
    </xf>
    <xf numFmtId="0" fontId="1" fillId="0" borderId="244" xfId="2" applyFont="1" applyBorder="1" applyAlignment="1">
      <alignment horizontal="center" vertical="center" wrapText="1"/>
    </xf>
    <xf numFmtId="0" fontId="0" fillId="3" borderId="98" xfId="0" applyFill="1" applyBorder="1" applyAlignment="1">
      <alignment horizontal="center" vertical="center"/>
    </xf>
    <xf numFmtId="0" fontId="0" fillId="3" borderId="48" xfId="0" applyFont="1" applyFill="1" applyBorder="1" applyAlignment="1">
      <alignment horizontal="center" vertical="center"/>
    </xf>
    <xf numFmtId="0" fontId="0" fillId="3" borderId="106" xfId="0" applyFont="1" applyFill="1" applyBorder="1" applyAlignment="1">
      <alignment horizontal="center" vertical="center"/>
    </xf>
    <xf numFmtId="0" fontId="0" fillId="3" borderId="42" xfId="0" applyFont="1" applyFill="1" applyBorder="1" applyAlignment="1">
      <alignment horizontal="center" vertical="center"/>
    </xf>
    <xf numFmtId="0" fontId="0" fillId="0" borderId="107" xfId="0" applyFont="1" applyBorder="1" applyAlignment="1">
      <alignment horizontal="center" vertical="center" textRotation="255"/>
    </xf>
    <xf numFmtId="0" fontId="0" fillId="0" borderId="106" xfId="0" applyFont="1" applyBorder="1" applyAlignment="1">
      <alignment horizontal="center" vertical="center" textRotation="255"/>
    </xf>
    <xf numFmtId="0" fontId="0" fillId="0" borderId="44" xfId="0" applyFont="1" applyBorder="1" applyAlignment="1">
      <alignment horizontal="center" vertical="center" textRotation="255"/>
    </xf>
    <xf numFmtId="0" fontId="0" fillId="4" borderId="37" xfId="0" applyFont="1" applyFill="1" applyBorder="1" applyAlignment="1">
      <alignment horizontal="center" vertical="center" wrapText="1"/>
    </xf>
    <xf numFmtId="0" fontId="0" fillId="4" borderId="48" xfId="0" applyFont="1" applyFill="1" applyBorder="1" applyAlignment="1">
      <alignment horizontal="center" vertical="center" wrapText="1"/>
    </xf>
    <xf numFmtId="0" fontId="0" fillId="4" borderId="24" xfId="0" applyFont="1" applyFill="1" applyBorder="1" applyAlignment="1">
      <alignment horizontal="center" vertical="center" wrapText="1"/>
    </xf>
    <xf numFmtId="0" fontId="0" fillId="4" borderId="40" xfId="0" applyFont="1" applyFill="1" applyBorder="1" applyAlignment="1">
      <alignment horizontal="center" vertical="center" wrapText="1"/>
    </xf>
    <xf numFmtId="0" fontId="0" fillId="4" borderId="45" xfId="0" applyFont="1" applyFill="1" applyBorder="1" applyAlignment="1">
      <alignment horizontal="center" vertical="center"/>
    </xf>
    <xf numFmtId="0" fontId="0" fillId="4" borderId="46" xfId="0" applyFont="1" applyFill="1" applyBorder="1" applyAlignment="1">
      <alignment horizontal="center" vertical="center"/>
    </xf>
    <xf numFmtId="0" fontId="0" fillId="4" borderId="61" xfId="0" applyFont="1" applyFill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109" xfId="0" applyFont="1" applyBorder="1" applyAlignment="1">
      <alignment horizontal="center" vertical="center"/>
    </xf>
    <xf numFmtId="0" fontId="0" fillId="0" borderId="44" xfId="0" applyFont="1" applyBorder="1" applyAlignment="1">
      <alignment vertical="center"/>
    </xf>
    <xf numFmtId="0" fontId="0" fillId="0" borderId="110" xfId="0" applyFont="1" applyBorder="1" applyAlignment="1">
      <alignment vertical="center"/>
    </xf>
    <xf numFmtId="180" fontId="0" fillId="0" borderId="111" xfId="1" applyNumberFormat="1" applyFont="1" applyBorder="1" applyAlignment="1">
      <alignment horizontal="center" vertical="center"/>
    </xf>
    <xf numFmtId="0" fontId="0" fillId="0" borderId="112" xfId="0" applyFont="1" applyBorder="1" applyAlignment="1">
      <alignment vertical="center"/>
    </xf>
    <xf numFmtId="0" fontId="0" fillId="0" borderId="108" xfId="0" applyFont="1" applyBorder="1" applyAlignment="1">
      <alignment horizontal="center" vertical="center" textRotation="255"/>
    </xf>
    <xf numFmtId="0" fontId="0" fillId="3" borderId="77" xfId="0" applyFont="1" applyFill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39" xfId="0" applyFont="1" applyFill="1" applyBorder="1" applyAlignment="1">
      <alignment horizontal="center" vertical="center"/>
    </xf>
    <xf numFmtId="0" fontId="0" fillId="4" borderId="40" xfId="0" applyFont="1" applyFill="1" applyBorder="1" applyAlignment="1">
      <alignment horizontal="center" vertical="center" textRotation="255" wrapText="1"/>
    </xf>
    <xf numFmtId="0" fontId="0" fillId="0" borderId="42" xfId="0" applyFont="1" applyBorder="1" applyAlignment="1">
      <alignment horizontal="center" vertical="center" textRotation="255" wrapText="1"/>
    </xf>
    <xf numFmtId="0" fontId="0" fillId="0" borderId="119" xfId="0" applyFont="1" applyBorder="1" applyAlignment="1">
      <alignment horizontal="center" vertical="center" textRotation="255" wrapText="1"/>
    </xf>
    <xf numFmtId="0" fontId="0" fillId="0" borderId="40" xfId="0" applyFont="1" applyBorder="1" applyAlignment="1">
      <alignment vertical="center"/>
    </xf>
    <xf numFmtId="0" fontId="0" fillId="0" borderId="48" xfId="0" applyFont="1" applyBorder="1" applyAlignment="1">
      <alignment vertical="center"/>
    </xf>
    <xf numFmtId="0" fontId="0" fillId="0" borderId="40" xfId="0" applyFont="1" applyBorder="1" applyAlignment="1">
      <alignment vertical="center" wrapText="1"/>
    </xf>
    <xf numFmtId="0" fontId="0" fillId="0" borderId="42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4" borderId="34" xfId="0" applyFont="1" applyFill="1" applyBorder="1" applyAlignment="1">
      <alignment horizontal="center" vertical="center"/>
    </xf>
    <xf numFmtId="0" fontId="0" fillId="4" borderId="39" xfId="0" applyFont="1" applyFill="1" applyBorder="1" applyAlignment="1">
      <alignment horizontal="center" vertical="center"/>
    </xf>
    <xf numFmtId="0" fontId="0" fillId="3" borderId="38" xfId="0" applyFont="1" applyFill="1" applyBorder="1" applyAlignment="1">
      <alignment horizontal="center" vertical="center"/>
    </xf>
    <xf numFmtId="0" fontId="0" fillId="4" borderId="42" xfId="0" applyFont="1" applyFill="1" applyBorder="1" applyAlignment="1">
      <alignment horizontal="center" vertical="center" wrapText="1"/>
    </xf>
    <xf numFmtId="0" fontId="0" fillId="4" borderId="141" xfId="0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vertical="center"/>
    </xf>
    <xf numFmtId="0" fontId="0" fillId="0" borderId="42" xfId="0" applyFont="1" applyFill="1" applyBorder="1" applyAlignment="1">
      <alignment vertical="center"/>
    </xf>
    <xf numFmtId="0" fontId="0" fillId="0" borderId="48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18" xfId="2" applyFont="1" applyBorder="1" applyAlignment="1">
      <alignment horizontal="center" vertical="center" shrinkToFit="1"/>
    </xf>
    <xf numFmtId="176" fontId="0" fillId="0" borderId="5" xfId="0" applyNumberFormat="1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87" xfId="0" applyNumberFormat="1" applyFont="1" applyBorder="1" applyAlignment="1">
      <alignment horizontal="center" vertical="center"/>
    </xf>
    <xf numFmtId="176" fontId="0" fillId="0" borderId="67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58" xfId="0" applyNumberFormat="1" applyFont="1" applyBorder="1" applyAlignment="1">
      <alignment horizontal="center" vertical="center"/>
    </xf>
    <xf numFmtId="176" fontId="0" fillId="0" borderId="56" xfId="0" applyNumberFormat="1" applyFont="1" applyBorder="1" applyAlignment="1">
      <alignment horizontal="center" vertical="center"/>
    </xf>
    <xf numFmtId="176" fontId="0" fillId="0" borderId="81" xfId="0" applyNumberFormat="1" applyFont="1" applyBorder="1" applyAlignment="1">
      <alignment horizontal="center" vertical="center"/>
    </xf>
    <xf numFmtId="176" fontId="0" fillId="0" borderId="80" xfId="0" applyNumberFormat="1" applyFont="1" applyBorder="1" applyAlignment="1">
      <alignment horizontal="center" vertical="center"/>
    </xf>
    <xf numFmtId="176" fontId="0" fillId="0" borderId="18" xfId="0" applyNumberFormat="1" applyFont="1" applyBorder="1" applyAlignment="1">
      <alignment horizontal="right" vertical="center"/>
    </xf>
    <xf numFmtId="176" fontId="0" fillId="0" borderId="180" xfId="0" applyNumberFormat="1" applyFont="1" applyBorder="1" applyAlignment="1">
      <alignment horizontal="center" vertical="center"/>
    </xf>
    <xf numFmtId="176" fontId="0" fillId="0" borderId="248" xfId="0" applyNumberFormat="1" applyFont="1" applyBorder="1" applyAlignment="1">
      <alignment horizontal="center" vertical="center"/>
    </xf>
    <xf numFmtId="176" fontId="0" fillId="0" borderId="82" xfId="0" applyNumberFormat="1" applyFont="1" applyBorder="1" applyAlignment="1">
      <alignment horizontal="center" vertical="center"/>
    </xf>
    <xf numFmtId="176" fontId="0" fillId="0" borderId="249" xfId="0" applyNumberFormat="1" applyFont="1" applyBorder="1" applyAlignment="1">
      <alignment horizontal="center" vertical="center"/>
    </xf>
    <xf numFmtId="176" fontId="0" fillId="0" borderId="250" xfId="0" applyNumberFormat="1" applyFont="1" applyBorder="1" applyAlignment="1">
      <alignment horizontal="center" vertical="center"/>
    </xf>
    <xf numFmtId="176" fontId="0" fillId="0" borderId="142" xfId="0" applyNumberFormat="1" applyFont="1" applyBorder="1" applyAlignment="1">
      <alignment horizontal="center" vertical="center"/>
    </xf>
    <xf numFmtId="176" fontId="0" fillId="0" borderId="121" xfId="0" applyNumberFormat="1" applyFont="1" applyBorder="1" applyAlignment="1">
      <alignment horizontal="center" vertical="center"/>
    </xf>
    <xf numFmtId="176" fontId="0" fillId="0" borderId="9" xfId="0" applyNumberFormat="1" applyFont="1" applyBorder="1" applyAlignment="1">
      <alignment horizontal="center" vertical="center"/>
    </xf>
    <xf numFmtId="176" fontId="0" fillId="0" borderId="83" xfId="0" applyNumberFormat="1" applyFont="1" applyBorder="1" applyAlignment="1">
      <alignment horizontal="center" vertical="center"/>
    </xf>
    <xf numFmtId="176" fontId="0" fillId="0" borderId="10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center" vertical="center"/>
    </xf>
    <xf numFmtId="176" fontId="0" fillId="0" borderId="182" xfId="0" applyNumberFormat="1" applyFont="1" applyBorder="1" applyAlignment="1">
      <alignment horizontal="center" vertical="center"/>
    </xf>
    <xf numFmtId="176" fontId="0" fillId="0" borderId="232" xfId="0" applyNumberFormat="1" applyFont="1" applyBorder="1" applyAlignment="1">
      <alignment horizontal="center" vertical="center"/>
    </xf>
    <xf numFmtId="176" fontId="0" fillId="0" borderId="73" xfId="0" applyNumberFormat="1" applyFont="1" applyBorder="1" applyAlignment="1">
      <alignment horizontal="center" vertical="center"/>
    </xf>
    <xf numFmtId="176" fontId="0" fillId="0" borderId="49" xfId="0" applyNumberFormat="1" applyFont="1" applyBorder="1" applyAlignment="1">
      <alignment horizontal="center" vertical="center"/>
    </xf>
    <xf numFmtId="176" fontId="0" fillId="0" borderId="84" xfId="0" applyNumberFormat="1" applyFont="1" applyBorder="1" applyAlignment="1">
      <alignment horizontal="center" vertical="center"/>
    </xf>
    <xf numFmtId="176" fontId="0" fillId="0" borderId="85" xfId="0" applyNumberFormat="1" applyFont="1" applyBorder="1" applyAlignment="1">
      <alignment horizontal="center" vertical="center"/>
    </xf>
    <xf numFmtId="176" fontId="0" fillId="0" borderId="73" xfId="0" applyNumberFormat="1" applyFont="1" applyBorder="1" applyAlignment="1">
      <alignment horizontal="left" vertical="center" indent="1"/>
    </xf>
    <xf numFmtId="176" fontId="0" fillId="0" borderId="49" xfId="0" applyNumberFormat="1" applyFont="1" applyBorder="1" applyAlignment="1">
      <alignment horizontal="left" vertical="center" indent="1"/>
    </xf>
    <xf numFmtId="176" fontId="0" fillId="0" borderId="287" xfId="0" applyNumberFormat="1" applyFont="1" applyBorder="1" applyAlignment="1">
      <alignment horizontal="center" vertical="center"/>
    </xf>
    <xf numFmtId="176" fontId="0" fillId="0" borderId="284" xfId="0" applyNumberFormat="1" applyFont="1" applyBorder="1" applyAlignment="1">
      <alignment horizontal="center" vertical="center"/>
    </xf>
    <xf numFmtId="176" fontId="0" fillId="0" borderId="285" xfId="0" applyNumberFormat="1" applyFont="1" applyBorder="1" applyAlignment="1">
      <alignment horizontal="center" vertical="center"/>
    </xf>
    <xf numFmtId="176" fontId="0" fillId="0" borderId="286" xfId="0" applyNumberFormat="1" applyFont="1" applyBorder="1" applyAlignment="1">
      <alignment horizontal="center" vertical="center"/>
    </xf>
    <xf numFmtId="176" fontId="0" fillId="0" borderId="282" xfId="0" applyNumberFormat="1" applyFont="1" applyBorder="1" applyAlignment="1">
      <alignment horizontal="center" vertical="center"/>
    </xf>
    <xf numFmtId="176" fontId="0" fillId="0" borderId="283" xfId="0" applyNumberFormat="1" applyFont="1" applyBorder="1" applyAlignment="1">
      <alignment horizontal="center" vertical="center"/>
    </xf>
    <xf numFmtId="177" fontId="0" fillId="0" borderId="357" xfId="0" applyNumberFormat="1" applyFont="1" applyBorder="1" applyAlignment="1">
      <alignment horizontal="left" vertical="center"/>
    </xf>
    <xf numFmtId="176" fontId="0" fillId="0" borderId="58" xfId="0" applyNumberFormat="1" applyFont="1" applyBorder="1" applyAlignment="1">
      <alignment horizontal="center" vertical="center" textRotation="255" shrinkToFit="1"/>
    </xf>
    <xf numFmtId="176" fontId="0" fillId="0" borderId="56" xfId="0" applyNumberFormat="1" applyFont="1" applyBorder="1" applyAlignment="1">
      <alignment horizontal="center" vertical="center" textRotation="255" shrinkToFit="1"/>
    </xf>
    <xf numFmtId="176" fontId="0" fillId="0" borderId="33" xfId="0" applyNumberFormat="1" applyFont="1" applyBorder="1" applyAlignment="1">
      <alignment horizontal="center" vertical="center" textRotation="255" shrinkToFit="1"/>
    </xf>
    <xf numFmtId="176" fontId="0" fillId="0" borderId="255" xfId="0" applyNumberFormat="1" applyFont="1" applyFill="1" applyBorder="1" applyAlignment="1">
      <alignment horizontal="right" vertical="center" shrinkToFit="1"/>
    </xf>
    <xf numFmtId="176" fontId="0" fillId="0" borderId="215" xfId="0" applyNumberFormat="1" applyFont="1" applyFill="1" applyBorder="1" applyAlignment="1">
      <alignment horizontal="right" vertical="center" shrinkToFit="1"/>
    </xf>
    <xf numFmtId="176" fontId="0" fillId="0" borderId="255" xfId="0" applyNumberFormat="1" applyFont="1" applyBorder="1" applyAlignment="1">
      <alignment horizontal="left" vertical="center" shrinkToFit="1"/>
    </xf>
    <xf numFmtId="176" fontId="0" fillId="0" borderId="215" xfId="0" applyNumberFormat="1" applyFont="1" applyBorder="1" applyAlignment="1">
      <alignment horizontal="left" vertical="center" shrinkToFit="1"/>
    </xf>
    <xf numFmtId="176" fontId="0" fillId="0" borderId="255" xfId="0" applyNumberFormat="1" applyFont="1" applyBorder="1" applyAlignment="1">
      <alignment horizontal="right" vertical="center" shrinkToFit="1"/>
    </xf>
    <xf numFmtId="176" fontId="0" fillId="0" borderId="215" xfId="0" applyNumberFormat="1" applyFont="1" applyBorder="1" applyAlignment="1">
      <alignment horizontal="right" vertical="center" shrinkToFit="1"/>
    </xf>
    <xf numFmtId="9" fontId="0" fillId="0" borderId="255" xfId="0" applyNumberFormat="1" applyFont="1" applyBorder="1" applyAlignment="1">
      <alignment horizontal="right" vertical="center" shrinkToFit="1"/>
    </xf>
    <xf numFmtId="9" fontId="0" fillId="0" borderId="215" xfId="0" applyNumberFormat="1" applyFont="1" applyBorder="1" applyAlignment="1">
      <alignment horizontal="right" vertical="center" shrinkToFit="1"/>
    </xf>
    <xf numFmtId="176" fontId="0" fillId="0" borderId="256" xfId="0" applyNumberFormat="1" applyFont="1" applyBorder="1" applyAlignment="1">
      <alignment horizontal="left" vertical="center" shrinkToFit="1"/>
    </xf>
    <xf numFmtId="176" fontId="0" fillId="0" borderId="255" xfId="0" applyNumberFormat="1" applyFont="1" applyBorder="1" applyAlignment="1">
      <alignment horizontal="center" vertical="center" shrinkToFit="1"/>
    </xf>
    <xf numFmtId="176" fontId="0" fillId="0" borderId="256" xfId="0" applyNumberFormat="1" applyFont="1" applyBorder="1" applyAlignment="1">
      <alignment horizontal="center" vertical="center" shrinkToFit="1"/>
    </xf>
    <xf numFmtId="176" fontId="0" fillId="0" borderId="256" xfId="0" applyNumberFormat="1" applyFont="1" applyBorder="1" applyAlignment="1">
      <alignment horizontal="right" vertical="center" shrinkToFit="1"/>
    </xf>
    <xf numFmtId="176" fontId="0" fillId="0" borderId="18" xfId="0" applyNumberFormat="1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176" fontId="0" fillId="0" borderId="58" xfId="0" applyNumberFormat="1" applyBorder="1" applyAlignment="1">
      <alignment horizontal="center" vertical="center" textRotation="255" shrinkToFit="1"/>
    </xf>
    <xf numFmtId="176" fontId="0" fillId="0" borderId="81" xfId="0" applyNumberFormat="1" applyFont="1" applyBorder="1" applyAlignment="1">
      <alignment horizontal="center" vertical="center" textRotation="255" shrinkToFit="1"/>
    </xf>
    <xf numFmtId="176" fontId="0" fillId="0" borderId="80" xfId="0" applyNumberFormat="1" applyFont="1" applyBorder="1" applyAlignment="1">
      <alignment horizontal="center" vertical="center" shrinkToFit="1"/>
    </xf>
    <xf numFmtId="176" fontId="0" fillId="0" borderId="81" xfId="0" applyNumberFormat="1" applyFont="1" applyBorder="1" applyAlignment="1">
      <alignment horizontal="center" vertical="center" shrinkToFit="1"/>
    </xf>
    <xf numFmtId="176" fontId="0" fillId="0" borderId="127" xfId="0" applyNumberFormat="1" applyFont="1" applyBorder="1" applyAlignment="1">
      <alignment horizontal="center" vertical="center" shrinkToFit="1"/>
    </xf>
    <xf numFmtId="176" fontId="0" fillId="0" borderId="86" xfId="0" applyNumberFormat="1" applyFont="1" applyBorder="1" applyAlignment="1">
      <alignment horizontal="center" vertical="center" shrinkToFit="1"/>
    </xf>
    <xf numFmtId="176" fontId="0" fillId="0" borderId="72" xfId="0" applyNumberFormat="1" applyFont="1" applyBorder="1" applyAlignment="1">
      <alignment horizontal="center" vertical="center" shrinkToFit="1"/>
    </xf>
    <xf numFmtId="176" fontId="0" fillId="0" borderId="82" xfId="0" applyNumberFormat="1" applyFont="1" applyBorder="1" applyAlignment="1">
      <alignment horizontal="center" vertical="center" shrinkToFit="1"/>
    </xf>
    <xf numFmtId="176" fontId="0" fillId="0" borderId="190" xfId="0" applyNumberFormat="1" applyFont="1" applyBorder="1" applyAlignment="1">
      <alignment vertical="center" shrinkToFit="1"/>
    </xf>
    <xf numFmtId="176" fontId="0" fillId="0" borderId="215" xfId="0" applyNumberFormat="1" applyFont="1" applyBorder="1" applyAlignment="1">
      <alignment vertical="center" shrinkToFit="1"/>
    </xf>
    <xf numFmtId="9" fontId="0" fillId="0" borderId="190" xfId="0" applyNumberFormat="1" applyFont="1" applyBorder="1" applyAlignment="1">
      <alignment vertical="center" shrinkToFit="1"/>
    </xf>
    <xf numFmtId="9" fontId="0" fillId="0" borderId="215" xfId="0" applyNumberFormat="1" applyFont="1" applyBorder="1" applyAlignment="1">
      <alignment vertical="center" shrinkToFit="1"/>
    </xf>
    <xf numFmtId="176" fontId="0" fillId="0" borderId="23" xfId="0" applyNumberFormat="1" applyFont="1" applyFill="1" applyBorder="1" applyAlignment="1">
      <alignment vertical="center" shrinkToFit="1"/>
    </xf>
    <xf numFmtId="176" fontId="0" fillId="0" borderId="86" xfId="0" applyNumberFormat="1" applyFont="1" applyFill="1" applyBorder="1" applyAlignment="1">
      <alignment vertical="center" shrinkToFit="1"/>
    </xf>
    <xf numFmtId="176" fontId="0" fillId="0" borderId="23" xfId="0" applyNumberFormat="1" applyFont="1" applyBorder="1" applyAlignment="1">
      <alignment vertical="center" shrinkToFit="1"/>
    </xf>
    <xf numFmtId="176" fontId="0" fillId="0" borderId="86" xfId="0" applyNumberFormat="1" applyFont="1" applyBorder="1" applyAlignment="1">
      <alignment vertical="center" shrinkToFit="1"/>
    </xf>
    <xf numFmtId="9" fontId="0" fillId="0" borderId="256" xfId="0" applyNumberFormat="1" applyFont="1" applyBorder="1" applyAlignment="1">
      <alignment horizontal="right" vertical="center" shrinkToFit="1"/>
    </xf>
    <xf numFmtId="176" fontId="0" fillId="0" borderId="56" xfId="0" applyNumberFormat="1" applyBorder="1" applyAlignment="1">
      <alignment horizontal="center" vertical="center" textRotation="255" shrinkToFit="1"/>
    </xf>
    <xf numFmtId="177" fontId="0" fillId="0" borderId="107" xfId="3" applyNumberFormat="1" applyFont="1" applyBorder="1" applyAlignment="1">
      <alignment horizontal="center" vertical="center" textRotation="255"/>
    </xf>
    <xf numFmtId="177" fontId="0" fillId="0" borderId="106" xfId="3" applyNumberFormat="1" applyFont="1" applyBorder="1" applyAlignment="1">
      <alignment horizontal="center" vertical="center" textRotation="255"/>
    </xf>
    <xf numFmtId="177" fontId="0" fillId="0" borderId="108" xfId="3" applyNumberFormat="1" applyFont="1" applyBorder="1" applyAlignment="1">
      <alignment horizontal="center" vertical="center" textRotation="255"/>
    </xf>
    <xf numFmtId="0" fontId="0" fillId="0" borderId="37" xfId="0" applyFill="1" applyBorder="1" applyAlignment="1">
      <alignment horizontal="center" vertical="center" wrapText="1"/>
    </xf>
    <xf numFmtId="0" fontId="0" fillId="0" borderId="48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 wrapText="1"/>
    </xf>
    <xf numFmtId="0" fontId="0" fillId="5" borderId="45" xfId="0" applyFont="1" applyFill="1" applyBorder="1" applyAlignment="1">
      <alignment horizontal="center" vertical="center"/>
    </xf>
    <xf numFmtId="0" fontId="0" fillId="5" borderId="46" xfId="0" applyFont="1" applyFill="1" applyBorder="1" applyAlignment="1">
      <alignment horizontal="center" vertical="center"/>
    </xf>
    <xf numFmtId="0" fontId="0" fillId="5" borderId="61" xfId="0" applyFont="1" applyFill="1" applyBorder="1" applyAlignment="1">
      <alignment horizontal="center" vertical="center"/>
    </xf>
    <xf numFmtId="177" fontId="0" fillId="0" borderId="89" xfId="0" applyNumberFormat="1" applyFont="1" applyFill="1" applyBorder="1" applyAlignment="1">
      <alignment vertical="center" shrinkToFit="1"/>
    </xf>
    <xf numFmtId="0" fontId="0" fillId="0" borderId="138" xfId="0" applyFill="1" applyBorder="1" applyAlignment="1">
      <alignment horizontal="center" vertical="center" textRotation="255" wrapText="1"/>
    </xf>
    <xf numFmtId="0" fontId="0" fillId="0" borderId="42" xfId="0" applyFont="1" applyFill="1" applyBorder="1" applyAlignment="1">
      <alignment horizontal="center" vertical="center" textRotation="255" wrapText="1"/>
    </xf>
    <xf numFmtId="0" fontId="0" fillId="0" borderId="78" xfId="0" applyFont="1" applyFill="1" applyBorder="1" applyAlignment="1">
      <alignment horizontal="center" vertical="center" textRotation="255" wrapText="1"/>
    </xf>
    <xf numFmtId="0" fontId="0" fillId="5" borderId="45" xfId="0" applyFill="1" applyBorder="1" applyAlignment="1">
      <alignment horizontal="left" vertical="center"/>
    </xf>
    <xf numFmtId="0" fontId="0" fillId="5" borderId="61" xfId="0" applyFont="1" applyFill="1" applyBorder="1" applyAlignment="1">
      <alignment horizontal="left" vertical="center"/>
    </xf>
    <xf numFmtId="177" fontId="0" fillId="2" borderId="139" xfId="0" applyNumberFormat="1" applyFill="1" applyBorder="1" applyAlignment="1">
      <alignment horizontal="center" vertical="center" shrinkToFit="1"/>
    </xf>
    <xf numFmtId="177" fontId="0" fillId="2" borderId="140" xfId="0" applyNumberFormat="1" applyFill="1" applyBorder="1" applyAlignment="1">
      <alignment horizontal="center" vertical="center" shrinkToFit="1"/>
    </xf>
    <xf numFmtId="177" fontId="0" fillId="0" borderId="23" xfId="0" applyNumberFormat="1" applyFont="1" applyFill="1" applyBorder="1" applyAlignment="1">
      <alignment vertical="center" shrinkToFit="1"/>
    </xf>
    <xf numFmtId="177" fontId="0" fillId="0" borderId="86" xfId="0" applyNumberFormat="1" applyFont="1" applyFill="1" applyBorder="1" applyAlignment="1">
      <alignment vertical="center" shrinkToFit="1"/>
    </xf>
    <xf numFmtId="177" fontId="0" fillId="0" borderId="16" xfId="0" applyNumberFormat="1" applyFont="1" applyFill="1" applyBorder="1" applyAlignment="1">
      <alignment vertical="center" shrinkToFit="1"/>
    </xf>
    <xf numFmtId="177" fontId="0" fillId="0" borderId="88" xfId="0" applyNumberFormat="1" applyFont="1" applyBorder="1" applyAlignment="1">
      <alignment horizontal="center" vertical="center" shrinkToFit="1"/>
    </xf>
    <xf numFmtId="177" fontId="0" fillId="0" borderId="89" xfId="0" applyNumberFormat="1" applyFont="1" applyBorder="1" applyAlignment="1">
      <alignment horizontal="center" vertical="center" shrinkToFit="1"/>
    </xf>
    <xf numFmtId="177" fontId="0" fillId="0" borderId="3" xfId="0" applyNumberFormat="1" applyFont="1" applyBorder="1" applyAlignment="1">
      <alignment horizontal="center" vertical="center" shrinkToFit="1"/>
    </xf>
    <xf numFmtId="177" fontId="0" fillId="0" borderId="4" xfId="0" applyNumberFormat="1" applyFont="1" applyBorder="1" applyAlignment="1">
      <alignment horizontal="center" vertical="center" shrinkToFit="1"/>
    </xf>
    <xf numFmtId="177" fontId="0" fillId="0" borderId="87" xfId="0" applyNumberFormat="1" applyFont="1" applyBorder="1" applyAlignment="1">
      <alignment horizontal="center" vertical="center" shrinkToFit="1"/>
    </xf>
    <xf numFmtId="177" fontId="0" fillId="0" borderId="23" xfId="0" applyNumberFormat="1" applyFill="1" applyBorder="1" applyAlignment="1">
      <alignment horizontal="center" vertical="center" textRotation="255" shrinkToFit="1"/>
    </xf>
    <xf numFmtId="177" fontId="0" fillId="0" borderId="16" xfId="0" applyNumberFormat="1" applyFill="1" applyBorder="1" applyAlignment="1">
      <alignment horizontal="center" vertical="center" textRotation="255" shrinkToFit="1"/>
    </xf>
    <xf numFmtId="177" fontId="0" fillId="0" borderId="86" xfId="0" applyNumberFormat="1" applyFill="1" applyBorder="1" applyAlignment="1">
      <alignment horizontal="center" vertical="center" textRotation="255" shrinkToFit="1"/>
    </xf>
    <xf numFmtId="177" fontId="0" fillId="0" borderId="142" xfId="0" applyNumberFormat="1" applyBorder="1" applyAlignment="1">
      <alignment horizontal="center" vertical="center" textRotation="255" shrinkToFit="1"/>
    </xf>
    <xf numFmtId="177" fontId="0" fillId="0" borderId="9" xfId="0" applyNumberFormat="1" applyBorder="1" applyAlignment="1">
      <alignment horizontal="center" vertical="center" textRotation="255" shrinkToFit="1"/>
    </xf>
    <xf numFmtId="177" fontId="0" fillId="0" borderId="143" xfId="0" applyNumberFormat="1" applyBorder="1" applyAlignment="1">
      <alignment horizontal="center" vertical="center" textRotation="255" shrinkToFit="1"/>
    </xf>
    <xf numFmtId="177" fontId="0" fillId="0" borderId="3" xfId="0" applyNumberFormat="1" applyFill="1" applyBorder="1" applyAlignment="1">
      <alignment horizontal="center" vertical="center"/>
    </xf>
    <xf numFmtId="177" fontId="0" fillId="0" borderId="4" xfId="0" applyNumberFormat="1" applyFont="1" applyFill="1" applyBorder="1" applyAlignment="1">
      <alignment horizontal="center" vertical="center"/>
    </xf>
    <xf numFmtId="177" fontId="0" fillId="0" borderId="6" xfId="0" applyNumberFormat="1" applyFont="1" applyFill="1" applyBorder="1" applyAlignment="1">
      <alignment horizontal="center" vertical="center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5" xfId="0" applyNumberFormat="1" applyFon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57" xfId="0" applyNumberFormat="1" applyFont="1" applyFill="1" applyBorder="1" applyAlignment="1">
      <alignment horizontal="center" vertical="center" shrinkToFit="1"/>
    </xf>
    <xf numFmtId="177" fontId="0" fillId="0" borderId="13" xfId="0" applyNumberFormat="1" applyFont="1" applyFill="1" applyBorder="1" applyAlignment="1">
      <alignment horizontal="center" vertical="center"/>
    </xf>
    <xf numFmtId="177" fontId="0" fillId="0" borderId="14" xfId="0" applyNumberFormat="1" applyFont="1" applyFill="1" applyBorder="1" applyAlignment="1">
      <alignment horizontal="center" vertical="center"/>
    </xf>
    <xf numFmtId="177" fontId="0" fillId="0" borderId="15" xfId="0" applyNumberFormat="1" applyFont="1" applyFill="1" applyBorder="1" applyAlignment="1">
      <alignment horizontal="center" vertical="center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133" xfId="0" applyNumberFormat="1" applyBorder="1" applyAlignment="1">
      <alignment horizontal="center" vertical="center" textRotation="255" shrinkToFit="1"/>
    </xf>
    <xf numFmtId="177" fontId="0" fillId="0" borderId="56" xfId="0" applyNumberFormat="1" applyBorder="1" applyAlignment="1">
      <alignment horizontal="center" vertical="center" textRotation="255" shrinkToFit="1"/>
    </xf>
    <xf numFmtId="177" fontId="0" fillId="0" borderId="33" xfId="0" applyNumberFormat="1" applyBorder="1" applyAlignment="1">
      <alignment horizontal="center" vertical="center" textRotation="255" shrinkToFit="1"/>
    </xf>
    <xf numFmtId="177" fontId="0" fillId="0" borderId="13" xfId="0" applyNumberFormat="1" applyFill="1" applyBorder="1" applyAlignment="1">
      <alignment vertical="center" shrinkToFit="1"/>
    </xf>
    <xf numFmtId="177" fontId="0" fillId="0" borderId="14" xfId="0" applyNumberFormat="1" applyFont="1" applyFill="1" applyBorder="1" applyAlignment="1">
      <alignment vertical="center" shrinkToFit="1"/>
    </xf>
    <xf numFmtId="177" fontId="0" fillId="0" borderId="13" xfId="0" applyNumberFormat="1" applyFont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21" xfId="0" applyNumberFormat="1" applyFont="1" applyFill="1" applyBorder="1" applyAlignment="1">
      <alignment horizontal="center" vertical="center"/>
    </xf>
    <xf numFmtId="177" fontId="0" fillId="0" borderId="113" xfId="0" applyNumberFormat="1" applyFont="1" applyFill="1" applyBorder="1" applyAlignment="1">
      <alignment horizontal="center" vertical="center"/>
    </xf>
    <xf numFmtId="177" fontId="0" fillId="2" borderId="25" xfId="0" applyNumberFormat="1" applyFont="1" applyFill="1" applyBorder="1" applyAlignment="1">
      <alignment horizontal="right" vertical="center" shrinkToFit="1"/>
    </xf>
    <xf numFmtId="177" fontId="0" fillId="2" borderId="29" xfId="0" applyNumberFormat="1" applyFont="1" applyFill="1" applyBorder="1" applyAlignment="1">
      <alignment horizontal="right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13" xfId="0" applyNumberFormat="1" applyFont="1" applyFill="1" applyBorder="1" applyAlignment="1">
      <alignment horizontal="center" vertical="center" shrinkToFit="1"/>
    </xf>
    <xf numFmtId="177" fontId="0" fillId="0" borderId="131" xfId="0" applyNumberFormat="1" applyFont="1" applyBorder="1" applyAlignment="1">
      <alignment vertical="center"/>
    </xf>
    <xf numFmtId="177" fontId="0" fillId="0" borderId="136" xfId="0" applyNumberFormat="1" applyFont="1" applyBorder="1" applyAlignment="1">
      <alignment vertical="center"/>
    </xf>
    <xf numFmtId="177" fontId="0" fillId="0" borderId="154" xfId="0" applyNumberFormat="1" applyFont="1" applyBorder="1" applyAlignment="1">
      <alignment vertical="center"/>
    </xf>
    <xf numFmtId="177" fontId="0" fillId="0" borderId="89" xfId="0" applyNumberFormat="1" applyFill="1" applyBorder="1" applyAlignment="1">
      <alignment vertical="center"/>
    </xf>
    <xf numFmtId="0" fontId="0" fillId="0" borderId="89" xfId="0" applyFont="1" applyFill="1" applyBorder="1" applyAlignment="1">
      <alignment vertical="center"/>
    </xf>
    <xf numFmtId="0" fontId="0" fillId="0" borderId="76" xfId="0" applyFont="1" applyFill="1" applyBorder="1" applyAlignment="1">
      <alignment vertical="center"/>
    </xf>
    <xf numFmtId="177" fontId="0" fillId="0" borderId="278" xfId="0" applyNumberFormat="1" applyFont="1" applyFill="1" applyBorder="1" applyAlignment="1">
      <alignment vertical="center"/>
    </xf>
    <xf numFmtId="177" fontId="0" fillId="0" borderId="167" xfId="0" applyNumberFormat="1" applyFill="1" applyBorder="1" applyAlignment="1">
      <alignment horizontal="left" vertical="center"/>
    </xf>
    <xf numFmtId="177" fontId="0" fillId="0" borderId="278" xfId="0" applyNumberFormat="1" applyFill="1" applyBorder="1" applyAlignment="1">
      <alignment horizontal="left" vertical="center"/>
    </xf>
    <xf numFmtId="177" fontId="0" fillId="0" borderId="175" xfId="0" applyNumberFormat="1" applyFill="1" applyBorder="1" applyAlignment="1">
      <alignment horizontal="left" vertical="center"/>
    </xf>
    <xf numFmtId="177" fontId="0" fillId="0" borderId="14" xfId="0" applyNumberFormat="1" applyFill="1" applyBorder="1" applyAlignment="1">
      <alignment vertical="center" shrinkToFit="1"/>
    </xf>
    <xf numFmtId="177" fontId="0" fillId="0" borderId="15" xfId="0" applyNumberFormat="1" applyFill="1" applyBorder="1" applyAlignment="1">
      <alignment vertical="center" shrinkToFit="1"/>
    </xf>
    <xf numFmtId="177" fontId="0" fillId="0" borderId="167" xfId="0" applyNumberFormat="1" applyBorder="1" applyAlignment="1">
      <alignment horizontal="left" vertical="center"/>
    </xf>
    <xf numFmtId="177" fontId="0" fillId="0" borderId="278" xfId="0" applyNumberFormat="1" applyBorder="1" applyAlignment="1">
      <alignment horizontal="left" vertical="center"/>
    </xf>
    <xf numFmtId="177" fontId="0" fillId="0" borderId="175" xfId="0" applyNumberFormat="1" applyBorder="1" applyAlignment="1">
      <alignment horizontal="left" vertical="center"/>
    </xf>
    <xf numFmtId="177" fontId="0" fillId="0" borderId="167" xfId="0" applyNumberFormat="1" applyFont="1" applyFill="1" applyBorder="1" applyAlignment="1">
      <alignment vertical="center"/>
    </xf>
    <xf numFmtId="177" fontId="0" fillId="0" borderId="312" xfId="0" applyNumberFormat="1" applyFont="1" applyFill="1" applyBorder="1" applyAlignment="1">
      <alignment vertical="center"/>
    </xf>
    <xf numFmtId="177" fontId="0" fillId="0" borderId="201" xfId="0" applyNumberFormat="1" applyFont="1" applyBorder="1" applyAlignment="1">
      <alignment vertical="center"/>
    </xf>
    <xf numFmtId="177" fontId="0" fillId="0" borderId="203" xfId="0" applyNumberFormat="1" applyFont="1" applyBorder="1" applyAlignment="1">
      <alignment vertical="center"/>
    </xf>
    <xf numFmtId="177" fontId="0" fillId="0" borderId="315" xfId="0" applyNumberFormat="1" applyFont="1" applyBorder="1" applyAlignment="1">
      <alignment vertical="center"/>
    </xf>
    <xf numFmtId="177" fontId="0" fillId="0" borderId="167" xfId="0" applyNumberFormat="1" applyFont="1" applyBorder="1" applyAlignment="1">
      <alignment vertical="center"/>
    </xf>
    <xf numFmtId="177" fontId="0" fillId="0" borderId="278" xfId="0" applyNumberFormat="1" applyFont="1" applyBorder="1" applyAlignment="1">
      <alignment vertical="center"/>
    </xf>
    <xf numFmtId="177" fontId="0" fillId="0" borderId="312" xfId="0" applyNumberFormat="1" applyFont="1" applyBorder="1" applyAlignment="1">
      <alignment vertical="center"/>
    </xf>
    <xf numFmtId="177" fontId="0" fillId="0" borderId="314" xfId="0" applyNumberFormat="1" applyFont="1" applyFill="1" applyBorder="1" applyAlignment="1">
      <alignment horizontal="center" vertical="center"/>
    </xf>
    <xf numFmtId="177" fontId="0" fillId="0" borderId="167" xfId="0" applyNumberFormat="1" applyFont="1" applyFill="1" applyBorder="1" applyAlignment="1">
      <alignment horizontal="center" vertical="center"/>
    </xf>
    <xf numFmtId="177" fontId="0" fillId="0" borderId="278" xfId="0" applyNumberFormat="1" applyFont="1" applyFill="1" applyBorder="1" applyAlignment="1">
      <alignment horizontal="center" vertical="center"/>
    </xf>
    <xf numFmtId="177" fontId="0" fillId="0" borderId="312" xfId="0" applyNumberFormat="1" applyFont="1" applyFill="1" applyBorder="1" applyAlignment="1">
      <alignment horizontal="center" vertical="center"/>
    </xf>
    <xf numFmtId="177" fontId="0" fillId="0" borderId="167" xfId="0" applyNumberFormat="1" applyFont="1" applyFill="1" applyBorder="1" applyAlignment="1">
      <alignment vertical="center" shrinkToFit="1"/>
    </xf>
    <xf numFmtId="177" fontId="0" fillId="0" borderId="312" xfId="0" applyNumberFormat="1" applyFont="1" applyFill="1" applyBorder="1" applyAlignment="1">
      <alignment vertical="center" shrinkToFit="1"/>
    </xf>
    <xf numFmtId="177" fontId="0" fillId="0" borderId="199" xfId="0" applyNumberFormat="1" applyBorder="1" applyAlignment="1">
      <alignment horizontal="center" vertical="center" textRotation="255" shrinkToFit="1"/>
    </xf>
    <xf numFmtId="177" fontId="0" fillId="0" borderId="195" xfId="0" applyNumberFormat="1" applyBorder="1" applyAlignment="1">
      <alignment horizontal="center" vertical="center" textRotation="255" shrinkToFit="1"/>
    </xf>
    <xf numFmtId="177" fontId="0" fillId="0" borderId="196" xfId="0" applyNumberFormat="1" applyBorder="1" applyAlignment="1">
      <alignment horizontal="center" vertical="center" textRotation="255" shrinkToFit="1"/>
    </xf>
    <xf numFmtId="177" fontId="0" fillId="0" borderId="200" xfId="0" applyNumberFormat="1" applyBorder="1" applyAlignment="1">
      <alignment horizontal="center" vertical="center" textRotation="255" shrinkToFit="1"/>
    </xf>
    <xf numFmtId="177" fontId="0" fillId="0" borderId="314" xfId="0" applyNumberFormat="1" applyFont="1" applyFill="1" applyBorder="1" applyAlignment="1">
      <alignment horizontal="center" vertical="center" shrinkToFit="1"/>
    </xf>
    <xf numFmtId="177" fontId="0" fillId="0" borderId="278" xfId="0" applyNumberFormat="1" applyFill="1" applyBorder="1" applyAlignment="1">
      <alignment vertical="center" shrinkToFit="1"/>
    </xf>
    <xf numFmtId="177" fontId="0" fillId="0" borderId="277" xfId="0" applyNumberFormat="1" applyFill="1" applyBorder="1" applyAlignment="1">
      <alignment vertical="center"/>
    </xf>
    <xf numFmtId="0" fontId="0" fillId="0" borderId="277" xfId="0" applyFont="1" applyFill="1" applyBorder="1" applyAlignment="1">
      <alignment vertical="center"/>
    </xf>
    <xf numFmtId="0" fontId="0" fillId="0" borderId="213" xfId="0" applyFont="1" applyFill="1" applyBorder="1" applyAlignment="1">
      <alignment vertical="center"/>
    </xf>
    <xf numFmtId="177" fontId="0" fillId="0" borderId="49" xfId="0" applyNumberFormat="1" applyFill="1" applyBorder="1" applyAlignment="1">
      <alignment vertical="center"/>
    </xf>
    <xf numFmtId="177" fontId="0" fillId="0" borderId="278" xfId="0" applyNumberFormat="1" applyFont="1" applyFill="1" applyBorder="1" applyAlignment="1">
      <alignment vertical="center" shrinkToFit="1"/>
    </xf>
    <xf numFmtId="177" fontId="0" fillId="2" borderId="258" xfId="0" applyNumberFormat="1" applyFont="1" applyFill="1" applyBorder="1" applyAlignment="1">
      <alignment horizontal="right" vertical="center" shrinkToFit="1"/>
    </xf>
    <xf numFmtId="177" fontId="0" fillId="2" borderId="313" xfId="0" applyNumberFormat="1" applyFont="1" applyFill="1" applyBorder="1" applyAlignment="1">
      <alignment horizontal="right" vertical="center" shrinkToFit="1"/>
    </xf>
    <xf numFmtId="177" fontId="0" fillId="0" borderId="308" xfId="0" applyNumberFormat="1" applyFill="1" applyBorder="1" applyAlignment="1">
      <alignment horizontal="center" vertical="center"/>
    </xf>
    <xf numFmtId="177" fontId="0" fillId="0" borderId="309" xfId="0" applyNumberFormat="1" applyFont="1" applyFill="1" applyBorder="1" applyAlignment="1">
      <alignment horizontal="center" vertical="center"/>
    </xf>
    <xf numFmtId="177" fontId="0" fillId="0" borderId="310" xfId="0" applyNumberFormat="1" applyFont="1" applyFill="1" applyBorder="1" applyAlignment="1">
      <alignment horizontal="center" vertical="center"/>
    </xf>
    <xf numFmtId="177" fontId="0" fillId="0" borderId="231" xfId="0" applyNumberFormat="1" applyFont="1" applyFill="1" applyBorder="1" applyAlignment="1">
      <alignment horizontal="center" vertical="center" shrinkToFit="1"/>
    </xf>
    <xf numFmtId="177" fontId="0" fillId="0" borderId="311" xfId="0" applyNumberFormat="1" applyFont="1" applyFill="1" applyBorder="1" applyAlignment="1">
      <alignment horizontal="center" vertical="center" shrinkToFit="1"/>
    </xf>
    <xf numFmtId="177" fontId="0" fillId="0" borderId="312" xfId="0" applyNumberFormat="1" applyFill="1" applyBorder="1" applyAlignment="1">
      <alignment horizontal="left" vertical="center"/>
    </xf>
    <xf numFmtId="177" fontId="0" fillId="0" borderId="89" xfId="0" applyNumberFormat="1" applyFont="1" applyFill="1" applyBorder="1" applyAlignment="1">
      <alignment vertical="center"/>
    </xf>
    <xf numFmtId="177" fontId="0" fillId="0" borderId="167" xfId="0" applyNumberFormat="1" applyFont="1" applyFill="1" applyBorder="1" applyAlignment="1">
      <alignment horizontal="center" vertical="center" shrinkToFit="1"/>
    </xf>
    <xf numFmtId="177" fontId="0" fillId="0" borderId="278" xfId="0" applyNumberFormat="1" applyFont="1" applyFill="1" applyBorder="1" applyAlignment="1">
      <alignment horizontal="center" vertical="center" shrinkToFit="1"/>
    </xf>
    <xf numFmtId="177" fontId="0" fillId="0" borderId="312" xfId="0" applyNumberFormat="1" applyFont="1" applyFill="1" applyBorder="1" applyAlignment="1">
      <alignment horizontal="center" vertical="center" shrinkToFit="1"/>
    </xf>
    <xf numFmtId="177" fontId="0" fillId="0" borderId="142" xfId="0" applyNumberFormat="1" applyFont="1" applyBorder="1" applyAlignment="1">
      <alignment horizontal="center" vertical="center" textRotation="255" shrinkToFit="1"/>
    </xf>
    <xf numFmtId="177" fontId="0" fillId="0" borderId="9" xfId="0" applyNumberFormat="1" applyFont="1" applyBorder="1" applyAlignment="1">
      <alignment horizontal="center" vertical="center" textRotation="255" shrinkToFit="1"/>
    </xf>
    <xf numFmtId="177" fontId="0" fillId="0" borderId="143" xfId="0" applyNumberFormat="1" applyFont="1" applyBorder="1" applyAlignment="1">
      <alignment horizontal="center" vertical="center" textRotation="255" shrinkToFit="1"/>
    </xf>
    <xf numFmtId="177" fontId="0" fillId="0" borderId="255" xfId="0" applyNumberFormat="1" applyFont="1" applyFill="1" applyBorder="1" applyAlignment="1">
      <alignment horizontal="center" vertical="center" textRotation="255" shrinkToFit="1"/>
    </xf>
    <xf numFmtId="177" fontId="0" fillId="0" borderId="16" xfId="0" applyNumberFormat="1" applyFont="1" applyFill="1" applyBorder="1" applyAlignment="1">
      <alignment horizontal="center" vertical="center" textRotation="255" shrinkToFit="1"/>
    </xf>
    <xf numFmtId="177" fontId="0" fillId="0" borderId="215" xfId="0" applyNumberFormat="1" applyFont="1" applyFill="1" applyBorder="1" applyAlignment="1">
      <alignment horizontal="center" vertical="center" textRotation="255" shrinkToFit="1"/>
    </xf>
    <xf numFmtId="177" fontId="0" fillId="0" borderId="231" xfId="0" applyNumberFormat="1" applyFont="1" applyBorder="1" applyAlignment="1">
      <alignment vertical="center"/>
    </xf>
    <xf numFmtId="177" fontId="0" fillId="0" borderId="149" xfId="0" applyNumberFormat="1" applyFont="1" applyBorder="1" applyAlignment="1">
      <alignment vertical="center"/>
    </xf>
    <xf numFmtId="177" fontId="0" fillId="0" borderId="311" xfId="0" applyNumberFormat="1" applyFont="1" applyBorder="1" applyAlignment="1">
      <alignment vertical="center"/>
    </xf>
    <xf numFmtId="177" fontId="0" fillId="0" borderId="174" xfId="0" applyNumberFormat="1" applyFont="1" applyFill="1" applyBorder="1" applyAlignment="1">
      <alignment vertical="center" shrinkToFit="1"/>
    </xf>
    <xf numFmtId="177" fontId="0" fillId="0" borderId="199" xfId="0" applyNumberFormat="1" applyFont="1" applyBorder="1" applyAlignment="1">
      <alignment horizontal="center" vertical="center" textRotation="255" shrinkToFit="1"/>
    </xf>
    <xf numFmtId="177" fontId="0" fillId="0" borderId="195" xfId="0" applyNumberFormat="1" applyFont="1" applyBorder="1" applyAlignment="1">
      <alignment horizontal="center" vertical="center" textRotation="255" shrinkToFit="1"/>
    </xf>
    <xf numFmtId="177" fontId="0" fillId="0" borderId="200" xfId="0" applyNumberFormat="1" applyFont="1" applyBorder="1" applyAlignment="1">
      <alignment horizontal="center" vertical="center" textRotation="255" shrinkToFit="1"/>
    </xf>
    <xf numFmtId="177" fontId="0" fillId="0" borderId="255" xfId="0" applyNumberFormat="1" applyFont="1" applyFill="1" applyBorder="1" applyAlignment="1">
      <alignment vertical="center" shrinkToFit="1"/>
    </xf>
    <xf numFmtId="177" fontId="0" fillId="0" borderId="215" xfId="0" applyNumberFormat="1" applyFont="1" applyFill="1" applyBorder="1" applyAlignment="1">
      <alignment vertical="center" shrinkToFit="1"/>
    </xf>
    <xf numFmtId="177" fontId="0" fillId="0" borderId="308" xfId="0" applyNumberFormat="1" applyFont="1" applyFill="1" applyBorder="1" applyAlignment="1">
      <alignment horizontal="center" vertical="center"/>
    </xf>
    <xf numFmtId="177" fontId="0" fillId="0" borderId="189" xfId="0" applyNumberFormat="1" applyFont="1" applyBorder="1" applyAlignment="1">
      <alignment horizontal="center" vertical="center" shrinkToFit="1"/>
    </xf>
    <xf numFmtId="177" fontId="20" fillId="0" borderId="167" xfId="0" applyNumberFormat="1" applyFont="1" applyFill="1" applyBorder="1" applyAlignment="1">
      <alignment vertical="center" shrinkToFit="1"/>
    </xf>
    <xf numFmtId="177" fontId="20" fillId="0" borderId="312" xfId="0" applyNumberFormat="1" applyFont="1" applyFill="1" applyBorder="1" applyAlignment="1">
      <alignment vertical="center" shrinkToFit="1"/>
    </xf>
    <xf numFmtId="177" fontId="0" fillId="0" borderId="167" xfId="0" applyNumberFormat="1" applyFont="1" applyFill="1" applyBorder="1" applyAlignment="1">
      <alignment horizontal="left" vertical="center" shrinkToFit="1"/>
    </xf>
    <xf numFmtId="177" fontId="0" fillId="0" borderId="278" xfId="0" applyNumberFormat="1" applyFont="1" applyFill="1" applyBorder="1" applyAlignment="1">
      <alignment horizontal="left" vertical="center" shrinkToFit="1"/>
    </xf>
    <xf numFmtId="177" fontId="0" fillId="0" borderId="312" xfId="0" applyNumberFormat="1" applyFont="1" applyFill="1" applyBorder="1" applyAlignment="1">
      <alignment horizontal="left" vertical="center" shrinkToFit="1"/>
    </xf>
    <xf numFmtId="177" fontId="0" fillId="0" borderId="167" xfId="0" applyNumberFormat="1" applyFont="1" applyFill="1" applyBorder="1" applyAlignment="1">
      <alignment horizontal="left" vertical="center"/>
    </xf>
    <xf numFmtId="177" fontId="0" fillId="0" borderId="278" xfId="0" applyNumberFormat="1" applyFont="1" applyFill="1" applyBorder="1" applyAlignment="1">
      <alignment horizontal="left" vertical="center"/>
    </xf>
    <xf numFmtId="0" fontId="0" fillId="0" borderId="138" xfId="0" applyFont="1" applyFill="1" applyBorder="1" applyAlignment="1">
      <alignment horizontal="center" vertical="center" textRotation="255" wrapText="1"/>
    </xf>
    <xf numFmtId="0" fontId="0" fillId="0" borderId="166" xfId="0" applyFont="1" applyBorder="1" applyAlignment="1">
      <alignment vertical="center"/>
    </xf>
    <xf numFmtId="0" fontId="0" fillId="0" borderId="233" xfId="0" applyFont="1" applyBorder="1" applyAlignment="1">
      <alignment vertical="center"/>
    </xf>
    <xf numFmtId="0" fontId="0" fillId="5" borderId="45" xfId="0" applyFont="1" applyFill="1" applyBorder="1" applyAlignment="1">
      <alignment horizontal="left" vertical="center"/>
    </xf>
    <xf numFmtId="177" fontId="0" fillId="0" borderId="277" xfId="0" applyNumberFormat="1" applyFont="1" applyFill="1" applyBorder="1" applyAlignment="1">
      <alignment vertical="center" shrinkToFit="1"/>
    </xf>
    <xf numFmtId="177" fontId="0" fillId="2" borderId="139" xfId="0" applyNumberFormat="1" applyFont="1" applyFill="1" applyBorder="1" applyAlignment="1">
      <alignment horizontal="center" vertical="center" shrinkToFit="1"/>
    </xf>
    <xf numFmtId="177" fontId="0" fillId="2" borderId="140" xfId="0" applyNumberFormat="1" applyFont="1" applyFill="1" applyBorder="1" applyAlignment="1">
      <alignment horizontal="center" vertical="center" shrinkToFit="1"/>
    </xf>
    <xf numFmtId="177" fontId="0" fillId="0" borderId="156" xfId="3" applyNumberFormat="1" applyFont="1" applyBorder="1" applyAlignment="1">
      <alignment horizontal="center" vertical="center" shrinkToFit="1"/>
    </xf>
    <xf numFmtId="177" fontId="0" fillId="0" borderId="106" xfId="3" applyNumberFormat="1" applyFont="1" applyBorder="1" applyAlignment="1">
      <alignment horizontal="center" vertical="center" shrinkToFit="1"/>
    </xf>
    <xf numFmtId="177" fontId="0" fillId="0" borderId="165" xfId="3" applyNumberFormat="1" applyFont="1" applyBorder="1" applyAlignment="1">
      <alignment horizontal="center" vertical="center" shrinkToFit="1"/>
    </xf>
    <xf numFmtId="177" fontId="0" fillId="0" borderId="156" xfId="3" applyNumberFormat="1" applyFont="1" applyBorder="1" applyAlignment="1">
      <alignment horizontal="center" vertical="center" textRotation="255" shrinkToFit="1"/>
    </xf>
    <xf numFmtId="177" fontId="0" fillId="0" borderId="106" xfId="3" applyNumberFormat="1" applyFont="1" applyBorder="1" applyAlignment="1">
      <alignment horizontal="center" vertical="center" textRotation="255" shrinkToFit="1"/>
    </xf>
    <xf numFmtId="177" fontId="0" fillId="0" borderId="165" xfId="3" applyNumberFormat="1" applyFont="1" applyBorder="1" applyAlignment="1">
      <alignment horizontal="center" vertical="center" textRotation="255" shrinkToFit="1"/>
    </xf>
    <xf numFmtId="176" fontId="0" fillId="0" borderId="133" xfId="0" applyNumberFormat="1" applyFont="1" applyBorder="1" applyAlignment="1">
      <alignment horizontal="center" vertical="center" textRotation="255" shrinkToFit="1"/>
    </xf>
    <xf numFmtId="176" fontId="0" fillId="0" borderId="128" xfId="0" applyNumberFormat="1" applyFont="1" applyBorder="1" applyAlignment="1">
      <alignment horizontal="center" vertical="center" textRotation="255" shrinkToFit="1"/>
    </xf>
    <xf numFmtId="177" fontId="0" fillId="0" borderId="159" xfId="3" applyNumberFormat="1" applyFont="1" applyBorder="1" applyAlignment="1">
      <alignment horizontal="center" vertical="center" textRotation="255" shrinkToFit="1"/>
    </xf>
    <xf numFmtId="177" fontId="0" fillId="0" borderId="99" xfId="3" applyNumberFormat="1" applyFont="1" applyBorder="1" applyAlignment="1">
      <alignment horizontal="center" vertical="center" textRotation="255" shrinkToFit="1"/>
    </xf>
    <xf numFmtId="177" fontId="0" fillId="0" borderId="157" xfId="3" applyNumberFormat="1" applyFont="1" applyBorder="1" applyAlignment="1">
      <alignment horizontal="center" vertical="center" textRotation="255" shrinkToFit="1"/>
    </xf>
    <xf numFmtId="176" fontId="0" fillId="0" borderId="160" xfId="0" applyNumberFormat="1" applyFont="1" applyBorder="1" applyAlignment="1">
      <alignment vertical="center"/>
    </xf>
    <xf numFmtId="176" fontId="1" fillId="0" borderId="24" xfId="0" applyNumberFormat="1" applyFont="1" applyBorder="1" applyAlignment="1">
      <alignment vertical="center"/>
    </xf>
    <xf numFmtId="176" fontId="0" fillId="2" borderId="50" xfId="0" applyNumberFormat="1" applyFont="1" applyFill="1" applyBorder="1" applyAlignment="1">
      <alignment vertical="center" shrinkToFit="1"/>
    </xf>
    <xf numFmtId="176" fontId="0" fillId="0" borderId="50" xfId="0" applyNumberFormat="1" applyFont="1" applyBorder="1" applyAlignment="1">
      <alignment vertical="center"/>
    </xf>
    <xf numFmtId="176" fontId="0" fillId="0" borderId="199" xfId="0" applyNumberFormat="1" applyFont="1" applyBorder="1" applyAlignment="1">
      <alignment horizontal="center" vertical="center" textRotation="255" shrinkToFit="1"/>
    </xf>
    <xf numFmtId="176" fontId="0" fillId="0" borderId="195" xfId="0" applyNumberFormat="1" applyFont="1" applyBorder="1" applyAlignment="1">
      <alignment horizontal="center" vertical="center" textRotation="255" shrinkToFit="1"/>
    </xf>
    <xf numFmtId="176" fontId="0" fillId="0" borderId="197" xfId="0" applyNumberFormat="1" applyFont="1" applyBorder="1" applyAlignment="1">
      <alignment horizontal="center" vertical="center" textRotation="255" shrinkToFit="1"/>
    </xf>
    <xf numFmtId="177" fontId="0" fillId="0" borderId="35" xfId="3" applyNumberFormat="1" applyFont="1" applyBorder="1" applyAlignment="1">
      <alignment horizontal="center" vertical="center" shrinkToFit="1"/>
    </xf>
    <xf numFmtId="177" fontId="0" fillId="0" borderId="64" xfId="3" applyNumberFormat="1" applyFont="1" applyBorder="1" applyAlignment="1">
      <alignment horizontal="center" vertical="center" shrinkToFit="1"/>
    </xf>
    <xf numFmtId="176" fontId="0" fillId="0" borderId="200" xfId="0" applyNumberFormat="1" applyFont="1" applyBorder="1" applyAlignment="1">
      <alignment horizontal="center" vertical="center" textRotation="255" shrinkToFit="1"/>
    </xf>
    <xf numFmtId="176" fontId="0" fillId="0" borderId="24" xfId="0" applyNumberFormat="1" applyFont="1" applyBorder="1" applyAlignment="1">
      <alignment vertical="center"/>
    </xf>
    <xf numFmtId="176" fontId="0" fillId="0" borderId="162" xfId="3" applyNumberFormat="1" applyFont="1" applyFill="1" applyBorder="1" applyAlignment="1">
      <alignment vertical="center" shrinkToFit="1"/>
    </xf>
    <xf numFmtId="176" fontId="0" fillId="0" borderId="163" xfId="3" applyNumberFormat="1" applyFont="1" applyFill="1" applyBorder="1" applyAlignment="1">
      <alignment vertical="center" shrinkToFit="1"/>
    </xf>
    <xf numFmtId="176" fontId="0" fillId="0" borderId="34" xfId="3" applyNumberFormat="1" applyFont="1" applyFill="1" applyBorder="1" applyAlignment="1">
      <alignment horizontal="right" vertical="center" shrinkToFit="1"/>
    </xf>
    <xf numFmtId="176" fontId="0" fillId="0" borderId="39" xfId="3" applyNumberFormat="1" applyFont="1" applyFill="1" applyBorder="1" applyAlignment="1">
      <alignment horizontal="right" vertical="center" shrinkToFit="1"/>
    </xf>
    <xf numFmtId="176" fontId="0" fillId="0" borderId="34" xfId="0" applyNumberFormat="1" applyFont="1" applyFill="1" applyBorder="1" applyAlignment="1">
      <alignment horizontal="right" vertical="center"/>
    </xf>
    <xf numFmtId="176" fontId="0" fillId="0" borderId="39" xfId="0" applyNumberFormat="1" applyFont="1" applyFill="1" applyBorder="1" applyAlignment="1">
      <alignment horizontal="right" vertical="center"/>
    </xf>
    <xf numFmtId="176" fontId="0" fillId="0" borderId="34" xfId="3" applyNumberFormat="1" applyFont="1" applyFill="1" applyBorder="1" applyAlignment="1">
      <alignment vertical="center" shrinkToFit="1"/>
    </xf>
    <xf numFmtId="176" fontId="0" fillId="0" borderId="39" xfId="3" applyNumberFormat="1" applyFont="1" applyFill="1" applyBorder="1" applyAlignment="1">
      <alignment vertical="center" shrinkToFit="1"/>
    </xf>
    <xf numFmtId="176" fontId="0" fillId="2" borderId="331" xfId="0" applyNumberFormat="1" applyFont="1" applyFill="1" applyBorder="1" applyAlignment="1">
      <alignment vertical="center" shrinkToFit="1"/>
    </xf>
    <xf numFmtId="176" fontId="0" fillId="0" borderId="331" xfId="0" applyNumberFormat="1" applyFont="1" applyBorder="1" applyAlignment="1">
      <alignment vertical="center"/>
    </xf>
    <xf numFmtId="177" fontId="0" fillId="0" borderId="13" xfId="0" applyNumberFormat="1" applyFont="1" applyBorder="1" applyAlignment="1">
      <alignment horizontal="center" vertical="center" shrinkToFit="1"/>
    </xf>
    <xf numFmtId="177" fontId="0" fillId="0" borderId="49" xfId="0" applyNumberFormat="1" applyFont="1" applyBorder="1" applyAlignment="1">
      <alignment horizontal="center" vertical="center" shrinkToFit="1"/>
    </xf>
    <xf numFmtId="176" fontId="0" fillId="2" borderId="327" xfId="0" applyNumberFormat="1" applyFont="1" applyFill="1" applyBorder="1" applyAlignment="1">
      <alignment horizontal="center" vertical="center" shrinkToFit="1"/>
    </xf>
    <xf numFmtId="176" fontId="0" fillId="2" borderId="334" xfId="0" applyNumberFormat="1" applyFont="1" applyFill="1" applyBorder="1" applyAlignment="1">
      <alignment horizontal="center" vertical="center" shrinkToFit="1"/>
    </xf>
    <xf numFmtId="176" fontId="0" fillId="0" borderId="261" xfId="0" applyNumberFormat="1" applyFont="1" applyBorder="1" applyAlignment="1">
      <alignment horizontal="center" vertical="center" shrinkToFit="1"/>
    </xf>
    <xf numFmtId="176" fontId="0" fillId="0" borderId="233" xfId="0" applyNumberFormat="1" applyFont="1" applyBorder="1" applyAlignment="1">
      <alignment horizontal="center" vertical="center" shrinkToFit="1"/>
    </xf>
    <xf numFmtId="176" fontId="0" fillId="0" borderId="317" xfId="0" applyNumberFormat="1" applyFont="1" applyBorder="1" applyAlignment="1">
      <alignment horizontal="center" vertical="center" textRotation="255" shrinkToFit="1"/>
    </xf>
    <xf numFmtId="176" fontId="0" fillId="0" borderId="98" xfId="0" applyNumberFormat="1" applyFont="1" applyBorder="1" applyAlignment="1">
      <alignment horizontal="center" vertical="center" textRotation="255" shrinkToFit="1"/>
    </xf>
    <xf numFmtId="177" fontId="0" fillId="0" borderId="5" xfId="0" applyNumberFormat="1" applyFont="1" applyBorder="1" applyAlignment="1">
      <alignment horizontal="center" vertical="center" shrinkToFit="1"/>
    </xf>
    <xf numFmtId="177" fontId="0" fillId="0" borderId="13" xfId="0" applyNumberFormat="1" applyFont="1" applyFill="1" applyBorder="1" applyAlignment="1">
      <alignment horizontal="center" vertical="center" shrinkToFit="1"/>
    </xf>
    <xf numFmtId="177" fontId="0" fillId="0" borderId="49" xfId="0" applyNumberFormat="1" applyFont="1" applyFill="1" applyBorder="1" applyAlignment="1">
      <alignment horizontal="center" vertical="center" shrinkToFit="1"/>
    </xf>
    <xf numFmtId="176" fontId="0" fillId="0" borderId="318" xfId="0" applyNumberFormat="1" applyFont="1" applyBorder="1" applyAlignment="1">
      <alignment horizontal="center" vertical="center" textRotation="255" shrinkToFit="1"/>
    </xf>
    <xf numFmtId="176" fontId="0" fillId="0" borderId="196" xfId="0" applyNumberFormat="1" applyFont="1" applyBorder="1" applyAlignment="1">
      <alignment horizontal="center" vertical="center" textRotation="255" shrinkToFit="1"/>
    </xf>
    <xf numFmtId="176" fontId="0" fillId="0" borderId="205" xfId="0" applyNumberFormat="1" applyFont="1" applyBorder="1" applyAlignment="1">
      <alignment horizontal="center" vertical="center" textRotation="255" shrinkToFit="1"/>
    </xf>
    <xf numFmtId="177" fontId="0" fillId="0" borderId="37" xfId="3" applyNumberFormat="1" applyFont="1" applyBorder="1" applyAlignment="1">
      <alignment horizontal="center" vertical="center" shrinkToFit="1"/>
    </xf>
    <xf numFmtId="176" fontId="0" fillId="0" borderId="261" xfId="0" applyNumberFormat="1" applyFont="1" applyFill="1" applyBorder="1" applyAlignment="1">
      <alignment horizontal="center" vertical="center" shrinkToFit="1"/>
    </xf>
    <xf numFmtId="176" fontId="0" fillId="0" borderId="233" xfId="0" applyNumberFormat="1" applyFont="1" applyFill="1" applyBorder="1" applyAlignment="1">
      <alignment horizontal="center" vertical="center" shrinkToFit="1"/>
    </xf>
    <xf numFmtId="176" fontId="0" fillId="0" borderId="262" xfId="0" applyNumberFormat="1" applyFont="1" applyBorder="1" applyAlignment="1">
      <alignment horizontal="center" vertical="center" shrinkToFit="1"/>
    </xf>
    <xf numFmtId="176" fontId="0" fillId="0" borderId="66" xfId="0" applyNumberFormat="1" applyFont="1" applyBorder="1" applyAlignment="1">
      <alignment horizontal="center" vertical="center" shrinkToFit="1"/>
    </xf>
    <xf numFmtId="177" fontId="0" fillId="2" borderId="131" xfId="0" applyNumberFormat="1" applyFont="1" applyFill="1" applyBorder="1" applyAlignment="1">
      <alignment horizontal="center" vertical="center" shrinkToFit="1"/>
    </xf>
    <xf numFmtId="177" fontId="0" fillId="2" borderId="85" xfId="0" applyNumberFormat="1" applyFont="1" applyFill="1" applyBorder="1" applyAlignment="1">
      <alignment horizontal="center" vertical="center" shrinkToFit="1"/>
    </xf>
    <xf numFmtId="177" fontId="0" fillId="2" borderId="335" xfId="0" applyNumberFormat="1" applyFont="1" applyFill="1" applyBorder="1" applyAlignment="1">
      <alignment horizontal="center" vertical="center" shrinkToFit="1"/>
    </xf>
    <xf numFmtId="177" fontId="0" fillId="2" borderId="328" xfId="0" applyNumberFormat="1" applyFont="1" applyFill="1" applyBorder="1" applyAlignment="1">
      <alignment horizontal="center" vertical="center" shrinkToFit="1"/>
    </xf>
    <xf numFmtId="3" fontId="0" fillId="0" borderId="51" xfId="5" applyNumberFormat="1" applyFont="1" applyFill="1" applyBorder="1" applyAlignment="1">
      <alignment horizontal="center" vertical="center" shrinkToFit="1"/>
    </xf>
    <xf numFmtId="3" fontId="0" fillId="0" borderId="42" xfId="5" applyNumberFormat="1" applyFont="1" applyFill="1" applyBorder="1" applyAlignment="1">
      <alignment horizontal="center" vertical="center" shrinkToFit="1"/>
    </xf>
    <xf numFmtId="3" fontId="0" fillId="0" borderId="233" xfId="5" applyNumberFormat="1" applyFont="1" applyFill="1" applyBorder="1" applyAlignment="1">
      <alignment horizontal="center" vertical="center" shrinkToFit="1"/>
    </xf>
    <xf numFmtId="177" fontId="0" fillId="0" borderId="172" xfId="3" applyNumberFormat="1" applyFont="1" applyBorder="1" applyAlignment="1">
      <alignment horizontal="center" vertical="center" shrinkToFit="1"/>
    </xf>
    <xf numFmtId="177" fontId="0" fillId="0" borderId="173" xfId="3" applyNumberFormat="1" applyFont="1" applyBorder="1" applyAlignment="1">
      <alignment horizontal="center" vertical="center" shrinkToFit="1"/>
    </xf>
    <xf numFmtId="177" fontId="0" fillId="2" borderId="333" xfId="0" applyNumberFormat="1" applyFont="1" applyFill="1" applyBorder="1" applyAlignment="1">
      <alignment horizontal="center" vertical="center" shrinkToFit="1"/>
    </xf>
    <xf numFmtId="177" fontId="0" fillId="2" borderId="334" xfId="0" applyNumberFormat="1" applyFont="1" applyFill="1" applyBorder="1" applyAlignment="1">
      <alignment horizontal="center" vertical="center" shrinkToFit="1"/>
    </xf>
    <xf numFmtId="3" fontId="0" fillId="0" borderId="186" xfId="5" applyNumberFormat="1" applyFont="1" applyFill="1" applyBorder="1" applyAlignment="1">
      <alignment horizontal="center" vertical="center" shrinkToFit="1"/>
    </xf>
    <xf numFmtId="177" fontId="0" fillId="2" borderId="352" xfId="0" applyNumberFormat="1" applyFont="1" applyFill="1" applyBorder="1" applyAlignment="1">
      <alignment horizontal="center" vertical="center" shrinkToFit="1"/>
    </xf>
    <xf numFmtId="177" fontId="0" fillId="2" borderId="353" xfId="0" applyNumberFormat="1" applyFont="1" applyFill="1" applyBorder="1" applyAlignment="1">
      <alignment horizontal="center" vertical="center" shrinkToFit="1"/>
    </xf>
    <xf numFmtId="176" fontId="0" fillId="2" borderId="345" xfId="0" applyNumberFormat="1" applyFont="1" applyFill="1" applyBorder="1" applyAlignment="1">
      <alignment horizontal="center" vertical="center" shrinkToFit="1"/>
    </xf>
    <xf numFmtId="176" fontId="0" fillId="2" borderId="353" xfId="0" applyNumberFormat="1" applyFont="1" applyFill="1" applyBorder="1" applyAlignment="1">
      <alignment horizontal="center" vertical="center" shrinkToFit="1"/>
    </xf>
    <xf numFmtId="177" fontId="0" fillId="2" borderId="351" xfId="0" applyNumberFormat="1" applyFont="1" applyFill="1" applyBorder="1" applyAlignment="1">
      <alignment horizontal="center" vertical="center" shrinkToFit="1"/>
    </xf>
    <xf numFmtId="177" fontId="0" fillId="2" borderId="346" xfId="0" applyNumberFormat="1" applyFont="1" applyFill="1" applyBorder="1" applyAlignment="1">
      <alignment horizontal="center" vertical="center" shrinkToFit="1"/>
    </xf>
    <xf numFmtId="176" fontId="0" fillId="2" borderId="349" xfId="0" applyNumberFormat="1" applyFont="1" applyFill="1" applyBorder="1" applyAlignment="1">
      <alignment vertical="center" shrinkToFit="1"/>
    </xf>
    <xf numFmtId="176" fontId="0" fillId="0" borderId="349" xfId="0" applyNumberFormat="1" applyFont="1" applyBorder="1" applyAlignment="1">
      <alignment vertical="center"/>
    </xf>
    <xf numFmtId="176" fontId="0" fillId="0" borderId="34" xfId="0" applyNumberFormat="1" applyFont="1" applyBorder="1" applyAlignment="1">
      <alignment horizontal="center" vertical="center"/>
    </xf>
    <xf numFmtId="176" fontId="0" fillId="0" borderId="39" xfId="0" applyNumberFormat="1" applyFont="1" applyBorder="1" applyAlignment="1">
      <alignment horizontal="center" vertical="center"/>
    </xf>
    <xf numFmtId="176" fontId="0" fillId="0" borderId="336" xfId="0" applyNumberFormat="1" applyFont="1" applyBorder="1" applyAlignment="1">
      <alignment horizontal="center" vertical="center" textRotation="255" shrinkToFit="1"/>
    </xf>
    <xf numFmtId="176" fontId="0" fillId="0" borderId="354" xfId="0" applyNumberFormat="1" applyFont="1" applyBorder="1" applyAlignment="1">
      <alignment horizontal="center" vertical="center" textRotation="255" shrinkToFit="1"/>
    </xf>
    <xf numFmtId="176" fontId="0" fillId="0" borderId="193" xfId="0" applyNumberFormat="1" applyFont="1" applyBorder="1" applyAlignment="1">
      <alignment horizontal="center" vertical="center" textRotation="255" shrinkToFit="1"/>
    </xf>
    <xf numFmtId="176" fontId="0" fillId="0" borderId="186" xfId="0" applyNumberFormat="1" applyFont="1" applyBorder="1" applyAlignment="1">
      <alignment horizontal="center" vertical="center" shrinkToFit="1"/>
    </xf>
    <xf numFmtId="176" fontId="0" fillId="0" borderId="186" xfId="0" applyNumberFormat="1" applyFont="1" applyFill="1" applyBorder="1" applyAlignment="1">
      <alignment horizontal="center" vertical="center" shrinkToFit="1"/>
    </xf>
    <xf numFmtId="176" fontId="0" fillId="0" borderId="194" xfId="0" applyNumberFormat="1" applyFont="1" applyBorder="1" applyAlignment="1">
      <alignment horizontal="center" vertical="center" shrinkToFit="1"/>
    </xf>
    <xf numFmtId="177" fontId="0" fillId="0" borderId="167" xfId="0" applyNumberFormat="1" applyFont="1" applyBorder="1" applyAlignment="1">
      <alignment horizontal="center" vertical="center" shrinkToFit="1"/>
    </xf>
    <xf numFmtId="176" fontId="0" fillId="0" borderId="264" xfId="0" applyNumberFormat="1" applyFont="1" applyBorder="1" applyAlignment="1">
      <alignment horizontal="center" vertical="center" textRotation="255" shrinkToFit="1"/>
    </xf>
    <xf numFmtId="176" fontId="0" fillId="0" borderId="174" xfId="0" applyNumberFormat="1" applyFont="1" applyBorder="1" applyAlignment="1">
      <alignment horizontal="center" vertical="center"/>
    </xf>
    <xf numFmtId="176" fontId="0" fillId="0" borderId="107" xfId="0" applyNumberFormat="1" applyFont="1" applyBorder="1" applyAlignment="1">
      <alignment horizontal="center" vertical="center" textRotation="255" shrinkToFit="1"/>
    </xf>
    <xf numFmtId="177" fontId="0" fillId="0" borderId="180" xfId="0" applyNumberFormat="1" applyFont="1" applyBorder="1" applyAlignment="1">
      <alignment horizontal="center" vertical="center" shrinkToFit="1"/>
    </xf>
    <xf numFmtId="176" fontId="0" fillId="0" borderId="254" xfId="0" applyNumberFormat="1" applyFont="1" applyBorder="1" applyAlignment="1">
      <alignment horizontal="center" vertical="center" textRotation="255" shrinkToFit="1"/>
    </xf>
    <xf numFmtId="176" fontId="0" fillId="0" borderId="9" xfId="0" applyNumberFormat="1" applyFont="1" applyBorder="1" applyAlignment="1">
      <alignment horizontal="center" vertical="center" textRotation="255" shrinkToFit="1"/>
    </xf>
    <xf numFmtId="0" fontId="0" fillId="0" borderId="106" xfId="0" applyFont="1" applyBorder="1">
      <alignment vertical="center"/>
    </xf>
    <xf numFmtId="0" fontId="0" fillId="0" borderId="165" xfId="0" applyFont="1" applyBorder="1">
      <alignment vertical="center"/>
    </xf>
    <xf numFmtId="176" fontId="0" fillId="2" borderId="166" xfId="0" applyNumberFormat="1" applyFont="1" applyFill="1" applyBorder="1" applyAlignment="1">
      <alignment vertical="center" shrinkToFit="1"/>
    </xf>
    <xf numFmtId="176" fontId="0" fillId="0" borderId="166" xfId="0" applyNumberFormat="1" applyFont="1" applyBorder="1" applyAlignment="1">
      <alignment vertical="center"/>
    </xf>
    <xf numFmtId="177" fontId="0" fillId="2" borderId="84" xfId="0" applyNumberFormat="1" applyFont="1" applyFill="1" applyBorder="1" applyAlignment="1">
      <alignment horizontal="center" vertical="center" shrinkToFit="1"/>
    </xf>
    <xf numFmtId="176" fontId="0" fillId="2" borderId="131" xfId="0" applyNumberFormat="1" applyFont="1" applyFill="1" applyBorder="1" applyAlignment="1">
      <alignment horizontal="center" vertical="center" shrinkToFit="1"/>
    </xf>
    <xf numFmtId="176" fontId="0" fillId="2" borderId="85" xfId="0" applyNumberFormat="1" applyFont="1" applyFill="1" applyBorder="1" applyAlignment="1">
      <alignment horizontal="center" vertical="center" shrinkToFit="1"/>
    </xf>
    <xf numFmtId="177" fontId="0" fillId="2" borderId="168" xfId="0" applyNumberFormat="1" applyFont="1" applyFill="1" applyBorder="1" applyAlignment="1">
      <alignment horizontal="center" vertical="center" shrinkToFit="1"/>
    </xf>
    <xf numFmtId="177" fontId="0" fillId="2" borderId="169" xfId="0" applyNumberFormat="1" applyFont="1" applyFill="1" applyBorder="1" applyAlignment="1">
      <alignment horizontal="center" vertical="center" shrinkToFit="1"/>
    </xf>
    <xf numFmtId="176" fontId="0" fillId="0" borderId="34" xfId="0" applyNumberFormat="1" applyFont="1" applyFill="1" applyBorder="1" applyAlignment="1">
      <alignment vertical="center"/>
    </xf>
    <xf numFmtId="176" fontId="0" fillId="0" borderId="39" xfId="0" applyNumberFormat="1" applyFont="1" applyFill="1" applyBorder="1" applyAlignment="1">
      <alignment vertical="center"/>
    </xf>
    <xf numFmtId="176" fontId="0" fillId="0" borderId="34" xfId="0" applyNumberFormat="1" applyFont="1" applyBorder="1" applyAlignment="1">
      <alignment horizontal="right" vertical="center"/>
    </xf>
    <xf numFmtId="176" fontId="0" fillId="0" borderId="39" xfId="0" applyNumberFormat="1" applyFont="1" applyBorder="1" applyAlignment="1">
      <alignment horizontal="right" vertical="center"/>
    </xf>
    <xf numFmtId="176" fontId="0" fillId="0" borderId="219" xfId="3" applyNumberFormat="1" applyFont="1" applyFill="1" applyBorder="1" applyAlignment="1">
      <alignment vertical="center" shrinkToFit="1"/>
    </xf>
    <xf numFmtId="176" fontId="0" fillId="0" borderId="218" xfId="3" applyNumberFormat="1" applyFont="1" applyFill="1" applyBorder="1" applyAlignment="1">
      <alignment vertical="center" shrinkToFit="1"/>
    </xf>
    <xf numFmtId="177" fontId="0" fillId="0" borderId="0" xfId="0" applyNumberFormat="1" applyFont="1" applyBorder="1" applyAlignment="1">
      <alignment horizontal="center" vertical="center" shrinkToFit="1"/>
    </xf>
  </cellXfs>
  <cellStyles count="13">
    <cellStyle name="パーセント" xfId="4" builtinId="5"/>
    <cellStyle name="パーセント 2" xfId="6"/>
    <cellStyle name="ハイパーリンク_20101209　経営改善計画検討手順（素案）" xfId="12"/>
    <cellStyle name="桁区切り" xfId="1" builtinId="6"/>
    <cellStyle name="桁区切り 2" xfId="7"/>
    <cellStyle name="標準" xfId="0" builtinId="0"/>
    <cellStyle name="標準 2" xfId="8"/>
    <cellStyle name="標準 2 2" xfId="10"/>
    <cellStyle name="標準 3" xfId="11"/>
    <cellStyle name="標準_◇類型12（水稲24・大豆12・ぶどう4）" xfId="2"/>
    <cellStyle name="標準_水稲(24ha規模)＋大豆(6ｈａ)＋きゃべつ" xfId="3"/>
    <cellStyle name="標準_野菜計画(最終 ｱｽﾊﾟﾗ+ｺﾏﾂﾅ)" xfId="5"/>
    <cellStyle name="未定義" xfId="9"/>
  </cellStyles>
  <dxfs count="0"/>
  <tableStyles count="0" defaultTableStyle="TableStyleMedium2" defaultPivotStyle="PivotStyleLight16"/>
  <colors>
    <mruColors>
      <color rgb="FFCCFF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79375</xdr:colOff>
      <xdr:row>12</xdr:row>
      <xdr:rowOff>47625</xdr:rowOff>
    </xdr:from>
    <xdr:to>
      <xdr:col>34</xdr:col>
      <xdr:colOff>142875</xdr:colOff>
      <xdr:row>12</xdr:row>
      <xdr:rowOff>200025</xdr:rowOff>
    </xdr:to>
    <xdr:sp macro="" textlink="">
      <xdr:nvSpPr>
        <xdr:cNvPr id="4" name="Rectangle 8" descr="10%"/>
        <xdr:cNvSpPr>
          <a:spLocks noChangeArrowheads="1"/>
        </xdr:cNvSpPr>
      </xdr:nvSpPr>
      <xdr:spPr bwMode="auto">
        <a:xfrm>
          <a:off x="8870950" y="3095625"/>
          <a:ext cx="1301750" cy="152400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32</xdr:col>
      <xdr:colOff>155575</xdr:colOff>
      <xdr:row>13</xdr:row>
      <xdr:rowOff>53975</xdr:rowOff>
    </xdr:from>
    <xdr:to>
      <xdr:col>33</xdr:col>
      <xdr:colOff>180974</xdr:colOff>
      <xdr:row>13</xdr:row>
      <xdr:rowOff>219075</xdr:rowOff>
    </xdr:to>
    <xdr:sp macro="" textlink="">
      <xdr:nvSpPr>
        <xdr:cNvPr id="5" name="Rectangle 8" descr="10%"/>
        <xdr:cNvSpPr>
          <a:spLocks noChangeArrowheads="1"/>
        </xdr:cNvSpPr>
      </xdr:nvSpPr>
      <xdr:spPr bwMode="auto">
        <a:xfrm>
          <a:off x="9690100" y="3349625"/>
          <a:ext cx="273049" cy="165100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200025</xdr:colOff>
      <xdr:row>12</xdr:row>
      <xdr:rowOff>133350</xdr:rowOff>
    </xdr:from>
    <xdr:to>
      <xdr:col>29</xdr:col>
      <xdr:colOff>50800</xdr:colOff>
      <xdr:row>12</xdr:row>
      <xdr:rowOff>133350</xdr:rowOff>
    </xdr:to>
    <xdr:cxnSp macro="">
      <xdr:nvCxnSpPr>
        <xdr:cNvPr id="7" name="直線コネクタ 6"/>
        <xdr:cNvCxnSpPr/>
      </xdr:nvCxnSpPr>
      <xdr:spPr>
        <a:xfrm>
          <a:off x="6267450" y="3181350"/>
          <a:ext cx="2574925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190500</xdr:colOff>
      <xdr:row>13</xdr:row>
      <xdr:rowOff>133350</xdr:rowOff>
    </xdr:from>
    <xdr:to>
      <xdr:col>32</xdr:col>
      <xdr:colOff>165100</xdr:colOff>
      <xdr:row>13</xdr:row>
      <xdr:rowOff>136526</xdr:rowOff>
    </xdr:to>
    <xdr:cxnSp macro="">
      <xdr:nvCxnSpPr>
        <xdr:cNvPr id="9" name="直線コネクタ 8"/>
        <xdr:cNvCxnSpPr/>
      </xdr:nvCxnSpPr>
      <xdr:spPr>
        <a:xfrm>
          <a:off x="6010275" y="3429000"/>
          <a:ext cx="3689350" cy="317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238125</xdr:colOff>
      <xdr:row>15</xdr:row>
      <xdr:rowOff>66675</xdr:rowOff>
    </xdr:from>
    <xdr:to>
      <xdr:col>41</xdr:col>
      <xdr:colOff>239485</xdr:colOff>
      <xdr:row>15</xdr:row>
      <xdr:rowOff>217713</xdr:rowOff>
    </xdr:to>
    <xdr:sp macro="" textlink="">
      <xdr:nvSpPr>
        <xdr:cNvPr id="8" name="Rectangle 8" descr="10%"/>
        <xdr:cNvSpPr>
          <a:spLocks noChangeArrowheads="1"/>
        </xdr:cNvSpPr>
      </xdr:nvSpPr>
      <xdr:spPr bwMode="auto">
        <a:xfrm>
          <a:off x="11258550" y="3857625"/>
          <a:ext cx="744310" cy="151038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6803</xdr:colOff>
      <xdr:row>15</xdr:row>
      <xdr:rowOff>57150</xdr:rowOff>
    </xdr:from>
    <xdr:to>
      <xdr:col>9</xdr:col>
      <xdr:colOff>0</xdr:colOff>
      <xdr:row>15</xdr:row>
      <xdr:rowOff>209550</xdr:rowOff>
    </xdr:to>
    <xdr:sp macro="" textlink="">
      <xdr:nvSpPr>
        <xdr:cNvPr id="10" name="Rectangle 8" descr="10%"/>
        <xdr:cNvSpPr>
          <a:spLocks noChangeArrowheads="1"/>
        </xdr:cNvSpPr>
      </xdr:nvSpPr>
      <xdr:spPr bwMode="auto">
        <a:xfrm>
          <a:off x="3073853" y="3848100"/>
          <a:ext cx="764722" cy="152400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225869</xdr:colOff>
      <xdr:row>15</xdr:row>
      <xdr:rowOff>136072</xdr:rowOff>
    </xdr:from>
    <xdr:to>
      <xdr:col>38</xdr:col>
      <xdr:colOff>238125</xdr:colOff>
      <xdr:row>15</xdr:row>
      <xdr:rowOff>142194</xdr:rowOff>
    </xdr:to>
    <xdr:cxnSp macro="">
      <xdr:nvCxnSpPr>
        <xdr:cNvPr id="11" name="直線コネクタ 10"/>
        <xdr:cNvCxnSpPr>
          <a:endCxn id="8" idx="1"/>
        </xdr:cNvCxnSpPr>
      </xdr:nvCxnSpPr>
      <xdr:spPr>
        <a:xfrm>
          <a:off x="5055044" y="3927022"/>
          <a:ext cx="6203506" cy="612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19050</xdr:colOff>
      <xdr:row>14</xdr:row>
      <xdr:rowOff>47626</xdr:rowOff>
    </xdr:from>
    <xdr:to>
      <xdr:col>39</xdr:col>
      <xdr:colOff>9525</xdr:colOff>
      <xdr:row>14</xdr:row>
      <xdr:rowOff>190500</xdr:rowOff>
    </xdr:to>
    <xdr:sp macro="" textlink="">
      <xdr:nvSpPr>
        <xdr:cNvPr id="12" name="Rectangle 8" descr="10%"/>
        <xdr:cNvSpPr>
          <a:spLocks noChangeArrowheads="1"/>
        </xdr:cNvSpPr>
      </xdr:nvSpPr>
      <xdr:spPr bwMode="auto">
        <a:xfrm>
          <a:off x="10544175" y="3590926"/>
          <a:ext cx="733425" cy="142874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238125</xdr:colOff>
      <xdr:row>14</xdr:row>
      <xdr:rowOff>119063</xdr:rowOff>
    </xdr:from>
    <xdr:to>
      <xdr:col>36</xdr:col>
      <xdr:colOff>19050</xdr:colOff>
      <xdr:row>14</xdr:row>
      <xdr:rowOff>123826</xdr:rowOff>
    </xdr:to>
    <xdr:cxnSp macro="">
      <xdr:nvCxnSpPr>
        <xdr:cNvPr id="14" name="直線コネクタ 13"/>
        <xdr:cNvCxnSpPr>
          <a:endCxn id="12" idx="1"/>
        </xdr:cNvCxnSpPr>
      </xdr:nvCxnSpPr>
      <xdr:spPr>
        <a:xfrm flipV="1">
          <a:off x="3810000" y="3662363"/>
          <a:ext cx="6734175" cy="476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171450</xdr:colOff>
      <xdr:row>12</xdr:row>
      <xdr:rowOff>133350</xdr:rowOff>
    </xdr:from>
    <xdr:to>
      <xdr:col>18</xdr:col>
      <xdr:colOff>57150</xdr:colOff>
      <xdr:row>12</xdr:row>
      <xdr:rowOff>133350</xdr:rowOff>
    </xdr:to>
    <xdr:cxnSp macro="">
      <xdr:nvCxnSpPr>
        <xdr:cNvPr id="40" name="直線コネクタ 39"/>
        <xdr:cNvCxnSpPr/>
      </xdr:nvCxnSpPr>
      <xdr:spPr>
        <a:xfrm>
          <a:off x="5248275" y="3181350"/>
          <a:ext cx="8763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406400</xdr:colOff>
      <xdr:row>5</xdr:row>
      <xdr:rowOff>139700</xdr:rowOff>
    </xdr:from>
    <xdr:to>
      <xdr:col>25</xdr:col>
      <xdr:colOff>0</xdr:colOff>
      <xdr:row>5</xdr:row>
      <xdr:rowOff>139700</xdr:rowOff>
    </xdr:to>
    <xdr:cxnSp macro="">
      <xdr:nvCxnSpPr>
        <xdr:cNvPr id="3" name="直線コネクタ 2"/>
        <xdr:cNvCxnSpPr/>
      </xdr:nvCxnSpPr>
      <xdr:spPr>
        <a:xfrm>
          <a:off x="7937500" y="1346200"/>
          <a:ext cx="3365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166657</xdr:colOff>
      <xdr:row>46</xdr:row>
      <xdr:rowOff>71437</xdr:rowOff>
    </xdr:from>
    <xdr:to>
      <xdr:col>16</xdr:col>
      <xdr:colOff>285720</xdr:colOff>
      <xdr:row>46</xdr:row>
      <xdr:rowOff>226217</xdr:rowOff>
    </xdr:to>
    <xdr:grpSp>
      <xdr:nvGrpSpPr>
        <xdr:cNvPr id="15" name="グループ化 14"/>
        <xdr:cNvGrpSpPr/>
      </xdr:nvGrpSpPr>
      <xdr:grpSpPr>
        <a:xfrm>
          <a:off x="8637557" y="14282737"/>
          <a:ext cx="119063" cy="154780"/>
          <a:chOff x="11227592" y="1273969"/>
          <a:chExt cx="1071564" cy="976311"/>
        </a:xfrm>
      </xdr:grpSpPr>
      <xdr:grpSp>
        <xdr:nvGrpSpPr>
          <xdr:cNvPr id="16" name="グループ化 15"/>
          <xdr:cNvGrpSpPr/>
        </xdr:nvGrpSpPr>
        <xdr:grpSpPr>
          <a:xfrm>
            <a:off x="11227592" y="1273969"/>
            <a:ext cx="1047751" cy="976311"/>
            <a:chOff x="9679781" y="1535906"/>
            <a:chExt cx="797719" cy="773907"/>
          </a:xfrm>
        </xdr:grpSpPr>
        <xdr:cxnSp macro="">
          <xdr:nvCxnSpPr>
            <xdr:cNvPr id="18" name="直線コネクタ 17"/>
            <xdr:cNvCxnSpPr/>
          </xdr:nvCxnSpPr>
          <xdr:spPr>
            <a:xfrm>
              <a:off x="9703594" y="1547813"/>
              <a:ext cx="773906" cy="762000"/>
            </a:xfrm>
            <a:prstGeom prst="line">
              <a:avLst/>
            </a:prstGeom>
            <a:noFill/>
            <a:ln w="12700" cap="flat" cmpd="sng" algn="ctr">
              <a:solidFill>
                <a:schemeClr val="tx1"/>
              </a:solidFill>
              <a:prstDash val="solid"/>
            </a:ln>
            <a:effectLst/>
          </xdr:spPr>
        </xdr:cxnSp>
        <xdr:cxnSp macro="">
          <xdr:nvCxnSpPr>
            <xdr:cNvPr id="19" name="直線コネクタ 18"/>
            <xdr:cNvCxnSpPr/>
          </xdr:nvCxnSpPr>
          <xdr:spPr>
            <a:xfrm flipH="1">
              <a:off x="9679781" y="1535906"/>
              <a:ext cx="785814" cy="762000"/>
            </a:xfrm>
            <a:prstGeom prst="line">
              <a:avLst/>
            </a:prstGeom>
            <a:noFill/>
            <a:ln w="12700" cap="flat" cmpd="sng" algn="ctr">
              <a:solidFill>
                <a:schemeClr val="tx1"/>
              </a:solidFill>
              <a:prstDash val="solid"/>
            </a:ln>
            <a:effectLst/>
          </xdr:spPr>
        </xdr:cxnSp>
      </xdr:grpSp>
      <xdr:cxnSp macro="">
        <xdr:nvCxnSpPr>
          <xdr:cNvPr id="17" name="直線コネクタ 16"/>
          <xdr:cNvCxnSpPr/>
        </xdr:nvCxnSpPr>
        <xdr:spPr>
          <a:xfrm flipV="1">
            <a:off x="11239500" y="1774031"/>
            <a:ext cx="1059656" cy="11907"/>
          </a:xfrm>
          <a:prstGeom prst="line">
            <a:avLst/>
          </a:prstGeom>
          <a:noFill/>
          <a:ln w="12700" cap="flat" cmpd="sng" algn="ctr">
            <a:solidFill>
              <a:schemeClr val="tx1"/>
            </a:solidFill>
            <a:prstDash val="solid"/>
          </a:ln>
          <a:effectLst/>
        </xdr:spPr>
      </xdr:cxnSp>
    </xdr:grpSp>
    <xdr:clientData/>
  </xdr:twoCellAnchor>
  <xdr:twoCellAnchor>
    <xdr:from>
      <xdr:col>36</xdr:col>
      <xdr:colOff>11907</xdr:colOff>
      <xdr:row>46</xdr:row>
      <xdr:rowOff>47620</xdr:rowOff>
    </xdr:from>
    <xdr:to>
      <xdr:col>38</xdr:col>
      <xdr:colOff>452437</xdr:colOff>
      <xdr:row>46</xdr:row>
      <xdr:rowOff>226217</xdr:rowOff>
    </xdr:to>
    <xdr:sp macro="" textlink="">
      <xdr:nvSpPr>
        <xdr:cNvPr id="20" name="正方形/長方形 19"/>
        <xdr:cNvSpPr/>
      </xdr:nvSpPr>
      <xdr:spPr>
        <a:xfrm flipV="1">
          <a:off x="17692688" y="13549308"/>
          <a:ext cx="1369218" cy="178597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238125</xdr:colOff>
      <xdr:row>46</xdr:row>
      <xdr:rowOff>136918</xdr:rowOff>
    </xdr:from>
    <xdr:to>
      <xdr:col>36</xdr:col>
      <xdr:colOff>11907</xdr:colOff>
      <xdr:row>46</xdr:row>
      <xdr:rowOff>142876</xdr:rowOff>
    </xdr:to>
    <xdr:cxnSp macro="">
      <xdr:nvCxnSpPr>
        <xdr:cNvPr id="21" name="直線コネクタ 20"/>
        <xdr:cNvCxnSpPr>
          <a:endCxn id="20" idx="1"/>
        </xdr:cNvCxnSpPr>
      </xdr:nvCxnSpPr>
      <xdr:spPr>
        <a:xfrm flipV="1">
          <a:off x="8632031" y="13638606"/>
          <a:ext cx="9060657" cy="5958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11906</xdr:colOff>
      <xdr:row>46</xdr:row>
      <xdr:rowOff>59531</xdr:rowOff>
    </xdr:from>
    <xdr:to>
      <xdr:col>6</xdr:col>
      <xdr:colOff>0</xdr:colOff>
      <xdr:row>46</xdr:row>
      <xdr:rowOff>226219</xdr:rowOff>
    </xdr:to>
    <xdr:sp macro="" textlink="">
      <xdr:nvSpPr>
        <xdr:cNvPr id="22" name="正方形/長方形 21"/>
        <xdr:cNvSpPr/>
      </xdr:nvSpPr>
      <xdr:spPr>
        <a:xfrm flipV="1">
          <a:off x="2374106" y="14975681"/>
          <a:ext cx="1388269" cy="166688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309562</xdr:colOff>
      <xdr:row>46</xdr:row>
      <xdr:rowOff>119063</xdr:rowOff>
    </xdr:from>
    <xdr:to>
      <xdr:col>16</xdr:col>
      <xdr:colOff>154782</xdr:colOff>
      <xdr:row>46</xdr:row>
      <xdr:rowOff>119063</xdr:rowOff>
    </xdr:to>
    <xdr:cxnSp macro="">
      <xdr:nvCxnSpPr>
        <xdr:cNvPr id="30" name="直線コネクタ 29"/>
        <xdr:cNvCxnSpPr>
          <a:stCxn id="31" idx="6"/>
        </xdr:cNvCxnSpPr>
      </xdr:nvCxnSpPr>
      <xdr:spPr>
        <a:xfrm>
          <a:off x="7339012" y="15035213"/>
          <a:ext cx="1245395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166687</xdr:colOff>
      <xdr:row>46</xdr:row>
      <xdr:rowOff>47625</xdr:rowOff>
    </xdr:from>
    <xdr:to>
      <xdr:col>13</xdr:col>
      <xdr:colOff>309562</xdr:colOff>
      <xdr:row>46</xdr:row>
      <xdr:rowOff>190500</xdr:rowOff>
    </xdr:to>
    <xdr:sp macro="" textlink="">
      <xdr:nvSpPr>
        <xdr:cNvPr id="31" name="円/楕円 30"/>
        <xdr:cNvSpPr/>
      </xdr:nvSpPr>
      <xdr:spPr>
        <a:xfrm>
          <a:off x="7196137" y="14963775"/>
          <a:ext cx="142875" cy="142875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154750</xdr:colOff>
      <xdr:row>6</xdr:row>
      <xdr:rowOff>47625</xdr:rowOff>
    </xdr:from>
    <xdr:to>
      <xdr:col>16</xdr:col>
      <xdr:colOff>271167</xdr:colOff>
      <xdr:row>6</xdr:row>
      <xdr:rowOff>202405</xdr:rowOff>
    </xdr:to>
    <xdr:grpSp>
      <xdr:nvGrpSpPr>
        <xdr:cNvPr id="12" name="グループ化 11"/>
        <xdr:cNvGrpSpPr/>
      </xdr:nvGrpSpPr>
      <xdr:grpSpPr>
        <a:xfrm>
          <a:off x="8625650" y="1812925"/>
          <a:ext cx="116417" cy="154780"/>
          <a:chOff x="9679781" y="1535906"/>
          <a:chExt cx="797719" cy="773907"/>
        </a:xfrm>
      </xdr:grpSpPr>
      <xdr:cxnSp macro="">
        <xdr:nvCxnSpPr>
          <xdr:cNvPr id="13" name="直線コネクタ 12"/>
          <xdr:cNvCxnSpPr/>
        </xdr:nvCxnSpPr>
        <xdr:spPr>
          <a:xfrm>
            <a:off x="9703594" y="1547813"/>
            <a:ext cx="773906" cy="762000"/>
          </a:xfrm>
          <a:prstGeom prst="line">
            <a:avLst/>
          </a:prstGeom>
          <a:noFill/>
          <a:ln w="9525" cap="flat" cmpd="sng" algn="ctr">
            <a:solidFill>
              <a:schemeClr val="tx1"/>
            </a:solidFill>
            <a:prstDash val="solid"/>
          </a:ln>
          <a:effectLst/>
        </xdr:spPr>
      </xdr:cxnSp>
      <xdr:cxnSp macro="">
        <xdr:nvCxnSpPr>
          <xdr:cNvPr id="14" name="直線コネクタ 13"/>
          <xdr:cNvCxnSpPr/>
        </xdr:nvCxnSpPr>
        <xdr:spPr>
          <a:xfrm flipH="1">
            <a:off x="9679781" y="1535906"/>
            <a:ext cx="785814" cy="762000"/>
          </a:xfrm>
          <a:prstGeom prst="line">
            <a:avLst/>
          </a:prstGeom>
          <a:noFill/>
          <a:ln w="9525" cap="flat" cmpd="sng" algn="ctr">
            <a:solidFill>
              <a:schemeClr val="tx1"/>
            </a:solidFill>
            <a:prstDash val="solid"/>
          </a:ln>
          <a:effectLst/>
        </xdr:spPr>
      </xdr:cxnSp>
    </xdr:grpSp>
    <xdr:clientData/>
  </xdr:twoCellAnchor>
  <xdr:twoCellAnchor>
    <xdr:from>
      <xdr:col>33</xdr:col>
      <xdr:colOff>23813</xdr:colOff>
      <xdr:row>6</xdr:row>
      <xdr:rowOff>47622</xdr:rowOff>
    </xdr:from>
    <xdr:to>
      <xdr:col>35</xdr:col>
      <xdr:colOff>452437</xdr:colOff>
      <xdr:row>6</xdr:row>
      <xdr:rowOff>202406</xdr:rowOff>
    </xdr:to>
    <xdr:sp macro="" textlink="">
      <xdr:nvSpPr>
        <xdr:cNvPr id="23" name="正方形/長方形 22"/>
        <xdr:cNvSpPr/>
      </xdr:nvSpPr>
      <xdr:spPr>
        <a:xfrm flipV="1">
          <a:off x="16387763" y="10439397"/>
          <a:ext cx="1362074" cy="154784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284328</xdr:colOff>
      <xdr:row>6</xdr:row>
      <xdr:rowOff>125014</xdr:rowOff>
    </xdr:from>
    <xdr:to>
      <xdr:col>33</xdr:col>
      <xdr:colOff>23813</xdr:colOff>
      <xdr:row>6</xdr:row>
      <xdr:rowOff>127947</xdr:rowOff>
    </xdr:to>
    <xdr:cxnSp macro="">
      <xdr:nvCxnSpPr>
        <xdr:cNvPr id="24" name="直線コネクタ 23"/>
        <xdr:cNvCxnSpPr>
          <a:endCxn id="23" idx="1"/>
        </xdr:cNvCxnSpPr>
      </xdr:nvCxnSpPr>
      <xdr:spPr>
        <a:xfrm flipV="1">
          <a:off x="8743097" y="1816768"/>
          <a:ext cx="7714895" cy="293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333375</xdr:colOff>
      <xdr:row>6</xdr:row>
      <xdr:rowOff>130969</xdr:rowOff>
    </xdr:from>
    <xdr:to>
      <xdr:col>16</xdr:col>
      <xdr:colOff>178594</xdr:colOff>
      <xdr:row>6</xdr:row>
      <xdr:rowOff>142875</xdr:rowOff>
    </xdr:to>
    <xdr:cxnSp macro="">
      <xdr:nvCxnSpPr>
        <xdr:cNvPr id="25" name="直線コネクタ 24"/>
        <xdr:cNvCxnSpPr>
          <a:stCxn id="26" idx="6"/>
        </xdr:cNvCxnSpPr>
      </xdr:nvCxnSpPr>
      <xdr:spPr>
        <a:xfrm flipV="1">
          <a:off x="7362825" y="10522744"/>
          <a:ext cx="1245394" cy="1190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190500</xdr:colOff>
      <xdr:row>6</xdr:row>
      <xdr:rowOff>71437</xdr:rowOff>
    </xdr:from>
    <xdr:to>
      <xdr:col>13</xdr:col>
      <xdr:colOff>333375</xdr:colOff>
      <xdr:row>6</xdr:row>
      <xdr:rowOff>214312</xdr:rowOff>
    </xdr:to>
    <xdr:sp macro="" textlink="">
      <xdr:nvSpPr>
        <xdr:cNvPr id="26" name="円/楕円 25"/>
        <xdr:cNvSpPr/>
      </xdr:nvSpPr>
      <xdr:spPr>
        <a:xfrm>
          <a:off x="7219950" y="10463212"/>
          <a:ext cx="142875" cy="142875"/>
        </a:xfrm>
        <a:prstGeom prst="ellipse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416720</xdr:colOff>
      <xdr:row>6</xdr:row>
      <xdr:rowOff>142875</xdr:rowOff>
    </xdr:from>
    <xdr:to>
      <xdr:col>13</xdr:col>
      <xdr:colOff>190500</xdr:colOff>
      <xdr:row>6</xdr:row>
      <xdr:rowOff>154781</xdr:rowOff>
    </xdr:to>
    <xdr:cxnSp macro="">
      <xdr:nvCxnSpPr>
        <xdr:cNvPr id="49" name="直線コネクタ 48"/>
        <xdr:cNvCxnSpPr>
          <a:endCxn id="26" idx="2"/>
        </xdr:cNvCxnSpPr>
      </xdr:nvCxnSpPr>
      <xdr:spPr>
        <a:xfrm flipV="1">
          <a:off x="3702845" y="1809750"/>
          <a:ext cx="3488530" cy="11906"/>
        </a:xfrm>
        <a:prstGeom prst="line">
          <a:avLst/>
        </a:prstGeom>
        <a:ln w="127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166657</xdr:colOff>
      <xdr:row>25</xdr:row>
      <xdr:rowOff>71437</xdr:rowOff>
    </xdr:from>
    <xdr:to>
      <xdr:col>16</xdr:col>
      <xdr:colOff>285720</xdr:colOff>
      <xdr:row>25</xdr:row>
      <xdr:rowOff>226217</xdr:rowOff>
    </xdr:to>
    <xdr:grpSp>
      <xdr:nvGrpSpPr>
        <xdr:cNvPr id="50" name="グループ化 49"/>
        <xdr:cNvGrpSpPr/>
      </xdr:nvGrpSpPr>
      <xdr:grpSpPr>
        <a:xfrm>
          <a:off x="8637557" y="7869237"/>
          <a:ext cx="119063" cy="154780"/>
          <a:chOff x="11227592" y="1273969"/>
          <a:chExt cx="1071564" cy="976311"/>
        </a:xfrm>
      </xdr:grpSpPr>
      <xdr:grpSp>
        <xdr:nvGrpSpPr>
          <xdr:cNvPr id="51" name="グループ化 50"/>
          <xdr:cNvGrpSpPr/>
        </xdr:nvGrpSpPr>
        <xdr:grpSpPr>
          <a:xfrm>
            <a:off x="11227592" y="1273969"/>
            <a:ext cx="1047751" cy="976311"/>
            <a:chOff x="9679781" y="1535906"/>
            <a:chExt cx="797719" cy="773907"/>
          </a:xfrm>
        </xdr:grpSpPr>
        <xdr:cxnSp macro="">
          <xdr:nvCxnSpPr>
            <xdr:cNvPr id="53" name="直線コネクタ 52"/>
            <xdr:cNvCxnSpPr/>
          </xdr:nvCxnSpPr>
          <xdr:spPr>
            <a:xfrm>
              <a:off x="9703594" y="1547813"/>
              <a:ext cx="773906" cy="762000"/>
            </a:xfrm>
            <a:prstGeom prst="line">
              <a:avLst/>
            </a:prstGeom>
            <a:noFill/>
            <a:ln w="12700" cap="flat" cmpd="sng" algn="ctr">
              <a:solidFill>
                <a:schemeClr val="tx1"/>
              </a:solidFill>
              <a:prstDash val="solid"/>
            </a:ln>
            <a:effectLst/>
          </xdr:spPr>
        </xdr:cxnSp>
        <xdr:cxnSp macro="">
          <xdr:nvCxnSpPr>
            <xdr:cNvPr id="54" name="直線コネクタ 53"/>
            <xdr:cNvCxnSpPr/>
          </xdr:nvCxnSpPr>
          <xdr:spPr>
            <a:xfrm flipH="1">
              <a:off x="9679781" y="1535906"/>
              <a:ext cx="785814" cy="762000"/>
            </a:xfrm>
            <a:prstGeom prst="line">
              <a:avLst/>
            </a:prstGeom>
            <a:noFill/>
            <a:ln w="12700" cap="flat" cmpd="sng" algn="ctr">
              <a:solidFill>
                <a:schemeClr val="tx1"/>
              </a:solidFill>
              <a:prstDash val="solid"/>
            </a:ln>
            <a:effectLst/>
          </xdr:spPr>
        </xdr:cxnSp>
      </xdr:grpSp>
      <xdr:cxnSp macro="">
        <xdr:nvCxnSpPr>
          <xdr:cNvPr id="52" name="直線コネクタ 51"/>
          <xdr:cNvCxnSpPr/>
        </xdr:nvCxnSpPr>
        <xdr:spPr>
          <a:xfrm flipV="1">
            <a:off x="11239500" y="1774031"/>
            <a:ext cx="1059656" cy="11907"/>
          </a:xfrm>
          <a:prstGeom prst="line">
            <a:avLst/>
          </a:prstGeom>
          <a:noFill/>
          <a:ln w="12700" cap="flat" cmpd="sng" algn="ctr">
            <a:solidFill>
              <a:schemeClr val="tx1"/>
            </a:solidFill>
            <a:prstDash val="solid"/>
          </a:ln>
          <a:effectLst/>
        </xdr:spPr>
      </xdr:cxnSp>
    </xdr:grpSp>
    <xdr:clientData/>
  </xdr:twoCellAnchor>
  <xdr:twoCellAnchor>
    <xdr:from>
      <xdr:col>36</xdr:col>
      <xdr:colOff>11907</xdr:colOff>
      <xdr:row>25</xdr:row>
      <xdr:rowOff>47623</xdr:rowOff>
    </xdr:from>
    <xdr:to>
      <xdr:col>38</xdr:col>
      <xdr:colOff>452437</xdr:colOff>
      <xdr:row>25</xdr:row>
      <xdr:rowOff>238124</xdr:rowOff>
    </xdr:to>
    <xdr:sp macro="" textlink="">
      <xdr:nvSpPr>
        <xdr:cNvPr id="55" name="正方形/長方形 54"/>
        <xdr:cNvSpPr/>
      </xdr:nvSpPr>
      <xdr:spPr>
        <a:xfrm flipV="1">
          <a:off x="17776032" y="14963773"/>
          <a:ext cx="1373980" cy="190501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273844</xdr:colOff>
      <xdr:row>25</xdr:row>
      <xdr:rowOff>142873</xdr:rowOff>
    </xdr:from>
    <xdr:to>
      <xdr:col>36</xdr:col>
      <xdr:colOff>11907</xdr:colOff>
      <xdr:row>25</xdr:row>
      <xdr:rowOff>142875</xdr:rowOff>
    </xdr:to>
    <xdr:cxnSp macro="">
      <xdr:nvCxnSpPr>
        <xdr:cNvPr id="56" name="直線コネクタ 55"/>
        <xdr:cNvCxnSpPr>
          <a:endCxn id="55" idx="1"/>
        </xdr:cNvCxnSpPr>
      </xdr:nvCxnSpPr>
      <xdr:spPr>
        <a:xfrm flipV="1">
          <a:off x="8703469" y="15059023"/>
          <a:ext cx="9072563" cy="2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11906</xdr:colOff>
      <xdr:row>25</xdr:row>
      <xdr:rowOff>59531</xdr:rowOff>
    </xdr:from>
    <xdr:to>
      <xdr:col>6</xdr:col>
      <xdr:colOff>0</xdr:colOff>
      <xdr:row>25</xdr:row>
      <xdr:rowOff>226219</xdr:rowOff>
    </xdr:to>
    <xdr:sp macro="" textlink="">
      <xdr:nvSpPr>
        <xdr:cNvPr id="57" name="正方形/長方形 56"/>
        <xdr:cNvSpPr/>
      </xdr:nvSpPr>
      <xdr:spPr>
        <a:xfrm flipV="1">
          <a:off x="2374106" y="14975681"/>
          <a:ext cx="1388269" cy="166688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309562</xdr:colOff>
      <xdr:row>25</xdr:row>
      <xdr:rowOff>154782</xdr:rowOff>
    </xdr:from>
    <xdr:to>
      <xdr:col>16</xdr:col>
      <xdr:colOff>154782</xdr:colOff>
      <xdr:row>25</xdr:row>
      <xdr:rowOff>154782</xdr:rowOff>
    </xdr:to>
    <xdr:cxnSp macro="">
      <xdr:nvCxnSpPr>
        <xdr:cNvPr id="58" name="直線コネクタ 57"/>
        <xdr:cNvCxnSpPr>
          <a:stCxn id="59" idx="6"/>
        </xdr:cNvCxnSpPr>
      </xdr:nvCxnSpPr>
      <xdr:spPr>
        <a:xfrm>
          <a:off x="7310437" y="7393782"/>
          <a:ext cx="1238251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166687</xdr:colOff>
      <xdr:row>25</xdr:row>
      <xdr:rowOff>83344</xdr:rowOff>
    </xdr:from>
    <xdr:to>
      <xdr:col>13</xdr:col>
      <xdr:colOff>309562</xdr:colOff>
      <xdr:row>25</xdr:row>
      <xdr:rowOff>226219</xdr:rowOff>
    </xdr:to>
    <xdr:sp macro="" textlink="">
      <xdr:nvSpPr>
        <xdr:cNvPr id="59" name="円/楕円 58"/>
        <xdr:cNvSpPr/>
      </xdr:nvSpPr>
      <xdr:spPr>
        <a:xfrm>
          <a:off x="7167562" y="7322344"/>
          <a:ext cx="142875" cy="142875"/>
        </a:xfrm>
        <a:prstGeom prst="ellipse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369094</xdr:colOff>
      <xdr:row>25</xdr:row>
      <xdr:rowOff>154782</xdr:rowOff>
    </xdr:from>
    <xdr:to>
      <xdr:col>13</xdr:col>
      <xdr:colOff>166687</xdr:colOff>
      <xdr:row>25</xdr:row>
      <xdr:rowOff>166688</xdr:rowOff>
    </xdr:to>
    <xdr:cxnSp macro="">
      <xdr:nvCxnSpPr>
        <xdr:cNvPr id="61" name="直線コネクタ 60"/>
        <xdr:cNvCxnSpPr>
          <a:endCxn id="59" idx="2"/>
        </xdr:cNvCxnSpPr>
      </xdr:nvCxnSpPr>
      <xdr:spPr>
        <a:xfrm flipV="1">
          <a:off x="5976938" y="7393782"/>
          <a:ext cx="1190624" cy="11906"/>
        </a:xfrm>
        <a:prstGeom prst="line">
          <a:avLst/>
        </a:prstGeom>
        <a:ln w="127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190500</xdr:colOff>
      <xdr:row>45</xdr:row>
      <xdr:rowOff>83343</xdr:rowOff>
    </xdr:from>
    <xdr:to>
      <xdr:col>13</xdr:col>
      <xdr:colOff>333375</xdr:colOff>
      <xdr:row>45</xdr:row>
      <xdr:rowOff>226218</xdr:rowOff>
    </xdr:to>
    <xdr:sp macro="" textlink="">
      <xdr:nvSpPr>
        <xdr:cNvPr id="62" name="円/楕円 61"/>
        <xdr:cNvSpPr/>
      </xdr:nvSpPr>
      <xdr:spPr>
        <a:xfrm>
          <a:off x="7191375" y="13334999"/>
          <a:ext cx="142875" cy="142875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142875</xdr:colOff>
      <xdr:row>45</xdr:row>
      <xdr:rowOff>71437</xdr:rowOff>
    </xdr:from>
    <xdr:to>
      <xdr:col>16</xdr:col>
      <xdr:colOff>259292</xdr:colOff>
      <xdr:row>45</xdr:row>
      <xdr:rowOff>226217</xdr:rowOff>
    </xdr:to>
    <xdr:grpSp>
      <xdr:nvGrpSpPr>
        <xdr:cNvPr id="63" name="グループ化 62"/>
        <xdr:cNvGrpSpPr/>
      </xdr:nvGrpSpPr>
      <xdr:grpSpPr>
        <a:xfrm>
          <a:off x="8613775" y="14028737"/>
          <a:ext cx="116417" cy="154780"/>
          <a:chOff x="9679781" y="1535906"/>
          <a:chExt cx="797719" cy="773907"/>
        </a:xfrm>
      </xdr:grpSpPr>
      <xdr:cxnSp macro="">
        <xdr:nvCxnSpPr>
          <xdr:cNvPr id="64" name="直線コネクタ 63"/>
          <xdr:cNvCxnSpPr/>
        </xdr:nvCxnSpPr>
        <xdr:spPr>
          <a:xfrm>
            <a:off x="9703594" y="1547813"/>
            <a:ext cx="773906" cy="762000"/>
          </a:xfrm>
          <a:prstGeom prst="line">
            <a:avLst/>
          </a:prstGeom>
          <a:noFill/>
          <a:ln w="12700" cap="flat" cmpd="sng" algn="ctr">
            <a:solidFill>
              <a:schemeClr val="tx1"/>
            </a:solidFill>
            <a:prstDash val="solid"/>
          </a:ln>
          <a:effectLst/>
        </xdr:spPr>
      </xdr:cxnSp>
      <xdr:cxnSp macro="">
        <xdr:nvCxnSpPr>
          <xdr:cNvPr id="65" name="直線コネクタ 64"/>
          <xdr:cNvCxnSpPr/>
        </xdr:nvCxnSpPr>
        <xdr:spPr>
          <a:xfrm flipH="1">
            <a:off x="9679781" y="1535906"/>
            <a:ext cx="785814" cy="762000"/>
          </a:xfrm>
          <a:prstGeom prst="line">
            <a:avLst/>
          </a:prstGeom>
          <a:noFill/>
          <a:ln w="12700" cap="flat" cmpd="sng" algn="ctr">
            <a:solidFill>
              <a:schemeClr val="tx1"/>
            </a:solidFill>
            <a:prstDash val="solid"/>
          </a:ln>
          <a:effectLst/>
        </xdr:spPr>
      </xdr:cxnSp>
    </xdr:grpSp>
    <xdr:clientData/>
  </xdr:twoCellAnchor>
  <xdr:twoCellAnchor>
    <xdr:from>
      <xdr:col>33</xdr:col>
      <xdr:colOff>35719</xdr:colOff>
      <xdr:row>45</xdr:row>
      <xdr:rowOff>59531</xdr:rowOff>
    </xdr:from>
    <xdr:to>
      <xdr:col>36</xdr:col>
      <xdr:colOff>0</xdr:colOff>
      <xdr:row>45</xdr:row>
      <xdr:rowOff>214315</xdr:rowOff>
    </xdr:to>
    <xdr:sp macro="" textlink="">
      <xdr:nvSpPr>
        <xdr:cNvPr id="67" name="正方形/長方形 66"/>
        <xdr:cNvSpPr/>
      </xdr:nvSpPr>
      <xdr:spPr>
        <a:xfrm flipV="1">
          <a:off x="16323469" y="13311187"/>
          <a:ext cx="1357312" cy="154784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261937</xdr:colOff>
      <xdr:row>45</xdr:row>
      <xdr:rowOff>142875</xdr:rowOff>
    </xdr:from>
    <xdr:to>
      <xdr:col>33</xdr:col>
      <xdr:colOff>23812</xdr:colOff>
      <xdr:row>45</xdr:row>
      <xdr:rowOff>148829</xdr:rowOff>
    </xdr:to>
    <xdr:cxnSp macro="">
      <xdr:nvCxnSpPr>
        <xdr:cNvPr id="68" name="直線コネクタ 67"/>
        <xdr:cNvCxnSpPr/>
      </xdr:nvCxnSpPr>
      <xdr:spPr>
        <a:xfrm flipV="1">
          <a:off x="8655843" y="13394531"/>
          <a:ext cx="7655719" cy="595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333375</xdr:colOff>
      <xdr:row>45</xdr:row>
      <xdr:rowOff>154781</xdr:rowOff>
    </xdr:from>
    <xdr:to>
      <xdr:col>16</xdr:col>
      <xdr:colOff>142875</xdr:colOff>
      <xdr:row>45</xdr:row>
      <xdr:rowOff>154782</xdr:rowOff>
    </xdr:to>
    <xdr:cxnSp macro="">
      <xdr:nvCxnSpPr>
        <xdr:cNvPr id="69" name="直線コネクタ 68"/>
        <xdr:cNvCxnSpPr>
          <a:stCxn id="62" idx="6"/>
        </xdr:cNvCxnSpPr>
      </xdr:nvCxnSpPr>
      <xdr:spPr>
        <a:xfrm>
          <a:off x="7334250" y="13406437"/>
          <a:ext cx="1202531" cy="1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416719</xdr:colOff>
      <xdr:row>45</xdr:row>
      <xdr:rowOff>119063</xdr:rowOff>
    </xdr:from>
    <xdr:to>
      <xdr:col>13</xdr:col>
      <xdr:colOff>190500</xdr:colOff>
      <xdr:row>45</xdr:row>
      <xdr:rowOff>154781</xdr:rowOff>
    </xdr:to>
    <xdr:cxnSp macro="">
      <xdr:nvCxnSpPr>
        <xdr:cNvPr id="74" name="直線コネクタ 73"/>
        <xdr:cNvCxnSpPr>
          <a:endCxn id="62" idx="2"/>
        </xdr:cNvCxnSpPr>
      </xdr:nvCxnSpPr>
      <xdr:spPr>
        <a:xfrm>
          <a:off x="3702844" y="13370719"/>
          <a:ext cx="3488531" cy="35718"/>
        </a:xfrm>
        <a:prstGeom prst="line">
          <a:avLst/>
        </a:prstGeom>
        <a:ln w="127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381000</xdr:colOff>
      <xdr:row>46</xdr:row>
      <xdr:rowOff>119063</xdr:rowOff>
    </xdr:from>
    <xdr:to>
      <xdr:col>13</xdr:col>
      <xdr:colOff>166687</xdr:colOff>
      <xdr:row>46</xdr:row>
      <xdr:rowOff>130969</xdr:rowOff>
    </xdr:to>
    <xdr:cxnSp macro="">
      <xdr:nvCxnSpPr>
        <xdr:cNvPr id="78" name="直線コネクタ 77"/>
        <xdr:cNvCxnSpPr>
          <a:endCxn id="31" idx="2"/>
        </xdr:cNvCxnSpPr>
      </xdr:nvCxnSpPr>
      <xdr:spPr>
        <a:xfrm flipV="1">
          <a:off x="5988844" y="13620751"/>
          <a:ext cx="1178718" cy="11906"/>
        </a:xfrm>
        <a:prstGeom prst="line">
          <a:avLst/>
        </a:prstGeom>
        <a:ln w="127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9"/>
  <sheetViews>
    <sheetView tabSelected="1" zoomScale="75" zoomScaleNormal="75" workbookViewId="0"/>
  </sheetViews>
  <sheetFormatPr defaultColWidth="9" defaultRowHeight="13.5" x14ac:dyDescent="0.15"/>
  <cols>
    <col min="1" max="1" width="1.625" style="90" customWidth="1"/>
    <col min="2" max="3" width="7.625" style="90" customWidth="1"/>
    <col min="4" max="6" width="9" style="90"/>
    <col min="7" max="7" width="3.5" style="90" customWidth="1"/>
    <col min="8" max="8" width="3.625" style="90" customWidth="1"/>
    <col min="9" max="9" width="3.75" style="90" customWidth="1"/>
    <col min="10" max="41" width="3.5" style="90" customWidth="1"/>
    <col min="42" max="42" width="3.625" style="90" customWidth="1"/>
    <col min="43" max="43" width="1.375" style="90" customWidth="1"/>
    <col min="44" max="16384" width="9" style="90"/>
  </cols>
  <sheetData>
    <row r="1" spans="1:44" ht="9.9499999999999993" customHeight="1" thickBot="1" x14ac:dyDescent="0.2"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44" ht="39.950000000000003" customHeight="1" thickBot="1" x14ac:dyDescent="0.2">
      <c r="A2" s="92"/>
      <c r="B2" s="541" t="s">
        <v>86</v>
      </c>
      <c r="C2" s="812" t="s">
        <v>375</v>
      </c>
      <c r="D2" s="813"/>
      <c r="E2" s="542" t="s">
        <v>71</v>
      </c>
      <c r="F2" s="812" t="s">
        <v>538</v>
      </c>
      <c r="G2" s="814"/>
      <c r="H2" s="814"/>
      <c r="I2" s="814"/>
      <c r="J2" s="814"/>
      <c r="K2" s="814"/>
      <c r="L2" s="814"/>
      <c r="M2" s="814"/>
      <c r="N2" s="813"/>
      <c r="O2" s="827" t="s">
        <v>72</v>
      </c>
      <c r="P2" s="828"/>
      <c r="Q2" s="829"/>
      <c r="R2" s="830" t="s">
        <v>641</v>
      </c>
      <c r="S2" s="831"/>
      <c r="T2" s="831"/>
      <c r="U2" s="831"/>
      <c r="V2" s="831" t="s">
        <v>73</v>
      </c>
      <c r="W2" s="831"/>
      <c r="X2" s="831"/>
      <c r="Y2" s="824" t="s">
        <v>374</v>
      </c>
      <c r="Z2" s="825"/>
      <c r="AA2" s="826"/>
      <c r="AB2" s="543"/>
      <c r="AC2" s="543"/>
      <c r="AD2" s="543"/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</row>
    <row r="3" spans="1:44" ht="9.9499999999999993" customHeight="1" x14ac:dyDescent="0.15">
      <c r="B3" s="544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69"/>
      <c r="AB3" s="269"/>
      <c r="AC3" s="269"/>
      <c r="AD3" s="269"/>
      <c r="AE3" s="269"/>
      <c r="AF3" s="269"/>
      <c r="AG3" s="269"/>
      <c r="AH3" s="269"/>
      <c r="AI3" s="269"/>
      <c r="AJ3" s="269"/>
      <c r="AK3" s="269"/>
      <c r="AL3" s="269"/>
      <c r="AM3" s="269"/>
      <c r="AN3" s="269"/>
      <c r="AO3" s="269"/>
      <c r="AP3" s="269"/>
      <c r="AQ3" s="269"/>
      <c r="AR3" s="269"/>
    </row>
    <row r="4" spans="1:44" ht="24.95" customHeight="1" thickBot="1" x14ac:dyDescent="0.2">
      <c r="B4" s="269" t="s">
        <v>113</v>
      </c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69"/>
      <c r="AB4" s="269"/>
      <c r="AC4" s="269"/>
      <c r="AD4" s="269"/>
      <c r="AE4" s="269"/>
      <c r="AF4" s="269"/>
      <c r="AG4" s="269"/>
      <c r="AH4" s="269"/>
      <c r="AI4" s="269"/>
      <c r="AJ4" s="269"/>
      <c r="AK4" s="269"/>
      <c r="AL4" s="269"/>
      <c r="AM4" s="269"/>
      <c r="AN4" s="269"/>
      <c r="AO4" s="269"/>
      <c r="AP4" s="269"/>
      <c r="AQ4" s="269"/>
      <c r="AR4" s="269"/>
    </row>
    <row r="5" spans="1:44" ht="20.100000000000001" customHeight="1" x14ac:dyDescent="0.15">
      <c r="B5" s="817" t="s">
        <v>114</v>
      </c>
      <c r="C5" s="818"/>
      <c r="D5" s="819"/>
      <c r="E5" s="820"/>
      <c r="F5" s="820"/>
      <c r="G5" s="821"/>
      <c r="H5" s="822" t="s">
        <v>74</v>
      </c>
      <c r="I5" s="818"/>
      <c r="J5" s="818"/>
      <c r="K5" s="818"/>
      <c r="L5" s="818"/>
      <c r="M5" s="818"/>
      <c r="N5" s="818"/>
      <c r="O5" s="818"/>
      <c r="P5" s="818"/>
      <c r="Q5" s="818"/>
      <c r="R5" s="818"/>
      <c r="S5" s="818"/>
      <c r="T5" s="818"/>
      <c r="U5" s="818"/>
      <c r="V5" s="818"/>
      <c r="W5" s="818"/>
      <c r="X5" s="818"/>
      <c r="Y5" s="818"/>
      <c r="Z5" s="818"/>
      <c r="AA5" s="823"/>
      <c r="AB5" s="269"/>
      <c r="AC5" s="269"/>
      <c r="AD5" s="543"/>
      <c r="AE5" s="543"/>
      <c r="AF5" s="543"/>
      <c r="AG5" s="543"/>
      <c r="AH5" s="543"/>
      <c r="AI5" s="543"/>
      <c r="AJ5" s="543"/>
      <c r="AK5" s="543"/>
      <c r="AL5" s="543"/>
      <c r="AM5" s="269"/>
      <c r="AN5" s="269"/>
      <c r="AO5" s="269"/>
      <c r="AP5" s="269"/>
      <c r="AQ5" s="269"/>
      <c r="AR5" s="269"/>
    </row>
    <row r="6" spans="1:44" ht="20.100000000000001" customHeight="1" x14ac:dyDescent="0.15">
      <c r="B6" s="837" t="s">
        <v>75</v>
      </c>
      <c r="C6" s="838"/>
      <c r="D6" s="838"/>
      <c r="E6" s="838"/>
      <c r="F6" s="838"/>
      <c r="G6" s="839"/>
      <c r="H6" s="839" t="s">
        <v>76</v>
      </c>
      <c r="I6" s="815"/>
      <c r="J6" s="815"/>
      <c r="K6" s="815"/>
      <c r="L6" s="815"/>
      <c r="M6" s="815"/>
      <c r="N6" s="839" t="s">
        <v>77</v>
      </c>
      <c r="O6" s="815"/>
      <c r="P6" s="815"/>
      <c r="Q6" s="839" t="s">
        <v>78</v>
      </c>
      <c r="R6" s="815"/>
      <c r="S6" s="815"/>
      <c r="T6" s="815"/>
      <c r="U6" s="815"/>
      <c r="V6" s="815"/>
      <c r="W6" s="815"/>
      <c r="X6" s="850"/>
      <c r="Y6" s="815" t="s">
        <v>79</v>
      </c>
      <c r="Z6" s="815"/>
      <c r="AA6" s="816"/>
      <c r="AB6" s="269"/>
      <c r="AC6" s="269"/>
      <c r="AD6" s="269"/>
      <c r="AE6" s="269"/>
      <c r="AF6" s="269"/>
      <c r="AG6" s="269"/>
      <c r="AH6" s="269"/>
      <c r="AI6" s="269"/>
      <c r="AJ6" s="269"/>
      <c r="AK6" s="269"/>
      <c r="AL6" s="269"/>
      <c r="AM6" s="269"/>
      <c r="AN6" s="269"/>
      <c r="AO6" s="269"/>
      <c r="AP6" s="269"/>
      <c r="AQ6" s="269"/>
      <c r="AR6" s="634"/>
    </row>
    <row r="7" spans="1:44" ht="20.100000000000001" customHeight="1" x14ac:dyDescent="0.15">
      <c r="B7" s="840" t="s">
        <v>80</v>
      </c>
      <c r="C7" s="841"/>
      <c r="D7" s="842" t="s">
        <v>378</v>
      </c>
      <c r="E7" s="843"/>
      <c r="F7" s="843"/>
      <c r="G7" s="843"/>
      <c r="H7" s="844" t="s">
        <v>10</v>
      </c>
      <c r="I7" s="845"/>
      <c r="J7" s="845"/>
      <c r="K7" s="845"/>
      <c r="L7" s="845"/>
      <c r="M7" s="846"/>
      <c r="N7" s="847">
        <f>SUM(F13:F14)</f>
        <v>28</v>
      </c>
      <c r="O7" s="848"/>
      <c r="P7" s="849"/>
      <c r="Q7" s="832"/>
      <c r="R7" s="833"/>
      <c r="S7" s="833"/>
      <c r="T7" s="833"/>
      <c r="U7" s="833"/>
      <c r="V7" s="833"/>
      <c r="W7" s="833"/>
      <c r="X7" s="834"/>
      <c r="Y7" s="835"/>
      <c r="Z7" s="835"/>
      <c r="AA7" s="836"/>
      <c r="AB7" s="269"/>
      <c r="AC7" s="269"/>
      <c r="AD7" s="269"/>
      <c r="AE7" s="269"/>
      <c r="AF7" s="269"/>
      <c r="AG7" s="269"/>
      <c r="AH7" s="269"/>
      <c r="AI7" s="269"/>
      <c r="AJ7" s="269"/>
      <c r="AK7" s="269"/>
      <c r="AL7" s="269"/>
      <c r="AM7" s="269"/>
      <c r="AN7" s="269"/>
      <c r="AO7" s="269"/>
      <c r="AP7" s="269"/>
      <c r="AQ7" s="269"/>
      <c r="AR7" s="269"/>
    </row>
    <row r="8" spans="1:44" ht="20.100000000000001" customHeight="1" x14ac:dyDescent="0.15">
      <c r="B8" s="837" t="s">
        <v>81</v>
      </c>
      <c r="C8" s="838"/>
      <c r="D8" s="838"/>
      <c r="E8" s="838"/>
      <c r="F8" s="838"/>
      <c r="G8" s="839"/>
      <c r="H8" s="839" t="s">
        <v>534</v>
      </c>
      <c r="I8" s="815"/>
      <c r="J8" s="815"/>
      <c r="K8" s="815"/>
      <c r="L8" s="815"/>
      <c r="M8" s="850"/>
      <c r="N8" s="861">
        <v>2</v>
      </c>
      <c r="O8" s="862"/>
      <c r="P8" s="864"/>
      <c r="Q8" s="858"/>
      <c r="R8" s="859"/>
      <c r="S8" s="859"/>
      <c r="T8" s="859"/>
      <c r="U8" s="859"/>
      <c r="V8" s="859"/>
      <c r="W8" s="859"/>
      <c r="X8" s="860"/>
      <c r="Y8" s="861"/>
      <c r="Z8" s="862"/>
      <c r="AA8" s="863"/>
      <c r="AB8" s="269"/>
      <c r="AC8" s="269"/>
      <c r="AD8" s="269"/>
      <c r="AE8" s="269"/>
      <c r="AF8" s="269"/>
      <c r="AG8" s="269"/>
      <c r="AH8" s="269"/>
      <c r="AI8" s="269"/>
      <c r="AJ8" s="269"/>
      <c r="AK8" s="269"/>
      <c r="AL8" s="269"/>
      <c r="AM8" s="269"/>
      <c r="AN8" s="269"/>
      <c r="AO8" s="269"/>
      <c r="AP8" s="269"/>
      <c r="AQ8" s="269"/>
      <c r="AR8" s="269"/>
    </row>
    <row r="9" spans="1:44" ht="20.100000000000001" customHeight="1" x14ac:dyDescent="0.15">
      <c r="B9" s="837" t="s">
        <v>82</v>
      </c>
      <c r="C9" s="838"/>
      <c r="D9" s="838"/>
      <c r="E9" s="838"/>
      <c r="F9" s="838"/>
      <c r="G9" s="839"/>
      <c r="H9" s="839"/>
      <c r="I9" s="815"/>
      <c r="J9" s="815"/>
      <c r="K9" s="815"/>
      <c r="L9" s="815"/>
      <c r="M9" s="850"/>
      <c r="N9" s="861"/>
      <c r="O9" s="862"/>
      <c r="P9" s="864"/>
      <c r="Q9" s="858"/>
      <c r="R9" s="859"/>
      <c r="S9" s="859"/>
      <c r="T9" s="859"/>
      <c r="U9" s="859"/>
      <c r="V9" s="859"/>
      <c r="W9" s="859"/>
      <c r="X9" s="860"/>
      <c r="Y9" s="861"/>
      <c r="Z9" s="862"/>
      <c r="AA9" s="863"/>
      <c r="AB9" s="269"/>
      <c r="AC9" s="269"/>
      <c r="AD9" s="269"/>
      <c r="AE9" s="269"/>
      <c r="AF9" s="269"/>
      <c r="AG9" s="269"/>
      <c r="AH9" s="269"/>
      <c r="AI9" s="269"/>
      <c r="AJ9" s="269"/>
      <c r="AK9" s="269"/>
      <c r="AL9" s="269"/>
      <c r="AM9" s="269"/>
      <c r="AN9" s="269"/>
      <c r="AO9" s="269"/>
      <c r="AP9" s="269"/>
      <c r="AQ9" s="269"/>
      <c r="AR9" s="269"/>
    </row>
    <row r="10" spans="1:44" ht="20.100000000000001" customHeight="1" x14ac:dyDescent="0.15">
      <c r="B10" s="837" t="s">
        <v>83</v>
      </c>
      <c r="C10" s="838"/>
      <c r="D10" s="838"/>
      <c r="E10" s="838"/>
      <c r="F10" s="838"/>
      <c r="G10" s="839"/>
      <c r="H10" s="865"/>
      <c r="I10" s="866"/>
      <c r="J10" s="866"/>
      <c r="K10" s="866"/>
      <c r="L10" s="866"/>
      <c r="M10" s="866"/>
      <c r="N10" s="861"/>
      <c r="O10" s="862"/>
      <c r="P10" s="864"/>
      <c r="Q10" s="858"/>
      <c r="R10" s="859"/>
      <c r="S10" s="859"/>
      <c r="T10" s="859"/>
      <c r="U10" s="859"/>
      <c r="V10" s="859"/>
      <c r="W10" s="859"/>
      <c r="X10" s="860"/>
      <c r="Y10" s="862"/>
      <c r="Z10" s="862"/>
      <c r="AA10" s="863"/>
      <c r="AB10" s="269"/>
      <c r="AC10" s="269"/>
      <c r="AD10" s="269"/>
      <c r="AE10" s="269"/>
      <c r="AF10" s="269"/>
      <c r="AG10" s="269"/>
      <c r="AH10" s="269"/>
      <c r="AI10" s="269"/>
      <c r="AJ10" s="269"/>
      <c r="AK10" s="269"/>
      <c r="AL10" s="269"/>
      <c r="AM10" s="269"/>
      <c r="AN10" s="269"/>
      <c r="AO10" s="269"/>
      <c r="AP10" s="269"/>
      <c r="AQ10" s="269"/>
      <c r="AR10" s="269"/>
    </row>
    <row r="11" spans="1:44" ht="20.100000000000001" customHeight="1" thickBot="1" x14ac:dyDescent="0.2">
      <c r="B11" s="851" t="s">
        <v>84</v>
      </c>
      <c r="C11" s="841"/>
      <c r="D11" s="841"/>
      <c r="E11" s="841"/>
      <c r="F11" s="841"/>
      <c r="G11" s="852"/>
      <c r="H11" s="853"/>
      <c r="I11" s="854"/>
      <c r="J11" s="854"/>
      <c r="K11" s="854"/>
      <c r="L11" s="854"/>
      <c r="M11" s="854"/>
      <c r="N11" s="884"/>
      <c r="O11" s="882"/>
      <c r="P11" s="882"/>
      <c r="Q11" s="879"/>
      <c r="R11" s="880"/>
      <c r="S11" s="880"/>
      <c r="T11" s="880"/>
      <c r="U11" s="880"/>
      <c r="V11" s="880"/>
      <c r="W11" s="880"/>
      <c r="X11" s="881"/>
      <c r="Y11" s="882"/>
      <c r="Z11" s="882"/>
      <c r="AA11" s="883"/>
      <c r="AB11" s="269"/>
      <c r="AC11" s="269"/>
      <c r="AD11" s="269"/>
      <c r="AE11" s="269"/>
      <c r="AF11" s="269"/>
      <c r="AG11" s="269"/>
      <c r="AH11" s="269"/>
      <c r="AI11" s="269"/>
      <c r="AJ11" s="269"/>
      <c r="AK11" s="269"/>
      <c r="AL11" s="269"/>
      <c r="AM11" s="269"/>
      <c r="AN11" s="269"/>
      <c r="AO11" s="269"/>
      <c r="AP11" s="269"/>
      <c r="AQ11" s="269"/>
      <c r="AR11" s="269"/>
    </row>
    <row r="12" spans="1:44" ht="20.100000000000001" customHeight="1" x14ac:dyDescent="0.15">
      <c r="B12" s="855" t="s">
        <v>111</v>
      </c>
      <c r="C12" s="822" t="s">
        <v>115</v>
      </c>
      <c r="D12" s="818"/>
      <c r="E12" s="867"/>
      <c r="F12" s="545" t="s">
        <v>112</v>
      </c>
      <c r="G12" s="822">
        <v>1</v>
      </c>
      <c r="H12" s="818"/>
      <c r="I12" s="818"/>
      <c r="J12" s="822">
        <v>2</v>
      </c>
      <c r="K12" s="818"/>
      <c r="L12" s="867"/>
      <c r="M12" s="818">
        <v>3</v>
      </c>
      <c r="N12" s="818"/>
      <c r="O12" s="869"/>
      <c r="P12" s="822">
        <v>4</v>
      </c>
      <c r="Q12" s="818"/>
      <c r="R12" s="867"/>
      <c r="S12" s="868">
        <v>5</v>
      </c>
      <c r="T12" s="818"/>
      <c r="U12" s="869"/>
      <c r="V12" s="822">
        <v>6</v>
      </c>
      <c r="W12" s="818"/>
      <c r="X12" s="867"/>
      <c r="Y12" s="868">
        <v>7</v>
      </c>
      <c r="Z12" s="818"/>
      <c r="AA12" s="869"/>
      <c r="AB12" s="822">
        <v>8</v>
      </c>
      <c r="AC12" s="818"/>
      <c r="AD12" s="867"/>
      <c r="AE12" s="868">
        <v>9</v>
      </c>
      <c r="AF12" s="818"/>
      <c r="AG12" s="869"/>
      <c r="AH12" s="822">
        <v>10</v>
      </c>
      <c r="AI12" s="818"/>
      <c r="AJ12" s="867"/>
      <c r="AK12" s="822">
        <v>11</v>
      </c>
      <c r="AL12" s="818"/>
      <c r="AM12" s="867"/>
      <c r="AN12" s="818">
        <v>12</v>
      </c>
      <c r="AO12" s="818"/>
      <c r="AP12" s="823"/>
      <c r="AQ12" s="269"/>
      <c r="AR12" s="269"/>
    </row>
    <row r="13" spans="1:44" ht="20.100000000000001" customHeight="1" x14ac:dyDescent="0.15">
      <c r="B13" s="856"/>
      <c r="C13" s="546" t="s">
        <v>284</v>
      </c>
      <c r="D13" s="547"/>
      <c r="E13" s="548"/>
      <c r="F13" s="549">
        <f>AB26+AM26+AB27+AM27+AB28</f>
        <v>20</v>
      </c>
      <c r="G13" s="550"/>
      <c r="H13" s="551"/>
      <c r="I13" s="551"/>
      <c r="J13" s="550"/>
      <c r="K13" s="551"/>
      <c r="L13" s="345"/>
      <c r="M13" s="551"/>
      <c r="N13" s="551"/>
      <c r="O13" s="342" t="s">
        <v>376</v>
      </c>
      <c r="P13" s="550"/>
      <c r="Q13" s="551"/>
      <c r="R13" s="345" t="s">
        <v>377</v>
      </c>
      <c r="S13" s="343" t="s">
        <v>376</v>
      </c>
      <c r="T13" s="551"/>
      <c r="U13" s="342" t="s">
        <v>377</v>
      </c>
      <c r="V13" s="550"/>
      <c r="W13" s="551"/>
      <c r="X13" s="345"/>
      <c r="Y13" s="343"/>
      <c r="Z13" s="551"/>
      <c r="AA13" s="342"/>
      <c r="AB13" s="550"/>
      <c r="AC13" s="551"/>
      <c r="AD13" s="345"/>
      <c r="AE13" s="550"/>
      <c r="AF13" s="551"/>
      <c r="AG13" s="345"/>
      <c r="AH13" s="550"/>
      <c r="AI13" s="551"/>
      <c r="AJ13" s="345"/>
      <c r="AK13" s="550"/>
      <c r="AL13" s="551"/>
      <c r="AM13" s="345"/>
      <c r="AN13" s="551"/>
      <c r="AO13" s="551"/>
      <c r="AP13" s="552"/>
      <c r="AQ13" s="269"/>
      <c r="AR13" s="269"/>
    </row>
    <row r="14" spans="1:44" ht="20.100000000000001" customHeight="1" x14ac:dyDescent="0.15">
      <c r="B14" s="856"/>
      <c r="C14" s="293" t="s">
        <v>283</v>
      </c>
      <c r="D14" s="547"/>
      <c r="E14" s="548"/>
      <c r="F14" s="553">
        <f>AM28</f>
        <v>8</v>
      </c>
      <c r="G14" s="554"/>
      <c r="H14" s="344"/>
      <c r="I14" s="344"/>
      <c r="J14" s="554"/>
      <c r="K14" s="344"/>
      <c r="L14" s="517"/>
      <c r="M14" s="344"/>
      <c r="N14" s="344"/>
      <c r="O14" s="555"/>
      <c r="P14" s="554"/>
      <c r="Q14" s="344"/>
      <c r="R14" s="517" t="s">
        <v>376</v>
      </c>
      <c r="S14" s="360"/>
      <c r="T14" s="344" t="s">
        <v>377</v>
      </c>
      <c r="U14" s="555"/>
      <c r="V14" s="554"/>
      <c r="W14" s="344"/>
      <c r="X14" s="517"/>
      <c r="Y14" s="360"/>
      <c r="Z14" s="344"/>
      <c r="AA14" s="555"/>
      <c r="AB14" s="554"/>
      <c r="AC14" s="344"/>
      <c r="AD14" s="517"/>
      <c r="AE14" s="554"/>
      <c r="AF14" s="344"/>
      <c r="AG14" s="517"/>
      <c r="AH14" s="554"/>
      <c r="AI14" s="344"/>
      <c r="AJ14" s="517"/>
      <c r="AK14" s="554"/>
      <c r="AL14" s="344"/>
      <c r="AM14" s="517"/>
      <c r="AN14" s="344"/>
      <c r="AO14" s="344"/>
      <c r="AP14" s="556"/>
      <c r="AQ14" s="269"/>
      <c r="AR14" s="269"/>
    </row>
    <row r="15" spans="1:44" ht="20.100000000000001" customHeight="1" x14ac:dyDescent="0.15">
      <c r="B15" s="856"/>
      <c r="C15" s="293" t="s">
        <v>539</v>
      </c>
      <c r="D15" s="547"/>
      <c r="E15" s="548"/>
      <c r="F15" s="557">
        <v>0.8</v>
      </c>
      <c r="G15" s="876" t="s">
        <v>546</v>
      </c>
      <c r="H15" s="877"/>
      <c r="I15" s="878"/>
      <c r="J15" s="554"/>
      <c r="K15" s="373"/>
      <c r="L15" s="517"/>
      <c r="M15" s="344"/>
      <c r="N15" s="373"/>
      <c r="O15" s="555"/>
      <c r="P15" s="554"/>
      <c r="Q15" s="344" t="s">
        <v>544</v>
      </c>
      <c r="R15" s="517"/>
      <c r="S15" s="360"/>
      <c r="T15" s="344" t="s">
        <v>545</v>
      </c>
      <c r="U15" s="555"/>
      <c r="V15" s="554"/>
      <c r="W15" s="344"/>
      <c r="X15" s="517"/>
      <c r="Y15" s="360"/>
      <c r="Z15" s="344"/>
      <c r="AA15" s="555"/>
      <c r="AB15" s="554"/>
      <c r="AC15" s="344"/>
      <c r="AD15" s="517"/>
      <c r="AE15" s="554"/>
      <c r="AF15" s="344"/>
      <c r="AG15" s="517"/>
      <c r="AH15" s="554"/>
      <c r="AI15" s="344"/>
      <c r="AJ15" s="517"/>
      <c r="AK15" s="554"/>
      <c r="AL15" s="344"/>
      <c r="AM15" s="517"/>
      <c r="AN15" s="344"/>
      <c r="AO15" s="344"/>
      <c r="AP15" s="556"/>
      <c r="AQ15" s="269"/>
      <c r="AR15" s="269"/>
    </row>
    <row r="16" spans="1:44" ht="20.100000000000001" customHeight="1" x14ac:dyDescent="0.15">
      <c r="B16" s="856"/>
      <c r="C16" s="293" t="s">
        <v>542</v>
      </c>
      <c r="D16" s="547"/>
      <c r="E16" s="548"/>
      <c r="F16" s="558">
        <v>1.2</v>
      </c>
      <c r="G16" s="554"/>
      <c r="H16" s="344"/>
      <c r="I16" s="344"/>
      <c r="J16" s="554"/>
      <c r="K16" s="344"/>
      <c r="L16" s="517"/>
      <c r="M16" s="874" t="s">
        <v>543</v>
      </c>
      <c r="N16" s="875"/>
      <c r="O16" s="850"/>
      <c r="P16" s="554"/>
      <c r="Q16" s="344" t="s">
        <v>544</v>
      </c>
      <c r="R16" s="517"/>
      <c r="S16" s="360"/>
      <c r="T16" s="344" t="s">
        <v>545</v>
      </c>
      <c r="U16" s="555"/>
      <c r="V16" s="554"/>
      <c r="W16" s="344"/>
      <c r="X16" s="517"/>
      <c r="Y16" s="360"/>
      <c r="Z16" s="344"/>
      <c r="AA16" s="555"/>
      <c r="AB16" s="554"/>
      <c r="AC16" s="344"/>
      <c r="AD16" s="517"/>
      <c r="AE16" s="554"/>
      <c r="AF16" s="344"/>
      <c r="AG16" s="517"/>
      <c r="AH16" s="554"/>
      <c r="AI16" s="344"/>
      <c r="AJ16" s="517"/>
      <c r="AK16" s="554"/>
      <c r="AL16" s="344"/>
      <c r="AM16" s="517"/>
      <c r="AN16" s="344"/>
      <c r="AO16" s="344"/>
      <c r="AP16" s="556"/>
      <c r="AQ16" s="269"/>
      <c r="AR16" s="269"/>
    </row>
    <row r="17" spans="2:44" ht="20.100000000000001" customHeight="1" x14ac:dyDescent="0.15">
      <c r="B17" s="856"/>
      <c r="C17" s="293"/>
      <c r="D17" s="547"/>
      <c r="E17" s="548"/>
      <c r="F17" s="802">
        <v>0</v>
      </c>
      <c r="G17" s="554"/>
      <c r="H17" s="344"/>
      <c r="I17" s="344"/>
      <c r="J17" s="554"/>
      <c r="K17" s="344"/>
      <c r="L17" s="517"/>
      <c r="M17" s="344"/>
      <c r="N17" s="344"/>
      <c r="O17" s="555"/>
      <c r="P17" s="554"/>
      <c r="Q17" s="344"/>
      <c r="R17" s="517"/>
      <c r="S17" s="360"/>
      <c r="T17" s="344"/>
      <c r="U17" s="555"/>
      <c r="V17" s="554"/>
      <c r="W17" s="344"/>
      <c r="X17" s="517"/>
      <c r="Y17" s="360"/>
      <c r="Z17" s="344"/>
      <c r="AA17" s="555"/>
      <c r="AB17" s="554"/>
      <c r="AC17" s="344"/>
      <c r="AD17" s="517"/>
      <c r="AE17" s="554"/>
      <c r="AF17" s="344"/>
      <c r="AG17" s="517"/>
      <c r="AH17" s="554"/>
      <c r="AI17" s="344"/>
      <c r="AJ17" s="517"/>
      <c r="AK17" s="554"/>
      <c r="AL17" s="344"/>
      <c r="AM17" s="517"/>
      <c r="AN17" s="344"/>
      <c r="AO17" s="344"/>
      <c r="AP17" s="556"/>
      <c r="AQ17" s="269"/>
      <c r="AR17" s="269"/>
    </row>
    <row r="18" spans="2:44" ht="20.100000000000001" customHeight="1" x14ac:dyDescent="0.15">
      <c r="B18" s="856"/>
      <c r="C18" s="293"/>
      <c r="D18" s="547"/>
      <c r="E18" s="548"/>
      <c r="F18" s="802">
        <v>0</v>
      </c>
      <c r="G18" s="554"/>
      <c r="H18" s="344"/>
      <c r="I18" s="344"/>
      <c r="J18" s="554"/>
      <c r="K18" s="344"/>
      <c r="L18" s="517"/>
      <c r="M18" s="344"/>
      <c r="N18" s="344"/>
      <c r="O18" s="555"/>
      <c r="P18" s="554"/>
      <c r="Q18" s="344"/>
      <c r="R18" s="517"/>
      <c r="S18" s="360"/>
      <c r="T18" s="344"/>
      <c r="U18" s="555"/>
      <c r="V18" s="554"/>
      <c r="W18" s="344"/>
      <c r="X18" s="517"/>
      <c r="Y18" s="360"/>
      <c r="Z18" s="344"/>
      <c r="AA18" s="555"/>
      <c r="AB18" s="554"/>
      <c r="AC18" s="344"/>
      <c r="AD18" s="517"/>
      <c r="AE18" s="554"/>
      <c r="AF18" s="344"/>
      <c r="AG18" s="517"/>
      <c r="AH18" s="554"/>
      <c r="AI18" s="344"/>
      <c r="AJ18" s="517"/>
      <c r="AK18" s="554"/>
      <c r="AL18" s="344"/>
      <c r="AM18" s="517"/>
      <c r="AN18" s="344"/>
      <c r="AO18" s="344"/>
      <c r="AP18" s="556"/>
      <c r="AQ18" s="269"/>
      <c r="AR18" s="269"/>
    </row>
    <row r="19" spans="2:44" ht="20.100000000000001" customHeight="1" x14ac:dyDescent="0.15">
      <c r="B19" s="857"/>
      <c r="C19" s="293"/>
      <c r="D19" s="547"/>
      <c r="E19" s="548"/>
      <c r="F19" s="559"/>
      <c r="G19" s="560"/>
      <c r="H19" s="518"/>
      <c r="I19" s="518"/>
      <c r="J19" s="561"/>
      <c r="K19" s="562"/>
      <c r="L19" s="563"/>
      <c r="M19" s="518"/>
      <c r="N19" s="518"/>
      <c r="O19" s="564"/>
      <c r="P19" s="561"/>
      <c r="Q19" s="562"/>
      <c r="R19" s="563"/>
      <c r="S19" s="565"/>
      <c r="T19" s="518"/>
      <c r="U19" s="564"/>
      <c r="V19" s="561"/>
      <c r="W19" s="562"/>
      <c r="X19" s="563"/>
      <c r="Y19" s="565"/>
      <c r="Z19" s="518"/>
      <c r="AA19" s="564"/>
      <c r="AB19" s="561"/>
      <c r="AC19" s="562"/>
      <c r="AD19" s="563"/>
      <c r="AE19" s="561"/>
      <c r="AF19" s="562"/>
      <c r="AG19" s="563"/>
      <c r="AH19" s="561"/>
      <c r="AI19" s="562"/>
      <c r="AJ19" s="563"/>
      <c r="AK19" s="561"/>
      <c r="AL19" s="562"/>
      <c r="AM19" s="563"/>
      <c r="AN19" s="562"/>
      <c r="AO19" s="562"/>
      <c r="AP19" s="566"/>
      <c r="AQ19" s="269"/>
      <c r="AR19" s="269"/>
    </row>
    <row r="20" spans="2:44" ht="20.100000000000001" customHeight="1" x14ac:dyDescent="0.15">
      <c r="B20" s="914" t="s">
        <v>85</v>
      </c>
      <c r="C20" s="870"/>
      <c r="D20" s="871"/>
      <c r="E20" s="871"/>
      <c r="F20" s="871"/>
      <c r="G20" s="871"/>
      <c r="H20" s="871"/>
      <c r="I20" s="871"/>
      <c r="J20" s="871"/>
      <c r="K20" s="871"/>
      <c r="L20" s="871"/>
      <c r="M20" s="871"/>
      <c r="N20" s="871"/>
      <c r="O20" s="871"/>
      <c r="P20" s="871"/>
      <c r="Q20" s="871"/>
      <c r="R20" s="871"/>
      <c r="S20" s="871"/>
      <c r="T20" s="871"/>
      <c r="U20" s="871"/>
      <c r="V20" s="871"/>
      <c r="W20" s="871"/>
      <c r="X20" s="871"/>
      <c r="Y20" s="871"/>
      <c r="Z20" s="871"/>
      <c r="AA20" s="871"/>
      <c r="AB20" s="871"/>
      <c r="AC20" s="871"/>
      <c r="AD20" s="871"/>
      <c r="AE20" s="871"/>
      <c r="AF20" s="871"/>
      <c r="AG20" s="871"/>
      <c r="AH20" s="871"/>
      <c r="AI20" s="871"/>
      <c r="AJ20" s="871"/>
      <c r="AK20" s="871"/>
      <c r="AL20" s="871"/>
      <c r="AM20" s="871"/>
      <c r="AN20" s="871"/>
      <c r="AO20" s="871"/>
      <c r="AP20" s="872"/>
    </row>
    <row r="21" spans="2:44" ht="20.100000000000001" customHeight="1" x14ac:dyDescent="0.15">
      <c r="B21" s="915"/>
      <c r="C21" s="917" t="s">
        <v>591</v>
      </c>
      <c r="D21" s="918"/>
      <c r="E21" s="918"/>
      <c r="F21" s="918"/>
      <c r="G21" s="918"/>
      <c r="H21" s="918"/>
      <c r="I21" s="918"/>
      <c r="J21" s="918"/>
      <c r="K21" s="918"/>
      <c r="L21" s="918"/>
      <c r="M21" s="918"/>
      <c r="N21" s="918"/>
      <c r="O21" s="918"/>
      <c r="P21" s="918"/>
      <c r="Q21" s="918"/>
      <c r="R21" s="918"/>
      <c r="S21" s="918"/>
      <c r="T21" s="918"/>
      <c r="U21" s="918"/>
      <c r="V21" s="94"/>
      <c r="W21" s="94"/>
      <c r="Y21" s="873"/>
      <c r="Z21" s="873"/>
      <c r="AA21" s="873"/>
      <c r="AB21" s="873"/>
      <c r="AC21" s="94"/>
      <c r="AD21" s="94"/>
      <c r="AI21" s="94"/>
      <c r="AJ21" s="94"/>
      <c r="AK21" s="94"/>
      <c r="AL21" s="94"/>
      <c r="AM21" s="94"/>
      <c r="AN21" s="94"/>
      <c r="AO21" s="94"/>
      <c r="AP21" s="95"/>
    </row>
    <row r="22" spans="2:44" ht="20.100000000000001" customHeight="1" thickBot="1" x14ac:dyDescent="0.2">
      <c r="B22" s="916"/>
      <c r="C22" s="905"/>
      <c r="D22" s="906"/>
      <c r="E22" s="906"/>
      <c r="F22" s="906"/>
      <c r="G22" s="906"/>
      <c r="H22" s="906"/>
      <c r="I22" s="906"/>
      <c r="J22" s="906"/>
      <c r="K22" s="906"/>
      <c r="L22" s="906"/>
      <c r="M22" s="906"/>
      <c r="N22" s="906"/>
      <c r="O22" s="906"/>
      <c r="P22" s="906"/>
      <c r="Q22" s="906"/>
      <c r="R22" s="906"/>
      <c r="S22" s="906"/>
      <c r="T22" s="906"/>
      <c r="U22" s="906"/>
      <c r="V22" s="906"/>
      <c r="W22" s="906"/>
      <c r="X22" s="906"/>
      <c r="Y22" s="906"/>
      <c r="Z22" s="906"/>
      <c r="AA22" s="906"/>
      <c r="AB22" s="906"/>
      <c r="AC22" s="906"/>
      <c r="AD22" s="906"/>
      <c r="AE22" s="906"/>
      <c r="AF22" s="906"/>
      <c r="AG22" s="906"/>
      <c r="AH22" s="906"/>
      <c r="AI22" s="906"/>
      <c r="AJ22" s="906"/>
      <c r="AK22" s="906"/>
      <c r="AL22" s="906"/>
      <c r="AM22" s="906"/>
      <c r="AN22" s="906"/>
      <c r="AO22" s="906"/>
      <c r="AP22" s="907"/>
    </row>
    <row r="23" spans="2:44" ht="9.9499999999999993" customHeight="1" x14ac:dyDescent="0.15"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</row>
    <row r="24" spans="2:44" ht="24.95" customHeight="1" thickBot="1" x14ac:dyDescent="0.2">
      <c r="B24" s="90" t="s">
        <v>116</v>
      </c>
      <c r="D24" s="269" t="s">
        <v>630</v>
      </c>
    </row>
    <row r="25" spans="2:44" ht="20.100000000000001" customHeight="1" thickBot="1" x14ac:dyDescent="0.2">
      <c r="B25" s="908" t="s">
        <v>18</v>
      </c>
      <c r="C25" s="909"/>
      <c r="D25" s="909"/>
      <c r="E25" s="909"/>
      <c r="F25" s="909"/>
      <c r="G25" s="909"/>
      <c r="H25" s="909"/>
      <c r="I25" s="909"/>
      <c r="J25" s="909"/>
      <c r="K25" s="909"/>
      <c r="L25" s="909"/>
      <c r="M25" s="909"/>
      <c r="N25" s="910"/>
      <c r="O25" s="911" t="s">
        <v>17</v>
      </c>
      <c r="P25" s="912"/>
      <c r="Q25" s="912"/>
      <c r="R25" s="912"/>
      <c r="S25" s="912"/>
      <c r="T25" s="912"/>
      <c r="U25" s="912"/>
      <c r="V25" s="912"/>
      <c r="W25" s="912"/>
      <c r="X25" s="912"/>
      <c r="Y25" s="912"/>
      <c r="Z25" s="912"/>
      <c r="AA25" s="912"/>
      <c r="AB25" s="912"/>
      <c r="AC25" s="912"/>
      <c r="AD25" s="912"/>
      <c r="AE25" s="912"/>
      <c r="AF25" s="912"/>
      <c r="AG25" s="912"/>
      <c r="AH25" s="912"/>
      <c r="AI25" s="912"/>
      <c r="AJ25" s="912"/>
      <c r="AK25" s="912"/>
      <c r="AL25" s="912"/>
      <c r="AM25" s="912"/>
      <c r="AN25" s="912"/>
      <c r="AO25" s="912"/>
      <c r="AP25" s="913"/>
    </row>
    <row r="26" spans="2:44" ht="19.899999999999999" customHeight="1" x14ac:dyDescent="0.15">
      <c r="B26" s="885" t="s">
        <v>13</v>
      </c>
      <c r="C26" s="886"/>
      <c r="D26" s="887"/>
      <c r="E26" s="891" t="s">
        <v>606</v>
      </c>
      <c r="F26" s="892"/>
      <c r="G26" s="892"/>
      <c r="H26" s="892"/>
      <c r="I26" s="892"/>
      <c r="J26" s="892"/>
      <c r="K26" s="892"/>
      <c r="L26" s="892"/>
      <c r="M26" s="892"/>
      <c r="N26" s="893"/>
      <c r="O26" s="926" t="s">
        <v>716</v>
      </c>
      <c r="P26" s="886"/>
      <c r="Q26" s="886"/>
      <c r="R26" s="886"/>
      <c r="S26" s="887"/>
      <c r="T26" s="927" t="s">
        <v>333</v>
      </c>
      <c r="U26" s="920"/>
      <c r="V26" s="920"/>
      <c r="W26" s="920"/>
      <c r="X26" s="920"/>
      <c r="Y26" s="920"/>
      <c r="Z26" s="339"/>
      <c r="AA26" s="339"/>
      <c r="AB26" s="339">
        <v>5</v>
      </c>
      <c r="AC26" s="921" t="s">
        <v>320</v>
      </c>
      <c r="AD26" s="922"/>
      <c r="AE26" s="919" t="s">
        <v>334</v>
      </c>
      <c r="AF26" s="920"/>
      <c r="AG26" s="920"/>
      <c r="AH26" s="920"/>
      <c r="AI26" s="920"/>
      <c r="AJ26" s="920"/>
      <c r="AK26" s="339"/>
      <c r="AL26" s="339"/>
      <c r="AM26" s="339">
        <v>10</v>
      </c>
      <c r="AN26" s="923" t="s">
        <v>320</v>
      </c>
      <c r="AO26" s="924"/>
      <c r="AP26" s="925"/>
    </row>
    <row r="27" spans="2:44" ht="19.899999999999999" customHeight="1" x14ac:dyDescent="0.15">
      <c r="B27" s="888"/>
      <c r="C27" s="889"/>
      <c r="D27" s="890"/>
      <c r="E27" s="894"/>
      <c r="F27" s="895"/>
      <c r="G27" s="895"/>
      <c r="H27" s="895"/>
      <c r="I27" s="895"/>
      <c r="J27" s="895"/>
      <c r="K27" s="895"/>
      <c r="L27" s="895"/>
      <c r="M27" s="895"/>
      <c r="N27" s="896"/>
      <c r="O27" s="888"/>
      <c r="P27" s="889"/>
      <c r="Q27" s="889"/>
      <c r="R27" s="889"/>
      <c r="S27" s="890"/>
      <c r="T27" s="928"/>
      <c r="U27" s="929"/>
      <c r="V27" s="929"/>
      <c r="W27" s="929"/>
      <c r="X27" s="929"/>
      <c r="Y27" s="929"/>
      <c r="Z27" s="340"/>
      <c r="AA27" s="340"/>
      <c r="AB27" s="340"/>
      <c r="AC27" s="930"/>
      <c r="AD27" s="930"/>
      <c r="AE27" s="933" t="s">
        <v>341</v>
      </c>
      <c r="AF27" s="929"/>
      <c r="AG27" s="929"/>
      <c r="AH27" s="929"/>
      <c r="AI27" s="929"/>
      <c r="AJ27" s="929"/>
      <c r="AK27" s="340"/>
      <c r="AL27" s="340"/>
      <c r="AM27" s="340">
        <v>5</v>
      </c>
      <c r="AN27" s="931" t="s">
        <v>319</v>
      </c>
      <c r="AO27" s="931"/>
      <c r="AP27" s="932"/>
    </row>
    <row r="28" spans="2:44" ht="19.899999999999999" customHeight="1" x14ac:dyDescent="0.15">
      <c r="B28" s="888"/>
      <c r="C28" s="889"/>
      <c r="D28" s="890"/>
      <c r="E28" s="894"/>
      <c r="F28" s="895"/>
      <c r="G28" s="895"/>
      <c r="H28" s="895"/>
      <c r="I28" s="895"/>
      <c r="J28" s="895"/>
      <c r="K28" s="895"/>
      <c r="L28" s="895"/>
      <c r="M28" s="895"/>
      <c r="N28" s="896"/>
      <c r="O28" s="888"/>
      <c r="P28" s="889"/>
      <c r="Q28" s="889"/>
      <c r="R28" s="889"/>
      <c r="S28" s="890"/>
      <c r="T28" s="928"/>
      <c r="U28" s="929"/>
      <c r="V28" s="929"/>
      <c r="W28" s="929"/>
      <c r="X28" s="929"/>
      <c r="Y28" s="929"/>
      <c r="Z28" s="340"/>
      <c r="AA28" s="340"/>
      <c r="AB28" s="340"/>
      <c r="AC28" s="930"/>
      <c r="AD28" s="930"/>
      <c r="AE28" s="934" t="s">
        <v>340</v>
      </c>
      <c r="AF28" s="935"/>
      <c r="AG28" s="935"/>
      <c r="AH28" s="935"/>
      <c r="AI28" s="935"/>
      <c r="AJ28" s="935"/>
      <c r="AK28" s="340"/>
      <c r="AL28" s="340"/>
      <c r="AM28" s="340">
        <v>8</v>
      </c>
      <c r="AN28" s="931" t="s">
        <v>319</v>
      </c>
      <c r="AO28" s="931"/>
      <c r="AP28" s="932"/>
    </row>
    <row r="29" spans="2:44" ht="19.5" customHeight="1" x14ac:dyDescent="0.15">
      <c r="B29" s="900" t="s">
        <v>14</v>
      </c>
      <c r="C29" s="901"/>
      <c r="D29" s="901"/>
      <c r="E29" s="902" t="s">
        <v>392</v>
      </c>
      <c r="F29" s="903"/>
      <c r="G29" s="903"/>
      <c r="H29" s="903"/>
      <c r="I29" s="903"/>
      <c r="J29" s="903"/>
      <c r="K29" s="903"/>
      <c r="L29" s="903"/>
      <c r="M29" s="903"/>
      <c r="N29" s="904"/>
      <c r="O29" s="940" t="s">
        <v>11</v>
      </c>
      <c r="P29" s="901"/>
      <c r="Q29" s="901"/>
      <c r="R29" s="901"/>
      <c r="S29" s="901"/>
      <c r="T29" s="902" t="s">
        <v>602</v>
      </c>
      <c r="U29" s="903"/>
      <c r="V29" s="903"/>
      <c r="W29" s="903"/>
      <c r="X29" s="903"/>
      <c r="Y29" s="903"/>
      <c r="Z29" s="903"/>
      <c r="AA29" s="903"/>
      <c r="AB29" s="903"/>
      <c r="AC29" s="903"/>
      <c r="AD29" s="903"/>
      <c r="AE29" s="903"/>
      <c r="AF29" s="903"/>
      <c r="AG29" s="903"/>
      <c r="AH29" s="903"/>
      <c r="AI29" s="903"/>
      <c r="AJ29" s="903"/>
      <c r="AK29" s="903"/>
      <c r="AL29" s="903"/>
      <c r="AM29" s="903"/>
      <c r="AN29" s="903"/>
      <c r="AO29" s="903"/>
      <c r="AP29" s="904"/>
    </row>
    <row r="30" spans="2:44" ht="38.25" customHeight="1" x14ac:dyDescent="0.15">
      <c r="B30" s="900" t="s">
        <v>15</v>
      </c>
      <c r="C30" s="901"/>
      <c r="D30" s="901"/>
      <c r="E30" s="902" t="s">
        <v>604</v>
      </c>
      <c r="F30" s="903"/>
      <c r="G30" s="903"/>
      <c r="H30" s="903"/>
      <c r="I30" s="903"/>
      <c r="J30" s="903"/>
      <c r="K30" s="903"/>
      <c r="L30" s="903"/>
      <c r="M30" s="903"/>
      <c r="N30" s="904"/>
      <c r="O30" s="940" t="s">
        <v>12</v>
      </c>
      <c r="P30" s="901"/>
      <c r="Q30" s="901"/>
      <c r="R30" s="901"/>
      <c r="S30" s="901"/>
      <c r="T30" s="902" t="s">
        <v>719</v>
      </c>
      <c r="U30" s="903"/>
      <c r="V30" s="903"/>
      <c r="W30" s="903"/>
      <c r="X30" s="903"/>
      <c r="Y30" s="903"/>
      <c r="Z30" s="903"/>
      <c r="AA30" s="903"/>
      <c r="AB30" s="903"/>
      <c r="AC30" s="903"/>
      <c r="AD30" s="903"/>
      <c r="AE30" s="903"/>
      <c r="AF30" s="903"/>
      <c r="AG30" s="903"/>
      <c r="AH30" s="903"/>
      <c r="AI30" s="903"/>
      <c r="AJ30" s="903"/>
      <c r="AK30" s="903"/>
      <c r="AL30" s="903"/>
      <c r="AM30" s="903"/>
      <c r="AN30" s="903"/>
      <c r="AO30" s="903"/>
      <c r="AP30" s="904"/>
    </row>
    <row r="31" spans="2:44" ht="39" customHeight="1" thickBot="1" x14ac:dyDescent="0.2">
      <c r="B31" s="943" t="s">
        <v>16</v>
      </c>
      <c r="C31" s="942"/>
      <c r="D31" s="942"/>
      <c r="E31" s="897" t="s">
        <v>603</v>
      </c>
      <c r="F31" s="898"/>
      <c r="G31" s="898"/>
      <c r="H31" s="898"/>
      <c r="I31" s="898"/>
      <c r="J31" s="898"/>
      <c r="K31" s="898"/>
      <c r="L31" s="898"/>
      <c r="M31" s="898"/>
      <c r="N31" s="899"/>
      <c r="O31" s="941"/>
      <c r="P31" s="942"/>
      <c r="Q31" s="942"/>
      <c r="R31" s="942"/>
      <c r="S31" s="942"/>
      <c r="T31" s="898"/>
      <c r="U31" s="898"/>
      <c r="V31" s="898"/>
      <c r="W31" s="898"/>
      <c r="X31" s="898"/>
      <c r="Y31" s="898"/>
      <c r="Z31" s="898"/>
      <c r="AA31" s="898"/>
      <c r="AB31" s="898"/>
      <c r="AC31" s="898"/>
      <c r="AD31" s="898"/>
      <c r="AE31" s="898"/>
      <c r="AF31" s="898"/>
      <c r="AG31" s="898"/>
      <c r="AH31" s="898"/>
      <c r="AI31" s="898"/>
      <c r="AJ31" s="898"/>
      <c r="AK31" s="898"/>
      <c r="AL31" s="898"/>
      <c r="AM31" s="898"/>
      <c r="AN31" s="898"/>
      <c r="AO31" s="898"/>
      <c r="AP31" s="899"/>
    </row>
    <row r="32" spans="2:44" ht="9.75" customHeight="1" x14ac:dyDescent="0.15">
      <c r="B32" s="91"/>
    </row>
    <row r="33" spans="2:42" ht="24" customHeight="1" thickBot="1" x14ac:dyDescent="0.2">
      <c r="D33" s="269" t="s">
        <v>631</v>
      </c>
    </row>
    <row r="34" spans="2:42" ht="20.100000000000001" customHeight="1" thickBot="1" x14ac:dyDescent="0.2">
      <c r="B34" s="908" t="s">
        <v>18</v>
      </c>
      <c r="C34" s="909"/>
      <c r="D34" s="909"/>
      <c r="E34" s="909"/>
      <c r="F34" s="909"/>
      <c r="G34" s="909"/>
      <c r="H34" s="909"/>
      <c r="I34" s="909"/>
      <c r="J34" s="909"/>
      <c r="K34" s="909"/>
      <c r="L34" s="909"/>
      <c r="M34" s="909"/>
      <c r="N34" s="910"/>
      <c r="O34" s="911" t="s">
        <v>17</v>
      </c>
      <c r="P34" s="912"/>
      <c r="Q34" s="912"/>
      <c r="R34" s="912"/>
      <c r="S34" s="912"/>
      <c r="T34" s="912"/>
      <c r="U34" s="912"/>
      <c r="V34" s="912"/>
      <c r="W34" s="912"/>
      <c r="X34" s="912"/>
      <c r="Y34" s="912"/>
      <c r="Z34" s="912"/>
      <c r="AA34" s="912"/>
      <c r="AB34" s="912"/>
      <c r="AC34" s="912"/>
      <c r="AD34" s="912"/>
      <c r="AE34" s="912"/>
      <c r="AF34" s="912"/>
      <c r="AG34" s="912"/>
      <c r="AH34" s="912"/>
      <c r="AI34" s="912"/>
      <c r="AJ34" s="912"/>
      <c r="AK34" s="912"/>
      <c r="AL34" s="912"/>
      <c r="AM34" s="912"/>
      <c r="AN34" s="912"/>
      <c r="AO34" s="912"/>
      <c r="AP34" s="913"/>
    </row>
    <row r="35" spans="2:42" ht="19.899999999999999" customHeight="1" x14ac:dyDescent="0.15">
      <c r="B35" s="952" t="s">
        <v>13</v>
      </c>
      <c r="C35" s="953"/>
      <c r="D35" s="954"/>
      <c r="E35" s="955" t="s">
        <v>605</v>
      </c>
      <c r="F35" s="956"/>
      <c r="G35" s="956"/>
      <c r="H35" s="956"/>
      <c r="I35" s="956"/>
      <c r="J35" s="956"/>
      <c r="K35" s="956"/>
      <c r="L35" s="956"/>
      <c r="M35" s="956"/>
      <c r="N35" s="957"/>
      <c r="O35" s="936" t="s">
        <v>716</v>
      </c>
      <c r="P35" s="889"/>
      <c r="Q35" s="889"/>
      <c r="R35" s="889"/>
      <c r="S35" s="890"/>
      <c r="T35" s="928" t="s">
        <v>412</v>
      </c>
      <c r="U35" s="929"/>
      <c r="V35" s="929"/>
      <c r="W35" s="929"/>
      <c r="X35" s="929"/>
      <c r="Y35" s="929"/>
      <c r="Z35" s="340"/>
      <c r="AA35" s="340"/>
      <c r="AB35" s="340">
        <v>2</v>
      </c>
      <c r="AC35" s="961" t="s">
        <v>320</v>
      </c>
      <c r="AD35" s="930"/>
      <c r="AE35" s="933" t="s">
        <v>540</v>
      </c>
      <c r="AF35" s="929"/>
      <c r="AG35" s="929"/>
      <c r="AH35" s="929"/>
      <c r="AI35" s="929"/>
      <c r="AJ35" s="929"/>
      <c r="AK35" s="340"/>
      <c r="AL35" s="340"/>
      <c r="AM35" s="479">
        <v>0.8</v>
      </c>
      <c r="AN35" s="962" t="s">
        <v>320</v>
      </c>
      <c r="AO35" s="931"/>
      <c r="AP35" s="932"/>
    </row>
    <row r="36" spans="2:42" ht="24" customHeight="1" x14ac:dyDescent="0.15">
      <c r="B36" s="937"/>
      <c r="C36" s="938"/>
      <c r="D36" s="939"/>
      <c r="E36" s="958"/>
      <c r="F36" s="959"/>
      <c r="G36" s="959"/>
      <c r="H36" s="959"/>
      <c r="I36" s="959"/>
      <c r="J36" s="959"/>
      <c r="K36" s="959"/>
      <c r="L36" s="959"/>
      <c r="M36" s="959"/>
      <c r="N36" s="960"/>
      <c r="O36" s="937"/>
      <c r="P36" s="938"/>
      <c r="Q36" s="938"/>
      <c r="R36" s="938"/>
      <c r="S36" s="939"/>
      <c r="T36" s="944"/>
      <c r="U36" s="945"/>
      <c r="V36" s="945"/>
      <c r="W36" s="945"/>
      <c r="X36" s="945"/>
      <c r="Y36" s="945"/>
      <c r="Z36" s="341"/>
      <c r="AA36" s="341"/>
      <c r="AB36" s="358"/>
      <c r="AC36" s="946"/>
      <c r="AD36" s="947"/>
      <c r="AE36" s="948" t="s">
        <v>541</v>
      </c>
      <c r="AF36" s="945"/>
      <c r="AG36" s="945"/>
      <c r="AH36" s="945"/>
      <c r="AI36" s="945"/>
      <c r="AJ36" s="945"/>
      <c r="AK36" s="341"/>
      <c r="AL36" s="341"/>
      <c r="AM36" s="480">
        <v>1.2</v>
      </c>
      <c r="AN36" s="949" t="s">
        <v>320</v>
      </c>
      <c r="AO36" s="950"/>
      <c r="AP36" s="951"/>
    </row>
    <row r="37" spans="2:42" ht="34.5" customHeight="1" x14ac:dyDescent="0.15">
      <c r="B37" s="900" t="s">
        <v>14</v>
      </c>
      <c r="C37" s="901"/>
      <c r="D37" s="901"/>
      <c r="E37" s="902" t="s">
        <v>392</v>
      </c>
      <c r="F37" s="903"/>
      <c r="G37" s="903"/>
      <c r="H37" s="903"/>
      <c r="I37" s="903"/>
      <c r="J37" s="903"/>
      <c r="K37" s="903"/>
      <c r="L37" s="903"/>
      <c r="M37" s="903"/>
      <c r="N37" s="904"/>
      <c r="O37" s="940" t="s">
        <v>11</v>
      </c>
      <c r="P37" s="901"/>
      <c r="Q37" s="901"/>
      <c r="R37" s="901"/>
      <c r="S37" s="901"/>
      <c r="T37" s="902" t="s">
        <v>608</v>
      </c>
      <c r="U37" s="903"/>
      <c r="V37" s="903"/>
      <c r="W37" s="903"/>
      <c r="X37" s="903"/>
      <c r="Y37" s="903"/>
      <c r="Z37" s="903"/>
      <c r="AA37" s="903"/>
      <c r="AB37" s="903"/>
      <c r="AC37" s="903"/>
      <c r="AD37" s="903"/>
      <c r="AE37" s="903"/>
      <c r="AF37" s="903"/>
      <c r="AG37" s="903"/>
      <c r="AH37" s="903"/>
      <c r="AI37" s="903"/>
      <c r="AJ37" s="903"/>
      <c r="AK37" s="903"/>
      <c r="AL37" s="903"/>
      <c r="AM37" s="903"/>
      <c r="AN37" s="903"/>
      <c r="AO37" s="903"/>
      <c r="AP37" s="904"/>
    </row>
    <row r="38" spans="2:42" ht="38.25" customHeight="1" x14ac:dyDescent="0.15">
      <c r="B38" s="900" t="s">
        <v>15</v>
      </c>
      <c r="C38" s="901"/>
      <c r="D38" s="901"/>
      <c r="E38" s="902" t="s">
        <v>607</v>
      </c>
      <c r="F38" s="903"/>
      <c r="G38" s="903"/>
      <c r="H38" s="903"/>
      <c r="I38" s="903"/>
      <c r="J38" s="903"/>
      <c r="K38" s="903"/>
      <c r="L38" s="903"/>
      <c r="M38" s="903"/>
      <c r="N38" s="904"/>
      <c r="O38" s="940" t="s">
        <v>12</v>
      </c>
      <c r="P38" s="901"/>
      <c r="Q38" s="901"/>
      <c r="R38" s="901"/>
      <c r="S38" s="901"/>
      <c r="T38" s="902" t="s">
        <v>610</v>
      </c>
      <c r="U38" s="903"/>
      <c r="V38" s="903"/>
      <c r="W38" s="903"/>
      <c r="X38" s="903"/>
      <c r="Y38" s="903"/>
      <c r="Z38" s="903"/>
      <c r="AA38" s="903"/>
      <c r="AB38" s="903"/>
      <c r="AC38" s="903"/>
      <c r="AD38" s="903"/>
      <c r="AE38" s="903"/>
      <c r="AF38" s="903"/>
      <c r="AG38" s="903"/>
      <c r="AH38" s="903"/>
      <c r="AI38" s="903"/>
      <c r="AJ38" s="903"/>
      <c r="AK38" s="903"/>
      <c r="AL38" s="903"/>
      <c r="AM38" s="903"/>
      <c r="AN38" s="903"/>
      <c r="AO38" s="903"/>
      <c r="AP38" s="904"/>
    </row>
    <row r="39" spans="2:42" ht="38.25" customHeight="1" thickBot="1" x14ac:dyDescent="0.2">
      <c r="B39" s="943" t="s">
        <v>16</v>
      </c>
      <c r="C39" s="942"/>
      <c r="D39" s="942"/>
      <c r="E39" s="897" t="s">
        <v>609</v>
      </c>
      <c r="F39" s="898"/>
      <c r="G39" s="898"/>
      <c r="H39" s="898"/>
      <c r="I39" s="898"/>
      <c r="J39" s="898"/>
      <c r="K39" s="898"/>
      <c r="L39" s="898"/>
      <c r="M39" s="898"/>
      <c r="N39" s="899"/>
      <c r="O39" s="941"/>
      <c r="P39" s="942"/>
      <c r="Q39" s="942"/>
      <c r="R39" s="942"/>
      <c r="S39" s="942"/>
      <c r="T39" s="898"/>
      <c r="U39" s="898"/>
      <c r="V39" s="898"/>
      <c r="W39" s="898"/>
      <c r="X39" s="898"/>
      <c r="Y39" s="898"/>
      <c r="Z39" s="898"/>
      <c r="AA39" s="898"/>
      <c r="AB39" s="898"/>
      <c r="AC39" s="898"/>
      <c r="AD39" s="898"/>
      <c r="AE39" s="898"/>
      <c r="AF39" s="898"/>
      <c r="AG39" s="898"/>
      <c r="AH39" s="898"/>
      <c r="AI39" s="898"/>
      <c r="AJ39" s="898"/>
      <c r="AK39" s="898"/>
      <c r="AL39" s="898"/>
      <c r="AM39" s="898"/>
      <c r="AN39" s="898"/>
      <c r="AO39" s="898"/>
      <c r="AP39" s="899"/>
    </row>
  </sheetData>
  <mergeCells count="115">
    <mergeCell ref="B38:D38"/>
    <mergeCell ref="E38:N38"/>
    <mergeCell ref="O38:S39"/>
    <mergeCell ref="T38:AP39"/>
    <mergeCell ref="B39:D39"/>
    <mergeCell ref="E39:N39"/>
    <mergeCell ref="T36:Y36"/>
    <mergeCell ref="AC36:AD36"/>
    <mergeCell ref="AE36:AJ36"/>
    <mergeCell ref="AN36:AP36"/>
    <mergeCell ref="B37:D37"/>
    <mergeCell ref="E37:N37"/>
    <mergeCell ref="O37:S37"/>
    <mergeCell ref="T37:AP37"/>
    <mergeCell ref="B35:D36"/>
    <mergeCell ref="E35:N36"/>
    <mergeCell ref="T35:Y35"/>
    <mergeCell ref="AC35:AD35"/>
    <mergeCell ref="AE35:AJ35"/>
    <mergeCell ref="AN35:AP35"/>
    <mergeCell ref="B34:N34"/>
    <mergeCell ref="O34:AP34"/>
    <mergeCell ref="O35:S36"/>
    <mergeCell ref="O29:S29"/>
    <mergeCell ref="T29:AP29"/>
    <mergeCell ref="B30:D30"/>
    <mergeCell ref="E30:N30"/>
    <mergeCell ref="O30:S31"/>
    <mergeCell ref="T30:AP31"/>
    <mergeCell ref="B31:D31"/>
    <mergeCell ref="B26:D28"/>
    <mergeCell ref="E26:N28"/>
    <mergeCell ref="E31:N31"/>
    <mergeCell ref="B29:D29"/>
    <mergeCell ref="E29:N29"/>
    <mergeCell ref="C22:AP22"/>
    <mergeCell ref="B25:N25"/>
    <mergeCell ref="O25:AP25"/>
    <mergeCell ref="B20:B22"/>
    <mergeCell ref="C21:U21"/>
    <mergeCell ref="AE26:AJ26"/>
    <mergeCell ref="AC26:AD26"/>
    <mergeCell ref="AN26:AP26"/>
    <mergeCell ref="O26:S28"/>
    <mergeCell ref="T26:Y26"/>
    <mergeCell ref="T27:Y27"/>
    <mergeCell ref="AC27:AD27"/>
    <mergeCell ref="AN28:AP28"/>
    <mergeCell ref="AE27:AJ27"/>
    <mergeCell ref="T28:Y28"/>
    <mergeCell ref="AC28:AD28"/>
    <mergeCell ref="AE28:AJ28"/>
    <mergeCell ref="AN27:AP27"/>
    <mergeCell ref="AN12:AP12"/>
    <mergeCell ref="AB12:AD12"/>
    <mergeCell ref="AE12:AG12"/>
    <mergeCell ref="C20:AP20"/>
    <mergeCell ref="Y21:AB21"/>
    <mergeCell ref="M16:O16"/>
    <mergeCell ref="G15:I15"/>
    <mergeCell ref="Q11:X11"/>
    <mergeCell ref="Y11:AA11"/>
    <mergeCell ref="AH12:AJ12"/>
    <mergeCell ref="AK12:AM12"/>
    <mergeCell ref="P12:R12"/>
    <mergeCell ref="S12:U12"/>
    <mergeCell ref="V12:X12"/>
    <mergeCell ref="Y12:AA12"/>
    <mergeCell ref="N11:P11"/>
    <mergeCell ref="C12:E12"/>
    <mergeCell ref="G12:I12"/>
    <mergeCell ref="J12:L12"/>
    <mergeCell ref="M12:O12"/>
    <mergeCell ref="B10:C10"/>
    <mergeCell ref="D10:G10"/>
    <mergeCell ref="B11:C11"/>
    <mergeCell ref="D11:G11"/>
    <mergeCell ref="H11:M11"/>
    <mergeCell ref="B12:B19"/>
    <mergeCell ref="Q8:X8"/>
    <mergeCell ref="Y8:AA8"/>
    <mergeCell ref="Q9:X9"/>
    <mergeCell ref="Y9:AA9"/>
    <mergeCell ref="Q10:X10"/>
    <mergeCell ref="Y10:AA10"/>
    <mergeCell ref="B9:C9"/>
    <mergeCell ref="D9:G9"/>
    <mergeCell ref="H9:M9"/>
    <mergeCell ref="N9:P9"/>
    <mergeCell ref="B8:C8"/>
    <mergeCell ref="D8:G8"/>
    <mergeCell ref="H8:M8"/>
    <mergeCell ref="N8:P8"/>
    <mergeCell ref="H10:M10"/>
    <mergeCell ref="N10:P10"/>
    <mergeCell ref="Q7:X7"/>
    <mergeCell ref="Y7:AA7"/>
    <mergeCell ref="B6:G6"/>
    <mergeCell ref="H6:M6"/>
    <mergeCell ref="N6:P6"/>
    <mergeCell ref="B7:C7"/>
    <mergeCell ref="D7:G7"/>
    <mergeCell ref="H7:M7"/>
    <mergeCell ref="N7:P7"/>
    <mergeCell ref="Q6:X6"/>
    <mergeCell ref="C2:D2"/>
    <mergeCell ref="F2:N2"/>
    <mergeCell ref="Y6:AA6"/>
    <mergeCell ref="B5:C5"/>
    <mergeCell ref="D5:G5"/>
    <mergeCell ref="H5:AA5"/>
    <mergeCell ref="Y2:AA2"/>
    <mergeCell ref="O2:Q2"/>
    <mergeCell ref="R2:U2"/>
    <mergeCell ref="V2:X2"/>
  </mergeCells>
  <phoneticPr fontId="3"/>
  <pageMargins left="0.78740157480314965" right="0.78740157480314965" top="0.78740157480314965" bottom="0.78740157480314965" header="0.39370078740157483" footer="0.39370078740157483"/>
  <pageSetup paperSize="9" scale="60" orientation="landscape" r:id="rId1"/>
  <headerFooter alignWithMargins="0">
    <oddHeader xml:space="preserve">&amp;R
</oddHeader>
    <oddFooter xml:space="preserve">&amp;R
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9"/>
  <sheetViews>
    <sheetView topLeftCell="B1" zoomScale="75" zoomScaleNormal="75" workbookViewId="0"/>
  </sheetViews>
  <sheetFormatPr defaultColWidth="10.875" defaultRowHeight="13.5" x14ac:dyDescent="0.15"/>
  <cols>
    <col min="1" max="1" width="1.625" style="97" customWidth="1"/>
    <col min="2" max="2" width="5.875" style="97" customWidth="1"/>
    <col min="3" max="3" width="10.625" style="97" customWidth="1"/>
    <col min="4" max="4" width="12.375" style="97" customWidth="1"/>
    <col min="5" max="5" width="14.625" style="97" customWidth="1"/>
    <col min="6" max="7" width="15.875" style="97" customWidth="1"/>
    <col min="8" max="8" width="10.875" style="97"/>
    <col min="9" max="9" width="11.375" style="97" bestFit="1" customWidth="1"/>
    <col min="10" max="10" width="13.375" style="97" customWidth="1"/>
    <col min="11" max="11" width="7.125" style="97" customWidth="1"/>
    <col min="12" max="12" width="15.375" style="97" customWidth="1"/>
    <col min="13" max="13" width="9.375" style="97" bestFit="1" customWidth="1"/>
    <col min="14" max="14" width="10.875" style="97"/>
    <col min="15" max="15" width="7.25" style="97" customWidth="1"/>
    <col min="16" max="16" width="9.625" style="97" customWidth="1"/>
    <col min="17" max="17" width="10.875" style="97" customWidth="1"/>
    <col min="18" max="18" width="7.5" style="97" customWidth="1"/>
    <col min="19" max="19" width="3.75" style="97" customWidth="1"/>
    <col min="20" max="16384" width="10.875" style="97"/>
  </cols>
  <sheetData>
    <row r="1" spans="2:19" s="98" customFormat="1" ht="9.9499999999999993" customHeight="1" x14ac:dyDescent="0.15"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</row>
    <row r="2" spans="2:19" s="98" customFormat="1" ht="24.95" customHeight="1" thickBot="1" x14ac:dyDescent="0.2">
      <c r="B2" s="98" t="s">
        <v>383</v>
      </c>
      <c r="H2" s="99" t="s">
        <v>261</v>
      </c>
      <c r="I2" s="3" t="s">
        <v>384</v>
      </c>
      <c r="K2" s="99" t="s">
        <v>262</v>
      </c>
      <c r="L2" s="3" t="s">
        <v>263</v>
      </c>
      <c r="N2" s="97"/>
      <c r="O2" s="97"/>
      <c r="Q2" s="4"/>
      <c r="R2" s="4"/>
    </row>
    <row r="3" spans="2:19" s="98" customFormat="1" ht="18" customHeight="1" x14ac:dyDescent="0.15">
      <c r="B3" s="1134" t="s">
        <v>19</v>
      </c>
      <c r="C3" s="1135"/>
      <c r="D3" s="1135"/>
      <c r="E3" s="1136"/>
      <c r="F3" s="288" t="s">
        <v>20</v>
      </c>
      <c r="G3" s="101"/>
      <c r="H3" s="102" t="s">
        <v>21</v>
      </c>
      <c r="I3" s="100"/>
      <c r="J3" s="675"/>
      <c r="K3" s="1214" t="s">
        <v>226</v>
      </c>
      <c r="L3" s="1215"/>
      <c r="M3" s="1215"/>
      <c r="N3" s="1215"/>
      <c r="O3" s="1215"/>
      <c r="P3" s="1215"/>
      <c r="Q3" s="1215"/>
      <c r="R3" s="1215"/>
      <c r="S3" s="1216"/>
    </row>
    <row r="4" spans="2:19" s="98" customFormat="1" ht="18" customHeight="1" x14ac:dyDescent="0.15">
      <c r="B4" s="1132" t="s">
        <v>22</v>
      </c>
      <c r="C4" s="1133"/>
      <c r="D4" s="197" t="s">
        <v>219</v>
      </c>
      <c r="E4" s="216"/>
      <c r="F4" s="209">
        <f>+R11</f>
        <v>860000</v>
      </c>
      <c r="G4" s="1179" t="s">
        <v>197</v>
      </c>
      <c r="H4" s="1180"/>
      <c r="I4" s="1180"/>
      <c r="J4" s="1219"/>
      <c r="K4" s="684" t="s">
        <v>53</v>
      </c>
      <c r="L4" s="685" t="s">
        <v>266</v>
      </c>
      <c r="M4" s="628" t="s">
        <v>23</v>
      </c>
      <c r="N4" s="628" t="s">
        <v>22</v>
      </c>
      <c r="O4" s="628" t="s">
        <v>53</v>
      </c>
      <c r="P4" s="685" t="s">
        <v>266</v>
      </c>
      <c r="Q4" s="628" t="s">
        <v>23</v>
      </c>
      <c r="R4" s="1217" t="s">
        <v>22</v>
      </c>
      <c r="S4" s="1218"/>
    </row>
    <row r="5" spans="2:19" s="98" customFormat="1" ht="18" customHeight="1" x14ac:dyDescent="0.15">
      <c r="B5" s="1132"/>
      <c r="C5" s="1133"/>
      <c r="D5" s="197" t="s">
        <v>89</v>
      </c>
      <c r="E5" s="216"/>
      <c r="F5" s="209">
        <v>0</v>
      </c>
      <c r="G5" s="165"/>
      <c r="H5" s="217"/>
      <c r="I5" s="217"/>
      <c r="J5" s="184"/>
      <c r="K5" s="695" t="s">
        <v>344</v>
      </c>
      <c r="L5" s="212">
        <f>6000*('１　対象経営の概要，２　前提条件'!AM27)/('１　対象経営の概要，２　前提条件'!AB27+'１　対象経営の概要，２　前提条件'!AM27)</f>
        <v>6000</v>
      </c>
      <c r="M5" s="212">
        <f>'９－２　水稲（食用その他）単価算出基礎 '!O7</f>
        <v>143.33333333333334</v>
      </c>
      <c r="N5" s="212">
        <f>L5*M5</f>
        <v>860000</v>
      </c>
      <c r="O5" s="392"/>
      <c r="P5" s="392"/>
      <c r="Q5" s="392"/>
      <c r="R5" s="1199"/>
      <c r="S5" s="1200"/>
    </row>
    <row r="6" spans="2:19" s="98" customFormat="1" ht="18" customHeight="1" x14ac:dyDescent="0.15">
      <c r="B6" s="1140" t="s">
        <v>224</v>
      </c>
      <c r="C6" s="1137" t="s">
        <v>210</v>
      </c>
      <c r="D6" s="209" t="s">
        <v>56</v>
      </c>
      <c r="E6" s="218"/>
      <c r="F6" s="209">
        <f>P15</f>
        <v>11000</v>
      </c>
      <c r="G6" s="165" t="s">
        <v>198</v>
      </c>
      <c r="H6" s="217"/>
      <c r="I6" s="217"/>
      <c r="J6" s="184"/>
      <c r="K6" s="686"/>
      <c r="L6" s="669"/>
      <c r="M6" s="669"/>
      <c r="N6" s="669"/>
      <c r="O6" s="211"/>
      <c r="P6" s="392"/>
      <c r="Q6" s="392"/>
      <c r="R6" s="1199"/>
      <c r="S6" s="1200"/>
    </row>
    <row r="7" spans="2:19" s="98" customFormat="1" ht="18" customHeight="1" x14ac:dyDescent="0.15">
      <c r="B7" s="1141"/>
      <c r="C7" s="1138"/>
      <c r="D7" s="209" t="s">
        <v>57</v>
      </c>
      <c r="E7" s="218"/>
      <c r="F7" s="209">
        <f>P22</f>
        <v>154789.15</v>
      </c>
      <c r="G7" s="1179" t="s">
        <v>322</v>
      </c>
      <c r="H7" s="1180"/>
      <c r="I7" s="1180"/>
      <c r="J7" s="1219"/>
      <c r="K7" s="687"/>
      <c r="L7" s="627"/>
      <c r="M7" s="392"/>
      <c r="N7" s="392"/>
      <c r="O7" s="392"/>
      <c r="P7" s="392"/>
      <c r="Q7" s="392"/>
      <c r="R7" s="1199"/>
      <c r="S7" s="1200"/>
    </row>
    <row r="8" spans="2:19" s="98" customFormat="1" ht="18" customHeight="1" x14ac:dyDescent="0.15">
      <c r="B8" s="1141"/>
      <c r="C8" s="1138"/>
      <c r="D8" s="209" t="s">
        <v>58</v>
      </c>
      <c r="E8" s="218"/>
      <c r="F8" s="209">
        <f>P28</f>
        <v>62757.266666666663</v>
      </c>
      <c r="G8" s="1179" t="s">
        <v>323</v>
      </c>
      <c r="H8" s="1180"/>
      <c r="I8" s="1180"/>
      <c r="J8" s="1219"/>
      <c r="K8" s="688"/>
      <c r="L8" s="392"/>
      <c r="M8" s="392"/>
      <c r="N8" s="392"/>
      <c r="O8" s="392"/>
      <c r="P8" s="392"/>
      <c r="Q8" s="392"/>
      <c r="R8" s="1199"/>
      <c r="S8" s="1200"/>
    </row>
    <row r="9" spans="2:19" s="98" customFormat="1" ht="18" customHeight="1" x14ac:dyDescent="0.15">
      <c r="B9" s="1141"/>
      <c r="C9" s="1138"/>
      <c r="D9" s="209" t="s">
        <v>90</v>
      </c>
      <c r="E9" s="218"/>
      <c r="F9" s="209">
        <f>P37</f>
        <v>41534.124380000001</v>
      </c>
      <c r="G9" s="1179" t="s">
        <v>324</v>
      </c>
      <c r="H9" s="1180"/>
      <c r="I9" s="1180"/>
      <c r="J9" s="1219"/>
      <c r="K9" s="688"/>
      <c r="L9" s="392"/>
      <c r="M9" s="392"/>
      <c r="N9" s="392"/>
      <c r="O9" s="392"/>
      <c r="P9" s="392"/>
      <c r="Q9" s="392"/>
      <c r="R9" s="1199"/>
      <c r="S9" s="1200"/>
    </row>
    <row r="10" spans="2:19" s="98" customFormat="1" ht="18" customHeight="1" x14ac:dyDescent="0.15">
      <c r="B10" s="1141"/>
      <c r="C10" s="1138"/>
      <c r="D10" s="209" t="s">
        <v>59</v>
      </c>
      <c r="E10" s="218"/>
      <c r="F10" s="209">
        <f>'８－２　水稲算出基礎（食用倒伏しにくい品種） '!V21</f>
        <v>5806.666666666667</v>
      </c>
      <c r="G10" s="1159" t="s">
        <v>204</v>
      </c>
      <c r="H10" s="1160"/>
      <c r="I10" s="1160"/>
      <c r="J10" s="1211"/>
      <c r="K10" s="688"/>
      <c r="L10" s="392"/>
      <c r="M10" s="392"/>
      <c r="N10" s="392"/>
      <c r="O10" s="392"/>
      <c r="P10" s="392"/>
      <c r="Q10" s="392"/>
      <c r="R10" s="1199"/>
      <c r="S10" s="1200"/>
    </row>
    <row r="11" spans="2:19" s="98" customFormat="1" ht="18" customHeight="1" thickBot="1" x14ac:dyDescent="0.2">
      <c r="B11" s="1141"/>
      <c r="C11" s="1138"/>
      <c r="D11" s="209" t="s">
        <v>6</v>
      </c>
      <c r="E11" s="218"/>
      <c r="F11" s="209">
        <f>'８－２　水稲算出基礎（食用倒伏しにくい品種） '!V34</f>
        <v>83.333333333333329</v>
      </c>
      <c r="G11" s="1159" t="s">
        <v>204</v>
      </c>
      <c r="H11" s="1160"/>
      <c r="I11" s="1160"/>
      <c r="J11" s="1211"/>
      <c r="K11" s="689"/>
      <c r="L11" s="104"/>
      <c r="M11" s="104"/>
      <c r="N11" s="403"/>
      <c r="O11" s="105" t="s">
        <v>24</v>
      </c>
      <c r="P11" s="106">
        <f>SUM(L5:L11,P5:Q10)</f>
        <v>6000</v>
      </c>
      <c r="Q11" s="107">
        <f>R11/P11</f>
        <v>143.33333333333334</v>
      </c>
      <c r="R11" s="1212">
        <f>SUM(N5:N11,R5:S10)</f>
        <v>860000</v>
      </c>
      <c r="S11" s="1213"/>
    </row>
    <row r="12" spans="2:19" s="98" customFormat="1" ht="18" customHeight="1" thickTop="1" x14ac:dyDescent="0.15">
      <c r="B12" s="1141"/>
      <c r="C12" s="1138"/>
      <c r="D12" s="209" t="s">
        <v>7</v>
      </c>
      <c r="E12" s="218"/>
      <c r="F12" s="209">
        <v>0</v>
      </c>
      <c r="G12" s="171"/>
      <c r="H12" s="184"/>
      <c r="I12" s="184"/>
      <c r="J12" s="184"/>
      <c r="K12" s="1201" t="s">
        <v>225</v>
      </c>
      <c r="L12" s="199" t="s">
        <v>167</v>
      </c>
      <c r="M12" s="626" t="s">
        <v>9</v>
      </c>
      <c r="N12" s="273" t="s">
        <v>265</v>
      </c>
      <c r="O12" s="625" t="s">
        <v>23</v>
      </c>
      <c r="P12" s="625" t="s">
        <v>26</v>
      </c>
      <c r="Q12" s="1169" t="s">
        <v>27</v>
      </c>
      <c r="R12" s="1170"/>
      <c r="S12" s="1205"/>
    </row>
    <row r="13" spans="2:19" s="98" customFormat="1" ht="18" customHeight="1" x14ac:dyDescent="0.15">
      <c r="B13" s="1141"/>
      <c r="C13" s="1138"/>
      <c r="D13" s="1129" t="s">
        <v>60</v>
      </c>
      <c r="E13" s="220" t="s">
        <v>194</v>
      </c>
      <c r="F13" s="664">
        <f>('６　固定資本装備と減価償却費'!L4+'６　固定資本装備と減価償却費'!L6+'６　固定資本装備と減価償却費'!L7)*0.01</f>
        <v>6385.8214285714284</v>
      </c>
      <c r="G13" s="803" t="s">
        <v>199</v>
      </c>
      <c r="H13" s="804">
        <v>0.01</v>
      </c>
      <c r="I13" s="1182" t="s">
        <v>205</v>
      </c>
      <c r="J13" s="1206"/>
      <c r="K13" s="1202"/>
      <c r="L13" s="774" t="s">
        <v>344</v>
      </c>
      <c r="M13" s="775" t="s">
        <v>159</v>
      </c>
      <c r="N13" s="776">
        <f>20*('１　対象経営の概要，２　前提条件'!AM27)/('１　対象経営の概要，２　前提条件'!AB27+'１　対象経営の概要，２　前提条件'!AM27)</f>
        <v>20</v>
      </c>
      <c r="O13" s="776">
        <v>550</v>
      </c>
      <c r="P13" s="776">
        <f>N13*O13</f>
        <v>11000</v>
      </c>
      <c r="Q13" s="1207" t="s">
        <v>260</v>
      </c>
      <c r="R13" s="1208"/>
      <c r="S13" s="1209"/>
    </row>
    <row r="14" spans="2:19" s="98" customFormat="1" ht="18" customHeight="1" x14ac:dyDescent="0.15">
      <c r="B14" s="1141"/>
      <c r="C14" s="1138"/>
      <c r="D14" s="1130"/>
      <c r="E14" s="220" t="s">
        <v>195</v>
      </c>
      <c r="F14" s="665">
        <f>('６　固定資本装備と減価償却費'!L14+'６　固定資本装備と減価償却費'!L17+'６　固定資本装備と減価償却費'!L18+'６　固定資本装備と減価償却費'!L19+'６　固定資本装備と減価償却費'!L20+'６　固定資本装備と減価償却費'!L21+'６　固定資本装備と減価償却費'!L22+'６　固定資本装備と減価償却費'!L23+'６　固定資本装備と減価償却費'!L24+'６　固定資本装備と減価償却費'!L25+'６　固定資本装備と減価償却費'!L26+'６　固定資本装備と減価償却費'!L28+'６　固定資本装備と減価償却費'!L29+'６　固定資本装備と減価償却費'!L31+'６　固定資本装備と減価償却費'!L32+'６　固定資本装備と減価償却費'!L34)*0.05</f>
        <v>90060.298809523811</v>
      </c>
      <c r="G14" s="803" t="s">
        <v>199</v>
      </c>
      <c r="H14" s="804">
        <v>0.05</v>
      </c>
      <c r="I14" s="1182" t="s">
        <v>205</v>
      </c>
      <c r="J14" s="1206"/>
      <c r="K14" s="1203"/>
      <c r="L14" s="673"/>
      <c r="M14" s="674"/>
      <c r="N14" s="669"/>
      <c r="O14" s="669"/>
      <c r="P14" s="669"/>
      <c r="Q14" s="1210"/>
      <c r="R14" s="1208"/>
      <c r="S14" s="1209"/>
    </row>
    <row r="15" spans="2:19" s="98" customFormat="1" ht="18" customHeight="1" thickBot="1" x14ac:dyDescent="0.2">
      <c r="B15" s="1141"/>
      <c r="C15" s="1138"/>
      <c r="D15" s="1129" t="s">
        <v>91</v>
      </c>
      <c r="E15" s="220" t="s">
        <v>194</v>
      </c>
      <c r="F15" s="665">
        <f>'６　固定資本装備と減価償却費'!P4+'６　固定資本装備と減価償却費'!P6+'６　固定資本装備と減価償却費'!P7</f>
        <v>30033.214285714283</v>
      </c>
      <c r="G15" s="1179" t="s">
        <v>205</v>
      </c>
      <c r="H15" s="1180"/>
      <c r="I15" s="1180"/>
      <c r="J15" s="1219"/>
      <c r="K15" s="1202"/>
      <c r="L15" s="110" t="s">
        <v>28</v>
      </c>
      <c r="M15" s="109"/>
      <c r="N15" s="110"/>
      <c r="O15" s="110"/>
      <c r="P15" s="110">
        <f>SUM(P13:P13)</f>
        <v>11000</v>
      </c>
      <c r="Q15" s="1192"/>
      <c r="R15" s="1193"/>
      <c r="S15" s="1194"/>
    </row>
    <row r="16" spans="2:19" s="98" customFormat="1" ht="18" customHeight="1" thickTop="1" x14ac:dyDescent="0.15">
      <c r="B16" s="1141"/>
      <c r="C16" s="1138"/>
      <c r="D16" s="1131"/>
      <c r="E16" s="220" t="s">
        <v>195</v>
      </c>
      <c r="F16" s="665">
        <f>'６　固定資本装備と減価償却費'!P14+'６　固定資本装備と減価償却費'!P17+'６　固定資本装備と減価償却費'!P18+'６　固定資本装備と減価償却費'!P19+'６　固定資本装備と減価償却費'!P20+'６　固定資本装備と減価償却費'!P21+'６　固定資本装備と減価償却費'!P22+'６　固定資本装備と減価償却費'!P23+'６　固定資本装備と減価償却費'!P24+'６　固定資本装備と減価償却費'!P25+'６　固定資本装備と減価償却費'!P26+'６　固定資本装備と減価償却費'!P28+'６　固定資本装備と減価償却費'!P29+'６　固定資本装備と減価償却費'!P31+'６　固定資本装備と減価償却費'!P32+'６　固定資本装備と減価償却費'!P34</f>
        <v>285685.88775510213</v>
      </c>
      <c r="G16" s="1179" t="s">
        <v>205</v>
      </c>
      <c r="H16" s="1180"/>
      <c r="I16" s="1180"/>
      <c r="J16" s="1219"/>
      <c r="K16" s="1202"/>
      <c r="L16" s="193" t="s">
        <v>168</v>
      </c>
      <c r="M16" s="194"/>
      <c r="N16" s="272" t="s">
        <v>265</v>
      </c>
      <c r="O16" s="624" t="s">
        <v>23</v>
      </c>
      <c r="P16" s="196" t="s">
        <v>26</v>
      </c>
      <c r="Q16" s="1164" t="s">
        <v>27</v>
      </c>
      <c r="R16" s="1165"/>
      <c r="S16" s="1195"/>
    </row>
    <row r="17" spans="1:19" s="98" customFormat="1" ht="18" customHeight="1" x14ac:dyDescent="0.15">
      <c r="B17" s="1141"/>
      <c r="C17" s="1138"/>
      <c r="D17" s="1130"/>
      <c r="E17" s="209" t="s">
        <v>61</v>
      </c>
      <c r="F17" s="209">
        <v>0</v>
      </c>
      <c r="G17" s="1179" t="s">
        <v>205</v>
      </c>
      <c r="H17" s="1180"/>
      <c r="I17" s="1180"/>
      <c r="J17" s="1219"/>
      <c r="K17" s="1202"/>
      <c r="L17" s="264" t="s">
        <v>172</v>
      </c>
      <c r="M17" s="198"/>
      <c r="N17" s="690" t="s">
        <v>286</v>
      </c>
      <c r="O17" s="411"/>
      <c r="P17" s="398">
        <f>'８－２　水稲算出基礎（食用倒伏しにくい品種） '!G11</f>
        <v>38400</v>
      </c>
      <c r="Q17" s="1187"/>
      <c r="R17" s="1178"/>
      <c r="S17" s="1188"/>
    </row>
    <row r="18" spans="1:19" s="98" customFormat="1" ht="18" customHeight="1" x14ac:dyDescent="0.15">
      <c r="A18" s="97"/>
      <c r="B18" s="1141"/>
      <c r="C18" s="1138"/>
      <c r="D18" s="1121" t="s">
        <v>270</v>
      </c>
      <c r="E18" s="285" t="s">
        <v>121</v>
      </c>
      <c r="F18" s="209">
        <v>0</v>
      </c>
      <c r="G18" s="171"/>
      <c r="H18" s="178"/>
      <c r="I18" s="178"/>
      <c r="J18" s="629"/>
      <c r="K18" s="1202"/>
      <c r="L18" s="670" t="s">
        <v>173</v>
      </c>
      <c r="M18" s="108"/>
      <c r="N18" s="670" t="s">
        <v>286</v>
      </c>
      <c r="O18" s="671"/>
      <c r="P18" s="672">
        <f>'８－２　水稲算出基礎（食用倒伏しにくい品種） '!G16</f>
        <v>102025</v>
      </c>
      <c r="Q18" s="1187"/>
      <c r="R18" s="1178"/>
      <c r="S18" s="1188"/>
    </row>
    <row r="19" spans="1:19" s="98" customFormat="1" ht="18" customHeight="1" x14ac:dyDescent="0.15">
      <c r="A19" s="97"/>
      <c r="B19" s="1141"/>
      <c r="C19" s="1138"/>
      <c r="D19" s="1121"/>
      <c r="E19" s="285" t="s">
        <v>117</v>
      </c>
      <c r="F19" s="209">
        <f>J19*'５－１　水稲（食用，加工用米）作業時間'!AO34</f>
        <v>37290.000000000007</v>
      </c>
      <c r="G19" s="171"/>
      <c r="H19" s="178"/>
      <c r="I19" s="111" t="s">
        <v>328</v>
      </c>
      <c r="J19" s="677">
        <v>1100</v>
      </c>
      <c r="K19" s="1203"/>
      <c r="L19" s="673"/>
      <c r="M19" s="674"/>
      <c r="N19" s="669"/>
      <c r="O19" s="669"/>
      <c r="P19" s="669"/>
      <c r="Q19" s="1178"/>
      <c r="R19" s="1178"/>
      <c r="S19" s="1188"/>
    </row>
    <row r="20" spans="1:19" s="98" customFormat="1" ht="18" customHeight="1" x14ac:dyDescent="0.15">
      <c r="A20" s="97"/>
      <c r="B20" s="1141"/>
      <c r="C20" s="1138"/>
      <c r="D20" s="1121"/>
      <c r="E20" s="285" t="s">
        <v>118</v>
      </c>
      <c r="F20" s="209">
        <f>J20*'５－１　水稲（食用，加工用米）作業時間'!AP34</f>
        <v>55800</v>
      </c>
      <c r="G20" s="171"/>
      <c r="H20" s="178"/>
      <c r="I20" s="111" t="s">
        <v>329</v>
      </c>
      <c r="J20" s="677">
        <v>900</v>
      </c>
      <c r="K20" s="1202"/>
      <c r="L20" s="690"/>
      <c r="M20" s="184"/>
      <c r="N20" s="690"/>
      <c r="O20" s="411"/>
      <c r="P20" s="773">
        <f>'８－２　水稲算出基礎（食用倒伏しにくい品種） '!G20</f>
        <v>0</v>
      </c>
      <c r="Q20" s="1187"/>
      <c r="R20" s="1178"/>
      <c r="S20" s="1188"/>
    </row>
    <row r="21" spans="1:19" s="98" customFormat="1" ht="18" customHeight="1" x14ac:dyDescent="0.15">
      <c r="A21" s="97"/>
      <c r="B21" s="1141"/>
      <c r="C21" s="1138"/>
      <c r="D21" s="1121"/>
      <c r="E21" s="285" t="s">
        <v>119</v>
      </c>
      <c r="F21" s="209">
        <f>(F19+F20)*0.012</f>
        <v>1117.08</v>
      </c>
      <c r="G21" s="171" t="s">
        <v>629</v>
      </c>
      <c r="H21" s="178"/>
      <c r="I21" s="178"/>
      <c r="J21" s="629"/>
      <c r="K21" s="1202"/>
      <c r="L21" s="690" t="s">
        <v>176</v>
      </c>
      <c r="M21" s="184"/>
      <c r="N21" s="690" t="s">
        <v>311</v>
      </c>
      <c r="O21" s="398"/>
      <c r="P21" s="398">
        <f>'８－２　水稲算出基礎（食用倒伏しにくい品種） '!G24</f>
        <v>14364.15</v>
      </c>
      <c r="Q21" s="1187"/>
      <c r="R21" s="1178"/>
      <c r="S21" s="1188"/>
    </row>
    <row r="22" spans="1:19" s="98" customFormat="1" ht="18" customHeight="1" thickBot="1" x14ac:dyDescent="0.2">
      <c r="A22" s="97"/>
      <c r="B22" s="1141"/>
      <c r="C22" s="1138"/>
      <c r="D22" s="1121" t="s">
        <v>62</v>
      </c>
      <c r="E22" s="285" t="s">
        <v>63</v>
      </c>
      <c r="F22" s="209">
        <f t="shared" ref="F22:F23" si="0">I22*10</f>
        <v>23760</v>
      </c>
      <c r="G22" s="171"/>
      <c r="H22" s="178"/>
      <c r="I22" s="184">
        <v>2376</v>
      </c>
      <c r="J22" s="629" t="s">
        <v>327</v>
      </c>
      <c r="K22" s="1202"/>
      <c r="L22" s="110" t="s">
        <v>28</v>
      </c>
      <c r="M22" s="109"/>
      <c r="N22" s="110"/>
      <c r="O22" s="110"/>
      <c r="P22" s="110">
        <f>SUM(P17:P21)</f>
        <v>154789.15</v>
      </c>
      <c r="Q22" s="1192"/>
      <c r="R22" s="1193"/>
      <c r="S22" s="1194"/>
    </row>
    <row r="23" spans="1:19" s="98" customFormat="1" ht="18" customHeight="1" thickTop="1" x14ac:dyDescent="0.15">
      <c r="A23" s="97"/>
      <c r="B23" s="1141"/>
      <c r="C23" s="1138"/>
      <c r="D23" s="1121"/>
      <c r="E23" s="285" t="s">
        <v>92</v>
      </c>
      <c r="F23" s="209">
        <f t="shared" si="0"/>
        <v>50000</v>
      </c>
      <c r="G23" s="171"/>
      <c r="H23" s="178"/>
      <c r="I23" s="184">
        <v>5000</v>
      </c>
      <c r="J23" s="629" t="s">
        <v>327</v>
      </c>
      <c r="K23" s="1202"/>
      <c r="L23" s="690" t="s">
        <v>169</v>
      </c>
      <c r="M23" s="184"/>
      <c r="N23" s="408" t="s">
        <v>25</v>
      </c>
      <c r="O23" s="408" t="s">
        <v>23</v>
      </c>
      <c r="P23" s="408" t="s">
        <v>26</v>
      </c>
      <c r="Q23" s="1164" t="s">
        <v>27</v>
      </c>
      <c r="R23" s="1165"/>
      <c r="S23" s="1195"/>
    </row>
    <row r="24" spans="1:19" s="98" customFormat="1" ht="18" customHeight="1" x14ac:dyDescent="0.15">
      <c r="A24" s="97"/>
      <c r="B24" s="1141"/>
      <c r="C24" s="1138"/>
      <c r="D24" s="209" t="s">
        <v>64</v>
      </c>
      <c r="E24" s="218"/>
      <c r="F24" s="209">
        <f>I24*10</f>
        <v>30000</v>
      </c>
      <c r="G24" s="171"/>
      <c r="H24" s="178"/>
      <c r="I24" s="356">
        <v>3000</v>
      </c>
      <c r="J24" s="629" t="s">
        <v>327</v>
      </c>
      <c r="K24" s="1202"/>
      <c r="L24" s="398" t="s">
        <v>29</v>
      </c>
      <c r="M24" s="184"/>
      <c r="N24" s="690" t="s">
        <v>313</v>
      </c>
      <c r="O24" s="398"/>
      <c r="P24" s="398">
        <f>'８－２　水稲算出基礎（食用倒伏しにくい品種） '!G38</f>
        <v>5512.1</v>
      </c>
      <c r="Q24" s="1187"/>
      <c r="R24" s="1178"/>
      <c r="S24" s="1188"/>
    </row>
    <row r="25" spans="1:19" s="98" customFormat="1" ht="18" customHeight="1" x14ac:dyDescent="0.15">
      <c r="A25" s="97"/>
      <c r="B25" s="1141"/>
      <c r="C25" s="1138"/>
      <c r="D25" s="209" t="s">
        <v>171</v>
      </c>
      <c r="E25" s="218"/>
      <c r="F25" s="209">
        <f>SUM(F6:F24)/99</f>
        <v>8950.5337709654377</v>
      </c>
      <c r="G25" s="222" t="s">
        <v>227</v>
      </c>
      <c r="H25" s="229">
        <v>0.01</v>
      </c>
      <c r="I25" s="287"/>
      <c r="J25" s="678"/>
      <c r="K25" s="1202"/>
      <c r="L25" s="398" t="s">
        <v>30</v>
      </c>
      <c r="M25" s="184"/>
      <c r="N25" s="690" t="s">
        <v>315</v>
      </c>
      <c r="O25" s="398"/>
      <c r="P25" s="398">
        <f>'８－２　水稲算出基礎（食用倒伏しにくい品種） '!G49</f>
        <v>4975</v>
      </c>
      <c r="Q25" s="1187"/>
      <c r="R25" s="1178"/>
      <c r="S25" s="1188"/>
    </row>
    <row r="26" spans="1:19" s="98" customFormat="1" ht="18" customHeight="1" x14ac:dyDescent="0.15">
      <c r="A26" s="97"/>
      <c r="B26" s="1141"/>
      <c r="C26" s="1139"/>
      <c r="D26" s="1127" t="s">
        <v>218</v>
      </c>
      <c r="E26" s="1128"/>
      <c r="F26" s="129">
        <f>SUM(F6:F25)</f>
        <v>895053.37709654367</v>
      </c>
      <c r="G26" s="180"/>
      <c r="H26" s="287"/>
      <c r="I26" s="287"/>
      <c r="J26" s="679"/>
      <c r="K26" s="1202"/>
      <c r="L26" s="398" t="s">
        <v>31</v>
      </c>
      <c r="M26" s="184"/>
      <c r="N26" s="690" t="s">
        <v>311</v>
      </c>
      <c r="O26" s="398"/>
      <c r="P26" s="398">
        <f>'８－２　水稲算出基礎（食用倒伏しにくい品種） '!G53</f>
        <v>24330</v>
      </c>
      <c r="Q26" s="1187"/>
      <c r="R26" s="1178"/>
      <c r="S26" s="1188"/>
    </row>
    <row r="27" spans="1:19" s="98" customFormat="1" ht="18" customHeight="1" x14ac:dyDescent="0.15">
      <c r="A27" s="97"/>
      <c r="B27" s="1141"/>
      <c r="C27" s="1122" t="s">
        <v>200</v>
      </c>
      <c r="D27" s="1023" t="s">
        <v>65</v>
      </c>
      <c r="E27" s="17" t="s">
        <v>3</v>
      </c>
      <c r="F27" s="103">
        <f>P11/30*J27</f>
        <v>16000</v>
      </c>
      <c r="G27" s="197"/>
      <c r="H27" s="184"/>
      <c r="I27" s="108" t="s">
        <v>335</v>
      </c>
      <c r="J27" s="680">
        <v>80</v>
      </c>
      <c r="K27" s="1202"/>
      <c r="L27" s="398" t="s">
        <v>312</v>
      </c>
      <c r="M27" s="184"/>
      <c r="N27" s="690" t="s">
        <v>315</v>
      </c>
      <c r="O27" s="398"/>
      <c r="P27" s="398">
        <f>'８－２　水稲算出基礎（食用倒伏しにくい品種） '!G57</f>
        <v>27940.166666666664</v>
      </c>
      <c r="Q27" s="1187"/>
      <c r="R27" s="1178"/>
      <c r="S27" s="1188"/>
    </row>
    <row r="28" spans="1:19" s="98" customFormat="1" ht="18" customHeight="1" thickBot="1" x14ac:dyDescent="0.2">
      <c r="A28" s="97"/>
      <c r="B28" s="1141"/>
      <c r="C28" s="1123"/>
      <c r="D28" s="1026"/>
      <c r="E28" s="17" t="s">
        <v>4</v>
      </c>
      <c r="F28" s="130">
        <v>0</v>
      </c>
      <c r="G28" s="197"/>
      <c r="H28" s="223"/>
      <c r="I28" s="223"/>
      <c r="J28" s="681"/>
      <c r="K28" s="1202"/>
      <c r="L28" s="110" t="s">
        <v>28</v>
      </c>
      <c r="M28" s="109"/>
      <c r="N28" s="110"/>
      <c r="O28" s="110"/>
      <c r="P28" s="110">
        <f>SUM(P24:P27)</f>
        <v>62757.266666666663</v>
      </c>
      <c r="Q28" s="1192"/>
      <c r="R28" s="1193"/>
      <c r="S28" s="1194"/>
    </row>
    <row r="29" spans="1:19" s="98" customFormat="1" ht="18" customHeight="1" thickTop="1" x14ac:dyDescent="0.15">
      <c r="A29" s="97"/>
      <c r="B29" s="1141"/>
      <c r="C29" s="1123"/>
      <c r="D29" s="1024"/>
      <c r="E29" s="17" t="s">
        <v>8</v>
      </c>
      <c r="F29" s="103">
        <f>P11/30*J29</f>
        <v>5000</v>
      </c>
      <c r="G29" s="197"/>
      <c r="H29" s="286"/>
      <c r="I29" s="223" t="s">
        <v>336</v>
      </c>
      <c r="J29" s="682">
        <v>25</v>
      </c>
      <c r="K29" s="1202"/>
      <c r="L29" s="690" t="s">
        <v>170</v>
      </c>
      <c r="M29" s="184"/>
      <c r="N29" s="408" t="s">
        <v>25</v>
      </c>
      <c r="O29" s="408" t="s">
        <v>23</v>
      </c>
      <c r="P29" s="408" t="s">
        <v>26</v>
      </c>
      <c r="Q29" s="1164" t="s">
        <v>27</v>
      </c>
      <c r="R29" s="1165"/>
      <c r="S29" s="1195"/>
    </row>
    <row r="30" spans="1:19" s="98" customFormat="1" ht="18" customHeight="1" x14ac:dyDescent="0.15">
      <c r="A30" s="97"/>
      <c r="B30" s="1141"/>
      <c r="C30" s="1123"/>
      <c r="D30" s="17" t="s">
        <v>66</v>
      </c>
      <c r="E30" s="18"/>
      <c r="F30" s="103">
        <v>0</v>
      </c>
      <c r="G30" s="1179" t="s">
        <v>206</v>
      </c>
      <c r="H30" s="1180"/>
      <c r="I30" s="1180"/>
      <c r="J30" s="1219"/>
      <c r="K30" s="1202"/>
      <c r="L30" s="398" t="s">
        <v>47</v>
      </c>
      <c r="M30" s="187"/>
      <c r="N30" s="690" t="s">
        <v>316</v>
      </c>
      <c r="O30" s="411"/>
      <c r="P30" s="398">
        <f>'８－２　水稲算出基礎（食用倒伏しにくい品種） '!N12</f>
        <v>14054.271000000001</v>
      </c>
      <c r="Q30" s="1196"/>
      <c r="R30" s="1197"/>
      <c r="S30" s="1198"/>
    </row>
    <row r="31" spans="1:19" s="98" customFormat="1" ht="18" customHeight="1" x14ac:dyDescent="0.15">
      <c r="A31" s="97"/>
      <c r="B31" s="1141"/>
      <c r="C31" s="1123"/>
      <c r="D31" s="1036" t="s">
        <v>271</v>
      </c>
      <c r="E31" s="284" t="s">
        <v>121</v>
      </c>
      <c r="F31" s="130">
        <v>0</v>
      </c>
      <c r="G31" s="1179" t="s">
        <v>206</v>
      </c>
      <c r="H31" s="1180"/>
      <c r="I31" s="1180"/>
      <c r="J31" s="1219"/>
      <c r="K31" s="1202"/>
      <c r="L31" s="398" t="s">
        <v>46</v>
      </c>
      <c r="M31" s="187"/>
      <c r="N31" s="690" t="s">
        <v>317</v>
      </c>
      <c r="O31" s="411"/>
      <c r="P31" s="398">
        <f>'８－２　水稲算出基礎（食用倒伏しにくい品種） '!N16</f>
        <v>1453.1615999999999</v>
      </c>
      <c r="Q31" s="1196"/>
      <c r="R31" s="1197"/>
      <c r="S31" s="1198"/>
    </row>
    <row r="32" spans="1:19" s="98" customFormat="1" ht="18" customHeight="1" x14ac:dyDescent="0.15">
      <c r="A32" s="97"/>
      <c r="B32" s="1141"/>
      <c r="C32" s="1123"/>
      <c r="D32" s="1036"/>
      <c r="E32" s="284" t="s">
        <v>120</v>
      </c>
      <c r="F32" s="130">
        <v>0</v>
      </c>
      <c r="G32" s="1179" t="s">
        <v>206</v>
      </c>
      <c r="H32" s="1180"/>
      <c r="I32" s="1180"/>
      <c r="J32" s="1219"/>
      <c r="K32" s="1202"/>
      <c r="L32" s="398" t="s">
        <v>48</v>
      </c>
      <c r="M32" s="184"/>
      <c r="N32" s="411"/>
      <c r="O32" s="411"/>
      <c r="P32" s="398">
        <f>SUM(P30:P31)*R32</f>
        <v>4652.2297799999997</v>
      </c>
      <c r="Q32" s="495" t="s">
        <v>32</v>
      </c>
      <c r="R32" s="691">
        <v>0.3</v>
      </c>
      <c r="S32" s="692"/>
    </row>
    <row r="33" spans="1:23" ht="18" customHeight="1" x14ac:dyDescent="0.15">
      <c r="B33" s="1141"/>
      <c r="C33" s="1123"/>
      <c r="D33" s="17" t="s">
        <v>67</v>
      </c>
      <c r="E33" s="28"/>
      <c r="F33" s="130">
        <v>0</v>
      </c>
      <c r="G33" s="1179" t="s">
        <v>206</v>
      </c>
      <c r="H33" s="1180"/>
      <c r="I33" s="1180"/>
      <c r="J33" s="1219"/>
      <c r="K33" s="1202"/>
      <c r="L33" s="398" t="s">
        <v>49</v>
      </c>
      <c r="M33" s="187"/>
      <c r="N33" s="690"/>
      <c r="O33" s="411"/>
      <c r="P33" s="398">
        <f>'８－２　水稲算出基礎（食用倒伏しにくい品種） '!N20</f>
        <v>0</v>
      </c>
      <c r="Q33" s="1187"/>
      <c r="R33" s="1178"/>
      <c r="S33" s="1188"/>
    </row>
    <row r="34" spans="1:23" ht="18" customHeight="1" x14ac:dyDescent="0.15">
      <c r="B34" s="1141"/>
      <c r="C34" s="1123"/>
      <c r="D34" s="17" t="s">
        <v>93</v>
      </c>
      <c r="E34" s="28"/>
      <c r="F34" s="130">
        <v>0</v>
      </c>
      <c r="G34" s="1179" t="s">
        <v>206</v>
      </c>
      <c r="H34" s="1180"/>
      <c r="I34" s="1180"/>
      <c r="J34" s="1219"/>
      <c r="K34" s="1202"/>
      <c r="L34" s="398" t="s">
        <v>50</v>
      </c>
      <c r="M34" s="187"/>
      <c r="N34" s="690" t="s">
        <v>317</v>
      </c>
      <c r="O34" s="411"/>
      <c r="P34" s="398">
        <f>'８－２　水稲算出基礎（食用倒伏しにくい品種） '!N24</f>
        <v>17563.241999999998</v>
      </c>
      <c r="Q34" s="1187"/>
      <c r="R34" s="1178"/>
      <c r="S34" s="1188"/>
    </row>
    <row r="35" spans="1:23" ht="18" customHeight="1" x14ac:dyDescent="0.15">
      <c r="B35" s="1141"/>
      <c r="C35" s="1123"/>
      <c r="D35" s="17" t="s">
        <v>124</v>
      </c>
      <c r="E35" s="18"/>
      <c r="F35" s="130">
        <f>'８－２　水稲算出基礎（食用倒伏しにくい品種） '!V57</f>
        <v>8652.9761904761908</v>
      </c>
      <c r="G35" s="1179" t="s">
        <v>204</v>
      </c>
      <c r="H35" s="1180"/>
      <c r="I35" s="1180"/>
      <c r="J35" s="1219"/>
      <c r="K35" s="1202"/>
      <c r="L35" s="398" t="s">
        <v>268</v>
      </c>
      <c r="M35" s="187"/>
      <c r="N35" s="690"/>
      <c r="O35" s="411"/>
      <c r="P35" s="398">
        <f>'８－２　水稲算出基礎（食用倒伏しにくい品種） '!N28</f>
        <v>0</v>
      </c>
      <c r="Q35" s="1187"/>
      <c r="R35" s="1178"/>
      <c r="S35" s="1188"/>
    </row>
    <row r="36" spans="1:23" ht="18" customHeight="1" x14ac:dyDescent="0.15">
      <c r="B36" s="1141"/>
      <c r="C36" s="1123"/>
      <c r="D36" s="37" t="s">
        <v>94</v>
      </c>
      <c r="E36" s="38"/>
      <c r="F36" s="228">
        <v>0</v>
      </c>
      <c r="G36" s="171"/>
      <c r="H36" s="226"/>
      <c r="I36" s="227"/>
      <c r="J36" s="683"/>
      <c r="K36" s="1202"/>
      <c r="L36" s="398" t="s">
        <v>51</v>
      </c>
      <c r="M36" s="184"/>
      <c r="N36" s="690" t="s">
        <v>318</v>
      </c>
      <c r="O36" s="411"/>
      <c r="P36" s="398">
        <f>'８－２　水稲算出基礎（食用倒伏しにくい品種） '!N32</f>
        <v>3811.2200000000003</v>
      </c>
      <c r="Q36" s="1187"/>
      <c r="R36" s="1178"/>
      <c r="S36" s="1188"/>
    </row>
    <row r="37" spans="1:23" ht="18" customHeight="1" thickBot="1" x14ac:dyDescent="0.2">
      <c r="B37" s="1141"/>
      <c r="C37" s="1123"/>
      <c r="D37" s="17" t="s">
        <v>68</v>
      </c>
      <c r="E37" s="18"/>
      <c r="F37" s="130">
        <f>'８－２　水稲算出基礎（食用倒伏しにくい品種） '!N57</f>
        <v>4308.4735714285716</v>
      </c>
      <c r="G37" s="1179" t="s">
        <v>204</v>
      </c>
      <c r="H37" s="1180"/>
      <c r="I37" s="1180"/>
      <c r="J37" s="1219"/>
      <c r="K37" s="1204"/>
      <c r="L37" s="693" t="s">
        <v>28</v>
      </c>
      <c r="M37" s="694"/>
      <c r="N37" s="693"/>
      <c r="O37" s="693"/>
      <c r="P37" s="693">
        <f>SUM(P30:P36)</f>
        <v>41534.124380000001</v>
      </c>
      <c r="Q37" s="1189"/>
      <c r="R37" s="1190"/>
      <c r="S37" s="1191"/>
    </row>
    <row r="38" spans="1:23" s="116" customFormat="1" ht="18" customHeight="1" x14ac:dyDescent="0.15">
      <c r="A38" s="97"/>
      <c r="B38" s="1141"/>
      <c r="C38" s="1123"/>
      <c r="D38" s="17" t="s">
        <v>0</v>
      </c>
      <c r="E38" s="28"/>
      <c r="F38" s="130">
        <v>0</v>
      </c>
      <c r="G38" s="1184" t="s">
        <v>206</v>
      </c>
      <c r="H38" s="1185"/>
      <c r="I38" s="1185"/>
      <c r="J38" s="1186"/>
    </row>
    <row r="39" spans="1:23" s="116" customFormat="1" ht="18" customHeight="1" thickBot="1" x14ac:dyDescent="0.2">
      <c r="A39" s="97"/>
      <c r="B39" s="1142"/>
      <c r="C39" s="1124"/>
      <c r="D39" s="1125" t="s">
        <v>217</v>
      </c>
      <c r="E39" s="1126"/>
      <c r="F39" s="173">
        <f>SUM(F27:F38)</f>
        <v>33961.449761904762</v>
      </c>
      <c r="G39" s="174"/>
      <c r="H39" s="175"/>
      <c r="I39" s="176"/>
      <c r="J39" s="177"/>
      <c r="T39" s="117"/>
    </row>
    <row r="40" spans="1:23" s="116" customFormat="1" ht="18" customHeight="1" x14ac:dyDescent="0.15">
      <c r="A40" s="97"/>
      <c r="B40" s="1110" t="s">
        <v>221</v>
      </c>
      <c r="C40" s="1113" t="s">
        <v>70</v>
      </c>
      <c r="D40" s="168" t="s">
        <v>123</v>
      </c>
      <c r="E40" s="169"/>
      <c r="F40" s="170">
        <f>J40*10</f>
        <v>75000</v>
      </c>
      <c r="G40" s="171"/>
      <c r="H40" s="172"/>
      <c r="I40" s="172" t="s">
        <v>338</v>
      </c>
      <c r="J40" s="330">
        <v>7500</v>
      </c>
      <c r="T40" s="98"/>
      <c r="U40" s="98"/>
      <c r="V40" s="98"/>
      <c r="W40" s="98"/>
    </row>
    <row r="41" spans="1:23" s="116" customFormat="1" ht="18" customHeight="1" x14ac:dyDescent="0.15">
      <c r="A41" s="97"/>
      <c r="B41" s="1111"/>
      <c r="C41" s="1114"/>
      <c r="D41" s="17" t="s">
        <v>122</v>
      </c>
      <c r="E41" s="18"/>
      <c r="F41" s="162">
        <v>0</v>
      </c>
      <c r="G41" s="171"/>
      <c r="H41" s="123"/>
      <c r="I41" s="123"/>
      <c r="J41" s="182"/>
      <c r="T41" s="118"/>
      <c r="U41" s="119"/>
      <c r="V41" s="120"/>
      <c r="W41" s="118"/>
    </row>
    <row r="42" spans="1:23" s="116" customFormat="1" ht="18" customHeight="1" x14ac:dyDescent="0.15">
      <c r="A42" s="97"/>
      <c r="B42" s="1111"/>
      <c r="C42" s="1115"/>
      <c r="D42" s="37" t="s">
        <v>69</v>
      </c>
      <c r="E42" s="18"/>
      <c r="F42" s="163">
        <v>0</v>
      </c>
      <c r="G42" s="171"/>
      <c r="H42" s="123"/>
      <c r="I42" s="123"/>
      <c r="J42" s="182"/>
      <c r="T42" s="98"/>
      <c r="U42" s="98"/>
      <c r="V42" s="98"/>
      <c r="W42" s="98"/>
    </row>
    <row r="43" spans="1:23" s="116" customFormat="1" ht="18" customHeight="1" x14ac:dyDescent="0.15">
      <c r="B43" s="1111"/>
      <c r="C43" s="1116" t="s">
        <v>220</v>
      </c>
      <c r="D43" s="37" t="s">
        <v>272</v>
      </c>
      <c r="E43" s="38"/>
      <c r="F43" s="163">
        <v>0</v>
      </c>
      <c r="G43" s="171"/>
      <c r="H43" s="123"/>
      <c r="I43" s="123"/>
      <c r="J43" s="182"/>
      <c r="T43" s="99"/>
      <c r="U43" s="117"/>
      <c r="V43" s="98"/>
      <c r="W43" s="118"/>
    </row>
    <row r="44" spans="1:23" s="116" customFormat="1" ht="18" customHeight="1" x14ac:dyDescent="0.15">
      <c r="B44" s="1111"/>
      <c r="C44" s="1117"/>
      <c r="D44" s="39" t="s">
        <v>1</v>
      </c>
      <c r="E44" s="40"/>
      <c r="F44" s="163">
        <v>0</v>
      </c>
      <c r="G44" s="171"/>
      <c r="H44" s="123"/>
      <c r="I44" s="123"/>
      <c r="J44" s="182"/>
      <c r="T44" s="99"/>
      <c r="U44" s="117"/>
      <c r="V44" s="98"/>
      <c r="W44" s="118"/>
    </row>
    <row r="45" spans="1:23" s="116" customFormat="1" ht="18" customHeight="1" thickBot="1" x14ac:dyDescent="0.2">
      <c r="B45" s="1112"/>
      <c r="C45" s="1118" t="s">
        <v>96</v>
      </c>
      <c r="D45" s="1119"/>
      <c r="E45" s="1120"/>
      <c r="F45" s="164">
        <f>SUM(F40:F42)-SUM(F43:F44)</f>
        <v>75000</v>
      </c>
      <c r="G45" s="124"/>
      <c r="H45" s="125"/>
      <c r="I45" s="125"/>
      <c r="J45" s="183"/>
      <c r="T45" s="98"/>
      <c r="U45" s="98"/>
      <c r="V45" s="119"/>
      <c r="W45" s="98"/>
    </row>
    <row r="49" spans="4:6" x14ac:dyDescent="0.15">
      <c r="D49" s="622" t="s">
        <v>321</v>
      </c>
      <c r="E49" s="622"/>
      <c r="F49" s="622">
        <f>F4-F26</f>
        <v>-35053.377096543671</v>
      </c>
    </row>
  </sheetData>
  <mergeCells count="71">
    <mergeCell ref="G33:J33"/>
    <mergeCell ref="G34:J34"/>
    <mergeCell ref="G35:J35"/>
    <mergeCell ref="G37:J37"/>
    <mergeCell ref="G38:J38"/>
    <mergeCell ref="G16:J16"/>
    <mergeCell ref="G17:J17"/>
    <mergeCell ref="G30:J30"/>
    <mergeCell ref="G31:J31"/>
    <mergeCell ref="G32:J32"/>
    <mergeCell ref="G7:J7"/>
    <mergeCell ref="G8:J8"/>
    <mergeCell ref="G9:J9"/>
    <mergeCell ref="G4:J4"/>
    <mergeCell ref="G15:J15"/>
    <mergeCell ref="B3:E3"/>
    <mergeCell ref="K3:S3"/>
    <mergeCell ref="B4:C5"/>
    <mergeCell ref="R4:S4"/>
    <mergeCell ref="R5:S5"/>
    <mergeCell ref="R9:S9"/>
    <mergeCell ref="G10:J10"/>
    <mergeCell ref="R10:S10"/>
    <mergeCell ref="G11:J11"/>
    <mergeCell ref="R11:S11"/>
    <mergeCell ref="D15:D17"/>
    <mergeCell ref="Q15:S15"/>
    <mergeCell ref="Q16:S16"/>
    <mergeCell ref="Q17:S17"/>
    <mergeCell ref="K12:K37"/>
    <mergeCell ref="Q12:S12"/>
    <mergeCell ref="Q24:S24"/>
    <mergeCell ref="Q25:S25"/>
    <mergeCell ref="D13:D14"/>
    <mergeCell ref="I13:J13"/>
    <mergeCell ref="Q13:S13"/>
    <mergeCell ref="I14:J14"/>
    <mergeCell ref="Q14:S14"/>
    <mergeCell ref="Q34:S34"/>
    <mergeCell ref="Q35:S35"/>
    <mergeCell ref="D18:D21"/>
    <mergeCell ref="Q18:S18"/>
    <mergeCell ref="Q19:S19"/>
    <mergeCell ref="Q20:S20"/>
    <mergeCell ref="Q21:S21"/>
    <mergeCell ref="D22:D23"/>
    <mergeCell ref="Q22:S22"/>
    <mergeCell ref="Q23:S23"/>
    <mergeCell ref="D26:E26"/>
    <mergeCell ref="B6:B39"/>
    <mergeCell ref="Q26:S26"/>
    <mergeCell ref="C27:C39"/>
    <mergeCell ref="D27:D29"/>
    <mergeCell ref="Q27:S27"/>
    <mergeCell ref="Q28:S28"/>
    <mergeCell ref="Q29:S29"/>
    <mergeCell ref="Q30:S30"/>
    <mergeCell ref="D31:D32"/>
    <mergeCell ref="Q31:S31"/>
    <mergeCell ref="Q33:S33"/>
    <mergeCell ref="C6:C26"/>
    <mergeCell ref="R6:S6"/>
    <mergeCell ref="R7:S7"/>
    <mergeCell ref="R8:S8"/>
    <mergeCell ref="Q36:S36"/>
    <mergeCell ref="Q37:S37"/>
    <mergeCell ref="D39:E39"/>
    <mergeCell ref="B40:B45"/>
    <mergeCell ref="C40:C42"/>
    <mergeCell ref="C43:C44"/>
    <mergeCell ref="C45:E45"/>
  </mergeCells>
  <phoneticPr fontId="4"/>
  <pageMargins left="0.78740157480314965" right="0.78740157480314965" top="0.78740157480314965" bottom="0.78740157480314965" header="0.39370078740157483" footer="0.39370078740157483"/>
  <pageSetup paperSize="9" scale="64" orientation="landscape" r:id="rId1"/>
  <headerFooter alignWithMargins="0">
    <oddHeader>&amp;R&amp;F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9"/>
  <sheetViews>
    <sheetView zoomScale="75" zoomScaleNormal="75" workbookViewId="0"/>
  </sheetViews>
  <sheetFormatPr defaultColWidth="10.875" defaultRowHeight="13.5" x14ac:dyDescent="0.15"/>
  <cols>
    <col min="1" max="1" width="1.625" style="97" customWidth="1"/>
    <col min="2" max="2" width="5.875" style="97" customWidth="1"/>
    <col min="3" max="3" width="10.625" style="97" customWidth="1"/>
    <col min="4" max="4" width="12.375" style="97" customWidth="1"/>
    <col min="5" max="5" width="14.625" style="97" customWidth="1"/>
    <col min="6" max="7" width="15.875" style="97" customWidth="1"/>
    <col min="8" max="8" width="10.875" style="97"/>
    <col min="9" max="9" width="11.375" style="97" bestFit="1" customWidth="1"/>
    <col min="10" max="10" width="13.375" style="97" customWidth="1"/>
    <col min="11" max="11" width="7.125" style="97" customWidth="1"/>
    <col min="12" max="12" width="15.375" style="97" customWidth="1"/>
    <col min="13" max="13" width="9.375" style="97" bestFit="1" customWidth="1"/>
    <col min="14" max="14" width="10.875" style="97"/>
    <col min="15" max="15" width="7.25" style="97" customWidth="1"/>
    <col min="16" max="16" width="9.625" style="97" customWidth="1"/>
    <col min="17" max="17" width="10.875" style="97" customWidth="1"/>
    <col min="18" max="18" width="7.5" style="97" customWidth="1"/>
    <col min="19" max="19" width="3.75" style="97" customWidth="1"/>
    <col min="20" max="16384" width="10.875" style="97"/>
  </cols>
  <sheetData>
    <row r="1" spans="2:19" s="98" customFormat="1" ht="9.9499999999999993" customHeight="1" x14ac:dyDescent="0.15"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</row>
    <row r="2" spans="2:19" s="98" customFormat="1" ht="24.95" customHeight="1" thickBot="1" x14ac:dyDescent="0.2">
      <c r="B2" s="3" t="s">
        <v>385</v>
      </c>
      <c r="H2" s="99" t="s">
        <v>261</v>
      </c>
      <c r="I2" s="3" t="s">
        <v>326</v>
      </c>
      <c r="K2" s="99" t="s">
        <v>262</v>
      </c>
      <c r="L2" s="3" t="s">
        <v>263</v>
      </c>
      <c r="N2" s="97"/>
      <c r="O2" s="97"/>
      <c r="Q2" s="4"/>
      <c r="R2" s="4"/>
    </row>
    <row r="3" spans="2:19" s="98" customFormat="1" ht="18" customHeight="1" x14ac:dyDescent="0.15">
      <c r="B3" s="1134" t="s">
        <v>19</v>
      </c>
      <c r="C3" s="1135"/>
      <c r="D3" s="1135"/>
      <c r="E3" s="1136"/>
      <c r="F3" s="128" t="s">
        <v>20</v>
      </c>
      <c r="G3" s="101"/>
      <c r="H3" s="102" t="s">
        <v>21</v>
      </c>
      <c r="I3" s="100"/>
      <c r="J3" s="100"/>
      <c r="K3" s="1143" t="s">
        <v>226</v>
      </c>
      <c r="L3" s="1144"/>
      <c r="M3" s="1144"/>
      <c r="N3" s="1144"/>
      <c r="O3" s="1144"/>
      <c r="P3" s="1144"/>
      <c r="Q3" s="1144"/>
      <c r="R3" s="1144"/>
      <c r="S3" s="1145"/>
    </row>
    <row r="4" spans="2:19" s="98" customFormat="1" ht="18" customHeight="1" x14ac:dyDescent="0.15">
      <c r="B4" s="1132" t="s">
        <v>22</v>
      </c>
      <c r="C4" s="1133"/>
      <c r="D4" s="197" t="s">
        <v>219</v>
      </c>
      <c r="E4" s="216"/>
      <c r="F4" s="209">
        <f>+R11</f>
        <v>800000</v>
      </c>
      <c r="G4" s="1179" t="s">
        <v>197</v>
      </c>
      <c r="H4" s="1180"/>
      <c r="I4" s="1180"/>
      <c r="J4" s="1181"/>
      <c r="K4" s="205" t="s">
        <v>53</v>
      </c>
      <c r="L4" s="271" t="s">
        <v>266</v>
      </c>
      <c r="M4" s="207" t="s">
        <v>23</v>
      </c>
      <c r="N4" s="207" t="s">
        <v>22</v>
      </c>
      <c r="O4" s="207" t="s">
        <v>53</v>
      </c>
      <c r="P4" s="271" t="s">
        <v>267</v>
      </c>
      <c r="Q4" s="207" t="s">
        <v>23</v>
      </c>
      <c r="R4" s="1148" t="s">
        <v>22</v>
      </c>
      <c r="S4" s="1149"/>
    </row>
    <row r="5" spans="2:19" s="98" customFormat="1" ht="18" customHeight="1" x14ac:dyDescent="0.15">
      <c r="B5" s="1132"/>
      <c r="C5" s="1133"/>
      <c r="D5" s="197" t="s">
        <v>89</v>
      </c>
      <c r="E5" s="216"/>
      <c r="F5" s="209">
        <v>0</v>
      </c>
      <c r="G5" s="165"/>
      <c r="H5" s="217"/>
      <c r="I5" s="217"/>
      <c r="J5" s="217"/>
      <c r="K5" s="267" t="s">
        <v>348</v>
      </c>
      <c r="L5" s="209">
        <f>6000*'１　対象経営の概要，２　前提条件'!$AM$28/'１　対象経営の概要，２　前提条件'!$AM$28</f>
        <v>6000</v>
      </c>
      <c r="M5" s="209">
        <f>'９－３　水稲（加工用米）単価算出基礎 '!O11</f>
        <v>133.33333333333334</v>
      </c>
      <c r="N5" s="209">
        <f>L5*M5</f>
        <v>800000</v>
      </c>
      <c r="O5" s="209"/>
      <c r="P5" s="209"/>
      <c r="Q5" s="209"/>
      <c r="R5" s="1146"/>
      <c r="S5" s="1147"/>
    </row>
    <row r="6" spans="2:19" s="98" customFormat="1" ht="18" customHeight="1" x14ac:dyDescent="0.15">
      <c r="B6" s="1140" t="s">
        <v>224</v>
      </c>
      <c r="C6" s="1137" t="s">
        <v>210</v>
      </c>
      <c r="D6" s="209" t="s">
        <v>56</v>
      </c>
      <c r="E6" s="218"/>
      <c r="F6" s="209">
        <f>P15</f>
        <v>11000</v>
      </c>
      <c r="G6" s="165" t="s">
        <v>198</v>
      </c>
      <c r="H6" s="217"/>
      <c r="I6" s="217"/>
      <c r="J6" s="217"/>
      <c r="K6" s="215"/>
      <c r="L6" s="212"/>
      <c r="M6" s="209"/>
      <c r="N6" s="209"/>
      <c r="O6" s="209"/>
      <c r="P6" s="209"/>
      <c r="Q6" s="209"/>
      <c r="R6" s="1146"/>
      <c r="S6" s="1147"/>
    </row>
    <row r="7" spans="2:19" s="98" customFormat="1" ht="18" customHeight="1" x14ac:dyDescent="0.15">
      <c r="B7" s="1141"/>
      <c r="C7" s="1138"/>
      <c r="D7" s="209" t="s">
        <v>57</v>
      </c>
      <c r="E7" s="218"/>
      <c r="F7" s="209">
        <f>P22</f>
        <v>139623.85</v>
      </c>
      <c r="G7" s="1179" t="s">
        <v>598</v>
      </c>
      <c r="H7" s="1180"/>
      <c r="I7" s="1180"/>
      <c r="J7" s="1181"/>
      <c r="K7" s="213"/>
      <c r="L7" s="221"/>
      <c r="M7" s="209"/>
      <c r="N7" s="209"/>
      <c r="O7" s="209"/>
      <c r="P7" s="209"/>
      <c r="Q7" s="209"/>
      <c r="R7" s="1146"/>
      <c r="S7" s="1147"/>
    </row>
    <row r="8" spans="2:19" s="98" customFormat="1" ht="18" customHeight="1" x14ac:dyDescent="0.15">
      <c r="B8" s="1141"/>
      <c r="C8" s="1138"/>
      <c r="D8" s="209" t="s">
        <v>58</v>
      </c>
      <c r="E8" s="218"/>
      <c r="F8" s="209">
        <f>P28</f>
        <v>72085.600000000006</v>
      </c>
      <c r="G8" s="1179" t="s">
        <v>599</v>
      </c>
      <c r="H8" s="1180"/>
      <c r="I8" s="1180"/>
      <c r="J8" s="1181"/>
      <c r="K8" s="211"/>
      <c r="L8" s="209"/>
      <c r="M8" s="209"/>
      <c r="N8" s="209"/>
      <c r="O8" s="209"/>
      <c r="P8" s="209"/>
      <c r="Q8" s="209"/>
      <c r="R8" s="1146"/>
      <c r="S8" s="1147"/>
    </row>
    <row r="9" spans="2:19" s="98" customFormat="1" ht="18" customHeight="1" x14ac:dyDescent="0.15">
      <c r="B9" s="1141"/>
      <c r="C9" s="1138"/>
      <c r="D9" s="209" t="s">
        <v>90</v>
      </c>
      <c r="E9" s="218"/>
      <c r="F9" s="209">
        <f>P37</f>
        <v>41534.124380000001</v>
      </c>
      <c r="G9" s="1179" t="s">
        <v>600</v>
      </c>
      <c r="H9" s="1180"/>
      <c r="I9" s="1180"/>
      <c r="J9" s="1181"/>
      <c r="K9" s="211"/>
      <c r="L9" s="209"/>
      <c r="M9" s="209"/>
      <c r="N9" s="209"/>
      <c r="O9" s="209"/>
      <c r="P9" s="209"/>
      <c r="Q9" s="209"/>
      <c r="R9" s="1146"/>
      <c r="S9" s="1147"/>
    </row>
    <row r="10" spans="2:19" s="98" customFormat="1" ht="18" customHeight="1" x14ac:dyDescent="0.15">
      <c r="B10" s="1141"/>
      <c r="C10" s="1138"/>
      <c r="D10" s="209" t="s">
        <v>59</v>
      </c>
      <c r="E10" s="218"/>
      <c r="F10" s="209">
        <f>'８－３　水稲算出基礎（加工用品種）'!V21</f>
        <v>5806.666666666667</v>
      </c>
      <c r="G10" s="1159" t="s">
        <v>601</v>
      </c>
      <c r="H10" s="1160"/>
      <c r="I10" s="1160"/>
      <c r="J10" s="1147"/>
      <c r="K10" s="211"/>
      <c r="L10" s="209"/>
      <c r="M10" s="209"/>
      <c r="N10" s="209"/>
      <c r="O10" s="209"/>
      <c r="P10" s="209"/>
      <c r="Q10" s="209"/>
      <c r="R10" s="1146"/>
      <c r="S10" s="1147"/>
    </row>
    <row r="11" spans="2:19" s="98" customFormat="1" ht="18" customHeight="1" thickBot="1" x14ac:dyDescent="0.2">
      <c r="B11" s="1141"/>
      <c r="C11" s="1138"/>
      <c r="D11" s="209" t="s">
        <v>6</v>
      </c>
      <c r="E11" s="218"/>
      <c r="F11" s="209">
        <f>'８－３　水稲算出基礎（加工用品種）'!V34</f>
        <v>83.333333333333329</v>
      </c>
      <c r="G11" s="1159" t="s">
        <v>601</v>
      </c>
      <c r="H11" s="1160"/>
      <c r="I11" s="1160"/>
      <c r="J11" s="1147"/>
      <c r="K11" s="119"/>
      <c r="L11" s="104"/>
      <c r="M11" s="104"/>
      <c r="N11" s="103"/>
      <c r="O11" s="105" t="s">
        <v>24</v>
      </c>
      <c r="P11" s="106">
        <f>SUM(L5:L11,P5:Q10)</f>
        <v>6000</v>
      </c>
      <c r="Q11" s="107">
        <f>R11/P11</f>
        <v>133.33333333333334</v>
      </c>
      <c r="R11" s="1167">
        <f>SUM(N5:N11,R5:S10)</f>
        <v>800000</v>
      </c>
      <c r="S11" s="1168"/>
    </row>
    <row r="12" spans="2:19" s="98" customFormat="1" ht="18" customHeight="1" thickTop="1" x14ac:dyDescent="0.15">
      <c r="B12" s="1141"/>
      <c r="C12" s="1138"/>
      <c r="D12" s="209" t="s">
        <v>7</v>
      </c>
      <c r="E12" s="218"/>
      <c r="F12" s="209">
        <v>0</v>
      </c>
      <c r="G12" s="171"/>
      <c r="H12" s="184"/>
      <c r="I12" s="184"/>
      <c r="J12" s="219"/>
      <c r="K12" s="1156" t="s">
        <v>225</v>
      </c>
      <c r="L12" s="199" t="s">
        <v>167</v>
      </c>
      <c r="M12" s="203" t="s">
        <v>9</v>
      </c>
      <c r="N12" s="273" t="s">
        <v>265</v>
      </c>
      <c r="O12" s="202" t="s">
        <v>23</v>
      </c>
      <c r="P12" s="202" t="s">
        <v>26</v>
      </c>
      <c r="Q12" s="1169" t="s">
        <v>27</v>
      </c>
      <c r="R12" s="1170"/>
      <c r="S12" s="1171"/>
    </row>
    <row r="13" spans="2:19" s="98" customFormat="1" ht="18" customHeight="1" x14ac:dyDescent="0.15">
      <c r="B13" s="1141"/>
      <c r="C13" s="1138"/>
      <c r="D13" s="1129" t="s">
        <v>60</v>
      </c>
      <c r="E13" s="220" t="s">
        <v>194</v>
      </c>
      <c r="F13" s="664">
        <f>('６　固定資本装備と減価償却費'!L4+'６　固定資本装備と減価償却費'!L6+'６　固定資本装備と減価償却費'!L7)*0.01</f>
        <v>6385.8214285714284</v>
      </c>
      <c r="G13" s="803" t="s">
        <v>199</v>
      </c>
      <c r="H13" s="804">
        <v>0.01</v>
      </c>
      <c r="I13" s="1182" t="s">
        <v>205</v>
      </c>
      <c r="J13" s="1183"/>
      <c r="K13" s="1141"/>
      <c r="L13" s="331" t="s">
        <v>350</v>
      </c>
      <c r="M13" s="198" t="s">
        <v>159</v>
      </c>
      <c r="N13" s="132">
        <f>ROUNDUP(131*0.15,0)</f>
        <v>20</v>
      </c>
      <c r="O13" s="132">
        <v>550</v>
      </c>
      <c r="P13" s="132">
        <f>N13*O13</f>
        <v>11000</v>
      </c>
      <c r="Q13" s="1175" t="s">
        <v>260</v>
      </c>
      <c r="R13" s="1176"/>
      <c r="S13" s="1177"/>
    </row>
    <row r="14" spans="2:19" s="98" customFormat="1" ht="18" customHeight="1" x14ac:dyDescent="0.15">
      <c r="B14" s="1141"/>
      <c r="C14" s="1138"/>
      <c r="D14" s="1130"/>
      <c r="E14" s="220" t="s">
        <v>195</v>
      </c>
      <c r="F14" s="665">
        <f>('６　固定資本装備と減価償却費'!L14+'６　固定資本装備と減価償却費'!L17+'６　固定資本装備と減価償却費'!L18+'６　固定資本装備と減価償却費'!L19+'６　固定資本装備と減価償却費'!L20+'６　固定資本装備と減価償却費'!L21+'６　固定資本装備と減価償却費'!L22+'６　固定資本装備と減価償却費'!L23+'６　固定資本装備と減価償却費'!L24+'６　固定資本装備と減価償却費'!L25+'６　固定資本装備と減価償却費'!L26+'６　固定資本装備と減価償却費'!L28+'６　固定資本装備と減価償却費'!L29+'６　固定資本装備と減価償却費'!L31+'６　固定資本装備と減価償却費'!L32+'６　固定資本装備と減価償却費'!L34)*0.05</f>
        <v>90060.298809523811</v>
      </c>
      <c r="G14" s="803" t="s">
        <v>199</v>
      </c>
      <c r="H14" s="804">
        <v>0.05</v>
      </c>
      <c r="I14" s="1182" t="s">
        <v>205</v>
      </c>
      <c r="J14" s="1183"/>
      <c r="K14" s="1157"/>
      <c r="L14" s="210"/>
      <c r="M14" s="198"/>
      <c r="N14" s="132"/>
      <c r="O14" s="132"/>
      <c r="P14" s="132"/>
      <c r="Q14" s="1220"/>
      <c r="R14" s="1176"/>
      <c r="S14" s="1177"/>
    </row>
    <row r="15" spans="2:19" s="98" customFormat="1" ht="18" customHeight="1" thickBot="1" x14ac:dyDescent="0.2">
      <c r="B15" s="1141"/>
      <c r="C15" s="1138"/>
      <c r="D15" s="1129" t="s">
        <v>91</v>
      </c>
      <c r="E15" s="220" t="s">
        <v>194</v>
      </c>
      <c r="F15" s="665">
        <f>'６　固定資本装備と減価償却費'!P4+'６　固定資本装備と減価償却費'!P6+'６　固定資本装備と減価償却費'!P7</f>
        <v>30033.214285714283</v>
      </c>
      <c r="G15" s="1179" t="s">
        <v>205</v>
      </c>
      <c r="H15" s="1180"/>
      <c r="I15" s="1180"/>
      <c r="J15" s="1181"/>
      <c r="K15" s="1157"/>
      <c r="L15" s="110" t="s">
        <v>28</v>
      </c>
      <c r="M15" s="109"/>
      <c r="N15" s="110"/>
      <c r="O15" s="110"/>
      <c r="P15" s="110">
        <f>SUM(P13:P14)</f>
        <v>11000</v>
      </c>
      <c r="Q15" s="1161"/>
      <c r="R15" s="1162"/>
      <c r="S15" s="1163"/>
    </row>
    <row r="16" spans="2:19" s="98" customFormat="1" ht="18" customHeight="1" thickTop="1" x14ac:dyDescent="0.15">
      <c r="B16" s="1141"/>
      <c r="C16" s="1138"/>
      <c r="D16" s="1131"/>
      <c r="E16" s="220" t="s">
        <v>195</v>
      </c>
      <c r="F16" s="665">
        <f>'６　固定資本装備と減価償却費'!P14+'６　固定資本装備と減価償却費'!P17+'６　固定資本装備と減価償却費'!P18+'６　固定資本装備と減価償却費'!P19+'６　固定資本装備と減価償却費'!P20+'６　固定資本装備と減価償却費'!P21+'６　固定資本装備と減価償却費'!P22+'６　固定資本装備と減価償却費'!P23+'６　固定資本装備と減価償却費'!P24+'６　固定資本装備と減価償却費'!P25+'６　固定資本装備と減価償却費'!P26+'６　固定資本装備と減価償却費'!P28+'６　固定資本装備と減価償却費'!P29+'６　固定資本装備と減価償却費'!P31+'６　固定資本装備と減価償却費'!P32+'６　固定資本装備と減価償却費'!P34</f>
        <v>285685.88775510213</v>
      </c>
      <c r="G16" s="1179" t="s">
        <v>205</v>
      </c>
      <c r="H16" s="1180"/>
      <c r="I16" s="1180"/>
      <c r="J16" s="1181"/>
      <c r="K16" s="1157"/>
      <c r="L16" s="193" t="s">
        <v>168</v>
      </c>
      <c r="M16" s="194"/>
      <c r="N16" s="272" t="s">
        <v>265</v>
      </c>
      <c r="O16" s="195" t="s">
        <v>23</v>
      </c>
      <c r="P16" s="196" t="s">
        <v>26</v>
      </c>
      <c r="Q16" s="1164" t="s">
        <v>27</v>
      </c>
      <c r="R16" s="1165"/>
      <c r="S16" s="1166"/>
    </row>
    <row r="17" spans="1:19" s="98" customFormat="1" ht="18" customHeight="1" x14ac:dyDescent="0.15">
      <c r="B17" s="1141"/>
      <c r="C17" s="1138"/>
      <c r="D17" s="1130"/>
      <c r="E17" s="209" t="s">
        <v>61</v>
      </c>
      <c r="F17" s="209">
        <v>0</v>
      </c>
      <c r="G17" s="1179" t="s">
        <v>205</v>
      </c>
      <c r="H17" s="1180"/>
      <c r="I17" s="1180"/>
      <c r="J17" s="1181"/>
      <c r="K17" s="1157"/>
      <c r="L17" s="197" t="s">
        <v>172</v>
      </c>
      <c r="M17" s="198"/>
      <c r="N17" s="171" t="s">
        <v>286</v>
      </c>
      <c r="O17" s="188"/>
      <c r="P17" s="186">
        <f>'８－３　水稲算出基礎（加工用品種）'!G11</f>
        <v>38400</v>
      </c>
      <c r="Q17" s="1153"/>
      <c r="R17" s="1154"/>
      <c r="S17" s="1155"/>
    </row>
    <row r="18" spans="1:19" s="98" customFormat="1" ht="18" customHeight="1" x14ac:dyDescent="0.15">
      <c r="A18" s="97"/>
      <c r="B18" s="1141"/>
      <c r="C18" s="1138"/>
      <c r="D18" s="1121" t="s">
        <v>270</v>
      </c>
      <c r="E18" s="221" t="s">
        <v>121</v>
      </c>
      <c r="F18" s="209">
        <v>0</v>
      </c>
      <c r="G18" s="171"/>
      <c r="H18" s="178"/>
      <c r="I18" s="178"/>
      <c r="J18" s="179"/>
      <c r="K18" s="1157"/>
      <c r="L18" s="670" t="s">
        <v>173</v>
      </c>
      <c r="M18" s="108"/>
      <c r="N18" s="670" t="s">
        <v>286</v>
      </c>
      <c r="O18" s="671"/>
      <c r="P18" s="672">
        <f>'８－３　水稲算出基礎（加工用品種）'!G16</f>
        <v>80500</v>
      </c>
      <c r="Q18" s="1153"/>
      <c r="R18" s="1154"/>
      <c r="S18" s="1155"/>
    </row>
    <row r="19" spans="1:19" s="98" customFormat="1" ht="18" customHeight="1" x14ac:dyDescent="0.15">
      <c r="A19" s="97"/>
      <c r="B19" s="1141"/>
      <c r="C19" s="1138"/>
      <c r="D19" s="1121"/>
      <c r="E19" s="221" t="s">
        <v>117</v>
      </c>
      <c r="F19" s="209">
        <f>J19*'５－１　水稲（食用，加工用米）作業時間'!AO34</f>
        <v>37290.000000000007</v>
      </c>
      <c r="G19" s="171"/>
      <c r="H19" s="178"/>
      <c r="I19" s="111" t="s">
        <v>328</v>
      </c>
      <c r="J19" s="326">
        <v>1100</v>
      </c>
      <c r="K19" s="1141"/>
      <c r="L19" s="673"/>
      <c r="M19" s="674"/>
      <c r="N19" s="674"/>
      <c r="O19" s="669"/>
      <c r="P19" s="669"/>
      <c r="Q19" s="1178"/>
      <c r="R19" s="1154"/>
      <c r="S19" s="1155"/>
    </row>
    <row r="20" spans="1:19" s="98" customFormat="1" ht="18" customHeight="1" x14ac:dyDescent="0.15">
      <c r="A20" s="97"/>
      <c r="B20" s="1141"/>
      <c r="C20" s="1138"/>
      <c r="D20" s="1121"/>
      <c r="E20" s="221" t="s">
        <v>118</v>
      </c>
      <c r="F20" s="209">
        <f>J20*'５－１　水稲（食用，加工用米）作業時間'!AP34</f>
        <v>55800</v>
      </c>
      <c r="G20" s="171"/>
      <c r="H20" s="178"/>
      <c r="I20" s="111" t="s">
        <v>329</v>
      </c>
      <c r="J20" s="326">
        <v>900</v>
      </c>
      <c r="K20" s="1157"/>
      <c r="L20" s="171"/>
      <c r="M20" s="184"/>
      <c r="N20" s="171"/>
      <c r="O20" s="188"/>
      <c r="P20" s="186"/>
      <c r="Q20" s="1153"/>
      <c r="R20" s="1154"/>
      <c r="S20" s="1155"/>
    </row>
    <row r="21" spans="1:19" s="98" customFormat="1" ht="18" customHeight="1" x14ac:dyDescent="0.15">
      <c r="A21" s="97"/>
      <c r="B21" s="1141"/>
      <c r="C21" s="1138"/>
      <c r="D21" s="1121"/>
      <c r="E21" s="221" t="s">
        <v>119</v>
      </c>
      <c r="F21" s="209">
        <f>(F19+F20)*0.012</f>
        <v>1117.08</v>
      </c>
      <c r="G21" s="171" t="s">
        <v>629</v>
      </c>
      <c r="H21" s="178"/>
      <c r="I21" s="178"/>
      <c r="J21" s="179"/>
      <c r="K21" s="1157"/>
      <c r="L21" s="171" t="s">
        <v>176</v>
      </c>
      <c r="M21" s="184"/>
      <c r="N21" s="171" t="s">
        <v>311</v>
      </c>
      <c r="O21" s="186"/>
      <c r="P21" s="186">
        <f>'８－３　水稲算出基礎（加工用品種）'!G24</f>
        <v>20723.849999999999</v>
      </c>
      <c r="Q21" s="1153"/>
      <c r="R21" s="1154"/>
      <c r="S21" s="1155"/>
    </row>
    <row r="22" spans="1:19" s="98" customFormat="1" ht="18" customHeight="1" thickBot="1" x14ac:dyDescent="0.2">
      <c r="A22" s="97"/>
      <c r="B22" s="1141"/>
      <c r="C22" s="1138"/>
      <c r="D22" s="1121" t="s">
        <v>62</v>
      </c>
      <c r="E22" s="221" t="s">
        <v>63</v>
      </c>
      <c r="F22" s="209">
        <f t="shared" ref="F22:F23" si="0">I22*10</f>
        <v>23760</v>
      </c>
      <c r="G22" s="171"/>
      <c r="H22" s="178"/>
      <c r="I22" s="184">
        <v>2376</v>
      </c>
      <c r="J22" s="179" t="s">
        <v>327</v>
      </c>
      <c r="K22" s="1157"/>
      <c r="L22" s="110" t="s">
        <v>28</v>
      </c>
      <c r="M22" s="109"/>
      <c r="N22" s="110"/>
      <c r="O22" s="110"/>
      <c r="P22" s="110">
        <f>SUM(P17:P21)</f>
        <v>139623.85</v>
      </c>
      <c r="Q22" s="1161"/>
      <c r="R22" s="1162"/>
      <c r="S22" s="1163"/>
    </row>
    <row r="23" spans="1:19" s="98" customFormat="1" ht="18" customHeight="1" thickTop="1" x14ac:dyDescent="0.15">
      <c r="A23" s="97"/>
      <c r="B23" s="1141"/>
      <c r="C23" s="1138"/>
      <c r="D23" s="1121"/>
      <c r="E23" s="221" t="s">
        <v>92</v>
      </c>
      <c r="F23" s="209">
        <f t="shared" si="0"/>
        <v>50000</v>
      </c>
      <c r="G23" s="171"/>
      <c r="H23" s="178"/>
      <c r="I23" s="184">
        <v>5000</v>
      </c>
      <c r="J23" s="179" t="s">
        <v>327</v>
      </c>
      <c r="K23" s="1157"/>
      <c r="L23" s="171" t="s">
        <v>169</v>
      </c>
      <c r="M23" s="184"/>
      <c r="N23" s="185" t="s">
        <v>25</v>
      </c>
      <c r="O23" s="185" t="s">
        <v>23</v>
      </c>
      <c r="P23" s="185" t="s">
        <v>26</v>
      </c>
      <c r="Q23" s="1164" t="s">
        <v>27</v>
      </c>
      <c r="R23" s="1165"/>
      <c r="S23" s="1166"/>
    </row>
    <row r="24" spans="1:19" s="98" customFormat="1" ht="18" customHeight="1" x14ac:dyDescent="0.15">
      <c r="A24" s="97"/>
      <c r="B24" s="1141"/>
      <c r="C24" s="1138"/>
      <c r="D24" s="209" t="s">
        <v>64</v>
      </c>
      <c r="E24" s="218"/>
      <c r="F24" s="209">
        <f>I24*10</f>
        <v>30000</v>
      </c>
      <c r="G24" s="171"/>
      <c r="H24" s="178"/>
      <c r="I24" s="356">
        <v>3000</v>
      </c>
      <c r="J24" s="179" t="s">
        <v>327</v>
      </c>
      <c r="K24" s="1157"/>
      <c r="L24" s="186" t="s">
        <v>29</v>
      </c>
      <c r="M24" s="184"/>
      <c r="N24" s="171" t="s">
        <v>313</v>
      </c>
      <c r="O24" s="186"/>
      <c r="P24" s="186">
        <f>'８－３　水稲算出基礎（加工用品種）'!G38</f>
        <v>5512.1</v>
      </c>
      <c r="Q24" s="1153"/>
      <c r="R24" s="1154"/>
      <c r="S24" s="1155"/>
    </row>
    <row r="25" spans="1:19" s="98" customFormat="1" ht="18" customHeight="1" x14ac:dyDescent="0.15">
      <c r="A25" s="97"/>
      <c r="B25" s="1141"/>
      <c r="C25" s="1138"/>
      <c r="D25" s="209" t="s">
        <v>171</v>
      </c>
      <c r="E25" s="218"/>
      <c r="F25" s="209">
        <f>SUM(F6:F24)/99</f>
        <v>8891.5745117061779</v>
      </c>
      <c r="G25" s="222" t="s">
        <v>227</v>
      </c>
      <c r="H25" s="229">
        <v>0.01</v>
      </c>
      <c r="I25" s="112"/>
      <c r="J25" s="7"/>
      <c r="K25" s="1157"/>
      <c r="L25" s="186" t="s">
        <v>30</v>
      </c>
      <c r="M25" s="184"/>
      <c r="N25" s="171" t="s">
        <v>315</v>
      </c>
      <c r="O25" s="186"/>
      <c r="P25" s="186">
        <f>'８－３　水稲算出基礎（加工用品種）'!G49</f>
        <v>4975</v>
      </c>
      <c r="Q25" s="1153"/>
      <c r="R25" s="1154"/>
      <c r="S25" s="1155"/>
    </row>
    <row r="26" spans="1:19" s="98" customFormat="1" ht="18" customHeight="1" x14ac:dyDescent="0.15">
      <c r="A26" s="97"/>
      <c r="B26" s="1141"/>
      <c r="C26" s="1139"/>
      <c r="D26" s="1127" t="s">
        <v>218</v>
      </c>
      <c r="E26" s="1128"/>
      <c r="F26" s="129">
        <f>SUM(F6:F25)</f>
        <v>889157.45117061771</v>
      </c>
      <c r="G26" s="180"/>
      <c r="H26" s="112"/>
      <c r="I26" s="112"/>
      <c r="J26" s="115"/>
      <c r="K26" s="1157"/>
      <c r="L26" s="186" t="s">
        <v>31</v>
      </c>
      <c r="M26" s="184"/>
      <c r="N26" s="171" t="s">
        <v>311</v>
      </c>
      <c r="O26" s="186"/>
      <c r="P26" s="186">
        <f>'８－３　水稲算出基礎（加工用品種）'!G53</f>
        <v>24330</v>
      </c>
      <c r="Q26" s="1153"/>
      <c r="R26" s="1154"/>
      <c r="S26" s="1155"/>
    </row>
    <row r="27" spans="1:19" s="98" customFormat="1" ht="18" customHeight="1" x14ac:dyDescent="0.15">
      <c r="A27" s="97"/>
      <c r="B27" s="1141"/>
      <c r="C27" s="1122" t="s">
        <v>200</v>
      </c>
      <c r="D27" s="1023" t="s">
        <v>65</v>
      </c>
      <c r="E27" s="17" t="s">
        <v>3</v>
      </c>
      <c r="F27" s="103">
        <f>P11/30*J27</f>
        <v>16000</v>
      </c>
      <c r="G27" s="197"/>
      <c r="H27" s="184"/>
      <c r="I27" s="108" t="s">
        <v>335</v>
      </c>
      <c r="J27" s="327">
        <v>80</v>
      </c>
      <c r="K27" s="1157"/>
      <c r="L27" s="186" t="s">
        <v>312</v>
      </c>
      <c r="M27" s="184"/>
      <c r="N27" s="171" t="s">
        <v>315</v>
      </c>
      <c r="O27" s="186"/>
      <c r="P27" s="186">
        <f>'８－３　水稲算出基礎（加工用品種）'!G57</f>
        <v>37268.5</v>
      </c>
      <c r="Q27" s="1153"/>
      <c r="R27" s="1154"/>
      <c r="S27" s="1155"/>
    </row>
    <row r="28" spans="1:19" s="98" customFormat="1" ht="18" customHeight="1" thickBot="1" x14ac:dyDescent="0.2">
      <c r="A28" s="97"/>
      <c r="B28" s="1141"/>
      <c r="C28" s="1123"/>
      <c r="D28" s="1026"/>
      <c r="E28" s="17" t="s">
        <v>4</v>
      </c>
      <c r="F28" s="130">
        <v>0</v>
      </c>
      <c r="G28" s="197"/>
      <c r="H28" s="223"/>
      <c r="I28" s="223"/>
      <c r="J28" s="224"/>
      <c r="K28" s="1157"/>
      <c r="L28" s="110" t="s">
        <v>28</v>
      </c>
      <c r="M28" s="109"/>
      <c r="N28" s="110"/>
      <c r="O28" s="110"/>
      <c r="P28" s="110">
        <f>SUM(P24:P27)</f>
        <v>72085.600000000006</v>
      </c>
      <c r="Q28" s="1161"/>
      <c r="R28" s="1162"/>
      <c r="S28" s="1163"/>
    </row>
    <row r="29" spans="1:19" s="98" customFormat="1" ht="18" customHeight="1" thickTop="1" x14ac:dyDescent="0.15">
      <c r="A29" s="97"/>
      <c r="B29" s="1141"/>
      <c r="C29" s="1123"/>
      <c r="D29" s="1024"/>
      <c r="E29" s="17" t="s">
        <v>8</v>
      </c>
      <c r="F29" s="103">
        <f>P11/30*J29</f>
        <v>5000</v>
      </c>
      <c r="G29" s="197"/>
      <c r="H29" s="192"/>
      <c r="I29" s="223" t="s">
        <v>336</v>
      </c>
      <c r="J29" s="328">
        <v>25</v>
      </c>
      <c r="K29" s="1157"/>
      <c r="L29" s="171" t="s">
        <v>170</v>
      </c>
      <c r="M29" s="184"/>
      <c r="N29" s="185" t="s">
        <v>25</v>
      </c>
      <c r="O29" s="185" t="s">
        <v>23</v>
      </c>
      <c r="P29" s="185" t="s">
        <v>26</v>
      </c>
      <c r="Q29" s="1164" t="s">
        <v>27</v>
      </c>
      <c r="R29" s="1165"/>
      <c r="S29" s="1166"/>
    </row>
    <row r="30" spans="1:19" s="98" customFormat="1" ht="18" customHeight="1" x14ac:dyDescent="0.15">
      <c r="A30" s="97"/>
      <c r="B30" s="1141"/>
      <c r="C30" s="1123"/>
      <c r="D30" s="17" t="s">
        <v>66</v>
      </c>
      <c r="E30" s="18"/>
      <c r="F30" s="103">
        <v>0</v>
      </c>
      <c r="G30" s="1179" t="s">
        <v>206</v>
      </c>
      <c r="H30" s="1180"/>
      <c r="I30" s="1180"/>
      <c r="J30" s="1181"/>
      <c r="K30" s="1157"/>
      <c r="L30" s="186" t="s">
        <v>47</v>
      </c>
      <c r="M30" s="187"/>
      <c r="N30" s="171" t="s">
        <v>316</v>
      </c>
      <c r="O30" s="188"/>
      <c r="P30" s="186">
        <f>'８－３　水稲算出基礎（加工用品種）'!N12</f>
        <v>14054.271000000001</v>
      </c>
      <c r="Q30" s="1150"/>
      <c r="R30" s="1151"/>
      <c r="S30" s="1152"/>
    </row>
    <row r="31" spans="1:19" s="98" customFormat="1" ht="18" customHeight="1" x14ac:dyDescent="0.15">
      <c r="A31" s="97"/>
      <c r="B31" s="1141"/>
      <c r="C31" s="1123"/>
      <c r="D31" s="1036" t="s">
        <v>271</v>
      </c>
      <c r="E31" s="27" t="s">
        <v>121</v>
      </c>
      <c r="F31" s="130">
        <v>0</v>
      </c>
      <c r="G31" s="1179" t="s">
        <v>206</v>
      </c>
      <c r="H31" s="1180"/>
      <c r="I31" s="1180"/>
      <c r="J31" s="1181"/>
      <c r="K31" s="1157"/>
      <c r="L31" s="186" t="s">
        <v>46</v>
      </c>
      <c r="M31" s="187"/>
      <c r="N31" s="171" t="s">
        <v>317</v>
      </c>
      <c r="O31" s="188"/>
      <c r="P31" s="186">
        <f>'８－３　水稲算出基礎（加工用品種）'!N16</f>
        <v>1453.1615999999999</v>
      </c>
      <c r="Q31" s="1150"/>
      <c r="R31" s="1151"/>
      <c r="S31" s="1152"/>
    </row>
    <row r="32" spans="1:19" s="98" customFormat="1" ht="18" customHeight="1" x14ac:dyDescent="0.15">
      <c r="A32" s="97"/>
      <c r="B32" s="1141"/>
      <c r="C32" s="1123"/>
      <c r="D32" s="1036"/>
      <c r="E32" s="27" t="s">
        <v>120</v>
      </c>
      <c r="F32" s="130">
        <v>0</v>
      </c>
      <c r="G32" s="1179" t="s">
        <v>206</v>
      </c>
      <c r="H32" s="1180"/>
      <c r="I32" s="1180"/>
      <c r="J32" s="1181"/>
      <c r="K32" s="1157"/>
      <c r="L32" s="186" t="s">
        <v>48</v>
      </c>
      <c r="M32" s="184"/>
      <c r="N32" s="188"/>
      <c r="O32" s="188"/>
      <c r="P32" s="186">
        <f>SUM(P30:P31)*R32</f>
        <v>4652.2297799999997</v>
      </c>
      <c r="Q32" s="191" t="s">
        <v>32</v>
      </c>
      <c r="R32" s="190">
        <v>0.3</v>
      </c>
      <c r="S32" s="114"/>
    </row>
    <row r="33" spans="1:23" ht="18" customHeight="1" x14ac:dyDescent="0.15">
      <c r="B33" s="1141"/>
      <c r="C33" s="1123"/>
      <c r="D33" s="17" t="s">
        <v>67</v>
      </c>
      <c r="E33" s="28"/>
      <c r="F33" s="130">
        <v>0</v>
      </c>
      <c r="G33" s="1179" t="s">
        <v>206</v>
      </c>
      <c r="H33" s="1180"/>
      <c r="I33" s="1180"/>
      <c r="J33" s="1181"/>
      <c r="K33" s="1157"/>
      <c r="L33" s="186" t="s">
        <v>49</v>
      </c>
      <c r="M33" s="187"/>
      <c r="N33" s="171"/>
      <c r="O33" s="188"/>
      <c r="P33" s="186">
        <f>'８－３　水稲算出基礎（加工用品種）'!N20</f>
        <v>0</v>
      </c>
      <c r="Q33" s="1153"/>
      <c r="R33" s="1154"/>
      <c r="S33" s="1155"/>
    </row>
    <row r="34" spans="1:23" ht="18" customHeight="1" x14ac:dyDescent="0.15">
      <c r="B34" s="1141"/>
      <c r="C34" s="1123"/>
      <c r="D34" s="17" t="s">
        <v>93</v>
      </c>
      <c r="E34" s="28"/>
      <c r="F34" s="130">
        <v>0</v>
      </c>
      <c r="G34" s="1179" t="s">
        <v>206</v>
      </c>
      <c r="H34" s="1180"/>
      <c r="I34" s="1180"/>
      <c r="J34" s="1181"/>
      <c r="K34" s="1157"/>
      <c r="L34" s="186" t="s">
        <v>50</v>
      </c>
      <c r="M34" s="187"/>
      <c r="N34" s="171" t="s">
        <v>317</v>
      </c>
      <c r="O34" s="188"/>
      <c r="P34" s="186">
        <f>'８－３　水稲算出基礎（加工用品種）'!N24</f>
        <v>17563.241999999998</v>
      </c>
      <c r="Q34" s="1153"/>
      <c r="R34" s="1154"/>
      <c r="S34" s="1155"/>
    </row>
    <row r="35" spans="1:23" ht="18" customHeight="1" x14ac:dyDescent="0.15">
      <c r="B35" s="1141"/>
      <c r="C35" s="1123"/>
      <c r="D35" s="17" t="s">
        <v>124</v>
      </c>
      <c r="E35" s="18"/>
      <c r="F35" s="130">
        <f>'８－３　水稲算出基礎（加工用品種）'!V57</f>
        <v>8652.9761904761908</v>
      </c>
      <c r="G35" s="1159" t="s">
        <v>601</v>
      </c>
      <c r="H35" s="1160"/>
      <c r="I35" s="1160"/>
      <c r="J35" s="1147"/>
      <c r="K35" s="1157"/>
      <c r="L35" s="186" t="s">
        <v>269</v>
      </c>
      <c r="M35" s="187"/>
      <c r="N35" s="171"/>
      <c r="O35" s="188"/>
      <c r="P35" s="186">
        <f>'８－３　水稲算出基礎（加工用品種）'!N28</f>
        <v>0</v>
      </c>
      <c r="Q35" s="1153"/>
      <c r="R35" s="1154"/>
      <c r="S35" s="1155"/>
    </row>
    <row r="36" spans="1:23" ht="18" customHeight="1" x14ac:dyDescent="0.15">
      <c r="B36" s="1141"/>
      <c r="C36" s="1123"/>
      <c r="D36" s="37" t="s">
        <v>94</v>
      </c>
      <c r="E36" s="38"/>
      <c r="F36" s="228">
        <v>0</v>
      </c>
      <c r="G36" s="171"/>
      <c r="H36" s="226"/>
      <c r="I36" s="227"/>
      <c r="J36" s="225"/>
      <c r="K36" s="1157"/>
      <c r="L36" s="186" t="s">
        <v>51</v>
      </c>
      <c r="M36" s="184"/>
      <c r="N36" s="171" t="s">
        <v>318</v>
      </c>
      <c r="O36" s="188"/>
      <c r="P36" s="186">
        <f>'８－３　水稲算出基礎（加工用品種）'!N32</f>
        <v>3811.2200000000003</v>
      </c>
      <c r="Q36" s="1153"/>
      <c r="R36" s="1154"/>
      <c r="S36" s="1155"/>
    </row>
    <row r="37" spans="1:23" ht="18" customHeight="1" thickBot="1" x14ac:dyDescent="0.2">
      <c r="B37" s="1141"/>
      <c r="C37" s="1123"/>
      <c r="D37" s="17" t="s">
        <v>68</v>
      </c>
      <c r="E37" s="18"/>
      <c r="F37" s="130">
        <f>'８－３　水稲算出基礎（加工用品種）'!N57</f>
        <v>4308.4735714285716</v>
      </c>
      <c r="G37" s="1159" t="s">
        <v>601</v>
      </c>
      <c r="H37" s="1160"/>
      <c r="I37" s="1160"/>
      <c r="J37" s="1147"/>
      <c r="K37" s="1158"/>
      <c r="L37" s="122" t="s">
        <v>28</v>
      </c>
      <c r="M37" s="121"/>
      <c r="N37" s="122"/>
      <c r="O37" s="122"/>
      <c r="P37" s="122">
        <f>SUM(P30:P36)</f>
        <v>41534.124380000001</v>
      </c>
      <c r="Q37" s="1172"/>
      <c r="R37" s="1173"/>
      <c r="S37" s="1174"/>
    </row>
    <row r="38" spans="1:23" s="116" customFormat="1" ht="18" customHeight="1" x14ac:dyDescent="0.15">
      <c r="A38" s="97"/>
      <c r="B38" s="1141"/>
      <c r="C38" s="1123"/>
      <c r="D38" s="17" t="s">
        <v>0</v>
      </c>
      <c r="E38" s="28"/>
      <c r="F38" s="130">
        <v>0</v>
      </c>
      <c r="G38" s="1184" t="s">
        <v>206</v>
      </c>
      <c r="H38" s="1185"/>
      <c r="I38" s="1185"/>
      <c r="J38" s="1186"/>
    </row>
    <row r="39" spans="1:23" s="116" customFormat="1" ht="18" customHeight="1" thickBot="1" x14ac:dyDescent="0.2">
      <c r="A39" s="97"/>
      <c r="B39" s="1142"/>
      <c r="C39" s="1124"/>
      <c r="D39" s="1125" t="s">
        <v>217</v>
      </c>
      <c r="E39" s="1126"/>
      <c r="F39" s="173">
        <f>SUM(F27:F38)</f>
        <v>33961.449761904762</v>
      </c>
      <c r="G39" s="174"/>
      <c r="H39" s="175"/>
      <c r="I39" s="176"/>
      <c r="J39" s="177"/>
      <c r="T39" s="117"/>
    </row>
    <row r="40" spans="1:23" s="116" customFormat="1" ht="18" customHeight="1" x14ac:dyDescent="0.15">
      <c r="A40" s="97"/>
      <c r="B40" s="1110" t="s">
        <v>221</v>
      </c>
      <c r="C40" s="1113" t="s">
        <v>70</v>
      </c>
      <c r="D40" s="168" t="s">
        <v>123</v>
      </c>
      <c r="E40" s="169"/>
      <c r="F40" s="170">
        <f>J40*10</f>
        <v>470000</v>
      </c>
      <c r="G40" s="171"/>
      <c r="H40" s="172"/>
      <c r="I40" s="172" t="s">
        <v>339</v>
      </c>
      <c r="J40" s="330">
        <v>47000</v>
      </c>
      <c r="T40" s="98"/>
      <c r="U40" s="98"/>
      <c r="V40" s="98"/>
      <c r="W40" s="98"/>
    </row>
    <row r="41" spans="1:23" s="116" customFormat="1" ht="18" customHeight="1" x14ac:dyDescent="0.15">
      <c r="A41" s="97"/>
      <c r="B41" s="1111"/>
      <c r="C41" s="1114"/>
      <c r="D41" s="17" t="s">
        <v>122</v>
      </c>
      <c r="E41" s="18"/>
      <c r="F41" s="162">
        <v>0</v>
      </c>
      <c r="G41" s="171"/>
      <c r="H41" s="123"/>
      <c r="I41" s="123"/>
      <c r="J41" s="182"/>
      <c r="T41" s="118"/>
      <c r="U41" s="119"/>
      <c r="V41" s="120"/>
      <c r="W41" s="118"/>
    </row>
    <row r="42" spans="1:23" s="116" customFormat="1" ht="18" customHeight="1" x14ac:dyDescent="0.15">
      <c r="A42" s="97"/>
      <c r="B42" s="1111"/>
      <c r="C42" s="1115"/>
      <c r="D42" s="37" t="s">
        <v>69</v>
      </c>
      <c r="E42" s="18"/>
      <c r="F42" s="163">
        <v>0</v>
      </c>
      <c r="G42" s="171"/>
      <c r="H42" s="123"/>
      <c r="I42" s="123"/>
      <c r="J42" s="182"/>
      <c r="T42" s="98"/>
      <c r="U42" s="98"/>
      <c r="V42" s="98"/>
      <c r="W42" s="98"/>
    </row>
    <row r="43" spans="1:23" s="116" customFormat="1" ht="18" customHeight="1" x14ac:dyDescent="0.15">
      <c r="B43" s="1111"/>
      <c r="C43" s="1116" t="s">
        <v>220</v>
      </c>
      <c r="D43" s="37" t="s">
        <v>272</v>
      </c>
      <c r="E43" s="38"/>
      <c r="F43" s="163">
        <v>0</v>
      </c>
      <c r="G43" s="171"/>
      <c r="H43" s="123"/>
      <c r="I43" s="123"/>
      <c r="J43" s="182"/>
      <c r="T43" s="99"/>
      <c r="U43" s="117"/>
      <c r="V43" s="98"/>
      <c r="W43" s="118"/>
    </row>
    <row r="44" spans="1:23" s="116" customFormat="1" ht="18" customHeight="1" x14ac:dyDescent="0.15">
      <c r="B44" s="1111"/>
      <c r="C44" s="1117"/>
      <c r="D44" s="39" t="s">
        <v>1</v>
      </c>
      <c r="E44" s="40"/>
      <c r="F44" s="163">
        <v>0</v>
      </c>
      <c r="G44" s="171"/>
      <c r="H44" s="123"/>
      <c r="I44" s="123"/>
      <c r="J44" s="182"/>
      <c r="T44" s="99"/>
      <c r="U44" s="117"/>
      <c r="V44" s="98"/>
      <c r="W44" s="118"/>
    </row>
    <row r="45" spans="1:23" s="116" customFormat="1" ht="18" customHeight="1" thickBot="1" x14ac:dyDescent="0.2">
      <c r="B45" s="1112"/>
      <c r="C45" s="1118" t="s">
        <v>96</v>
      </c>
      <c r="D45" s="1119"/>
      <c r="E45" s="1120"/>
      <c r="F45" s="164">
        <f>SUM(F40:F42)-SUM(F43:F44)</f>
        <v>470000</v>
      </c>
      <c r="G45" s="124"/>
      <c r="H45" s="125"/>
      <c r="I45" s="125"/>
      <c r="J45" s="183"/>
      <c r="T45" s="98"/>
      <c r="U45" s="98"/>
      <c r="V45" s="119"/>
      <c r="W45" s="98"/>
    </row>
    <row r="49" spans="4:6" x14ac:dyDescent="0.15">
      <c r="D49" s="622" t="s">
        <v>321</v>
      </c>
      <c r="E49" s="622"/>
      <c r="F49" s="622">
        <f>F4-F26</f>
        <v>-89157.451170617715</v>
      </c>
    </row>
  </sheetData>
  <mergeCells count="71">
    <mergeCell ref="G9:J9"/>
    <mergeCell ref="G15:J15"/>
    <mergeCell ref="G16:J16"/>
    <mergeCell ref="G37:J37"/>
    <mergeCell ref="Q27:S27"/>
    <mergeCell ref="Q28:S28"/>
    <mergeCell ref="Q37:S37"/>
    <mergeCell ref="Q16:S16"/>
    <mergeCell ref="Q17:S17"/>
    <mergeCell ref="G17:J17"/>
    <mergeCell ref="G30:J30"/>
    <mergeCell ref="G31:J31"/>
    <mergeCell ref="G32:J32"/>
    <mergeCell ref="Q24:S24"/>
    <mergeCell ref="Q19:S19"/>
    <mergeCell ref="Q20:S20"/>
    <mergeCell ref="D31:D32"/>
    <mergeCell ref="D39:E39"/>
    <mergeCell ref="R6:S6"/>
    <mergeCell ref="R7:S7"/>
    <mergeCell ref="R8:S8"/>
    <mergeCell ref="Q34:S34"/>
    <mergeCell ref="Q18:S18"/>
    <mergeCell ref="Q35:S35"/>
    <mergeCell ref="Q12:S12"/>
    <mergeCell ref="G33:J33"/>
    <mergeCell ref="G34:J34"/>
    <mergeCell ref="G38:J38"/>
    <mergeCell ref="G7:J7"/>
    <mergeCell ref="G8:J8"/>
    <mergeCell ref="Q30:S30"/>
    <mergeCell ref="Q31:S31"/>
    <mergeCell ref="Q33:S33"/>
    <mergeCell ref="Q36:S36"/>
    <mergeCell ref="Q23:S23"/>
    <mergeCell ref="B40:B45"/>
    <mergeCell ref="C40:C42"/>
    <mergeCell ref="C43:C44"/>
    <mergeCell ref="C45:E45"/>
    <mergeCell ref="C6:C26"/>
    <mergeCell ref="D18:D21"/>
    <mergeCell ref="D13:D14"/>
    <mergeCell ref="D15:D17"/>
    <mergeCell ref="D22:D23"/>
    <mergeCell ref="B6:B39"/>
    <mergeCell ref="D26:E26"/>
    <mergeCell ref="C27:C39"/>
    <mergeCell ref="D27:D29"/>
    <mergeCell ref="R10:S10"/>
    <mergeCell ref="G11:J11"/>
    <mergeCell ref="R11:S11"/>
    <mergeCell ref="Q21:S21"/>
    <mergeCell ref="Q29:S29"/>
    <mergeCell ref="Q26:S26"/>
    <mergeCell ref="Q15:S15"/>
    <mergeCell ref="G35:J35"/>
    <mergeCell ref="K12:K37"/>
    <mergeCell ref="Q25:S25"/>
    <mergeCell ref="B3:E3"/>
    <mergeCell ref="K3:S3"/>
    <mergeCell ref="B4:C5"/>
    <mergeCell ref="R4:S4"/>
    <mergeCell ref="R5:S5"/>
    <mergeCell ref="G4:J4"/>
    <mergeCell ref="I13:J13"/>
    <mergeCell ref="Q13:S13"/>
    <mergeCell ref="I14:J14"/>
    <mergeCell ref="Q14:S14"/>
    <mergeCell ref="Q22:S22"/>
    <mergeCell ref="R9:S9"/>
    <mergeCell ref="G10:J10"/>
  </mergeCells>
  <phoneticPr fontId="4"/>
  <pageMargins left="0.78740157480314965" right="0.78740157480314965" top="0.78740157480314965" bottom="0.78740157480314965" header="0.39370078740157483" footer="0.39370078740157483"/>
  <pageSetup paperSize="9" scale="64" orientation="landscape" r:id="rId1"/>
  <headerFooter alignWithMargins="0">
    <oddHeader>&amp;R&amp;A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3"/>
  <sheetViews>
    <sheetView zoomScale="75" zoomScaleNormal="75" zoomScaleSheetLayoutView="84" workbookViewId="0"/>
  </sheetViews>
  <sheetFormatPr defaultColWidth="10.875" defaultRowHeight="13.5" x14ac:dyDescent="0.15"/>
  <cols>
    <col min="1" max="1" width="1.625" style="97" customWidth="1"/>
    <col min="2" max="2" width="5.875" style="97" customWidth="1"/>
    <col min="3" max="3" width="10.625" style="97" customWidth="1"/>
    <col min="4" max="4" width="12.375" style="97" customWidth="1"/>
    <col min="5" max="5" width="14.625" style="97" customWidth="1"/>
    <col min="6" max="7" width="15.875" style="97" customWidth="1"/>
    <col min="8" max="8" width="10.875" style="97"/>
    <col min="9" max="9" width="11.375" style="97" bestFit="1" customWidth="1"/>
    <col min="10" max="10" width="13.375" style="97" customWidth="1"/>
    <col min="11" max="11" width="7.125" style="97" customWidth="1"/>
    <col min="12" max="12" width="15.375" style="97" customWidth="1"/>
    <col min="13" max="13" width="9.375" style="97" bestFit="1" customWidth="1"/>
    <col min="14" max="14" width="10.875" style="97"/>
    <col min="15" max="15" width="7.25" style="97" customWidth="1"/>
    <col min="16" max="16" width="9.625" style="97" customWidth="1"/>
    <col min="17" max="17" width="10.875" style="97" customWidth="1"/>
    <col min="18" max="18" width="7.5" style="97" customWidth="1"/>
    <col min="19" max="19" width="9.125" style="97" customWidth="1"/>
    <col min="20" max="16384" width="10.875" style="97"/>
  </cols>
  <sheetData>
    <row r="1" spans="2:19" s="98" customFormat="1" ht="9.9499999999999993" customHeight="1" x14ac:dyDescent="0.15"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</row>
    <row r="2" spans="2:19" s="98" customFormat="1" ht="24.95" customHeight="1" thickBot="1" x14ac:dyDescent="0.2">
      <c r="B2" s="98" t="s">
        <v>577</v>
      </c>
      <c r="H2" s="99" t="s">
        <v>261</v>
      </c>
      <c r="I2" s="98" t="s">
        <v>413</v>
      </c>
      <c r="K2" s="99" t="s">
        <v>262</v>
      </c>
      <c r="L2" s="98" t="s">
        <v>570</v>
      </c>
      <c r="N2" s="97"/>
      <c r="O2" s="97"/>
    </row>
    <row r="3" spans="2:19" s="98" customFormat="1" ht="18" customHeight="1" x14ac:dyDescent="0.15">
      <c r="B3" s="1134" t="s">
        <v>19</v>
      </c>
      <c r="C3" s="1135"/>
      <c r="D3" s="1135"/>
      <c r="E3" s="1136"/>
      <c r="F3" s="540" t="s">
        <v>20</v>
      </c>
      <c r="G3" s="391"/>
      <c r="H3" s="102" t="s">
        <v>21</v>
      </c>
      <c r="I3" s="100"/>
      <c r="J3" s="675"/>
      <c r="K3" s="1239" t="s">
        <v>457</v>
      </c>
      <c r="L3" s="1215"/>
      <c r="M3" s="1215"/>
      <c r="N3" s="1215"/>
      <c r="O3" s="1215"/>
      <c r="P3" s="1215"/>
      <c r="Q3" s="1215"/>
      <c r="R3" s="1215"/>
      <c r="S3" s="1216"/>
    </row>
    <row r="4" spans="2:19" s="98" customFormat="1" ht="18" customHeight="1" x14ac:dyDescent="0.15">
      <c r="B4" s="1132" t="s">
        <v>22</v>
      </c>
      <c r="C4" s="1240"/>
      <c r="D4" s="495" t="s">
        <v>219</v>
      </c>
      <c r="E4" s="216"/>
      <c r="F4" s="392">
        <f>R11</f>
        <v>8390000</v>
      </c>
      <c r="G4" s="1243" t="s">
        <v>458</v>
      </c>
      <c r="H4" s="1244"/>
      <c r="I4" s="1244"/>
      <c r="J4" s="1245"/>
      <c r="K4" s="684" t="s">
        <v>459</v>
      </c>
      <c r="L4" s="761" t="s">
        <v>460</v>
      </c>
      <c r="M4" s="761" t="s">
        <v>23</v>
      </c>
      <c r="N4" s="761" t="s">
        <v>22</v>
      </c>
      <c r="O4" s="761" t="s">
        <v>459</v>
      </c>
      <c r="P4" s="761" t="s">
        <v>460</v>
      </c>
      <c r="Q4" s="761" t="s">
        <v>23</v>
      </c>
      <c r="R4" s="1217" t="s">
        <v>22</v>
      </c>
      <c r="S4" s="1218"/>
    </row>
    <row r="5" spans="2:19" s="98" customFormat="1" ht="18" customHeight="1" x14ac:dyDescent="0.15">
      <c r="B5" s="1132"/>
      <c r="C5" s="1240"/>
      <c r="D5" s="495" t="s">
        <v>89</v>
      </c>
      <c r="E5" s="216"/>
      <c r="F5" s="392">
        <v>0</v>
      </c>
      <c r="G5" s="398"/>
      <c r="H5" s="184"/>
      <c r="I5" s="184"/>
      <c r="J5" s="184"/>
      <c r="K5" s="688">
        <v>11</v>
      </c>
      <c r="L5" s="392">
        <v>25000</v>
      </c>
      <c r="M5" s="392">
        <v>335.6</v>
      </c>
      <c r="N5" s="392">
        <f>L5*M5</f>
        <v>8390000</v>
      </c>
      <c r="O5" s="392"/>
      <c r="P5" s="392"/>
      <c r="Q5" s="392"/>
      <c r="R5" s="1241">
        <f>P5*Q5</f>
        <v>0</v>
      </c>
      <c r="S5" s="1242"/>
    </row>
    <row r="6" spans="2:19" s="98" customFormat="1" ht="18" customHeight="1" x14ac:dyDescent="0.15">
      <c r="B6" s="1224" t="s">
        <v>224</v>
      </c>
      <c r="C6" s="1227" t="s">
        <v>461</v>
      </c>
      <c r="D6" s="392" t="s">
        <v>56</v>
      </c>
      <c r="E6" s="211"/>
      <c r="F6" s="392">
        <f>+P13</f>
        <v>725000</v>
      </c>
      <c r="G6" s="398" t="s">
        <v>462</v>
      </c>
      <c r="H6" s="184"/>
      <c r="I6" s="184"/>
      <c r="J6" s="184"/>
      <c r="K6" s="779"/>
      <c r="L6" s="212"/>
      <c r="M6" s="392"/>
      <c r="N6" s="791">
        <f t="shared" ref="N6:N11" si="0">L6*M6</f>
        <v>0</v>
      </c>
      <c r="O6" s="392"/>
      <c r="P6" s="392"/>
      <c r="Q6" s="392"/>
      <c r="R6" s="1199"/>
      <c r="S6" s="1200"/>
    </row>
    <row r="7" spans="2:19" s="98" customFormat="1" ht="18" customHeight="1" x14ac:dyDescent="0.15">
      <c r="B7" s="1225"/>
      <c r="C7" s="1228"/>
      <c r="D7" s="392" t="s">
        <v>57</v>
      </c>
      <c r="E7" s="211"/>
      <c r="F7" s="392">
        <f>P22</f>
        <v>264000</v>
      </c>
      <c r="G7" s="1246" t="s">
        <v>593</v>
      </c>
      <c r="H7" s="1247"/>
      <c r="I7" s="1247"/>
      <c r="J7" s="1247"/>
      <c r="K7" s="687"/>
      <c r="L7" s="770"/>
      <c r="M7" s="212"/>
      <c r="N7" s="791">
        <f t="shared" si="0"/>
        <v>0</v>
      </c>
      <c r="O7" s="392"/>
      <c r="P7" s="392"/>
      <c r="Q7" s="392"/>
      <c r="R7" s="1199"/>
      <c r="S7" s="1200"/>
    </row>
    <row r="8" spans="2:19" s="98" customFormat="1" ht="18" customHeight="1" x14ac:dyDescent="0.15">
      <c r="B8" s="1225"/>
      <c r="C8" s="1228"/>
      <c r="D8" s="392" t="s">
        <v>58</v>
      </c>
      <c r="E8" s="211"/>
      <c r="F8" s="392">
        <f>P28</f>
        <v>379746</v>
      </c>
      <c r="G8" s="1246" t="s">
        <v>594</v>
      </c>
      <c r="H8" s="1247"/>
      <c r="I8" s="1247"/>
      <c r="J8" s="1247"/>
      <c r="K8" s="780"/>
      <c r="L8" s="669"/>
      <c r="M8" s="669"/>
      <c r="N8" s="792"/>
      <c r="O8" s="392"/>
      <c r="P8" s="392"/>
      <c r="Q8" s="392"/>
      <c r="R8" s="1199"/>
      <c r="S8" s="1200"/>
    </row>
    <row r="9" spans="2:19" s="98" customFormat="1" ht="18" customHeight="1" x14ac:dyDescent="0.15">
      <c r="B9" s="1225"/>
      <c r="C9" s="1228"/>
      <c r="D9" s="392" t="s">
        <v>90</v>
      </c>
      <c r="E9" s="211"/>
      <c r="F9" s="392">
        <f>P37</f>
        <v>77997.854000000007</v>
      </c>
      <c r="G9" s="1246" t="s">
        <v>595</v>
      </c>
      <c r="H9" s="1247"/>
      <c r="I9" s="1247"/>
      <c r="J9" s="1247"/>
      <c r="K9" s="688"/>
      <c r="L9" s="392"/>
      <c r="M9" s="392"/>
      <c r="N9" s="791">
        <f t="shared" si="0"/>
        <v>0</v>
      </c>
      <c r="O9" s="392"/>
      <c r="P9" s="392"/>
      <c r="Q9" s="392"/>
      <c r="R9" s="1199"/>
      <c r="S9" s="1200"/>
    </row>
    <row r="10" spans="2:19" s="98" customFormat="1" ht="18" customHeight="1" x14ac:dyDescent="0.15">
      <c r="B10" s="1225"/>
      <c r="C10" s="1228"/>
      <c r="D10" s="392" t="s">
        <v>59</v>
      </c>
      <c r="E10" s="211"/>
      <c r="F10" s="392">
        <f>'８－４　白ねぎ算出基礎'!V20</f>
        <v>11000</v>
      </c>
      <c r="G10" s="1199" t="s">
        <v>596</v>
      </c>
      <c r="H10" s="1233"/>
      <c r="I10" s="1233"/>
      <c r="J10" s="1211"/>
      <c r="K10" s="688"/>
      <c r="L10" s="392"/>
      <c r="M10" s="392"/>
      <c r="N10" s="791">
        <f t="shared" si="0"/>
        <v>0</v>
      </c>
      <c r="O10" s="392"/>
      <c r="P10" s="392"/>
      <c r="Q10" s="392"/>
      <c r="R10" s="1199"/>
      <c r="S10" s="1200"/>
    </row>
    <row r="11" spans="2:19" s="98" customFormat="1" ht="18" customHeight="1" thickBot="1" x14ac:dyDescent="0.2">
      <c r="B11" s="1225"/>
      <c r="C11" s="1228"/>
      <c r="D11" s="392" t="s">
        <v>6</v>
      </c>
      <c r="E11" s="211"/>
      <c r="F11" s="392">
        <f>'８－４　白ねぎ算出基礎'!V34</f>
        <v>450</v>
      </c>
      <c r="G11" s="1199" t="s">
        <v>596</v>
      </c>
      <c r="H11" s="1233"/>
      <c r="I11" s="1233"/>
      <c r="J11" s="1211"/>
      <c r="K11" s="689"/>
      <c r="L11" s="104"/>
      <c r="M11" s="104"/>
      <c r="N11" s="791">
        <f t="shared" si="0"/>
        <v>0</v>
      </c>
      <c r="O11" s="105" t="s">
        <v>24</v>
      </c>
      <c r="P11" s="781">
        <f>SUM(L5:L11,P5:P10)</f>
        <v>25000</v>
      </c>
      <c r="Q11" s="782">
        <f>R11/P11</f>
        <v>335.6</v>
      </c>
      <c r="R11" s="1212">
        <f>SUM(N5:N11,R5:S10)</f>
        <v>8390000</v>
      </c>
      <c r="S11" s="1213"/>
    </row>
    <row r="12" spans="2:19" s="98" customFormat="1" ht="18" customHeight="1" thickTop="1" x14ac:dyDescent="0.15">
      <c r="B12" s="1225"/>
      <c r="C12" s="1228"/>
      <c r="D12" s="392" t="s">
        <v>7</v>
      </c>
      <c r="E12" s="211"/>
      <c r="F12" s="392">
        <v>0</v>
      </c>
      <c r="G12" s="398"/>
      <c r="H12" s="184"/>
      <c r="I12" s="184"/>
      <c r="J12" s="184"/>
      <c r="K12" s="1234" t="s">
        <v>225</v>
      </c>
      <c r="L12" s="577" t="s">
        <v>167</v>
      </c>
      <c r="M12" s="760" t="s">
        <v>9</v>
      </c>
      <c r="N12" s="759" t="s">
        <v>463</v>
      </c>
      <c r="O12" s="759" t="s">
        <v>23</v>
      </c>
      <c r="P12" s="759" t="s">
        <v>26</v>
      </c>
      <c r="Q12" s="1169" t="s">
        <v>27</v>
      </c>
      <c r="R12" s="1170"/>
      <c r="S12" s="1205"/>
    </row>
    <row r="13" spans="2:19" s="98" customFormat="1" ht="18" customHeight="1" x14ac:dyDescent="0.15">
      <c r="B13" s="1225"/>
      <c r="C13" s="1228"/>
      <c r="D13" s="1237" t="s">
        <v>60</v>
      </c>
      <c r="E13" s="392" t="s">
        <v>194</v>
      </c>
      <c r="F13" s="392">
        <f>('６　固定資本装備と減価償却費'!L5+'６　固定資本装備と減価償却費'!L8)*0.01</f>
        <v>2567.25</v>
      </c>
      <c r="G13" s="805" t="s">
        <v>464</v>
      </c>
      <c r="H13" s="804">
        <v>0.01</v>
      </c>
      <c r="I13" s="1233" t="s">
        <v>205</v>
      </c>
      <c r="J13" s="1211"/>
      <c r="K13" s="1235"/>
      <c r="L13" s="762" t="s">
        <v>571</v>
      </c>
      <c r="M13" s="198" t="s">
        <v>466</v>
      </c>
      <c r="N13" s="507">
        <f>50*10</f>
        <v>500</v>
      </c>
      <c r="O13" s="507">
        <v>1450</v>
      </c>
      <c r="P13" s="507">
        <f>N13*O13</f>
        <v>725000</v>
      </c>
      <c r="Q13" s="767" t="s">
        <v>572</v>
      </c>
      <c r="R13" s="508"/>
      <c r="S13" s="783"/>
    </row>
    <row r="14" spans="2:19" s="98" customFormat="1" ht="18" customHeight="1" x14ac:dyDescent="0.15">
      <c r="B14" s="1225"/>
      <c r="C14" s="1228"/>
      <c r="D14" s="1238"/>
      <c r="E14" s="392" t="s">
        <v>195</v>
      </c>
      <c r="F14" s="392">
        <f>('６　固定資本装備と減価償却費'!L16+'６　固定資本装備と減価償却費'!L15+'６　固定資本装備と減価償却費'!L27+'６　固定資本装備と減価償却費'!L30+'６　固定資本装備と減価償却費'!L33+'６　固定資本装備と減価償却費'!L35+'６　固定資本装備と減価償却費'!L36+'６　固定資本装備と減価償却費'!L37+'６　固定資本装備と減価償却費'!L38+'６　固定資本装備と減価償却費'!L39+'６　固定資本装備と減価償却費'!L40+'６　固定資本装備と減価償却費'!L41+'６　固定資本装備と減価償却費'!L42+'６　固定資本装備と減価償却費'!L43+'６　固定資本装備と減価償却費'!L44)*0.05</f>
        <v>136490.79166666666</v>
      </c>
      <c r="G14" s="805" t="s">
        <v>468</v>
      </c>
      <c r="H14" s="804">
        <v>0.05</v>
      </c>
      <c r="I14" s="1233" t="s">
        <v>205</v>
      </c>
      <c r="J14" s="1211"/>
      <c r="K14" s="1235"/>
      <c r="L14" s="762"/>
      <c r="M14" s="198"/>
      <c r="N14" s="507"/>
      <c r="O14" s="507"/>
      <c r="P14" s="507"/>
      <c r="Q14" s="393"/>
      <c r="R14" s="784"/>
      <c r="S14" s="785"/>
    </row>
    <row r="15" spans="2:19" s="98" customFormat="1" ht="18" customHeight="1" x14ac:dyDescent="0.15">
      <c r="B15" s="1225"/>
      <c r="C15" s="1228"/>
      <c r="D15" s="1237" t="s">
        <v>91</v>
      </c>
      <c r="E15" s="392" t="s">
        <v>194</v>
      </c>
      <c r="F15" s="392">
        <f>'６　固定資本装備と減価償却費'!P5+'６　固定資本装備と減価償却費'!P8</f>
        <v>14122.5</v>
      </c>
      <c r="G15" s="1246" t="s">
        <v>205</v>
      </c>
      <c r="H15" s="1247"/>
      <c r="I15" s="1247"/>
      <c r="J15" s="1247"/>
      <c r="K15" s="1235"/>
      <c r="L15" s="786"/>
      <c r="M15" s="394"/>
      <c r="N15" s="395"/>
      <c r="O15" s="396"/>
      <c r="P15" s="397"/>
      <c r="Q15" s="786"/>
      <c r="R15" s="394"/>
      <c r="S15" s="787"/>
    </row>
    <row r="16" spans="2:19" s="98" customFormat="1" ht="18" customHeight="1" thickBot="1" x14ac:dyDescent="0.2">
      <c r="B16" s="1225"/>
      <c r="C16" s="1228"/>
      <c r="D16" s="1131"/>
      <c r="E16" s="392" t="s">
        <v>195</v>
      </c>
      <c r="F16" s="392">
        <f>'６　固定資本装備と減価償却費'!P16+'６　固定資本装備と減価償却費'!P15+'６　固定資本装備と減価償却費'!P27+'６　固定資本装備と減価償却費'!P30+'６　固定資本装備と減価償却費'!P33+'６　固定資本装備と減価償却費'!P35+'６　固定資本装備と減価償却費'!P36+'６　固定資本装備と減価償却費'!P37+'６　固定資本装備と減価償却費'!P38+'６　固定資本装備と減価償却費'!P39+'６　固定資本装備と減価償却費'!P40+'６　固定資本装備と減価償却費'!P41+'６　固定資本装備と減価償却費'!P42+'６　固定資本装備と減価償却費'!P43+'６　固定資本装備と減価償却費'!P44</f>
        <v>399211.78571428574</v>
      </c>
      <c r="G16" s="1246" t="s">
        <v>205</v>
      </c>
      <c r="H16" s="1247"/>
      <c r="I16" s="1247"/>
      <c r="J16" s="1247"/>
      <c r="K16" s="1235"/>
      <c r="L16" s="110" t="s">
        <v>28</v>
      </c>
      <c r="M16" s="109"/>
      <c r="N16" s="110"/>
      <c r="O16" s="110"/>
      <c r="P16" s="110">
        <f>SUM(P13:P15)</f>
        <v>725000</v>
      </c>
      <c r="Q16" s="1230"/>
      <c r="R16" s="1231"/>
      <c r="S16" s="1232"/>
    </row>
    <row r="17" spans="1:19" s="98" customFormat="1" ht="18" customHeight="1" thickTop="1" x14ac:dyDescent="0.15">
      <c r="B17" s="1225"/>
      <c r="C17" s="1228"/>
      <c r="D17" s="1238"/>
      <c r="E17" s="392" t="s">
        <v>61</v>
      </c>
      <c r="F17" s="392">
        <f>'６　固定資本装備と減価償却費'!P50</f>
        <v>0</v>
      </c>
      <c r="G17" s="1246" t="s">
        <v>205</v>
      </c>
      <c r="H17" s="1247"/>
      <c r="I17" s="1247"/>
      <c r="J17" s="1247"/>
      <c r="K17" s="1235"/>
      <c r="L17" s="578" t="s">
        <v>469</v>
      </c>
      <c r="M17" s="194"/>
      <c r="N17" s="757" t="s">
        <v>463</v>
      </c>
      <c r="O17" s="757" t="s">
        <v>23</v>
      </c>
      <c r="P17" s="196" t="s">
        <v>26</v>
      </c>
      <c r="Q17" s="1164" t="s">
        <v>27</v>
      </c>
      <c r="R17" s="1165"/>
      <c r="S17" s="1195"/>
    </row>
    <row r="18" spans="1:19" s="98" customFormat="1" ht="18" customHeight="1" x14ac:dyDescent="0.15">
      <c r="B18" s="1225"/>
      <c r="C18" s="1228"/>
      <c r="D18" s="1252" t="s">
        <v>270</v>
      </c>
      <c r="E18" s="533" t="s">
        <v>121</v>
      </c>
      <c r="F18" s="392">
        <v>0</v>
      </c>
      <c r="G18" s="398"/>
      <c r="H18" s="536"/>
      <c r="I18" s="536"/>
      <c r="J18" s="772"/>
      <c r="K18" s="1235"/>
      <c r="L18" s="767" t="s">
        <v>470</v>
      </c>
      <c r="M18" s="198" t="s">
        <v>471</v>
      </c>
      <c r="N18" s="398">
        <v>20</v>
      </c>
      <c r="O18" s="398">
        <v>4200</v>
      </c>
      <c r="P18" s="398">
        <f>N18*O18</f>
        <v>84000</v>
      </c>
      <c r="Q18" s="1199" t="s">
        <v>583</v>
      </c>
      <c r="R18" s="1211"/>
      <c r="S18" s="1200"/>
    </row>
    <row r="19" spans="1:19" s="98" customFormat="1" ht="18" customHeight="1" x14ac:dyDescent="0.15">
      <c r="B19" s="1225"/>
      <c r="C19" s="1228"/>
      <c r="D19" s="1252"/>
      <c r="E19" s="533" t="s">
        <v>117</v>
      </c>
      <c r="F19" s="392">
        <v>0</v>
      </c>
      <c r="G19" s="398"/>
      <c r="H19" s="536"/>
      <c r="I19" s="477" t="s">
        <v>533</v>
      </c>
      <c r="J19" s="677">
        <v>1100</v>
      </c>
      <c r="K19" s="1235"/>
      <c r="L19" s="767" t="s">
        <v>472</v>
      </c>
      <c r="M19" s="198" t="s">
        <v>473</v>
      </c>
      <c r="N19" s="398">
        <v>50</v>
      </c>
      <c r="O19" s="398">
        <v>3600</v>
      </c>
      <c r="P19" s="398">
        <f>18000*10</f>
        <v>180000</v>
      </c>
      <c r="Q19" s="767" t="s">
        <v>567</v>
      </c>
      <c r="R19" s="788">
        <v>2</v>
      </c>
      <c r="S19" s="768" t="s">
        <v>474</v>
      </c>
    </row>
    <row r="20" spans="1:19" s="98" customFormat="1" ht="18" customHeight="1" x14ac:dyDescent="0.15">
      <c r="B20" s="1225"/>
      <c r="C20" s="1228"/>
      <c r="D20" s="1252"/>
      <c r="E20" s="533" t="s">
        <v>118</v>
      </c>
      <c r="F20" s="392">
        <f>J20*'５－２　白ねぎ作業時間 '!AN21*10</f>
        <v>3235860</v>
      </c>
      <c r="G20" s="398"/>
      <c r="H20" s="536"/>
      <c r="I20" s="477" t="s">
        <v>532</v>
      </c>
      <c r="J20" s="677">
        <v>900</v>
      </c>
      <c r="K20" s="1235"/>
      <c r="L20" s="398"/>
      <c r="M20" s="475"/>
      <c r="N20" s="408"/>
      <c r="O20" s="408"/>
      <c r="P20" s="408"/>
      <c r="Q20" s="408"/>
      <c r="R20" s="476"/>
      <c r="S20" s="789"/>
    </row>
    <row r="21" spans="1:19" s="98" customFormat="1" ht="18" customHeight="1" x14ac:dyDescent="0.15">
      <c r="A21" s="97"/>
      <c r="B21" s="1225"/>
      <c r="C21" s="1228"/>
      <c r="D21" s="1252"/>
      <c r="E21" s="533" t="s">
        <v>119</v>
      </c>
      <c r="F21" s="392">
        <f>(F19+F20)*0.012</f>
        <v>38830.32</v>
      </c>
      <c r="G21" s="171" t="s">
        <v>629</v>
      </c>
      <c r="H21" s="536"/>
      <c r="I21" s="536"/>
      <c r="J21" s="772"/>
      <c r="K21" s="1235"/>
      <c r="L21" s="398"/>
      <c r="M21" s="184"/>
      <c r="N21" s="398"/>
      <c r="O21" s="398"/>
      <c r="P21" s="398"/>
      <c r="Q21" s="767"/>
      <c r="R21" s="756"/>
      <c r="S21" s="768"/>
    </row>
    <row r="22" spans="1:19" s="98" customFormat="1" ht="18" customHeight="1" thickBot="1" x14ac:dyDescent="0.2">
      <c r="A22" s="97"/>
      <c r="B22" s="1225"/>
      <c r="C22" s="1228"/>
      <c r="D22" s="392" t="s">
        <v>64</v>
      </c>
      <c r="E22" s="211"/>
      <c r="F22" s="392">
        <v>30000</v>
      </c>
      <c r="G22" s="398"/>
      <c r="H22" s="536"/>
      <c r="I22" s="676" t="s">
        <v>531</v>
      </c>
      <c r="J22" s="536"/>
      <c r="K22" s="1235"/>
      <c r="L22" s="110" t="s">
        <v>28</v>
      </c>
      <c r="M22" s="109"/>
      <c r="N22" s="110"/>
      <c r="O22" s="110"/>
      <c r="P22" s="110">
        <f>SUM(P18:P21)</f>
        <v>264000</v>
      </c>
      <c r="Q22" s="763"/>
      <c r="R22" s="764"/>
      <c r="S22" s="765"/>
    </row>
    <row r="23" spans="1:19" s="98" customFormat="1" ht="18" customHeight="1" thickTop="1" x14ac:dyDescent="0.15">
      <c r="A23" s="97"/>
      <c r="B23" s="1225"/>
      <c r="C23" s="1228"/>
      <c r="D23" s="392" t="s">
        <v>171</v>
      </c>
      <c r="E23" s="211"/>
      <c r="F23" s="392">
        <f>SUM(F6:F21)/99</f>
        <v>53386.631327080337</v>
      </c>
      <c r="G23" s="399" t="s">
        <v>227</v>
      </c>
      <c r="H23" s="400">
        <v>0.01</v>
      </c>
      <c r="I23" s="401"/>
      <c r="J23" s="764"/>
      <c r="K23" s="1235"/>
      <c r="L23" s="398" t="s">
        <v>480</v>
      </c>
      <c r="M23" s="184"/>
      <c r="N23" s="408" t="s">
        <v>25</v>
      </c>
      <c r="O23" s="408" t="s">
        <v>23</v>
      </c>
      <c r="P23" s="408" t="s">
        <v>26</v>
      </c>
      <c r="Q23" s="757" t="s">
        <v>27</v>
      </c>
      <c r="R23" s="758"/>
      <c r="S23" s="766"/>
    </row>
    <row r="24" spans="1:19" s="98" customFormat="1" ht="18" customHeight="1" x14ac:dyDescent="0.15">
      <c r="A24" s="97"/>
      <c r="B24" s="1225"/>
      <c r="C24" s="1229"/>
      <c r="D24" s="1253" t="s">
        <v>475</v>
      </c>
      <c r="E24" s="1254"/>
      <c r="F24" s="402">
        <f>SUM(F6:F23)</f>
        <v>5368663.1327080335</v>
      </c>
      <c r="G24" s="535"/>
      <c r="H24" s="401"/>
      <c r="I24" s="401"/>
      <c r="J24" s="764"/>
      <c r="K24" s="1235"/>
      <c r="L24" s="398" t="s">
        <v>29</v>
      </c>
      <c r="M24" s="184"/>
      <c r="N24" s="398" t="s">
        <v>481</v>
      </c>
      <c r="O24" s="398"/>
      <c r="P24" s="398">
        <f>'８－４　白ねぎ算出基礎'!G38</f>
        <v>172279.33333333331</v>
      </c>
      <c r="Q24" s="1221" t="s">
        <v>597</v>
      </c>
      <c r="R24" s="1222"/>
      <c r="S24" s="1223"/>
    </row>
    <row r="25" spans="1:19" s="98" customFormat="1" ht="18" customHeight="1" x14ac:dyDescent="0.15">
      <c r="A25" s="97"/>
      <c r="B25" s="1225"/>
      <c r="C25" s="1248" t="s">
        <v>200</v>
      </c>
      <c r="D25" s="1249" t="s">
        <v>65</v>
      </c>
      <c r="E25" s="17" t="s">
        <v>3</v>
      </c>
      <c r="F25" s="403">
        <f>(P11/4.5)*130</f>
        <v>722222.22222222225</v>
      </c>
      <c r="G25" s="1246" t="s">
        <v>476</v>
      </c>
      <c r="H25" s="1247"/>
      <c r="I25" s="1247"/>
      <c r="J25" s="1247"/>
      <c r="K25" s="1235"/>
      <c r="L25" s="398" t="s">
        <v>30</v>
      </c>
      <c r="M25" s="184"/>
      <c r="N25" s="398" t="s">
        <v>582</v>
      </c>
      <c r="O25" s="398"/>
      <c r="P25" s="398">
        <f>'８－４　白ねぎ算出基礎'!G49</f>
        <v>180886.66666666669</v>
      </c>
      <c r="Q25" s="1221" t="s">
        <v>597</v>
      </c>
      <c r="R25" s="1222"/>
      <c r="S25" s="1223"/>
    </row>
    <row r="26" spans="1:19" s="98" customFormat="1" ht="18" customHeight="1" x14ac:dyDescent="0.15">
      <c r="A26" s="97"/>
      <c r="B26" s="1225"/>
      <c r="C26" s="1123"/>
      <c r="D26" s="1026"/>
      <c r="E26" s="17" t="s">
        <v>4</v>
      </c>
      <c r="F26" s="404">
        <f>11*P11</f>
        <v>275000</v>
      </c>
      <c r="G26" s="495" t="s">
        <v>477</v>
      </c>
      <c r="H26" s="405"/>
      <c r="I26" s="405"/>
      <c r="J26" s="681"/>
      <c r="K26" s="1235"/>
      <c r="L26" s="398" t="s">
        <v>31</v>
      </c>
      <c r="M26" s="184"/>
      <c r="N26" s="398" t="s">
        <v>482</v>
      </c>
      <c r="O26" s="398"/>
      <c r="P26" s="398">
        <f>'８－４　白ねぎ算出基礎'!G53</f>
        <v>26460</v>
      </c>
      <c r="Q26" s="1221" t="s">
        <v>597</v>
      </c>
      <c r="R26" s="1222"/>
      <c r="S26" s="1223"/>
    </row>
    <row r="27" spans="1:19" s="98" customFormat="1" ht="18" customHeight="1" x14ac:dyDescent="0.15">
      <c r="A27" s="97"/>
      <c r="B27" s="1225"/>
      <c r="C27" s="1123"/>
      <c r="D27" s="1250"/>
      <c r="E27" s="17" t="s">
        <v>8</v>
      </c>
      <c r="F27" s="403">
        <f>R11*0.115</f>
        <v>964850</v>
      </c>
      <c r="G27" s="495" t="s">
        <v>478</v>
      </c>
      <c r="H27" s="492"/>
      <c r="I27" s="405"/>
      <c r="J27" s="756"/>
      <c r="K27" s="1235"/>
      <c r="L27" s="398" t="s">
        <v>483</v>
      </c>
      <c r="M27" s="184"/>
      <c r="N27" s="398" t="s">
        <v>484</v>
      </c>
      <c r="O27" s="398"/>
      <c r="P27" s="398">
        <f>'８－４　白ねぎ算出基礎'!G57</f>
        <v>120</v>
      </c>
      <c r="Q27" s="1221" t="s">
        <v>597</v>
      </c>
      <c r="R27" s="1222"/>
      <c r="S27" s="1223"/>
    </row>
    <row r="28" spans="1:19" s="98" customFormat="1" ht="18" customHeight="1" thickBot="1" x14ac:dyDescent="0.2">
      <c r="A28" s="97"/>
      <c r="B28" s="1225"/>
      <c r="C28" s="1123"/>
      <c r="D28" s="17" t="s">
        <v>479</v>
      </c>
      <c r="E28" s="18"/>
      <c r="F28" s="404">
        <v>0</v>
      </c>
      <c r="G28" s="495"/>
      <c r="H28" s="406"/>
      <c r="I28" s="407"/>
      <c r="J28" s="683"/>
      <c r="K28" s="1235"/>
      <c r="L28" s="110" t="s">
        <v>28</v>
      </c>
      <c r="M28" s="109"/>
      <c r="N28" s="110"/>
      <c r="O28" s="110"/>
      <c r="P28" s="110">
        <f>SUM(P24:P27)</f>
        <v>379746</v>
      </c>
      <c r="Q28" s="763"/>
      <c r="R28" s="764"/>
      <c r="S28" s="765"/>
    </row>
    <row r="29" spans="1:19" s="98" customFormat="1" ht="18" customHeight="1" thickTop="1" x14ac:dyDescent="0.15">
      <c r="A29" s="97"/>
      <c r="B29" s="1225"/>
      <c r="C29" s="1123"/>
      <c r="D29" s="17" t="s">
        <v>93</v>
      </c>
      <c r="E29" s="18"/>
      <c r="F29" s="404">
        <v>0</v>
      </c>
      <c r="G29" s="495"/>
      <c r="H29" s="226"/>
      <c r="I29" s="227"/>
      <c r="J29" s="226"/>
      <c r="K29" s="1235"/>
      <c r="L29" s="398" t="s">
        <v>487</v>
      </c>
      <c r="M29" s="184"/>
      <c r="N29" s="408" t="s">
        <v>25</v>
      </c>
      <c r="O29" s="408" t="s">
        <v>23</v>
      </c>
      <c r="P29" s="408" t="s">
        <v>26</v>
      </c>
      <c r="Q29" s="757" t="s">
        <v>27</v>
      </c>
      <c r="R29" s="758"/>
      <c r="S29" s="766"/>
    </row>
    <row r="30" spans="1:19" s="98" customFormat="1" ht="18" customHeight="1" x14ac:dyDescent="0.15">
      <c r="A30" s="97"/>
      <c r="B30" s="1225"/>
      <c r="C30" s="1123"/>
      <c r="D30" s="17" t="s">
        <v>124</v>
      </c>
      <c r="E30" s="18"/>
      <c r="F30" s="404">
        <f>'８－４　白ねぎ算出基礎'!V57</f>
        <v>1603.3333333333335</v>
      </c>
      <c r="G30" s="1246" t="s">
        <v>596</v>
      </c>
      <c r="H30" s="1247"/>
      <c r="I30" s="1247"/>
      <c r="J30" s="1247"/>
      <c r="K30" s="1235"/>
      <c r="L30" s="398" t="s">
        <v>488</v>
      </c>
      <c r="M30" s="184"/>
      <c r="N30" s="398" t="s">
        <v>575</v>
      </c>
      <c r="O30" s="411">
        <f>'８－４　白ねぎ算出基礎'!M6</f>
        <v>84.7</v>
      </c>
      <c r="P30" s="398">
        <f>'８－４　白ねぎ算出基礎'!N10</f>
        <v>22987.580000000005</v>
      </c>
      <c r="Q30" s="1221" t="s">
        <v>597</v>
      </c>
      <c r="R30" s="1222"/>
      <c r="S30" s="1223"/>
    </row>
    <row r="31" spans="1:19" s="98" customFormat="1" ht="18" customHeight="1" x14ac:dyDescent="0.15">
      <c r="A31" s="97"/>
      <c r="B31" s="1225"/>
      <c r="C31" s="1123"/>
      <c r="D31" s="37" t="s">
        <v>94</v>
      </c>
      <c r="E31" s="38"/>
      <c r="F31" s="409">
        <v>0</v>
      </c>
      <c r="G31" s="398"/>
      <c r="H31" s="226"/>
      <c r="I31" s="227"/>
      <c r="J31" s="683"/>
      <c r="K31" s="1235"/>
      <c r="L31" s="398" t="s">
        <v>489</v>
      </c>
      <c r="M31" s="184"/>
      <c r="N31" s="398" t="s">
        <v>575</v>
      </c>
      <c r="O31" s="411">
        <f>'８－４　白ねぎ算出基礎'!M11</f>
        <v>158.4</v>
      </c>
      <c r="P31" s="398">
        <f>'８－４　白ねぎ算出基礎'!N16</f>
        <v>31680</v>
      </c>
      <c r="Q31" s="1221" t="s">
        <v>597</v>
      </c>
      <c r="R31" s="1222"/>
      <c r="S31" s="1223"/>
    </row>
    <row r="32" spans="1:19" s="98" customFormat="1" ht="18" customHeight="1" x14ac:dyDescent="0.15">
      <c r="A32" s="97"/>
      <c r="B32" s="1225"/>
      <c r="C32" s="1123"/>
      <c r="D32" s="17" t="s">
        <v>68</v>
      </c>
      <c r="E32" s="18"/>
      <c r="F32" s="404">
        <f>'８－４　白ねぎ算出基礎'!N57</f>
        <v>2601.2449999999999</v>
      </c>
      <c r="G32" s="1246" t="s">
        <v>596</v>
      </c>
      <c r="H32" s="1247"/>
      <c r="I32" s="1247"/>
      <c r="J32" s="1247"/>
      <c r="K32" s="1235"/>
      <c r="L32" s="398" t="s">
        <v>490</v>
      </c>
      <c r="M32" s="184"/>
      <c r="N32" s="411"/>
      <c r="O32" s="411"/>
      <c r="P32" s="398">
        <f>SUM(P30:P31)*R32</f>
        <v>16400.274000000001</v>
      </c>
      <c r="Q32" s="767" t="s">
        <v>491</v>
      </c>
      <c r="R32" s="691">
        <v>0.3</v>
      </c>
      <c r="S32" s="692"/>
    </row>
    <row r="33" spans="1:23" s="98" customFormat="1" ht="18" customHeight="1" x14ac:dyDescent="0.15">
      <c r="A33" s="97"/>
      <c r="B33" s="1225"/>
      <c r="C33" s="1123"/>
      <c r="D33" s="17" t="s">
        <v>485</v>
      </c>
      <c r="E33" s="18"/>
      <c r="F33" s="404">
        <f>SUM(F25:F32)/99</f>
        <v>19861.38182379349</v>
      </c>
      <c r="G33" s="409" t="s">
        <v>486</v>
      </c>
      <c r="H33" s="400">
        <v>0.01</v>
      </c>
      <c r="I33" s="181"/>
      <c r="J33" s="777"/>
      <c r="K33" s="1235"/>
      <c r="L33" s="398" t="s">
        <v>492</v>
      </c>
      <c r="M33" s="184"/>
      <c r="N33" s="398"/>
      <c r="O33" s="411"/>
      <c r="P33" s="398">
        <f>'８－４　白ねぎ算出基礎'!N19</f>
        <v>0</v>
      </c>
      <c r="Q33" s="767"/>
      <c r="R33" s="756"/>
      <c r="S33" s="768"/>
    </row>
    <row r="34" spans="1:23" s="98" customFormat="1" ht="18" customHeight="1" thickBot="1" x14ac:dyDescent="0.2">
      <c r="A34" s="97"/>
      <c r="B34" s="1226"/>
      <c r="C34" s="1124"/>
      <c r="D34" s="1251" t="s">
        <v>217</v>
      </c>
      <c r="E34" s="1126"/>
      <c r="F34" s="173">
        <f>SUM(F25:F33)</f>
        <v>1986138.1823793491</v>
      </c>
      <c r="G34" s="174"/>
      <c r="H34" s="175"/>
      <c r="I34" s="176"/>
      <c r="J34" s="778"/>
      <c r="K34" s="1235"/>
      <c r="L34" s="398" t="s">
        <v>493</v>
      </c>
      <c r="M34" s="184"/>
      <c r="N34" s="398"/>
      <c r="O34" s="411"/>
      <c r="P34" s="398">
        <f>'８－４　白ねぎ算出基礎'!N23</f>
        <v>0</v>
      </c>
      <c r="Q34" s="767"/>
      <c r="R34" s="756"/>
      <c r="S34" s="768"/>
    </row>
    <row r="35" spans="1:23" s="98" customFormat="1" ht="18" customHeight="1" x14ac:dyDescent="0.15">
      <c r="A35" s="97"/>
      <c r="B35" s="410"/>
      <c r="C35" s="117"/>
      <c r="D35" s="117"/>
      <c r="E35" s="117"/>
      <c r="F35" s="117"/>
      <c r="G35" s="117"/>
      <c r="H35" s="117"/>
      <c r="I35" s="117"/>
      <c r="J35" s="117"/>
      <c r="K35" s="1235"/>
      <c r="L35" s="398" t="s">
        <v>268</v>
      </c>
      <c r="M35" s="184"/>
      <c r="N35" s="398"/>
      <c r="O35" s="411"/>
      <c r="P35" s="398">
        <f>'８－４　白ねぎ算出基礎'!N27</f>
        <v>0</v>
      </c>
      <c r="Q35" s="767"/>
      <c r="R35" s="756"/>
      <c r="S35" s="768"/>
    </row>
    <row r="36" spans="1:23" s="98" customFormat="1" ht="18" customHeight="1" x14ac:dyDescent="0.15">
      <c r="A36" s="97"/>
      <c r="B36" s="412"/>
      <c r="C36" s="413"/>
      <c r="D36" s="412"/>
      <c r="E36" s="412"/>
      <c r="F36" s="414"/>
      <c r="G36" s="414"/>
      <c r="H36" s="415"/>
      <c r="I36" s="117"/>
      <c r="J36" s="117"/>
      <c r="K36" s="1235"/>
      <c r="L36" s="398" t="s">
        <v>494</v>
      </c>
      <c r="M36" s="184"/>
      <c r="N36" s="398" t="s">
        <v>576</v>
      </c>
      <c r="O36" s="411">
        <f>'８－４　白ねぎ算出基礎'!M28</f>
        <v>14</v>
      </c>
      <c r="P36" s="398">
        <f>'８－４　白ねぎ算出基礎'!N31</f>
        <v>6930</v>
      </c>
      <c r="Q36" s="1221" t="s">
        <v>597</v>
      </c>
      <c r="R36" s="1222"/>
      <c r="S36" s="1223"/>
    </row>
    <row r="37" spans="1:23" ht="18" customHeight="1" thickBot="1" x14ac:dyDescent="0.2">
      <c r="K37" s="1236"/>
      <c r="L37" s="693" t="s">
        <v>28</v>
      </c>
      <c r="M37" s="694"/>
      <c r="N37" s="693"/>
      <c r="O37" s="693"/>
      <c r="P37" s="693">
        <f>SUM(P30:P36)</f>
        <v>77997.854000000007</v>
      </c>
      <c r="Q37" s="790"/>
      <c r="R37" s="778"/>
      <c r="S37" s="769"/>
    </row>
    <row r="38" spans="1:23" ht="18" customHeight="1" x14ac:dyDescent="0.15">
      <c r="K38" s="579"/>
      <c r="L38" s="116"/>
      <c r="M38" s="116"/>
      <c r="N38" s="116"/>
      <c r="O38" s="116"/>
      <c r="P38" s="116"/>
      <c r="Q38" s="116"/>
      <c r="R38" s="116"/>
      <c r="S38" s="116"/>
    </row>
    <row r="39" spans="1:23" ht="18" customHeight="1" x14ac:dyDescent="0.15">
      <c r="K39" s="579"/>
      <c r="L39" s="116"/>
      <c r="M39" s="116"/>
      <c r="N39" s="116"/>
      <c r="O39" s="116"/>
      <c r="P39" s="116"/>
      <c r="Q39" s="116"/>
      <c r="R39" s="116"/>
      <c r="S39" s="116"/>
    </row>
    <row r="40" spans="1:23" ht="18" customHeight="1" x14ac:dyDescent="0.15">
      <c r="K40" s="579"/>
      <c r="L40" s="116"/>
      <c r="M40" s="116"/>
      <c r="N40" s="116"/>
      <c r="O40" s="116"/>
      <c r="P40" s="116"/>
      <c r="Q40" s="116"/>
      <c r="R40" s="116"/>
      <c r="S40" s="116"/>
    </row>
    <row r="41" spans="1:23" ht="18" customHeight="1" x14ac:dyDescent="0.15">
      <c r="K41" s="579"/>
      <c r="L41" s="116"/>
      <c r="M41" s="116"/>
      <c r="N41" s="116"/>
      <c r="O41" s="116"/>
      <c r="P41" s="116"/>
      <c r="Q41" s="116"/>
      <c r="R41" s="116"/>
      <c r="S41" s="116"/>
    </row>
    <row r="42" spans="1:23" s="116" customFormat="1" ht="18" customHeight="1" x14ac:dyDescent="0.15">
      <c r="A42" s="97"/>
      <c r="B42" s="97"/>
      <c r="C42" s="97"/>
      <c r="D42" s="97"/>
      <c r="E42" s="97"/>
      <c r="F42" s="97"/>
      <c r="G42" s="97"/>
      <c r="H42" s="97"/>
      <c r="I42" s="97"/>
      <c r="J42" s="97"/>
      <c r="K42" s="579"/>
    </row>
    <row r="43" spans="1:23" s="116" customFormat="1" ht="18" customHeight="1" x14ac:dyDescent="0.15">
      <c r="A43" s="97"/>
      <c r="B43" s="97"/>
      <c r="C43" s="97"/>
      <c r="D43" s="97"/>
      <c r="E43" s="97"/>
      <c r="F43" s="97"/>
      <c r="G43" s="97"/>
      <c r="H43" s="97"/>
      <c r="I43" s="97"/>
      <c r="J43" s="97"/>
      <c r="T43" s="117"/>
    </row>
    <row r="44" spans="1:23" s="116" customFormat="1" ht="18" customHeight="1" x14ac:dyDescent="0.15">
      <c r="A44" s="97"/>
      <c r="B44" s="97"/>
      <c r="C44" s="97"/>
      <c r="D44" s="97"/>
      <c r="E44" s="97"/>
      <c r="F44" s="97"/>
      <c r="G44" s="97"/>
      <c r="H44" s="97"/>
      <c r="I44" s="97"/>
      <c r="J44" s="97"/>
      <c r="T44" s="98"/>
      <c r="U44" s="98"/>
      <c r="V44" s="98"/>
      <c r="W44" s="98"/>
    </row>
    <row r="45" spans="1:23" s="116" customFormat="1" ht="18" customHeight="1" x14ac:dyDescent="0.15">
      <c r="A45" s="97"/>
      <c r="B45" s="97"/>
      <c r="C45" s="97"/>
      <c r="D45" s="97"/>
      <c r="E45" s="97"/>
      <c r="F45" s="97"/>
      <c r="G45" s="97"/>
      <c r="H45" s="97"/>
      <c r="I45" s="97"/>
      <c r="J45" s="97"/>
      <c r="T45" s="118"/>
      <c r="U45" s="119"/>
      <c r="V45" s="357"/>
      <c r="W45" s="118"/>
    </row>
    <row r="46" spans="1:23" s="116" customFormat="1" ht="18" customHeight="1" x14ac:dyDescent="0.15">
      <c r="A46" s="97"/>
      <c r="B46" s="97"/>
      <c r="C46" s="97"/>
      <c r="D46" s="97"/>
      <c r="E46" s="97"/>
      <c r="F46" s="97"/>
      <c r="G46" s="97"/>
      <c r="H46" s="97"/>
      <c r="I46" s="97"/>
      <c r="J46" s="97"/>
      <c r="T46" s="98"/>
      <c r="U46" s="98"/>
      <c r="V46" s="98"/>
      <c r="W46" s="98"/>
    </row>
    <row r="47" spans="1:23" s="116" customFormat="1" ht="18" customHeight="1" x14ac:dyDescent="0.15">
      <c r="B47" s="97"/>
      <c r="C47" s="97"/>
      <c r="D47" s="97"/>
      <c r="E47" s="97"/>
      <c r="F47" s="97"/>
      <c r="G47" s="97"/>
      <c r="H47" s="97"/>
      <c r="I47" s="97"/>
      <c r="J47" s="97"/>
      <c r="T47" s="99"/>
      <c r="U47" s="117"/>
      <c r="V47" s="98"/>
      <c r="W47" s="118"/>
    </row>
    <row r="48" spans="1:23" s="116" customFormat="1" ht="18" customHeight="1" x14ac:dyDescent="0.15">
      <c r="B48" s="97"/>
      <c r="C48" s="97"/>
      <c r="D48" s="97"/>
      <c r="E48" s="97"/>
      <c r="F48" s="97"/>
      <c r="G48" s="97"/>
      <c r="H48" s="97"/>
      <c r="I48" s="97"/>
      <c r="J48" s="97"/>
      <c r="T48" s="99"/>
      <c r="U48" s="117"/>
      <c r="V48" s="98"/>
      <c r="W48" s="118"/>
    </row>
    <row r="49" spans="2:23" s="116" customFormat="1" ht="18" customHeight="1" x14ac:dyDescent="0.15">
      <c r="B49" s="97"/>
      <c r="C49" s="97"/>
      <c r="D49" s="97"/>
      <c r="E49" s="97"/>
      <c r="F49" s="97"/>
      <c r="G49" s="97"/>
      <c r="H49" s="97"/>
      <c r="I49" s="97"/>
      <c r="J49" s="97"/>
      <c r="T49" s="98"/>
      <c r="U49" s="98"/>
      <c r="V49" s="119"/>
      <c r="W49" s="98"/>
    </row>
    <row r="50" spans="2:23" s="116" customFormat="1" x14ac:dyDescent="0.15">
      <c r="B50" s="97"/>
      <c r="C50" s="97"/>
      <c r="D50" s="97"/>
      <c r="E50" s="97"/>
      <c r="F50" s="97"/>
      <c r="G50" s="97"/>
      <c r="H50" s="97"/>
      <c r="I50" s="97"/>
      <c r="J50" s="97"/>
      <c r="T50" s="99"/>
      <c r="U50" s="98"/>
      <c r="V50" s="98"/>
      <c r="W50" s="118"/>
    </row>
    <row r="51" spans="2:23" s="116" customFormat="1" x14ac:dyDescent="0.15">
      <c r="B51" s="97"/>
      <c r="C51" s="97"/>
      <c r="D51" s="97"/>
      <c r="E51" s="97"/>
      <c r="F51" s="97"/>
      <c r="G51" s="97"/>
      <c r="H51" s="97"/>
      <c r="I51" s="97"/>
      <c r="J51" s="97"/>
      <c r="T51" s="99"/>
      <c r="U51" s="98"/>
      <c r="V51" s="98"/>
      <c r="W51" s="118"/>
    </row>
    <row r="52" spans="2:23" s="116" customFormat="1" x14ac:dyDescent="0.15">
      <c r="B52" s="97"/>
      <c r="C52" s="97"/>
      <c r="D52" s="97"/>
      <c r="E52" s="97"/>
      <c r="F52" s="97"/>
      <c r="G52" s="97"/>
      <c r="H52" s="97"/>
      <c r="I52" s="97"/>
      <c r="J52" s="97"/>
      <c r="T52" s="99"/>
      <c r="U52" s="98"/>
      <c r="V52" s="98"/>
      <c r="W52" s="118"/>
    </row>
    <row r="53" spans="2:23" s="116" customFormat="1" x14ac:dyDescent="0.15">
      <c r="B53" s="97"/>
      <c r="C53" s="97"/>
      <c r="D53" s="97"/>
      <c r="E53" s="97"/>
      <c r="F53" s="97"/>
      <c r="G53" s="97"/>
      <c r="H53" s="97"/>
      <c r="I53" s="97"/>
      <c r="J53" s="97"/>
      <c r="T53" s="99"/>
      <c r="U53" s="98"/>
      <c r="V53" s="98"/>
      <c r="W53" s="118"/>
    </row>
    <row r="54" spans="2:23" s="116" customFormat="1" x14ac:dyDescent="0.15">
      <c r="B54" s="97"/>
      <c r="C54" s="97"/>
      <c r="D54" s="97"/>
      <c r="E54" s="97"/>
      <c r="F54" s="97"/>
      <c r="G54" s="97"/>
      <c r="H54" s="97"/>
      <c r="I54" s="97"/>
      <c r="J54" s="97"/>
      <c r="T54" s="99"/>
      <c r="U54" s="99"/>
      <c r="V54" s="99"/>
      <c r="W54" s="98"/>
    </row>
    <row r="55" spans="2:23" s="116" customFormat="1" ht="13.5" customHeight="1" x14ac:dyDescent="0.15">
      <c r="B55" s="97"/>
      <c r="C55" s="97"/>
      <c r="D55" s="97"/>
      <c r="E55" s="97"/>
      <c r="F55" s="97"/>
      <c r="G55" s="97"/>
      <c r="H55" s="97"/>
      <c r="I55" s="97"/>
      <c r="J55" s="97"/>
      <c r="L55" s="97"/>
      <c r="M55" s="97"/>
      <c r="N55" s="97"/>
      <c r="O55" s="97"/>
      <c r="P55" s="97"/>
      <c r="Q55" s="97"/>
      <c r="R55" s="97"/>
      <c r="S55" s="97"/>
      <c r="T55" s="98"/>
      <c r="U55" s="98"/>
      <c r="V55" s="98"/>
      <c r="W55" s="119"/>
    </row>
    <row r="56" spans="2:23" s="116" customFormat="1" x14ac:dyDescent="0.15">
      <c r="B56" s="97"/>
      <c r="C56" s="97"/>
      <c r="D56" s="97"/>
      <c r="E56" s="97"/>
      <c r="F56" s="97"/>
      <c r="G56" s="97"/>
      <c r="H56" s="97"/>
      <c r="I56" s="97"/>
      <c r="J56" s="97"/>
      <c r="L56" s="97"/>
      <c r="M56" s="97"/>
      <c r="N56" s="97"/>
      <c r="O56" s="97"/>
      <c r="P56" s="97"/>
      <c r="Q56" s="97"/>
      <c r="R56" s="97"/>
      <c r="S56" s="97"/>
      <c r="T56" s="118"/>
      <c r="U56" s="98"/>
      <c r="V56" s="119"/>
      <c r="W56" s="118"/>
    </row>
    <row r="57" spans="2:23" s="116" customFormat="1" x14ac:dyDescent="0.15">
      <c r="B57" s="97"/>
      <c r="C57" s="97"/>
      <c r="D57" s="97"/>
      <c r="E57" s="97"/>
      <c r="F57" s="97"/>
      <c r="G57" s="97"/>
      <c r="H57" s="97"/>
      <c r="I57" s="97"/>
      <c r="J57" s="97"/>
      <c r="L57" s="97"/>
      <c r="M57" s="97"/>
      <c r="N57" s="97"/>
      <c r="O57" s="97"/>
      <c r="P57" s="97"/>
      <c r="Q57" s="97"/>
      <c r="R57" s="97"/>
      <c r="S57" s="97"/>
      <c r="T57" s="98"/>
      <c r="U57" s="98"/>
      <c r="V57" s="98"/>
      <c r="W57" s="98"/>
    </row>
    <row r="58" spans="2:23" s="116" customFormat="1" ht="13.5" customHeight="1" x14ac:dyDescent="0.15">
      <c r="B58" s="97"/>
      <c r="C58" s="97"/>
      <c r="D58" s="97"/>
      <c r="E58" s="97"/>
      <c r="F58" s="97"/>
      <c r="G58" s="97"/>
      <c r="H58" s="97"/>
      <c r="I58" s="97"/>
      <c r="J58" s="97"/>
      <c r="L58" s="97"/>
      <c r="M58" s="97"/>
      <c r="N58" s="97"/>
      <c r="O58" s="97"/>
      <c r="P58" s="97"/>
      <c r="Q58" s="97"/>
      <c r="R58" s="97"/>
      <c r="S58" s="97"/>
      <c r="T58" s="99"/>
      <c r="U58" s="98"/>
      <c r="V58" s="99"/>
      <c r="W58" s="118"/>
    </row>
    <row r="59" spans="2:23" s="116" customFormat="1" x14ac:dyDescent="0.15">
      <c r="B59" s="97"/>
      <c r="C59" s="97"/>
      <c r="D59" s="97"/>
      <c r="E59" s="97"/>
      <c r="F59" s="97"/>
      <c r="G59" s="97"/>
      <c r="H59" s="97"/>
      <c r="I59" s="97"/>
      <c r="J59" s="97"/>
      <c r="L59" s="97"/>
      <c r="M59" s="97"/>
      <c r="N59" s="97"/>
      <c r="O59" s="97"/>
      <c r="P59" s="97"/>
      <c r="Q59" s="97"/>
      <c r="R59" s="97"/>
      <c r="S59" s="97"/>
      <c r="T59" s="416"/>
      <c r="U59" s="98"/>
      <c r="V59" s="98"/>
      <c r="W59" s="118"/>
    </row>
    <row r="60" spans="2:23" s="116" customFormat="1" x14ac:dyDescent="0.15"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8"/>
      <c r="U60" s="99"/>
      <c r="V60" s="98"/>
      <c r="W60" s="98"/>
    </row>
    <row r="61" spans="2:23" s="116" customFormat="1" x14ac:dyDescent="0.15"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117"/>
      <c r="U61" s="117"/>
      <c r="V61" s="117"/>
      <c r="W61" s="117"/>
    </row>
    <row r="62" spans="2:23" s="116" customFormat="1" x14ac:dyDescent="0.15"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117"/>
    </row>
    <row r="63" spans="2:23" s="116" customFormat="1" x14ac:dyDescent="0.15"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117"/>
    </row>
    <row r="64" spans="2:23" s="116" customFormat="1" x14ac:dyDescent="0.15"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117"/>
    </row>
    <row r="65" spans="2:19" s="116" customFormat="1" x14ac:dyDescent="0.15"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</row>
    <row r="66" spans="2:19" s="116" customFormat="1" x14ac:dyDescent="0.15"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</row>
    <row r="67" spans="2:19" s="116" customFormat="1" ht="13.5" customHeight="1" x14ac:dyDescent="0.15"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</row>
    <row r="68" spans="2:19" s="116" customFormat="1" ht="13.5" customHeight="1" x14ac:dyDescent="0.15"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</row>
    <row r="69" spans="2:19" s="116" customFormat="1" x14ac:dyDescent="0.15"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</row>
    <row r="70" spans="2:19" s="116" customFormat="1" x14ac:dyDescent="0.15"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</row>
    <row r="71" spans="2:19" s="116" customFormat="1" x14ac:dyDescent="0.15"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</row>
    <row r="72" spans="2:19" s="116" customFormat="1" ht="13.5" customHeight="1" x14ac:dyDescent="0.15"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</row>
    <row r="73" spans="2:19" s="116" customFormat="1" x14ac:dyDescent="0.15"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</row>
    <row r="74" spans="2:19" s="116" customFormat="1" x14ac:dyDescent="0.15">
      <c r="B74" s="97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</row>
    <row r="75" spans="2:19" s="116" customFormat="1" x14ac:dyDescent="0.15">
      <c r="B75" s="97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</row>
    <row r="76" spans="2:19" s="116" customFormat="1" x14ac:dyDescent="0.15"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</row>
    <row r="77" spans="2:19" s="116" customFormat="1" x14ac:dyDescent="0.15"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</row>
    <row r="78" spans="2:19" s="116" customFormat="1" ht="13.5" customHeight="1" x14ac:dyDescent="0.15">
      <c r="B78" s="97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</row>
    <row r="79" spans="2:19" s="116" customFormat="1" x14ac:dyDescent="0.15"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</row>
    <row r="80" spans="2:19" s="116" customFormat="1" x14ac:dyDescent="0.15">
      <c r="B80" s="97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</row>
    <row r="81" spans="2:19" s="116" customFormat="1" x14ac:dyDescent="0.15"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</row>
    <row r="82" spans="2:19" s="116" customFormat="1" x14ac:dyDescent="0.15"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</row>
    <row r="83" spans="2:19" s="116" customFormat="1" x14ac:dyDescent="0.15">
      <c r="B83" s="97"/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</row>
    <row r="84" spans="2:19" s="116" customFormat="1" x14ac:dyDescent="0.15">
      <c r="B84" s="97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</row>
    <row r="85" spans="2:19" s="116" customFormat="1" x14ac:dyDescent="0.15">
      <c r="B85" s="97"/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</row>
    <row r="86" spans="2:19" s="116" customFormat="1" x14ac:dyDescent="0.15">
      <c r="B86" s="97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</row>
    <row r="87" spans="2:19" s="116" customFormat="1" x14ac:dyDescent="0.15"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</row>
    <row r="88" spans="2:19" s="116" customFormat="1" x14ac:dyDescent="0.15">
      <c r="B88" s="97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</row>
    <row r="89" spans="2:19" s="116" customFormat="1" x14ac:dyDescent="0.15"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</row>
    <row r="90" spans="2:19" s="116" customFormat="1" ht="13.5" customHeight="1" x14ac:dyDescent="0.15">
      <c r="B90" s="97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</row>
    <row r="91" spans="2:19" s="116" customFormat="1" x14ac:dyDescent="0.15">
      <c r="B91" s="97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</row>
    <row r="92" spans="2:19" s="116" customFormat="1" x14ac:dyDescent="0.15"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</row>
    <row r="93" spans="2:19" s="116" customFormat="1" ht="13.5" customHeight="1" x14ac:dyDescent="0.15"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</row>
    <row r="94" spans="2:19" s="116" customFormat="1" x14ac:dyDescent="0.15"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</row>
    <row r="95" spans="2:19" s="116" customFormat="1" x14ac:dyDescent="0.15"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</row>
    <row r="96" spans="2:19" s="116" customFormat="1" x14ac:dyDescent="0.15"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97"/>
    </row>
    <row r="97" spans="1:19" s="116" customFormat="1" x14ac:dyDescent="0.15"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</row>
    <row r="98" spans="1:19" s="116" customFormat="1" x14ac:dyDescent="0.15">
      <c r="B98" s="97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</row>
    <row r="99" spans="1:19" x14ac:dyDescent="0.15">
      <c r="A99" s="116"/>
    </row>
    <row r="100" spans="1:19" x14ac:dyDescent="0.15">
      <c r="A100" s="116"/>
    </row>
    <row r="101" spans="1:19" x14ac:dyDescent="0.15">
      <c r="A101" s="116"/>
    </row>
    <row r="102" spans="1:19" x14ac:dyDescent="0.15">
      <c r="A102" s="116"/>
    </row>
    <row r="103" spans="1:19" x14ac:dyDescent="0.15">
      <c r="A103" s="116"/>
    </row>
  </sheetData>
  <mergeCells count="46">
    <mergeCell ref="D15:D17"/>
    <mergeCell ref="D24:E24"/>
    <mergeCell ref="G15:J15"/>
    <mergeCell ref="G16:J16"/>
    <mergeCell ref="G17:J17"/>
    <mergeCell ref="Q18:S18"/>
    <mergeCell ref="C25:C34"/>
    <mergeCell ref="D25:D27"/>
    <mergeCell ref="D34:E34"/>
    <mergeCell ref="D18:D21"/>
    <mergeCell ref="Q24:S24"/>
    <mergeCell ref="Q25:S25"/>
    <mergeCell ref="Q26:S26"/>
    <mergeCell ref="Q27:S27"/>
    <mergeCell ref="Q30:S30"/>
    <mergeCell ref="Q31:S31"/>
    <mergeCell ref="G25:J25"/>
    <mergeCell ref="G30:J30"/>
    <mergeCell ref="G32:J32"/>
    <mergeCell ref="I14:J14"/>
    <mergeCell ref="B3:E3"/>
    <mergeCell ref="K3:S3"/>
    <mergeCell ref="B4:C5"/>
    <mergeCell ref="R4:S4"/>
    <mergeCell ref="R5:S5"/>
    <mergeCell ref="G11:J11"/>
    <mergeCell ref="G4:J4"/>
    <mergeCell ref="G7:J7"/>
    <mergeCell ref="G8:J8"/>
    <mergeCell ref="G9:J9"/>
    <mergeCell ref="Q36:S36"/>
    <mergeCell ref="B6:B34"/>
    <mergeCell ref="C6:C24"/>
    <mergeCell ref="R6:S6"/>
    <mergeCell ref="R7:S7"/>
    <mergeCell ref="R8:S8"/>
    <mergeCell ref="Q16:S16"/>
    <mergeCell ref="Q17:S17"/>
    <mergeCell ref="R9:S9"/>
    <mergeCell ref="G10:J10"/>
    <mergeCell ref="R10:S10"/>
    <mergeCell ref="R11:S11"/>
    <mergeCell ref="Q12:S12"/>
    <mergeCell ref="K12:K37"/>
    <mergeCell ref="D13:D14"/>
    <mergeCell ref="I13:J13"/>
  </mergeCells>
  <phoneticPr fontId="4"/>
  <pageMargins left="0.78740157480314965" right="0.78740157480314965" top="0.78740157480314965" bottom="0.78740157480314965" header="0.39370078740157483" footer="0.39370078740157483"/>
  <pageSetup paperSize="9" scale="59" orientation="landscape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3"/>
  <sheetViews>
    <sheetView zoomScale="75" zoomScaleNormal="75" zoomScaleSheetLayoutView="84" workbookViewId="0"/>
  </sheetViews>
  <sheetFormatPr defaultColWidth="10.875" defaultRowHeight="13.5" x14ac:dyDescent="0.15"/>
  <cols>
    <col min="1" max="1" width="1.625" style="97" customWidth="1"/>
    <col min="2" max="2" width="5.75" style="97" customWidth="1"/>
    <col min="3" max="3" width="10.625" style="97" customWidth="1"/>
    <col min="4" max="4" width="12.375" style="97" customWidth="1"/>
    <col min="5" max="5" width="14.625" style="97" customWidth="1"/>
    <col min="6" max="7" width="15.875" style="97" customWidth="1"/>
    <col min="8" max="8" width="10.875" style="97"/>
    <col min="9" max="9" width="11.375" style="97" bestFit="1" customWidth="1"/>
    <col min="10" max="10" width="13.375" style="97" customWidth="1"/>
    <col min="11" max="11" width="7.125" style="97" customWidth="1"/>
    <col min="12" max="12" width="15.375" style="97" customWidth="1"/>
    <col min="13" max="13" width="9.375" style="97" bestFit="1" customWidth="1"/>
    <col min="14" max="14" width="10.875" style="97"/>
    <col min="15" max="15" width="7.25" style="97" customWidth="1"/>
    <col min="16" max="16" width="9.625" style="97" customWidth="1"/>
    <col min="17" max="17" width="10.875" style="97" customWidth="1"/>
    <col min="18" max="18" width="7.5" style="97" customWidth="1"/>
    <col min="19" max="19" width="9.125" style="97" customWidth="1"/>
    <col min="20" max="16384" width="10.875" style="97"/>
  </cols>
  <sheetData>
    <row r="1" spans="2:19" s="98" customFormat="1" ht="9.75" customHeight="1" x14ac:dyDescent="0.15"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</row>
    <row r="2" spans="2:19" s="98" customFormat="1" ht="24.75" customHeight="1" thickBot="1" x14ac:dyDescent="0.2">
      <c r="B2" s="98" t="s">
        <v>578</v>
      </c>
      <c r="H2" s="99" t="s">
        <v>261</v>
      </c>
      <c r="I2" s="98" t="s">
        <v>413</v>
      </c>
      <c r="K2" s="99" t="s">
        <v>262</v>
      </c>
      <c r="L2" s="98" t="s">
        <v>580</v>
      </c>
      <c r="N2" s="97"/>
      <c r="O2" s="97"/>
    </row>
    <row r="3" spans="2:19" s="98" customFormat="1" x14ac:dyDescent="0.15">
      <c r="B3" s="1134" t="s">
        <v>19</v>
      </c>
      <c r="C3" s="1135"/>
      <c r="D3" s="1135"/>
      <c r="E3" s="1136"/>
      <c r="F3" s="540" t="s">
        <v>20</v>
      </c>
      <c r="G3" s="391"/>
      <c r="H3" s="102" t="s">
        <v>21</v>
      </c>
      <c r="I3" s="100"/>
      <c r="J3" s="675"/>
      <c r="K3" s="1239" t="s">
        <v>226</v>
      </c>
      <c r="L3" s="1215"/>
      <c r="M3" s="1215"/>
      <c r="N3" s="1215"/>
      <c r="O3" s="1215"/>
      <c r="P3" s="1215"/>
      <c r="Q3" s="1215"/>
      <c r="R3" s="1215"/>
      <c r="S3" s="1216"/>
    </row>
    <row r="4" spans="2:19" s="98" customFormat="1" x14ac:dyDescent="0.15">
      <c r="B4" s="1132" t="s">
        <v>22</v>
      </c>
      <c r="C4" s="1240"/>
      <c r="D4" s="495" t="s">
        <v>219</v>
      </c>
      <c r="E4" s="216"/>
      <c r="F4" s="392">
        <f>R11</f>
        <v>8032400</v>
      </c>
      <c r="G4" s="1246" t="s">
        <v>458</v>
      </c>
      <c r="H4" s="1247"/>
      <c r="I4" s="1247"/>
      <c r="J4" s="1247"/>
      <c r="K4" s="684" t="s">
        <v>459</v>
      </c>
      <c r="L4" s="761" t="s">
        <v>266</v>
      </c>
      <c r="M4" s="761" t="s">
        <v>23</v>
      </c>
      <c r="N4" s="761" t="s">
        <v>22</v>
      </c>
      <c r="O4" s="761" t="s">
        <v>459</v>
      </c>
      <c r="P4" s="761" t="s">
        <v>266</v>
      </c>
      <c r="Q4" s="761" t="s">
        <v>23</v>
      </c>
      <c r="R4" s="1217" t="s">
        <v>22</v>
      </c>
      <c r="S4" s="1218"/>
    </row>
    <row r="5" spans="2:19" s="98" customFormat="1" x14ac:dyDescent="0.15">
      <c r="B5" s="1132"/>
      <c r="C5" s="1240"/>
      <c r="D5" s="495" t="s">
        <v>89</v>
      </c>
      <c r="E5" s="216"/>
      <c r="F5" s="392">
        <v>0</v>
      </c>
      <c r="G5" s="398"/>
      <c r="H5" s="184"/>
      <c r="I5" s="184"/>
      <c r="J5" s="184"/>
      <c r="K5" s="688">
        <v>12</v>
      </c>
      <c r="L5" s="392">
        <v>17000</v>
      </c>
      <c r="M5" s="392">
        <v>333.2</v>
      </c>
      <c r="N5" s="392">
        <f>L5*M5</f>
        <v>5664400</v>
      </c>
      <c r="O5" s="392"/>
      <c r="P5" s="392"/>
      <c r="Q5" s="392"/>
      <c r="R5" s="1199"/>
      <c r="S5" s="1200"/>
    </row>
    <row r="6" spans="2:19" s="98" customFormat="1" x14ac:dyDescent="0.15">
      <c r="B6" s="1224" t="s">
        <v>224</v>
      </c>
      <c r="C6" s="1227" t="s">
        <v>461</v>
      </c>
      <c r="D6" s="392" t="s">
        <v>56</v>
      </c>
      <c r="E6" s="211"/>
      <c r="F6" s="392">
        <f>+P13</f>
        <v>725000</v>
      </c>
      <c r="G6" s="398" t="s">
        <v>198</v>
      </c>
      <c r="H6" s="184"/>
      <c r="I6" s="184"/>
      <c r="J6" s="184"/>
      <c r="K6" s="688">
        <v>1</v>
      </c>
      <c r="L6" s="392">
        <v>8000</v>
      </c>
      <c r="M6" s="392">
        <v>296</v>
      </c>
      <c r="N6" s="392">
        <f>L6*M6</f>
        <v>2368000</v>
      </c>
      <c r="O6" s="392"/>
      <c r="P6" s="392"/>
      <c r="Q6" s="392"/>
      <c r="R6" s="1199"/>
      <c r="S6" s="1200"/>
    </row>
    <row r="7" spans="2:19" s="98" customFormat="1" x14ac:dyDescent="0.15">
      <c r="B7" s="1225"/>
      <c r="C7" s="1228"/>
      <c r="D7" s="392" t="s">
        <v>57</v>
      </c>
      <c r="E7" s="211"/>
      <c r="F7" s="392">
        <f>P22</f>
        <v>264000</v>
      </c>
      <c r="G7" s="1246" t="s">
        <v>593</v>
      </c>
      <c r="H7" s="1247"/>
      <c r="I7" s="1247"/>
      <c r="J7" s="1247"/>
      <c r="K7" s="687"/>
      <c r="L7" s="771"/>
      <c r="M7" s="392"/>
      <c r="N7" s="392"/>
      <c r="O7" s="392"/>
      <c r="P7" s="392"/>
      <c r="Q7" s="392"/>
      <c r="R7" s="1199"/>
      <c r="S7" s="1200"/>
    </row>
    <row r="8" spans="2:19" s="98" customFormat="1" x14ac:dyDescent="0.15">
      <c r="B8" s="1225"/>
      <c r="C8" s="1228"/>
      <c r="D8" s="392" t="s">
        <v>58</v>
      </c>
      <c r="E8" s="211"/>
      <c r="F8" s="392">
        <f>P28</f>
        <v>379746</v>
      </c>
      <c r="G8" s="1246" t="s">
        <v>594</v>
      </c>
      <c r="H8" s="1247"/>
      <c r="I8" s="1247"/>
      <c r="J8" s="1247"/>
      <c r="K8" s="779"/>
      <c r="L8" s="212"/>
      <c r="M8" s="212"/>
      <c r="N8" s="212"/>
      <c r="O8" s="392"/>
      <c r="P8" s="392"/>
      <c r="Q8" s="392"/>
      <c r="R8" s="1199"/>
      <c r="S8" s="1200"/>
    </row>
    <row r="9" spans="2:19" s="98" customFormat="1" x14ac:dyDescent="0.15">
      <c r="B9" s="1225"/>
      <c r="C9" s="1228"/>
      <c r="D9" s="392" t="s">
        <v>90</v>
      </c>
      <c r="E9" s="211"/>
      <c r="F9" s="392">
        <f>P37</f>
        <v>77997.854000000007</v>
      </c>
      <c r="G9" s="1246" t="s">
        <v>595</v>
      </c>
      <c r="H9" s="1247"/>
      <c r="I9" s="1247"/>
      <c r="J9" s="1247"/>
      <c r="K9" s="793"/>
      <c r="L9" s="669"/>
      <c r="M9" s="669"/>
      <c r="N9" s="669"/>
      <c r="O9" s="211"/>
      <c r="P9" s="392"/>
      <c r="Q9" s="392"/>
      <c r="R9" s="1199"/>
      <c r="S9" s="1200"/>
    </row>
    <row r="10" spans="2:19" s="98" customFormat="1" x14ac:dyDescent="0.15">
      <c r="B10" s="1225"/>
      <c r="C10" s="1228"/>
      <c r="D10" s="392" t="s">
        <v>59</v>
      </c>
      <c r="E10" s="211"/>
      <c r="F10" s="392">
        <f>'８－４　白ねぎ算出基礎'!V20</f>
        <v>11000</v>
      </c>
      <c r="G10" s="1199" t="s">
        <v>596</v>
      </c>
      <c r="H10" s="1233"/>
      <c r="I10" s="1233"/>
      <c r="J10" s="1211"/>
      <c r="K10" s="793"/>
      <c r="L10" s="669"/>
      <c r="M10" s="669"/>
      <c r="N10" s="669"/>
      <c r="O10" s="211"/>
      <c r="P10" s="392"/>
      <c r="Q10" s="392"/>
      <c r="R10" s="1199"/>
      <c r="S10" s="1200"/>
    </row>
    <row r="11" spans="2:19" s="98" customFormat="1" ht="14.25" thickBot="1" x14ac:dyDescent="0.2">
      <c r="B11" s="1225"/>
      <c r="C11" s="1228"/>
      <c r="D11" s="392" t="s">
        <v>6</v>
      </c>
      <c r="E11" s="211"/>
      <c r="F11" s="392">
        <f>'８－４　白ねぎ算出基礎'!V34</f>
        <v>450</v>
      </c>
      <c r="G11" s="1199" t="s">
        <v>596</v>
      </c>
      <c r="H11" s="1233"/>
      <c r="I11" s="1233"/>
      <c r="J11" s="1211"/>
      <c r="K11" s="689"/>
      <c r="L11" s="104"/>
      <c r="M11" s="104"/>
      <c r="N11" s="392"/>
      <c r="O11" s="105" t="s">
        <v>24</v>
      </c>
      <c r="P11" s="781">
        <f>SUM(L5:L11,P5:P10)</f>
        <v>25000</v>
      </c>
      <c r="Q11" s="782">
        <f>R11/P11</f>
        <v>321.29599999999999</v>
      </c>
      <c r="R11" s="1212">
        <f>SUM(N5:N11,R5:S10)</f>
        <v>8032400</v>
      </c>
      <c r="S11" s="1213"/>
    </row>
    <row r="12" spans="2:19" s="98" customFormat="1" ht="14.25" thickTop="1" x14ac:dyDescent="0.15">
      <c r="B12" s="1225"/>
      <c r="C12" s="1228"/>
      <c r="D12" s="392" t="s">
        <v>7</v>
      </c>
      <c r="E12" s="211"/>
      <c r="F12" s="392">
        <v>0</v>
      </c>
      <c r="G12" s="398"/>
      <c r="H12" s="184"/>
      <c r="I12" s="184"/>
      <c r="J12" s="184"/>
      <c r="K12" s="1234" t="s">
        <v>225</v>
      </c>
      <c r="L12" s="577" t="s">
        <v>167</v>
      </c>
      <c r="M12" s="760" t="s">
        <v>9</v>
      </c>
      <c r="N12" s="759" t="s">
        <v>265</v>
      </c>
      <c r="O12" s="759" t="s">
        <v>23</v>
      </c>
      <c r="P12" s="759" t="s">
        <v>26</v>
      </c>
      <c r="Q12" s="1169" t="s">
        <v>27</v>
      </c>
      <c r="R12" s="1170"/>
      <c r="S12" s="1205"/>
    </row>
    <row r="13" spans="2:19" s="98" customFormat="1" x14ac:dyDescent="0.15">
      <c r="B13" s="1225"/>
      <c r="C13" s="1228"/>
      <c r="D13" s="1237" t="s">
        <v>60</v>
      </c>
      <c r="E13" s="392" t="s">
        <v>194</v>
      </c>
      <c r="F13" s="392">
        <f>('６　固定資本装備と減価償却費'!L5+'６　固定資本装備と減価償却費'!L8)*0.01</f>
        <v>2567.25</v>
      </c>
      <c r="G13" s="805" t="s">
        <v>199</v>
      </c>
      <c r="H13" s="804">
        <v>0.01</v>
      </c>
      <c r="I13" s="1233" t="s">
        <v>205</v>
      </c>
      <c r="J13" s="1211"/>
      <c r="K13" s="1235"/>
      <c r="L13" s="762" t="s">
        <v>465</v>
      </c>
      <c r="M13" s="198" t="s">
        <v>466</v>
      </c>
      <c r="N13" s="507">
        <f>50*10</f>
        <v>500</v>
      </c>
      <c r="O13" s="507">
        <v>1450</v>
      </c>
      <c r="P13" s="507">
        <f>N13*O13</f>
        <v>725000</v>
      </c>
      <c r="Q13" s="767" t="s">
        <v>467</v>
      </c>
      <c r="R13" s="508"/>
      <c r="S13" s="783"/>
    </row>
    <row r="14" spans="2:19" s="98" customFormat="1" x14ac:dyDescent="0.15">
      <c r="B14" s="1225"/>
      <c r="C14" s="1228"/>
      <c r="D14" s="1238"/>
      <c r="E14" s="392" t="s">
        <v>195</v>
      </c>
      <c r="F14" s="392">
        <f>('６　固定資本装備と減価償却費'!L16+'６　固定資本装備と減価償却費'!L15+'６　固定資本装備と減価償却費'!L27+'６　固定資本装備と減価償却費'!L30+'６　固定資本装備と減価償却費'!L33+'６　固定資本装備と減価償却費'!L35+'６　固定資本装備と減価償却費'!L36+'６　固定資本装備と減価償却費'!L37+'６　固定資本装備と減価償却費'!L38+'６　固定資本装備と減価償却費'!L39+'６　固定資本装備と減価償却費'!L40+'６　固定資本装備と減価償却費'!L41+'６　固定資本装備と減価償却費'!L42+'６　固定資本装備と減価償却費'!L43+'６　固定資本装備と減価償却費'!L44)*0.05</f>
        <v>136490.79166666666</v>
      </c>
      <c r="G14" s="805" t="s">
        <v>199</v>
      </c>
      <c r="H14" s="804">
        <v>0.05</v>
      </c>
      <c r="I14" s="1233" t="s">
        <v>205</v>
      </c>
      <c r="J14" s="1211"/>
      <c r="K14" s="1235"/>
      <c r="L14" s="762"/>
      <c r="M14" s="198"/>
      <c r="N14" s="507"/>
      <c r="O14" s="507"/>
      <c r="P14" s="507"/>
      <c r="Q14" s="393"/>
      <c r="R14" s="784"/>
      <c r="S14" s="785"/>
    </row>
    <row r="15" spans="2:19" s="98" customFormat="1" x14ac:dyDescent="0.15">
      <c r="B15" s="1225"/>
      <c r="C15" s="1228"/>
      <c r="D15" s="1237" t="s">
        <v>91</v>
      </c>
      <c r="E15" s="392" t="s">
        <v>194</v>
      </c>
      <c r="F15" s="392">
        <f>'６　固定資本装備と減価償却費'!P5+'６　固定資本装備と減価償却費'!P8</f>
        <v>14122.5</v>
      </c>
      <c r="G15" s="1246" t="s">
        <v>205</v>
      </c>
      <c r="H15" s="1247"/>
      <c r="I15" s="1247"/>
      <c r="J15" s="1247"/>
      <c r="K15" s="1235"/>
      <c r="L15" s="786"/>
      <c r="M15" s="394"/>
      <c r="N15" s="395"/>
      <c r="O15" s="396"/>
      <c r="P15" s="397"/>
      <c r="Q15" s="786"/>
      <c r="R15" s="394"/>
      <c r="S15" s="787"/>
    </row>
    <row r="16" spans="2:19" s="98" customFormat="1" ht="14.25" thickBot="1" x14ac:dyDescent="0.2">
      <c r="B16" s="1225"/>
      <c r="C16" s="1228"/>
      <c r="D16" s="1131"/>
      <c r="E16" s="392" t="s">
        <v>195</v>
      </c>
      <c r="F16" s="392">
        <f>'６　固定資本装備と減価償却費'!P16+'６　固定資本装備と減価償却費'!P15+'６　固定資本装備と減価償却費'!P27+'６　固定資本装備と減価償却費'!P30+'６　固定資本装備と減価償却費'!P33+'６　固定資本装備と減価償却費'!P35+'６　固定資本装備と減価償却費'!P36+'６　固定資本装備と減価償却費'!P37+'６　固定資本装備と減価償却費'!P38+'６　固定資本装備と減価償却費'!P39+'６　固定資本装備と減価償却費'!P40+'６　固定資本装備と減価償却費'!P41+'６　固定資本装備と減価償却費'!P42+'６　固定資本装備と減価償却費'!P43+'６　固定資本装備と減価償却費'!P44</f>
        <v>399211.78571428574</v>
      </c>
      <c r="G16" s="1246" t="s">
        <v>205</v>
      </c>
      <c r="H16" s="1247"/>
      <c r="I16" s="1247"/>
      <c r="J16" s="1247"/>
      <c r="K16" s="1235"/>
      <c r="L16" s="110" t="s">
        <v>28</v>
      </c>
      <c r="M16" s="109"/>
      <c r="N16" s="110"/>
      <c r="O16" s="110"/>
      <c r="P16" s="110">
        <f>SUM(P13:P15)</f>
        <v>725000</v>
      </c>
      <c r="Q16" s="1230"/>
      <c r="R16" s="1231"/>
      <c r="S16" s="1232"/>
    </row>
    <row r="17" spans="1:19" s="98" customFormat="1" ht="14.25" thickTop="1" x14ac:dyDescent="0.15">
      <c r="B17" s="1225"/>
      <c r="C17" s="1228"/>
      <c r="D17" s="1238"/>
      <c r="E17" s="392" t="s">
        <v>61</v>
      </c>
      <c r="F17" s="392">
        <f>'６　固定資本装備と減価償却費'!P50</f>
        <v>0</v>
      </c>
      <c r="G17" s="1246" t="s">
        <v>205</v>
      </c>
      <c r="H17" s="1247"/>
      <c r="I17" s="1247"/>
      <c r="J17" s="1247"/>
      <c r="K17" s="1235"/>
      <c r="L17" s="578" t="s">
        <v>168</v>
      </c>
      <c r="M17" s="194"/>
      <c r="N17" s="757" t="s">
        <v>265</v>
      </c>
      <c r="O17" s="757" t="s">
        <v>23</v>
      </c>
      <c r="P17" s="196" t="s">
        <v>26</v>
      </c>
      <c r="Q17" s="1164" t="s">
        <v>27</v>
      </c>
      <c r="R17" s="1165"/>
      <c r="S17" s="1195"/>
    </row>
    <row r="18" spans="1:19" s="98" customFormat="1" x14ac:dyDescent="0.15">
      <c r="B18" s="1225"/>
      <c r="C18" s="1228"/>
      <c r="D18" s="1252" t="s">
        <v>270</v>
      </c>
      <c r="E18" s="533" t="s">
        <v>121</v>
      </c>
      <c r="F18" s="392">
        <v>0</v>
      </c>
      <c r="G18" s="398"/>
      <c r="H18" s="536"/>
      <c r="I18" s="536"/>
      <c r="J18" s="772"/>
      <c r="K18" s="1235"/>
      <c r="L18" s="767" t="s">
        <v>470</v>
      </c>
      <c r="M18" s="198" t="s">
        <v>471</v>
      </c>
      <c r="N18" s="398">
        <v>20</v>
      </c>
      <c r="O18" s="398">
        <v>4200</v>
      </c>
      <c r="P18" s="398">
        <f>N18*O18</f>
        <v>84000</v>
      </c>
      <c r="Q18" s="1199" t="s">
        <v>583</v>
      </c>
      <c r="R18" s="1211"/>
      <c r="S18" s="1200"/>
    </row>
    <row r="19" spans="1:19" s="98" customFormat="1" x14ac:dyDescent="0.15">
      <c r="B19" s="1225"/>
      <c r="C19" s="1228"/>
      <c r="D19" s="1252"/>
      <c r="E19" s="533" t="s">
        <v>117</v>
      </c>
      <c r="F19" s="392">
        <v>0</v>
      </c>
      <c r="G19" s="398"/>
      <c r="H19" s="536"/>
      <c r="I19" s="477" t="s">
        <v>328</v>
      </c>
      <c r="J19" s="677">
        <v>1100</v>
      </c>
      <c r="K19" s="1235"/>
      <c r="L19" s="767" t="s">
        <v>472</v>
      </c>
      <c r="M19" s="198" t="s">
        <v>473</v>
      </c>
      <c r="N19" s="398">
        <v>50</v>
      </c>
      <c r="O19" s="398">
        <v>3600</v>
      </c>
      <c r="P19" s="398">
        <f>N19*O19</f>
        <v>180000</v>
      </c>
      <c r="Q19" s="767" t="s">
        <v>568</v>
      </c>
      <c r="R19" s="788">
        <v>2</v>
      </c>
      <c r="S19" s="768" t="s">
        <v>474</v>
      </c>
    </row>
    <row r="20" spans="1:19" s="98" customFormat="1" x14ac:dyDescent="0.15">
      <c r="B20" s="1225"/>
      <c r="C20" s="1228"/>
      <c r="D20" s="1252"/>
      <c r="E20" s="533" t="s">
        <v>118</v>
      </c>
      <c r="F20" s="392">
        <f>J20*'５－２　白ねぎ作業時間 '!AN40*10</f>
        <v>3306779.9999999995</v>
      </c>
      <c r="G20" s="398"/>
      <c r="H20" s="536"/>
      <c r="I20" s="477" t="s">
        <v>329</v>
      </c>
      <c r="J20" s="677">
        <v>900</v>
      </c>
      <c r="K20" s="1235"/>
      <c r="L20" s="398"/>
      <c r="M20" s="475"/>
      <c r="N20" s="408"/>
      <c r="O20" s="408"/>
      <c r="P20" s="408"/>
      <c r="Q20" s="408"/>
      <c r="R20" s="476"/>
      <c r="S20" s="789"/>
    </row>
    <row r="21" spans="1:19" s="98" customFormat="1" x14ac:dyDescent="0.15">
      <c r="A21" s="97"/>
      <c r="B21" s="1225"/>
      <c r="C21" s="1228"/>
      <c r="D21" s="1252"/>
      <c r="E21" s="533" t="s">
        <v>119</v>
      </c>
      <c r="F21" s="392">
        <f>F20*0.012</f>
        <v>39681.359999999993</v>
      </c>
      <c r="G21" s="171" t="s">
        <v>629</v>
      </c>
      <c r="H21" s="536"/>
      <c r="I21" s="536"/>
      <c r="J21" s="772"/>
      <c r="K21" s="1235"/>
      <c r="L21" s="398"/>
      <c r="M21" s="184"/>
      <c r="N21" s="398"/>
      <c r="O21" s="398"/>
      <c r="P21" s="398"/>
      <c r="Q21" s="767"/>
      <c r="R21" s="756"/>
      <c r="S21" s="768"/>
    </row>
    <row r="22" spans="1:19" s="98" customFormat="1" ht="14.25" thickBot="1" x14ac:dyDescent="0.2">
      <c r="A22" s="97"/>
      <c r="B22" s="1225"/>
      <c r="C22" s="1228"/>
      <c r="D22" s="392" t="s">
        <v>64</v>
      </c>
      <c r="E22" s="211"/>
      <c r="F22" s="392">
        <v>30000</v>
      </c>
      <c r="G22" s="398"/>
      <c r="H22" s="536"/>
      <c r="I22" s="676" t="s">
        <v>531</v>
      </c>
      <c r="J22" s="536"/>
      <c r="K22" s="1235"/>
      <c r="L22" s="110" t="s">
        <v>28</v>
      </c>
      <c r="M22" s="109"/>
      <c r="N22" s="110"/>
      <c r="O22" s="110"/>
      <c r="P22" s="110">
        <f>SUM(P18:P21)</f>
        <v>264000</v>
      </c>
      <c r="Q22" s="763"/>
      <c r="R22" s="764"/>
      <c r="S22" s="765"/>
    </row>
    <row r="23" spans="1:19" s="98" customFormat="1" ht="14.25" thickTop="1" x14ac:dyDescent="0.15">
      <c r="A23" s="97"/>
      <c r="B23" s="1225"/>
      <c r="C23" s="1228"/>
      <c r="D23" s="392" t="s">
        <v>171</v>
      </c>
      <c r="E23" s="211"/>
      <c r="F23" s="392">
        <f>SUM(F6:F21)/99</f>
        <v>54111.591327080321</v>
      </c>
      <c r="G23" s="399" t="s">
        <v>227</v>
      </c>
      <c r="H23" s="400">
        <v>0.01</v>
      </c>
      <c r="I23" s="401"/>
      <c r="J23" s="764"/>
      <c r="K23" s="1235"/>
      <c r="L23" s="398" t="s">
        <v>169</v>
      </c>
      <c r="M23" s="184"/>
      <c r="N23" s="408" t="s">
        <v>25</v>
      </c>
      <c r="O23" s="408" t="s">
        <v>23</v>
      </c>
      <c r="P23" s="408" t="s">
        <v>26</v>
      </c>
      <c r="Q23" s="757" t="s">
        <v>27</v>
      </c>
      <c r="R23" s="758"/>
      <c r="S23" s="766"/>
    </row>
    <row r="24" spans="1:19" s="98" customFormat="1" x14ac:dyDescent="0.15">
      <c r="A24" s="97"/>
      <c r="B24" s="1225"/>
      <c r="C24" s="1229"/>
      <c r="D24" s="1253" t="s">
        <v>218</v>
      </c>
      <c r="E24" s="1254"/>
      <c r="F24" s="402">
        <f>SUM(F6:F23)</f>
        <v>5441159.1327080326</v>
      </c>
      <c r="G24" s="535"/>
      <c r="H24" s="401"/>
      <c r="I24" s="401"/>
      <c r="J24" s="764"/>
      <c r="K24" s="1235"/>
      <c r="L24" s="398" t="s">
        <v>29</v>
      </c>
      <c r="M24" s="184"/>
      <c r="N24" s="398" t="s">
        <v>481</v>
      </c>
      <c r="O24" s="398"/>
      <c r="P24" s="398">
        <f>'８－４　白ねぎ算出基礎'!G38</f>
        <v>172279.33333333331</v>
      </c>
      <c r="Q24" s="1221" t="s">
        <v>597</v>
      </c>
      <c r="R24" s="1222"/>
      <c r="S24" s="1223"/>
    </row>
    <row r="25" spans="1:19" s="98" customFormat="1" x14ac:dyDescent="0.15">
      <c r="A25" s="97"/>
      <c r="B25" s="1225"/>
      <c r="C25" s="1248" t="s">
        <v>200</v>
      </c>
      <c r="D25" s="1249" t="s">
        <v>65</v>
      </c>
      <c r="E25" s="17" t="s">
        <v>3</v>
      </c>
      <c r="F25" s="403">
        <f>(P11/4.5)*130</f>
        <v>722222.22222222225</v>
      </c>
      <c r="G25" s="1246" t="s">
        <v>476</v>
      </c>
      <c r="H25" s="1247"/>
      <c r="I25" s="1247"/>
      <c r="J25" s="1247"/>
      <c r="K25" s="1235"/>
      <c r="L25" s="398" t="s">
        <v>30</v>
      </c>
      <c r="M25" s="184"/>
      <c r="N25" s="398" t="s">
        <v>582</v>
      </c>
      <c r="O25" s="398"/>
      <c r="P25" s="398">
        <f>'８－４　白ねぎ算出基礎'!G49</f>
        <v>180886.66666666669</v>
      </c>
      <c r="Q25" s="1221" t="s">
        <v>597</v>
      </c>
      <c r="R25" s="1222"/>
      <c r="S25" s="1223"/>
    </row>
    <row r="26" spans="1:19" s="98" customFormat="1" x14ac:dyDescent="0.15">
      <c r="A26" s="97"/>
      <c r="B26" s="1225"/>
      <c r="C26" s="1123"/>
      <c r="D26" s="1026"/>
      <c r="E26" s="17" t="s">
        <v>4</v>
      </c>
      <c r="F26" s="404">
        <f>11*P11</f>
        <v>275000</v>
      </c>
      <c r="G26" s="495" t="s">
        <v>477</v>
      </c>
      <c r="H26" s="405"/>
      <c r="I26" s="405"/>
      <c r="J26" s="681"/>
      <c r="K26" s="1235"/>
      <c r="L26" s="398" t="s">
        <v>31</v>
      </c>
      <c r="M26" s="184"/>
      <c r="N26" s="398" t="s">
        <v>482</v>
      </c>
      <c r="O26" s="398"/>
      <c r="P26" s="398">
        <f>'８－４　白ねぎ算出基礎'!G53</f>
        <v>26460</v>
      </c>
      <c r="Q26" s="1221" t="s">
        <v>597</v>
      </c>
      <c r="R26" s="1222"/>
      <c r="S26" s="1223"/>
    </row>
    <row r="27" spans="1:19" s="98" customFormat="1" x14ac:dyDescent="0.15">
      <c r="A27" s="97"/>
      <c r="B27" s="1225"/>
      <c r="C27" s="1123"/>
      <c r="D27" s="1250"/>
      <c r="E27" s="17" t="s">
        <v>8</v>
      </c>
      <c r="F27" s="403">
        <f>R11*0.115</f>
        <v>923726</v>
      </c>
      <c r="G27" s="495" t="s">
        <v>478</v>
      </c>
      <c r="H27" s="492"/>
      <c r="I27" s="405"/>
      <c r="J27" s="756"/>
      <c r="K27" s="1235"/>
      <c r="L27" s="398" t="s">
        <v>483</v>
      </c>
      <c r="M27" s="184"/>
      <c r="N27" s="398" t="s">
        <v>286</v>
      </c>
      <c r="O27" s="398"/>
      <c r="P27" s="398">
        <f>'８－４　白ねぎ算出基礎'!G57</f>
        <v>120</v>
      </c>
      <c r="Q27" s="1221" t="s">
        <v>597</v>
      </c>
      <c r="R27" s="1222"/>
      <c r="S27" s="1223"/>
    </row>
    <row r="28" spans="1:19" s="98" customFormat="1" ht="14.25" thickBot="1" x14ac:dyDescent="0.2">
      <c r="A28" s="97"/>
      <c r="B28" s="1225"/>
      <c r="C28" s="1123"/>
      <c r="D28" s="17" t="s">
        <v>479</v>
      </c>
      <c r="E28" s="18"/>
      <c r="F28" s="404">
        <v>0</v>
      </c>
      <c r="G28" s="495"/>
      <c r="H28" s="406"/>
      <c r="I28" s="407"/>
      <c r="J28" s="683"/>
      <c r="K28" s="1235"/>
      <c r="L28" s="110" t="s">
        <v>28</v>
      </c>
      <c r="M28" s="109"/>
      <c r="N28" s="110"/>
      <c r="O28" s="110"/>
      <c r="P28" s="110">
        <f>SUM(P24:P27)</f>
        <v>379746</v>
      </c>
      <c r="Q28" s="763"/>
      <c r="R28" s="764"/>
      <c r="S28" s="765"/>
    </row>
    <row r="29" spans="1:19" s="98" customFormat="1" ht="14.25" thickTop="1" x14ac:dyDescent="0.15">
      <c r="A29" s="97"/>
      <c r="B29" s="1225"/>
      <c r="C29" s="1123"/>
      <c r="D29" s="17" t="s">
        <v>93</v>
      </c>
      <c r="E29" s="18"/>
      <c r="F29" s="404">
        <v>0</v>
      </c>
      <c r="G29" s="495"/>
      <c r="H29" s="226"/>
      <c r="I29" s="227"/>
      <c r="J29" s="226"/>
      <c r="K29" s="1235"/>
      <c r="L29" s="398" t="s">
        <v>170</v>
      </c>
      <c r="M29" s="184"/>
      <c r="N29" s="408" t="s">
        <v>25</v>
      </c>
      <c r="O29" s="408" t="s">
        <v>23</v>
      </c>
      <c r="P29" s="408" t="s">
        <v>26</v>
      </c>
      <c r="Q29" s="757" t="s">
        <v>27</v>
      </c>
      <c r="R29" s="758"/>
      <c r="S29" s="766"/>
    </row>
    <row r="30" spans="1:19" s="98" customFormat="1" x14ac:dyDescent="0.15">
      <c r="A30" s="97"/>
      <c r="B30" s="1225"/>
      <c r="C30" s="1123"/>
      <c r="D30" s="17" t="s">
        <v>124</v>
      </c>
      <c r="E30" s="18"/>
      <c r="F30" s="404">
        <f>'８－４　白ねぎ算出基礎'!V57</f>
        <v>1603.3333333333335</v>
      </c>
      <c r="G30" s="1246" t="s">
        <v>596</v>
      </c>
      <c r="H30" s="1247"/>
      <c r="I30" s="1247"/>
      <c r="J30" s="1247"/>
      <c r="K30" s="1235"/>
      <c r="L30" s="398" t="s">
        <v>47</v>
      </c>
      <c r="M30" s="184"/>
      <c r="N30" s="398" t="s">
        <v>579</v>
      </c>
      <c r="O30" s="411">
        <f>'８－４　白ねぎ算出基礎'!M6</f>
        <v>84.7</v>
      </c>
      <c r="P30" s="398">
        <f>'８－４　白ねぎ算出基礎'!N10</f>
        <v>22987.580000000005</v>
      </c>
      <c r="Q30" s="1221" t="s">
        <v>597</v>
      </c>
      <c r="R30" s="1222"/>
      <c r="S30" s="1223"/>
    </row>
    <row r="31" spans="1:19" s="98" customFormat="1" x14ac:dyDescent="0.15">
      <c r="A31" s="97"/>
      <c r="B31" s="1225"/>
      <c r="C31" s="1123"/>
      <c r="D31" s="37" t="s">
        <v>94</v>
      </c>
      <c r="E31" s="38"/>
      <c r="F31" s="409">
        <v>0</v>
      </c>
      <c r="G31" s="398"/>
      <c r="H31" s="226"/>
      <c r="I31" s="227"/>
      <c r="J31" s="683"/>
      <c r="K31" s="1235"/>
      <c r="L31" s="398" t="s">
        <v>46</v>
      </c>
      <c r="M31" s="184"/>
      <c r="N31" s="398" t="s">
        <v>579</v>
      </c>
      <c r="O31" s="411">
        <f>'８－４　白ねぎ算出基礎'!M11</f>
        <v>158.4</v>
      </c>
      <c r="P31" s="398">
        <f>'８－４　白ねぎ算出基礎'!N16</f>
        <v>31680</v>
      </c>
      <c r="Q31" s="1221" t="s">
        <v>597</v>
      </c>
      <c r="R31" s="1222"/>
      <c r="S31" s="1223"/>
    </row>
    <row r="32" spans="1:19" s="98" customFormat="1" x14ac:dyDescent="0.15">
      <c r="A32" s="97"/>
      <c r="B32" s="1225"/>
      <c r="C32" s="1123"/>
      <c r="D32" s="17" t="s">
        <v>68</v>
      </c>
      <c r="E32" s="18"/>
      <c r="F32" s="404">
        <f>'８－４　白ねぎ算出基礎'!N57</f>
        <v>2601.2449999999999</v>
      </c>
      <c r="G32" s="1246" t="s">
        <v>596</v>
      </c>
      <c r="H32" s="1247"/>
      <c r="I32" s="1247"/>
      <c r="J32" s="1247"/>
      <c r="K32" s="1235"/>
      <c r="L32" s="398" t="s">
        <v>48</v>
      </c>
      <c r="M32" s="184"/>
      <c r="N32" s="411"/>
      <c r="O32" s="411"/>
      <c r="P32" s="398">
        <f>SUM(P30:P31)*R32</f>
        <v>16400.274000000001</v>
      </c>
      <c r="Q32" s="767" t="s">
        <v>32</v>
      </c>
      <c r="R32" s="691">
        <v>0.3</v>
      </c>
      <c r="S32" s="692"/>
    </row>
    <row r="33" spans="1:23" s="98" customFormat="1" ht="18" customHeight="1" x14ac:dyDescent="0.15">
      <c r="A33" s="97"/>
      <c r="B33" s="1225"/>
      <c r="C33" s="1123"/>
      <c r="D33" s="17" t="s">
        <v>485</v>
      </c>
      <c r="E33" s="18"/>
      <c r="F33" s="404">
        <f>SUM(F25:F32)/99</f>
        <v>19445.98788439955</v>
      </c>
      <c r="G33" s="409" t="s">
        <v>486</v>
      </c>
      <c r="H33" s="400">
        <v>0.01</v>
      </c>
      <c r="I33" s="181"/>
      <c r="J33" s="777"/>
      <c r="K33" s="1235"/>
      <c r="L33" s="398" t="s">
        <v>49</v>
      </c>
      <c r="M33" s="184"/>
      <c r="N33" s="398"/>
      <c r="O33" s="411"/>
      <c r="P33" s="398">
        <f>'８－４　白ねぎ算出基礎'!N19</f>
        <v>0</v>
      </c>
      <c r="Q33" s="767"/>
      <c r="R33" s="756"/>
      <c r="S33" s="768"/>
    </row>
    <row r="34" spans="1:23" s="98" customFormat="1" ht="18" customHeight="1" thickBot="1" x14ac:dyDescent="0.2">
      <c r="A34" s="97"/>
      <c r="B34" s="1226"/>
      <c r="C34" s="1124"/>
      <c r="D34" s="1251" t="s">
        <v>217</v>
      </c>
      <c r="E34" s="1126"/>
      <c r="F34" s="173">
        <f>SUM(F25:F33)</f>
        <v>1944598.7884399551</v>
      </c>
      <c r="G34" s="174"/>
      <c r="H34" s="175"/>
      <c r="I34" s="176"/>
      <c r="J34" s="778"/>
      <c r="K34" s="1235"/>
      <c r="L34" s="398" t="s">
        <v>50</v>
      </c>
      <c r="M34" s="184"/>
      <c r="N34" s="398"/>
      <c r="O34" s="411"/>
      <c r="P34" s="398">
        <f>'８－４　白ねぎ算出基礎'!N23</f>
        <v>0</v>
      </c>
      <c r="Q34" s="767"/>
      <c r="R34" s="756"/>
      <c r="S34" s="768"/>
    </row>
    <row r="35" spans="1:23" s="98" customFormat="1" ht="18" customHeight="1" x14ac:dyDescent="0.15">
      <c r="A35" s="97"/>
      <c r="B35" s="410"/>
      <c r="C35" s="117"/>
      <c r="D35" s="117"/>
      <c r="E35" s="117"/>
      <c r="F35" s="117"/>
      <c r="G35" s="117"/>
      <c r="H35" s="117"/>
      <c r="I35" s="117"/>
      <c r="J35" s="117"/>
      <c r="K35" s="1235"/>
      <c r="L35" s="398" t="s">
        <v>268</v>
      </c>
      <c r="M35" s="184"/>
      <c r="N35" s="398"/>
      <c r="O35" s="411"/>
      <c r="P35" s="398">
        <f>'８－４　白ねぎ算出基礎'!N27</f>
        <v>0</v>
      </c>
      <c r="Q35" s="767"/>
      <c r="R35" s="756"/>
      <c r="S35" s="768"/>
    </row>
    <row r="36" spans="1:23" s="98" customFormat="1" ht="18" customHeight="1" x14ac:dyDescent="0.15">
      <c r="A36" s="97"/>
      <c r="B36" s="412"/>
      <c r="C36" s="413"/>
      <c r="D36" s="412"/>
      <c r="E36" s="412"/>
      <c r="F36" s="414"/>
      <c r="G36" s="414"/>
      <c r="H36" s="415"/>
      <c r="I36" s="117"/>
      <c r="J36" s="117"/>
      <c r="K36" s="1235"/>
      <c r="L36" s="398" t="s">
        <v>51</v>
      </c>
      <c r="M36" s="184"/>
      <c r="N36" s="398" t="s">
        <v>286</v>
      </c>
      <c r="O36" s="411">
        <f>'８－４　白ねぎ算出基礎'!M28</f>
        <v>14</v>
      </c>
      <c r="P36" s="398">
        <f>'８－４　白ねぎ算出基礎'!N31</f>
        <v>6930</v>
      </c>
      <c r="Q36" s="1221" t="s">
        <v>597</v>
      </c>
      <c r="R36" s="1222"/>
      <c r="S36" s="1223"/>
    </row>
    <row r="37" spans="1:23" ht="18" customHeight="1" thickBot="1" x14ac:dyDescent="0.2">
      <c r="K37" s="1236"/>
      <c r="L37" s="693" t="s">
        <v>28</v>
      </c>
      <c r="M37" s="694"/>
      <c r="N37" s="693"/>
      <c r="O37" s="693"/>
      <c r="P37" s="693">
        <f>SUM(P30:P36)</f>
        <v>77997.854000000007</v>
      </c>
      <c r="Q37" s="790"/>
      <c r="R37" s="778"/>
      <c r="S37" s="769"/>
    </row>
    <row r="38" spans="1:23" ht="18" customHeight="1" x14ac:dyDescent="0.15">
      <c r="K38" s="579"/>
      <c r="L38" s="116"/>
      <c r="M38" s="116"/>
      <c r="N38" s="116"/>
      <c r="O38" s="116"/>
      <c r="P38" s="116"/>
      <c r="Q38" s="116"/>
      <c r="R38" s="116"/>
      <c r="S38" s="116"/>
    </row>
    <row r="39" spans="1:23" ht="18" customHeight="1" x14ac:dyDescent="0.15">
      <c r="K39" s="579"/>
      <c r="L39" s="116"/>
      <c r="M39" s="116"/>
      <c r="N39" s="116"/>
      <c r="O39" s="116"/>
      <c r="P39" s="116"/>
      <c r="Q39" s="116"/>
      <c r="R39" s="116"/>
      <c r="S39" s="116"/>
    </row>
    <row r="40" spans="1:23" ht="18" customHeight="1" x14ac:dyDescent="0.15">
      <c r="K40" s="579"/>
      <c r="L40" s="116"/>
      <c r="M40" s="116"/>
      <c r="N40" s="116"/>
      <c r="O40" s="116"/>
      <c r="P40" s="116"/>
      <c r="Q40" s="116"/>
      <c r="R40" s="116"/>
      <c r="S40" s="116"/>
    </row>
    <row r="41" spans="1:23" ht="18" customHeight="1" x14ac:dyDescent="0.15">
      <c r="K41" s="579"/>
      <c r="L41" s="116"/>
      <c r="M41" s="116"/>
      <c r="N41" s="116"/>
      <c r="O41" s="116"/>
      <c r="P41" s="116"/>
      <c r="Q41" s="116"/>
      <c r="R41" s="116"/>
      <c r="S41" s="116"/>
    </row>
    <row r="42" spans="1:23" s="116" customFormat="1" ht="18" customHeight="1" x14ac:dyDescent="0.15">
      <c r="A42" s="97"/>
      <c r="B42" s="97"/>
      <c r="C42" s="97"/>
      <c r="D42" s="97"/>
      <c r="E42" s="97"/>
      <c r="F42" s="97"/>
      <c r="G42" s="97"/>
      <c r="H42" s="97"/>
      <c r="I42" s="97"/>
      <c r="J42" s="97"/>
      <c r="K42" s="579"/>
    </row>
    <row r="43" spans="1:23" s="116" customFormat="1" ht="18" customHeight="1" x14ac:dyDescent="0.15">
      <c r="A43" s="97"/>
      <c r="B43" s="97"/>
      <c r="C43" s="97"/>
      <c r="D43" s="97"/>
      <c r="E43" s="97"/>
      <c r="F43" s="97"/>
      <c r="G43" s="97"/>
      <c r="H43" s="97"/>
      <c r="I43" s="97"/>
      <c r="J43" s="97"/>
      <c r="T43" s="117"/>
    </row>
    <row r="44" spans="1:23" s="116" customFormat="1" ht="18" customHeight="1" x14ac:dyDescent="0.15">
      <c r="A44" s="97"/>
      <c r="B44" s="97"/>
      <c r="C44" s="97"/>
      <c r="D44" s="97"/>
      <c r="E44" s="97"/>
      <c r="F44" s="97"/>
      <c r="G44" s="97"/>
      <c r="H44" s="97"/>
      <c r="I44" s="97"/>
      <c r="J44" s="97"/>
      <c r="T44" s="98"/>
      <c r="U44" s="98"/>
      <c r="V44" s="98"/>
      <c r="W44" s="98"/>
    </row>
    <row r="45" spans="1:23" s="116" customFormat="1" ht="18" customHeight="1" x14ac:dyDescent="0.15">
      <c r="A45" s="97"/>
      <c r="B45" s="97"/>
      <c r="C45" s="97"/>
      <c r="D45" s="97"/>
      <c r="E45" s="97"/>
      <c r="F45" s="97"/>
      <c r="G45" s="97"/>
      <c r="H45" s="97"/>
      <c r="I45" s="97"/>
      <c r="J45" s="97"/>
      <c r="T45" s="118"/>
      <c r="U45" s="119"/>
      <c r="V45" s="493"/>
      <c r="W45" s="118"/>
    </row>
    <row r="46" spans="1:23" s="116" customFormat="1" ht="18" customHeight="1" x14ac:dyDescent="0.15">
      <c r="A46" s="97"/>
      <c r="B46" s="97"/>
      <c r="C46" s="97"/>
      <c r="D46" s="97"/>
      <c r="E46" s="97"/>
      <c r="F46" s="97"/>
      <c r="G46" s="97"/>
      <c r="H46" s="97"/>
      <c r="I46" s="97"/>
      <c r="J46" s="97"/>
      <c r="T46" s="98"/>
      <c r="U46" s="98"/>
      <c r="V46" s="98"/>
      <c r="W46" s="98"/>
    </row>
    <row r="47" spans="1:23" s="116" customFormat="1" ht="18" customHeight="1" x14ac:dyDescent="0.15">
      <c r="B47" s="97"/>
      <c r="C47" s="97"/>
      <c r="D47" s="97"/>
      <c r="E47" s="97"/>
      <c r="F47" s="97"/>
      <c r="G47" s="97"/>
      <c r="H47" s="97"/>
      <c r="I47" s="97"/>
      <c r="J47" s="97"/>
      <c r="T47" s="99"/>
      <c r="U47" s="117"/>
      <c r="V47" s="98"/>
      <c r="W47" s="118"/>
    </row>
    <row r="48" spans="1:23" s="116" customFormat="1" ht="18" customHeight="1" x14ac:dyDescent="0.15">
      <c r="B48" s="97"/>
      <c r="C48" s="97"/>
      <c r="D48" s="97"/>
      <c r="E48" s="97"/>
      <c r="F48" s="97"/>
      <c r="G48" s="97"/>
      <c r="H48" s="97"/>
      <c r="I48" s="97"/>
      <c r="J48" s="97"/>
      <c r="T48" s="99"/>
      <c r="U48" s="117"/>
      <c r="V48" s="98"/>
      <c r="W48" s="118"/>
    </row>
    <row r="49" spans="2:23" s="116" customFormat="1" ht="18" customHeight="1" x14ac:dyDescent="0.15">
      <c r="B49" s="97"/>
      <c r="C49" s="97"/>
      <c r="D49" s="97"/>
      <c r="E49" s="97"/>
      <c r="F49" s="97"/>
      <c r="G49" s="97"/>
      <c r="H49" s="97"/>
      <c r="I49" s="97"/>
      <c r="J49" s="97"/>
      <c r="T49" s="98"/>
      <c r="U49" s="98"/>
      <c r="V49" s="119"/>
      <c r="W49" s="98"/>
    </row>
    <row r="50" spans="2:23" s="116" customFormat="1" x14ac:dyDescent="0.15">
      <c r="B50" s="97"/>
      <c r="C50" s="97"/>
      <c r="D50" s="97"/>
      <c r="E50" s="97"/>
      <c r="F50" s="97"/>
      <c r="G50" s="97"/>
      <c r="H50" s="97"/>
      <c r="I50" s="97"/>
      <c r="J50" s="97"/>
      <c r="T50" s="99"/>
      <c r="U50" s="98"/>
      <c r="V50" s="98"/>
      <c r="W50" s="118"/>
    </row>
    <row r="51" spans="2:23" s="116" customFormat="1" x14ac:dyDescent="0.15">
      <c r="B51" s="97"/>
      <c r="C51" s="97"/>
      <c r="D51" s="97"/>
      <c r="E51" s="97"/>
      <c r="F51" s="97"/>
      <c r="G51" s="97"/>
      <c r="H51" s="97"/>
      <c r="I51" s="97"/>
      <c r="J51" s="97"/>
      <c r="T51" s="99"/>
      <c r="U51" s="98"/>
      <c r="V51" s="98"/>
      <c r="W51" s="118"/>
    </row>
    <row r="52" spans="2:23" s="116" customFormat="1" x14ac:dyDescent="0.15">
      <c r="B52" s="97"/>
      <c r="C52" s="97"/>
      <c r="D52" s="97"/>
      <c r="E52" s="97"/>
      <c r="F52" s="97"/>
      <c r="G52" s="97"/>
      <c r="H52" s="97"/>
      <c r="I52" s="97"/>
      <c r="J52" s="97"/>
      <c r="T52" s="99"/>
      <c r="U52" s="98"/>
      <c r="V52" s="98"/>
      <c r="W52" s="118"/>
    </row>
    <row r="53" spans="2:23" s="116" customFormat="1" x14ac:dyDescent="0.15">
      <c r="B53" s="97"/>
      <c r="C53" s="97"/>
      <c r="D53" s="97"/>
      <c r="E53" s="97"/>
      <c r="F53" s="97"/>
      <c r="G53" s="97"/>
      <c r="H53" s="97"/>
      <c r="I53" s="97"/>
      <c r="J53" s="97"/>
      <c r="T53" s="99"/>
      <c r="U53" s="98"/>
      <c r="V53" s="98"/>
      <c r="W53" s="118"/>
    </row>
    <row r="54" spans="2:23" s="116" customFormat="1" x14ac:dyDescent="0.15">
      <c r="B54" s="97"/>
      <c r="C54" s="97"/>
      <c r="D54" s="97"/>
      <c r="E54" s="97"/>
      <c r="F54" s="97"/>
      <c r="G54" s="97"/>
      <c r="H54" s="97"/>
      <c r="I54" s="97"/>
      <c r="J54" s="97"/>
      <c r="T54" s="99"/>
      <c r="U54" s="99"/>
      <c r="V54" s="99"/>
      <c r="W54" s="98"/>
    </row>
    <row r="55" spans="2:23" s="116" customFormat="1" ht="13.5" customHeight="1" x14ac:dyDescent="0.15">
      <c r="B55" s="97"/>
      <c r="C55" s="97"/>
      <c r="D55" s="97"/>
      <c r="E55" s="97"/>
      <c r="F55" s="97"/>
      <c r="G55" s="97"/>
      <c r="H55" s="97"/>
      <c r="I55" s="97"/>
      <c r="J55" s="97"/>
      <c r="L55" s="97"/>
      <c r="M55" s="97"/>
      <c r="N55" s="97"/>
      <c r="O55" s="97"/>
      <c r="P55" s="97"/>
      <c r="Q55" s="97"/>
      <c r="R55" s="97"/>
      <c r="S55" s="97"/>
      <c r="T55" s="98"/>
      <c r="U55" s="98"/>
      <c r="V55" s="98"/>
      <c r="W55" s="119"/>
    </row>
    <row r="56" spans="2:23" s="116" customFormat="1" x14ac:dyDescent="0.15">
      <c r="B56" s="97"/>
      <c r="C56" s="97"/>
      <c r="D56" s="97"/>
      <c r="E56" s="97"/>
      <c r="F56" s="97"/>
      <c r="G56" s="97"/>
      <c r="H56" s="97"/>
      <c r="I56" s="97"/>
      <c r="J56" s="97"/>
      <c r="L56" s="97"/>
      <c r="M56" s="97"/>
      <c r="N56" s="97"/>
      <c r="O56" s="97"/>
      <c r="P56" s="97"/>
      <c r="Q56" s="97"/>
      <c r="R56" s="97"/>
      <c r="S56" s="97"/>
      <c r="T56" s="118"/>
      <c r="U56" s="98"/>
      <c r="V56" s="119"/>
      <c r="W56" s="118"/>
    </row>
    <row r="57" spans="2:23" s="116" customFormat="1" x14ac:dyDescent="0.15">
      <c r="B57" s="97"/>
      <c r="C57" s="97"/>
      <c r="D57" s="97"/>
      <c r="E57" s="97"/>
      <c r="F57" s="97"/>
      <c r="G57" s="97"/>
      <c r="H57" s="97"/>
      <c r="I57" s="97"/>
      <c r="J57" s="97"/>
      <c r="L57" s="97"/>
      <c r="M57" s="97"/>
      <c r="N57" s="97"/>
      <c r="O57" s="97"/>
      <c r="P57" s="97"/>
      <c r="Q57" s="97"/>
      <c r="R57" s="97"/>
      <c r="S57" s="97"/>
      <c r="T57" s="98"/>
      <c r="U57" s="98"/>
      <c r="V57" s="98"/>
      <c r="W57" s="98"/>
    </row>
    <row r="58" spans="2:23" s="116" customFormat="1" ht="13.5" customHeight="1" x14ac:dyDescent="0.15">
      <c r="B58" s="97"/>
      <c r="C58" s="97"/>
      <c r="D58" s="97"/>
      <c r="E58" s="97"/>
      <c r="F58" s="97"/>
      <c r="G58" s="97"/>
      <c r="H58" s="97"/>
      <c r="I58" s="97"/>
      <c r="J58" s="97"/>
      <c r="L58" s="97"/>
      <c r="M58" s="97"/>
      <c r="N58" s="97"/>
      <c r="O58" s="97"/>
      <c r="P58" s="97"/>
      <c r="Q58" s="97"/>
      <c r="R58" s="97"/>
      <c r="S58" s="97"/>
      <c r="T58" s="99"/>
      <c r="U58" s="98"/>
      <c r="V58" s="99"/>
      <c r="W58" s="118"/>
    </row>
    <row r="59" spans="2:23" s="116" customFormat="1" x14ac:dyDescent="0.15">
      <c r="B59" s="97"/>
      <c r="C59" s="97"/>
      <c r="D59" s="97"/>
      <c r="E59" s="97"/>
      <c r="F59" s="97"/>
      <c r="G59" s="97"/>
      <c r="H59" s="97"/>
      <c r="I59" s="97"/>
      <c r="J59" s="97"/>
      <c r="L59" s="97"/>
      <c r="M59" s="97"/>
      <c r="N59" s="97"/>
      <c r="O59" s="97"/>
      <c r="P59" s="97"/>
      <c r="Q59" s="97"/>
      <c r="R59" s="97"/>
      <c r="S59" s="97"/>
      <c r="T59" s="416"/>
      <c r="U59" s="98"/>
      <c r="V59" s="98"/>
      <c r="W59" s="118"/>
    </row>
    <row r="60" spans="2:23" s="116" customFormat="1" x14ac:dyDescent="0.15"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8"/>
      <c r="U60" s="99"/>
      <c r="V60" s="98"/>
      <c r="W60" s="98"/>
    </row>
    <row r="61" spans="2:23" s="116" customFormat="1" x14ac:dyDescent="0.15"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117"/>
      <c r="U61" s="117"/>
      <c r="V61" s="117"/>
      <c r="W61" s="117"/>
    </row>
    <row r="62" spans="2:23" s="116" customFormat="1" x14ac:dyDescent="0.15"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117"/>
    </row>
    <row r="63" spans="2:23" s="116" customFormat="1" x14ac:dyDescent="0.15"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117"/>
    </row>
    <row r="64" spans="2:23" s="116" customFormat="1" x14ac:dyDescent="0.15"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117"/>
    </row>
    <row r="65" spans="2:19" s="116" customFormat="1" x14ac:dyDescent="0.15"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</row>
    <row r="66" spans="2:19" s="116" customFormat="1" x14ac:dyDescent="0.15"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</row>
    <row r="67" spans="2:19" s="116" customFormat="1" x14ac:dyDescent="0.15"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</row>
    <row r="68" spans="2:19" s="116" customFormat="1" x14ac:dyDescent="0.15"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</row>
    <row r="69" spans="2:19" s="116" customFormat="1" x14ac:dyDescent="0.15"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</row>
    <row r="70" spans="2:19" s="116" customFormat="1" x14ac:dyDescent="0.15"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</row>
    <row r="71" spans="2:19" s="116" customFormat="1" x14ac:dyDescent="0.15"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</row>
    <row r="72" spans="2:19" s="116" customFormat="1" x14ac:dyDescent="0.15"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</row>
    <row r="73" spans="2:19" s="116" customFormat="1" x14ac:dyDescent="0.15"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</row>
    <row r="74" spans="2:19" s="116" customFormat="1" x14ac:dyDescent="0.15">
      <c r="B74" s="97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</row>
    <row r="75" spans="2:19" s="116" customFormat="1" x14ac:dyDescent="0.15">
      <c r="B75" s="97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</row>
    <row r="76" spans="2:19" s="116" customFormat="1" x14ac:dyDescent="0.15"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</row>
    <row r="77" spans="2:19" s="116" customFormat="1" x14ac:dyDescent="0.15"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</row>
    <row r="78" spans="2:19" s="116" customFormat="1" x14ac:dyDescent="0.15">
      <c r="B78" s="97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</row>
    <row r="79" spans="2:19" s="116" customFormat="1" x14ac:dyDescent="0.15"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</row>
    <row r="80" spans="2:19" s="116" customFormat="1" x14ac:dyDescent="0.15">
      <c r="B80" s="97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</row>
    <row r="81" spans="2:19" s="116" customFormat="1" x14ac:dyDescent="0.15"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</row>
    <row r="82" spans="2:19" s="116" customFormat="1" x14ac:dyDescent="0.15"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</row>
    <row r="83" spans="2:19" s="116" customFormat="1" x14ac:dyDescent="0.15">
      <c r="B83" s="97"/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</row>
    <row r="84" spans="2:19" s="116" customFormat="1" x14ac:dyDescent="0.15">
      <c r="B84" s="97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</row>
    <row r="85" spans="2:19" s="116" customFormat="1" x14ac:dyDescent="0.15">
      <c r="B85" s="97"/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</row>
    <row r="86" spans="2:19" s="116" customFormat="1" x14ac:dyDescent="0.15">
      <c r="B86" s="97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</row>
    <row r="87" spans="2:19" s="116" customFormat="1" x14ac:dyDescent="0.15"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</row>
    <row r="88" spans="2:19" s="116" customFormat="1" x14ac:dyDescent="0.15">
      <c r="B88" s="97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</row>
    <row r="89" spans="2:19" s="116" customFormat="1" x14ac:dyDescent="0.15"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</row>
    <row r="90" spans="2:19" s="116" customFormat="1" x14ac:dyDescent="0.15">
      <c r="B90" s="97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</row>
    <row r="91" spans="2:19" s="116" customFormat="1" x14ac:dyDescent="0.15">
      <c r="B91" s="97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</row>
    <row r="92" spans="2:19" s="116" customFormat="1" x14ac:dyDescent="0.15"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</row>
    <row r="93" spans="2:19" s="116" customFormat="1" x14ac:dyDescent="0.15"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</row>
    <row r="94" spans="2:19" s="116" customFormat="1" x14ac:dyDescent="0.15"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</row>
    <row r="95" spans="2:19" s="116" customFormat="1" x14ac:dyDescent="0.15"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</row>
    <row r="96" spans="2:19" s="116" customFormat="1" x14ac:dyDescent="0.15"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97"/>
    </row>
    <row r="97" spans="1:19" s="116" customFormat="1" x14ac:dyDescent="0.15"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</row>
    <row r="98" spans="1:19" s="116" customFormat="1" x14ac:dyDescent="0.15">
      <c r="B98" s="97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</row>
    <row r="99" spans="1:19" x14ac:dyDescent="0.15">
      <c r="A99" s="116"/>
    </row>
    <row r="100" spans="1:19" x14ac:dyDescent="0.15">
      <c r="A100" s="116"/>
    </row>
    <row r="101" spans="1:19" x14ac:dyDescent="0.15">
      <c r="A101" s="116"/>
    </row>
    <row r="102" spans="1:19" x14ac:dyDescent="0.15">
      <c r="A102" s="116"/>
    </row>
    <row r="103" spans="1:19" x14ac:dyDescent="0.15">
      <c r="A103" s="116"/>
    </row>
  </sheetData>
  <mergeCells count="46">
    <mergeCell ref="G25:J25"/>
    <mergeCell ref="G30:J30"/>
    <mergeCell ref="G32:J32"/>
    <mergeCell ref="G7:J7"/>
    <mergeCell ref="G8:J8"/>
    <mergeCell ref="G9:J9"/>
    <mergeCell ref="G15:J15"/>
    <mergeCell ref="G16:J16"/>
    <mergeCell ref="C25:C34"/>
    <mergeCell ref="D25:D27"/>
    <mergeCell ref="D34:E34"/>
    <mergeCell ref="K12:K37"/>
    <mergeCell ref="Q12:S12"/>
    <mergeCell ref="D18:D21"/>
    <mergeCell ref="Q18:S18"/>
    <mergeCell ref="D24:E24"/>
    <mergeCell ref="Q24:S24"/>
    <mergeCell ref="Q25:S25"/>
    <mergeCell ref="Q26:S26"/>
    <mergeCell ref="Q27:S27"/>
    <mergeCell ref="Q30:S30"/>
    <mergeCell ref="Q31:S31"/>
    <mergeCell ref="Q36:S36"/>
    <mergeCell ref="G17:J17"/>
    <mergeCell ref="B3:E3"/>
    <mergeCell ref="K3:S3"/>
    <mergeCell ref="B4:C5"/>
    <mergeCell ref="R4:S4"/>
    <mergeCell ref="R5:S5"/>
    <mergeCell ref="G4:J4"/>
    <mergeCell ref="B6:B34"/>
    <mergeCell ref="C6:C24"/>
    <mergeCell ref="R6:S6"/>
    <mergeCell ref="R7:S7"/>
    <mergeCell ref="R8:S8"/>
    <mergeCell ref="R9:S9"/>
    <mergeCell ref="G10:J10"/>
    <mergeCell ref="R10:S10"/>
    <mergeCell ref="G11:J11"/>
    <mergeCell ref="R11:S11"/>
    <mergeCell ref="D13:D14"/>
    <mergeCell ref="I13:J13"/>
    <mergeCell ref="I14:J14"/>
    <mergeCell ref="D15:D17"/>
    <mergeCell ref="Q16:S16"/>
    <mergeCell ref="Q17:S17"/>
  </mergeCells>
  <phoneticPr fontId="4"/>
  <pageMargins left="0.7" right="0.7" top="0.75" bottom="0.75" header="0.3" footer="0.3"/>
  <pageSetup paperSize="9" scale="4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2"/>
  <sheetViews>
    <sheetView zoomScale="75" zoomScaleNormal="75" workbookViewId="0"/>
  </sheetViews>
  <sheetFormatPr defaultRowHeight="13.5" x14ac:dyDescent="0.15"/>
  <cols>
    <col min="1" max="1" width="1.625" style="45" customWidth="1"/>
    <col min="2" max="2" width="3.625" style="45" customWidth="1"/>
    <col min="3" max="3" width="19.5" style="45" customWidth="1"/>
    <col min="4" max="7" width="8.625" style="45" customWidth="1"/>
    <col min="8" max="8" width="2.375" style="155" customWidth="1"/>
    <col min="9" max="9" width="3.625" style="45" customWidth="1"/>
    <col min="10" max="10" width="15.625" style="45" customWidth="1"/>
    <col min="11" max="14" width="8.625" style="45" customWidth="1"/>
    <col min="15" max="15" width="3.5" style="45" customWidth="1"/>
    <col min="16" max="16" width="15.625" style="126" customWidth="1"/>
    <col min="17" max="17" width="8.625" style="45" customWidth="1"/>
    <col min="18" max="18" width="8.625" style="46" customWidth="1"/>
    <col min="19" max="21" width="8.625" style="45" customWidth="1"/>
    <col min="22" max="22" width="10.625" style="46" customWidth="1"/>
    <col min="23" max="262" width="9" style="45"/>
    <col min="263" max="263" width="1.375" style="45" customWidth="1"/>
    <col min="264" max="264" width="3.5" style="45" customWidth="1"/>
    <col min="265" max="265" width="22.125" style="45" customWidth="1"/>
    <col min="266" max="266" width="9.75" style="45" customWidth="1"/>
    <col min="267" max="267" width="7.375" style="45" customWidth="1"/>
    <col min="268" max="268" width="9" style="45"/>
    <col min="269" max="269" width="9.25" style="45" customWidth="1"/>
    <col min="270" max="270" width="3.5" style="45" customWidth="1"/>
    <col min="271" max="272" width="12.625" style="45" customWidth="1"/>
    <col min="273" max="273" width="9" style="45"/>
    <col min="274" max="274" width="7.75" style="45" customWidth="1"/>
    <col min="275" max="275" width="13.125" style="45" customWidth="1"/>
    <col min="276" max="276" width="6.125" style="45" customWidth="1"/>
    <col min="277" max="277" width="9.75" style="45" customWidth="1"/>
    <col min="278" max="278" width="1.375" style="45" customWidth="1"/>
    <col min="279" max="518" width="9" style="45"/>
    <col min="519" max="519" width="1.375" style="45" customWidth="1"/>
    <col min="520" max="520" width="3.5" style="45" customWidth="1"/>
    <col min="521" max="521" width="22.125" style="45" customWidth="1"/>
    <col min="522" max="522" width="9.75" style="45" customWidth="1"/>
    <col min="523" max="523" width="7.375" style="45" customWidth="1"/>
    <col min="524" max="524" width="9" style="45"/>
    <col min="525" max="525" width="9.25" style="45" customWidth="1"/>
    <col min="526" max="526" width="3.5" style="45" customWidth="1"/>
    <col min="527" max="528" width="12.625" style="45" customWidth="1"/>
    <col min="529" max="529" width="9" style="45"/>
    <col min="530" max="530" width="7.75" style="45" customWidth="1"/>
    <col min="531" max="531" width="13.125" style="45" customWidth="1"/>
    <col min="532" max="532" width="6.125" style="45" customWidth="1"/>
    <col min="533" max="533" width="9.75" style="45" customWidth="1"/>
    <col min="534" max="534" width="1.375" style="45" customWidth="1"/>
    <col min="535" max="774" width="9" style="45"/>
    <col min="775" max="775" width="1.375" style="45" customWidth="1"/>
    <col min="776" max="776" width="3.5" style="45" customWidth="1"/>
    <col min="777" max="777" width="22.125" style="45" customWidth="1"/>
    <col min="778" max="778" width="9.75" style="45" customWidth="1"/>
    <col min="779" max="779" width="7.375" style="45" customWidth="1"/>
    <col min="780" max="780" width="9" style="45"/>
    <col min="781" max="781" width="9.25" style="45" customWidth="1"/>
    <col min="782" max="782" width="3.5" style="45" customWidth="1"/>
    <col min="783" max="784" width="12.625" style="45" customWidth="1"/>
    <col min="785" max="785" width="9" style="45"/>
    <col min="786" max="786" width="7.75" style="45" customWidth="1"/>
    <col min="787" max="787" width="13.125" style="45" customWidth="1"/>
    <col min="788" max="788" width="6.125" style="45" customWidth="1"/>
    <col min="789" max="789" width="9.75" style="45" customWidth="1"/>
    <col min="790" max="790" width="1.375" style="45" customWidth="1"/>
    <col min="791" max="1030" width="9" style="45"/>
    <col min="1031" max="1031" width="1.375" style="45" customWidth="1"/>
    <col min="1032" max="1032" width="3.5" style="45" customWidth="1"/>
    <col min="1033" max="1033" width="22.125" style="45" customWidth="1"/>
    <col min="1034" max="1034" width="9.75" style="45" customWidth="1"/>
    <col min="1035" max="1035" width="7.375" style="45" customWidth="1"/>
    <col min="1036" max="1036" width="9" style="45"/>
    <col min="1037" max="1037" width="9.25" style="45" customWidth="1"/>
    <col min="1038" max="1038" width="3.5" style="45" customWidth="1"/>
    <col min="1039" max="1040" width="12.625" style="45" customWidth="1"/>
    <col min="1041" max="1041" width="9" style="45"/>
    <col min="1042" max="1042" width="7.75" style="45" customWidth="1"/>
    <col min="1043" max="1043" width="13.125" style="45" customWidth="1"/>
    <col min="1044" max="1044" width="6.125" style="45" customWidth="1"/>
    <col min="1045" max="1045" width="9.75" style="45" customWidth="1"/>
    <col min="1046" max="1046" width="1.375" style="45" customWidth="1"/>
    <col min="1047" max="1286" width="9" style="45"/>
    <col min="1287" max="1287" width="1.375" style="45" customWidth="1"/>
    <col min="1288" max="1288" width="3.5" style="45" customWidth="1"/>
    <col min="1289" max="1289" width="22.125" style="45" customWidth="1"/>
    <col min="1290" max="1290" width="9.75" style="45" customWidth="1"/>
    <col min="1291" max="1291" width="7.375" style="45" customWidth="1"/>
    <col min="1292" max="1292" width="9" style="45"/>
    <col min="1293" max="1293" width="9.25" style="45" customWidth="1"/>
    <col min="1294" max="1294" width="3.5" style="45" customWidth="1"/>
    <col min="1295" max="1296" width="12.625" style="45" customWidth="1"/>
    <col min="1297" max="1297" width="9" style="45"/>
    <col min="1298" max="1298" width="7.75" style="45" customWidth="1"/>
    <col min="1299" max="1299" width="13.125" style="45" customWidth="1"/>
    <col min="1300" max="1300" width="6.125" style="45" customWidth="1"/>
    <col min="1301" max="1301" width="9.75" style="45" customWidth="1"/>
    <col min="1302" max="1302" width="1.375" style="45" customWidth="1"/>
    <col min="1303" max="1542" width="9" style="45"/>
    <col min="1543" max="1543" width="1.375" style="45" customWidth="1"/>
    <col min="1544" max="1544" width="3.5" style="45" customWidth="1"/>
    <col min="1545" max="1545" width="22.125" style="45" customWidth="1"/>
    <col min="1546" max="1546" width="9.75" style="45" customWidth="1"/>
    <col min="1547" max="1547" width="7.375" style="45" customWidth="1"/>
    <col min="1548" max="1548" width="9" style="45"/>
    <col min="1549" max="1549" width="9.25" style="45" customWidth="1"/>
    <col min="1550" max="1550" width="3.5" style="45" customWidth="1"/>
    <col min="1551" max="1552" width="12.625" style="45" customWidth="1"/>
    <col min="1553" max="1553" width="9" style="45"/>
    <col min="1554" max="1554" width="7.75" style="45" customWidth="1"/>
    <col min="1555" max="1555" width="13.125" style="45" customWidth="1"/>
    <col min="1556" max="1556" width="6.125" style="45" customWidth="1"/>
    <col min="1557" max="1557" width="9.75" style="45" customWidth="1"/>
    <col min="1558" max="1558" width="1.375" style="45" customWidth="1"/>
    <col min="1559" max="1798" width="9" style="45"/>
    <col min="1799" max="1799" width="1.375" style="45" customWidth="1"/>
    <col min="1800" max="1800" width="3.5" style="45" customWidth="1"/>
    <col min="1801" max="1801" width="22.125" style="45" customWidth="1"/>
    <col min="1802" max="1802" width="9.75" style="45" customWidth="1"/>
    <col min="1803" max="1803" width="7.375" style="45" customWidth="1"/>
    <col min="1804" max="1804" width="9" style="45"/>
    <col min="1805" max="1805" width="9.25" style="45" customWidth="1"/>
    <col min="1806" max="1806" width="3.5" style="45" customWidth="1"/>
    <col min="1807" max="1808" width="12.625" style="45" customWidth="1"/>
    <col min="1809" max="1809" width="9" style="45"/>
    <col min="1810" max="1810" width="7.75" style="45" customWidth="1"/>
    <col min="1811" max="1811" width="13.125" style="45" customWidth="1"/>
    <col min="1812" max="1812" width="6.125" style="45" customWidth="1"/>
    <col min="1813" max="1813" width="9.75" style="45" customWidth="1"/>
    <col min="1814" max="1814" width="1.375" style="45" customWidth="1"/>
    <col min="1815" max="2054" width="9" style="45"/>
    <col min="2055" max="2055" width="1.375" style="45" customWidth="1"/>
    <col min="2056" max="2056" width="3.5" style="45" customWidth="1"/>
    <col min="2057" max="2057" width="22.125" style="45" customWidth="1"/>
    <col min="2058" max="2058" width="9.75" style="45" customWidth="1"/>
    <col min="2059" max="2059" width="7.375" style="45" customWidth="1"/>
    <col min="2060" max="2060" width="9" style="45"/>
    <col min="2061" max="2061" width="9.25" style="45" customWidth="1"/>
    <col min="2062" max="2062" width="3.5" style="45" customWidth="1"/>
    <col min="2063" max="2064" width="12.625" style="45" customWidth="1"/>
    <col min="2065" max="2065" width="9" style="45"/>
    <col min="2066" max="2066" width="7.75" style="45" customWidth="1"/>
    <col min="2067" max="2067" width="13.125" style="45" customWidth="1"/>
    <col min="2068" max="2068" width="6.125" style="45" customWidth="1"/>
    <col min="2069" max="2069" width="9.75" style="45" customWidth="1"/>
    <col min="2070" max="2070" width="1.375" style="45" customWidth="1"/>
    <col min="2071" max="2310" width="9" style="45"/>
    <col min="2311" max="2311" width="1.375" style="45" customWidth="1"/>
    <col min="2312" max="2312" width="3.5" style="45" customWidth="1"/>
    <col min="2313" max="2313" width="22.125" style="45" customWidth="1"/>
    <col min="2314" max="2314" width="9.75" style="45" customWidth="1"/>
    <col min="2315" max="2315" width="7.375" style="45" customWidth="1"/>
    <col min="2316" max="2316" width="9" style="45"/>
    <col min="2317" max="2317" width="9.25" style="45" customWidth="1"/>
    <col min="2318" max="2318" width="3.5" style="45" customWidth="1"/>
    <col min="2319" max="2320" width="12.625" style="45" customWidth="1"/>
    <col min="2321" max="2321" width="9" style="45"/>
    <col min="2322" max="2322" width="7.75" style="45" customWidth="1"/>
    <col min="2323" max="2323" width="13.125" style="45" customWidth="1"/>
    <col min="2324" max="2324" width="6.125" style="45" customWidth="1"/>
    <col min="2325" max="2325" width="9.75" style="45" customWidth="1"/>
    <col min="2326" max="2326" width="1.375" style="45" customWidth="1"/>
    <col min="2327" max="2566" width="9" style="45"/>
    <col min="2567" max="2567" width="1.375" style="45" customWidth="1"/>
    <col min="2568" max="2568" width="3.5" style="45" customWidth="1"/>
    <col min="2569" max="2569" width="22.125" style="45" customWidth="1"/>
    <col min="2570" max="2570" width="9.75" style="45" customWidth="1"/>
    <col min="2571" max="2571" width="7.375" style="45" customWidth="1"/>
    <col min="2572" max="2572" width="9" style="45"/>
    <col min="2573" max="2573" width="9.25" style="45" customWidth="1"/>
    <col min="2574" max="2574" width="3.5" style="45" customWidth="1"/>
    <col min="2575" max="2576" width="12.625" style="45" customWidth="1"/>
    <col min="2577" max="2577" width="9" style="45"/>
    <col min="2578" max="2578" width="7.75" style="45" customWidth="1"/>
    <col min="2579" max="2579" width="13.125" style="45" customWidth="1"/>
    <col min="2580" max="2580" width="6.125" style="45" customWidth="1"/>
    <col min="2581" max="2581" width="9.75" style="45" customWidth="1"/>
    <col min="2582" max="2582" width="1.375" style="45" customWidth="1"/>
    <col min="2583" max="2822" width="9" style="45"/>
    <col min="2823" max="2823" width="1.375" style="45" customWidth="1"/>
    <col min="2824" max="2824" width="3.5" style="45" customWidth="1"/>
    <col min="2825" max="2825" width="22.125" style="45" customWidth="1"/>
    <col min="2826" max="2826" width="9.75" style="45" customWidth="1"/>
    <col min="2827" max="2827" width="7.375" style="45" customWidth="1"/>
    <col min="2828" max="2828" width="9" style="45"/>
    <col min="2829" max="2829" width="9.25" style="45" customWidth="1"/>
    <col min="2830" max="2830" width="3.5" style="45" customWidth="1"/>
    <col min="2831" max="2832" width="12.625" style="45" customWidth="1"/>
    <col min="2833" max="2833" width="9" style="45"/>
    <col min="2834" max="2834" width="7.75" style="45" customWidth="1"/>
    <col min="2835" max="2835" width="13.125" style="45" customWidth="1"/>
    <col min="2836" max="2836" width="6.125" style="45" customWidth="1"/>
    <col min="2837" max="2837" width="9.75" style="45" customWidth="1"/>
    <col min="2838" max="2838" width="1.375" style="45" customWidth="1"/>
    <col min="2839" max="3078" width="9" style="45"/>
    <col min="3079" max="3079" width="1.375" style="45" customWidth="1"/>
    <col min="3080" max="3080" width="3.5" style="45" customWidth="1"/>
    <col min="3081" max="3081" width="22.125" style="45" customWidth="1"/>
    <col min="3082" max="3082" width="9.75" style="45" customWidth="1"/>
    <col min="3083" max="3083" width="7.375" style="45" customWidth="1"/>
    <col min="3084" max="3084" width="9" style="45"/>
    <col min="3085" max="3085" width="9.25" style="45" customWidth="1"/>
    <col min="3086" max="3086" width="3.5" style="45" customWidth="1"/>
    <col min="3087" max="3088" width="12.625" style="45" customWidth="1"/>
    <col min="3089" max="3089" width="9" style="45"/>
    <col min="3090" max="3090" width="7.75" style="45" customWidth="1"/>
    <col min="3091" max="3091" width="13.125" style="45" customWidth="1"/>
    <col min="3092" max="3092" width="6.125" style="45" customWidth="1"/>
    <col min="3093" max="3093" width="9.75" style="45" customWidth="1"/>
    <col min="3094" max="3094" width="1.375" style="45" customWidth="1"/>
    <col min="3095" max="3334" width="9" style="45"/>
    <col min="3335" max="3335" width="1.375" style="45" customWidth="1"/>
    <col min="3336" max="3336" width="3.5" style="45" customWidth="1"/>
    <col min="3337" max="3337" width="22.125" style="45" customWidth="1"/>
    <col min="3338" max="3338" width="9.75" style="45" customWidth="1"/>
    <col min="3339" max="3339" width="7.375" style="45" customWidth="1"/>
    <col min="3340" max="3340" width="9" style="45"/>
    <col min="3341" max="3341" width="9.25" style="45" customWidth="1"/>
    <col min="3342" max="3342" width="3.5" style="45" customWidth="1"/>
    <col min="3343" max="3344" width="12.625" style="45" customWidth="1"/>
    <col min="3345" max="3345" width="9" style="45"/>
    <col min="3346" max="3346" width="7.75" style="45" customWidth="1"/>
    <col min="3347" max="3347" width="13.125" style="45" customWidth="1"/>
    <col min="3348" max="3348" width="6.125" style="45" customWidth="1"/>
    <col min="3349" max="3349" width="9.75" style="45" customWidth="1"/>
    <col min="3350" max="3350" width="1.375" style="45" customWidth="1"/>
    <col min="3351" max="3590" width="9" style="45"/>
    <col min="3591" max="3591" width="1.375" style="45" customWidth="1"/>
    <col min="3592" max="3592" width="3.5" style="45" customWidth="1"/>
    <col min="3593" max="3593" width="22.125" style="45" customWidth="1"/>
    <col min="3594" max="3594" width="9.75" style="45" customWidth="1"/>
    <col min="3595" max="3595" width="7.375" style="45" customWidth="1"/>
    <col min="3596" max="3596" width="9" style="45"/>
    <col min="3597" max="3597" width="9.25" style="45" customWidth="1"/>
    <col min="3598" max="3598" width="3.5" style="45" customWidth="1"/>
    <col min="3599" max="3600" width="12.625" style="45" customWidth="1"/>
    <col min="3601" max="3601" width="9" style="45"/>
    <col min="3602" max="3602" width="7.75" style="45" customWidth="1"/>
    <col min="3603" max="3603" width="13.125" style="45" customWidth="1"/>
    <col min="3604" max="3604" width="6.125" style="45" customWidth="1"/>
    <col min="3605" max="3605" width="9.75" style="45" customWidth="1"/>
    <col min="3606" max="3606" width="1.375" style="45" customWidth="1"/>
    <col min="3607" max="3846" width="9" style="45"/>
    <col min="3847" max="3847" width="1.375" style="45" customWidth="1"/>
    <col min="3848" max="3848" width="3.5" style="45" customWidth="1"/>
    <col min="3849" max="3849" width="22.125" style="45" customWidth="1"/>
    <col min="3850" max="3850" width="9.75" style="45" customWidth="1"/>
    <col min="3851" max="3851" width="7.375" style="45" customWidth="1"/>
    <col min="3852" max="3852" width="9" style="45"/>
    <col min="3853" max="3853" width="9.25" style="45" customWidth="1"/>
    <col min="3854" max="3854" width="3.5" style="45" customWidth="1"/>
    <col min="3855" max="3856" width="12.625" style="45" customWidth="1"/>
    <col min="3857" max="3857" width="9" style="45"/>
    <col min="3858" max="3858" width="7.75" style="45" customWidth="1"/>
    <col min="3859" max="3859" width="13.125" style="45" customWidth="1"/>
    <col min="3860" max="3860" width="6.125" style="45" customWidth="1"/>
    <col min="3861" max="3861" width="9.75" style="45" customWidth="1"/>
    <col min="3862" max="3862" width="1.375" style="45" customWidth="1"/>
    <col min="3863" max="4102" width="9" style="45"/>
    <col min="4103" max="4103" width="1.375" style="45" customWidth="1"/>
    <col min="4104" max="4104" width="3.5" style="45" customWidth="1"/>
    <col min="4105" max="4105" width="22.125" style="45" customWidth="1"/>
    <col min="4106" max="4106" width="9.75" style="45" customWidth="1"/>
    <col min="4107" max="4107" width="7.375" style="45" customWidth="1"/>
    <col min="4108" max="4108" width="9" style="45"/>
    <col min="4109" max="4109" width="9.25" style="45" customWidth="1"/>
    <col min="4110" max="4110" width="3.5" style="45" customWidth="1"/>
    <col min="4111" max="4112" width="12.625" style="45" customWidth="1"/>
    <col min="4113" max="4113" width="9" style="45"/>
    <col min="4114" max="4114" width="7.75" style="45" customWidth="1"/>
    <col min="4115" max="4115" width="13.125" style="45" customWidth="1"/>
    <col min="4116" max="4116" width="6.125" style="45" customWidth="1"/>
    <col min="4117" max="4117" width="9.75" style="45" customWidth="1"/>
    <col min="4118" max="4118" width="1.375" style="45" customWidth="1"/>
    <col min="4119" max="4358" width="9" style="45"/>
    <col min="4359" max="4359" width="1.375" style="45" customWidth="1"/>
    <col min="4360" max="4360" width="3.5" style="45" customWidth="1"/>
    <col min="4361" max="4361" width="22.125" style="45" customWidth="1"/>
    <col min="4362" max="4362" width="9.75" style="45" customWidth="1"/>
    <col min="4363" max="4363" width="7.375" style="45" customWidth="1"/>
    <col min="4364" max="4364" width="9" style="45"/>
    <col min="4365" max="4365" width="9.25" style="45" customWidth="1"/>
    <col min="4366" max="4366" width="3.5" style="45" customWidth="1"/>
    <col min="4367" max="4368" width="12.625" style="45" customWidth="1"/>
    <col min="4369" max="4369" width="9" style="45"/>
    <col min="4370" max="4370" width="7.75" style="45" customWidth="1"/>
    <col min="4371" max="4371" width="13.125" style="45" customWidth="1"/>
    <col min="4372" max="4372" width="6.125" style="45" customWidth="1"/>
    <col min="4373" max="4373" width="9.75" style="45" customWidth="1"/>
    <col min="4374" max="4374" width="1.375" style="45" customWidth="1"/>
    <col min="4375" max="4614" width="9" style="45"/>
    <col min="4615" max="4615" width="1.375" style="45" customWidth="1"/>
    <col min="4616" max="4616" width="3.5" style="45" customWidth="1"/>
    <col min="4617" max="4617" width="22.125" style="45" customWidth="1"/>
    <col min="4618" max="4618" width="9.75" style="45" customWidth="1"/>
    <col min="4619" max="4619" width="7.375" style="45" customWidth="1"/>
    <col min="4620" max="4620" width="9" style="45"/>
    <col min="4621" max="4621" width="9.25" style="45" customWidth="1"/>
    <col min="4622" max="4622" width="3.5" style="45" customWidth="1"/>
    <col min="4623" max="4624" width="12.625" style="45" customWidth="1"/>
    <col min="4625" max="4625" width="9" style="45"/>
    <col min="4626" max="4626" width="7.75" style="45" customWidth="1"/>
    <col min="4627" max="4627" width="13.125" style="45" customWidth="1"/>
    <col min="4628" max="4628" width="6.125" style="45" customWidth="1"/>
    <col min="4629" max="4629" width="9.75" style="45" customWidth="1"/>
    <col min="4630" max="4630" width="1.375" style="45" customWidth="1"/>
    <col min="4631" max="4870" width="9" style="45"/>
    <col min="4871" max="4871" width="1.375" style="45" customWidth="1"/>
    <col min="4872" max="4872" width="3.5" style="45" customWidth="1"/>
    <col min="4873" max="4873" width="22.125" style="45" customWidth="1"/>
    <col min="4874" max="4874" width="9.75" style="45" customWidth="1"/>
    <col min="4875" max="4875" width="7.375" style="45" customWidth="1"/>
    <col min="4876" max="4876" width="9" style="45"/>
    <col min="4877" max="4877" width="9.25" style="45" customWidth="1"/>
    <col min="4878" max="4878" width="3.5" style="45" customWidth="1"/>
    <col min="4879" max="4880" width="12.625" style="45" customWidth="1"/>
    <col min="4881" max="4881" width="9" style="45"/>
    <col min="4882" max="4882" width="7.75" style="45" customWidth="1"/>
    <col min="4883" max="4883" width="13.125" style="45" customWidth="1"/>
    <col min="4884" max="4884" width="6.125" style="45" customWidth="1"/>
    <col min="4885" max="4885" width="9.75" style="45" customWidth="1"/>
    <col min="4886" max="4886" width="1.375" style="45" customWidth="1"/>
    <col min="4887" max="5126" width="9" style="45"/>
    <col min="5127" max="5127" width="1.375" style="45" customWidth="1"/>
    <col min="5128" max="5128" width="3.5" style="45" customWidth="1"/>
    <col min="5129" max="5129" width="22.125" style="45" customWidth="1"/>
    <col min="5130" max="5130" width="9.75" style="45" customWidth="1"/>
    <col min="5131" max="5131" width="7.375" style="45" customWidth="1"/>
    <col min="5132" max="5132" width="9" style="45"/>
    <col min="5133" max="5133" width="9.25" style="45" customWidth="1"/>
    <col min="5134" max="5134" width="3.5" style="45" customWidth="1"/>
    <col min="5135" max="5136" width="12.625" style="45" customWidth="1"/>
    <col min="5137" max="5137" width="9" style="45"/>
    <col min="5138" max="5138" width="7.75" style="45" customWidth="1"/>
    <col min="5139" max="5139" width="13.125" style="45" customWidth="1"/>
    <col min="5140" max="5140" width="6.125" style="45" customWidth="1"/>
    <col min="5141" max="5141" width="9.75" style="45" customWidth="1"/>
    <col min="5142" max="5142" width="1.375" style="45" customWidth="1"/>
    <col min="5143" max="5382" width="9" style="45"/>
    <col min="5383" max="5383" width="1.375" style="45" customWidth="1"/>
    <col min="5384" max="5384" width="3.5" style="45" customWidth="1"/>
    <col min="5385" max="5385" width="22.125" style="45" customWidth="1"/>
    <col min="5386" max="5386" width="9.75" style="45" customWidth="1"/>
    <col min="5387" max="5387" width="7.375" style="45" customWidth="1"/>
    <col min="5388" max="5388" width="9" style="45"/>
    <col min="5389" max="5389" width="9.25" style="45" customWidth="1"/>
    <col min="5390" max="5390" width="3.5" style="45" customWidth="1"/>
    <col min="5391" max="5392" width="12.625" style="45" customWidth="1"/>
    <col min="5393" max="5393" width="9" style="45"/>
    <col min="5394" max="5394" width="7.75" style="45" customWidth="1"/>
    <col min="5395" max="5395" width="13.125" style="45" customWidth="1"/>
    <col min="5396" max="5396" width="6.125" style="45" customWidth="1"/>
    <col min="5397" max="5397" width="9.75" style="45" customWidth="1"/>
    <col min="5398" max="5398" width="1.375" style="45" customWidth="1"/>
    <col min="5399" max="5638" width="9" style="45"/>
    <col min="5639" max="5639" width="1.375" style="45" customWidth="1"/>
    <col min="5640" max="5640" width="3.5" style="45" customWidth="1"/>
    <col min="5641" max="5641" width="22.125" style="45" customWidth="1"/>
    <col min="5642" max="5642" width="9.75" style="45" customWidth="1"/>
    <col min="5643" max="5643" width="7.375" style="45" customWidth="1"/>
    <col min="5644" max="5644" width="9" style="45"/>
    <col min="5645" max="5645" width="9.25" style="45" customWidth="1"/>
    <col min="5646" max="5646" width="3.5" style="45" customWidth="1"/>
    <col min="5647" max="5648" width="12.625" style="45" customWidth="1"/>
    <col min="5649" max="5649" width="9" style="45"/>
    <col min="5650" max="5650" width="7.75" style="45" customWidth="1"/>
    <col min="5651" max="5651" width="13.125" style="45" customWidth="1"/>
    <col min="5652" max="5652" width="6.125" style="45" customWidth="1"/>
    <col min="5653" max="5653" width="9.75" style="45" customWidth="1"/>
    <col min="5654" max="5654" width="1.375" style="45" customWidth="1"/>
    <col min="5655" max="5894" width="9" style="45"/>
    <col min="5895" max="5895" width="1.375" style="45" customWidth="1"/>
    <col min="5896" max="5896" width="3.5" style="45" customWidth="1"/>
    <col min="5897" max="5897" width="22.125" style="45" customWidth="1"/>
    <col min="5898" max="5898" width="9.75" style="45" customWidth="1"/>
    <col min="5899" max="5899" width="7.375" style="45" customWidth="1"/>
    <col min="5900" max="5900" width="9" style="45"/>
    <col min="5901" max="5901" width="9.25" style="45" customWidth="1"/>
    <col min="5902" max="5902" width="3.5" style="45" customWidth="1"/>
    <col min="5903" max="5904" width="12.625" style="45" customWidth="1"/>
    <col min="5905" max="5905" width="9" style="45"/>
    <col min="5906" max="5906" width="7.75" style="45" customWidth="1"/>
    <col min="5907" max="5907" width="13.125" style="45" customWidth="1"/>
    <col min="5908" max="5908" width="6.125" style="45" customWidth="1"/>
    <col min="5909" max="5909" width="9.75" style="45" customWidth="1"/>
    <col min="5910" max="5910" width="1.375" style="45" customWidth="1"/>
    <col min="5911" max="6150" width="9" style="45"/>
    <col min="6151" max="6151" width="1.375" style="45" customWidth="1"/>
    <col min="6152" max="6152" width="3.5" style="45" customWidth="1"/>
    <col min="6153" max="6153" width="22.125" style="45" customWidth="1"/>
    <col min="6154" max="6154" width="9.75" style="45" customWidth="1"/>
    <col min="6155" max="6155" width="7.375" style="45" customWidth="1"/>
    <col min="6156" max="6156" width="9" style="45"/>
    <col min="6157" max="6157" width="9.25" style="45" customWidth="1"/>
    <col min="6158" max="6158" width="3.5" style="45" customWidth="1"/>
    <col min="6159" max="6160" width="12.625" style="45" customWidth="1"/>
    <col min="6161" max="6161" width="9" style="45"/>
    <col min="6162" max="6162" width="7.75" style="45" customWidth="1"/>
    <col min="6163" max="6163" width="13.125" style="45" customWidth="1"/>
    <col min="6164" max="6164" width="6.125" style="45" customWidth="1"/>
    <col min="6165" max="6165" width="9.75" style="45" customWidth="1"/>
    <col min="6166" max="6166" width="1.375" style="45" customWidth="1"/>
    <col min="6167" max="6406" width="9" style="45"/>
    <col min="6407" max="6407" width="1.375" style="45" customWidth="1"/>
    <col min="6408" max="6408" width="3.5" style="45" customWidth="1"/>
    <col min="6409" max="6409" width="22.125" style="45" customWidth="1"/>
    <col min="6410" max="6410" width="9.75" style="45" customWidth="1"/>
    <col min="6411" max="6411" width="7.375" style="45" customWidth="1"/>
    <col min="6412" max="6412" width="9" style="45"/>
    <col min="6413" max="6413" width="9.25" style="45" customWidth="1"/>
    <col min="6414" max="6414" width="3.5" style="45" customWidth="1"/>
    <col min="6415" max="6416" width="12.625" style="45" customWidth="1"/>
    <col min="6417" max="6417" width="9" style="45"/>
    <col min="6418" max="6418" width="7.75" style="45" customWidth="1"/>
    <col min="6419" max="6419" width="13.125" style="45" customWidth="1"/>
    <col min="6420" max="6420" width="6.125" style="45" customWidth="1"/>
    <col min="6421" max="6421" width="9.75" style="45" customWidth="1"/>
    <col min="6422" max="6422" width="1.375" style="45" customWidth="1"/>
    <col min="6423" max="6662" width="9" style="45"/>
    <col min="6663" max="6663" width="1.375" style="45" customWidth="1"/>
    <col min="6664" max="6664" width="3.5" style="45" customWidth="1"/>
    <col min="6665" max="6665" width="22.125" style="45" customWidth="1"/>
    <col min="6666" max="6666" width="9.75" style="45" customWidth="1"/>
    <col min="6667" max="6667" width="7.375" style="45" customWidth="1"/>
    <col min="6668" max="6668" width="9" style="45"/>
    <col min="6669" max="6669" width="9.25" style="45" customWidth="1"/>
    <col min="6670" max="6670" width="3.5" style="45" customWidth="1"/>
    <col min="6671" max="6672" width="12.625" style="45" customWidth="1"/>
    <col min="6673" max="6673" width="9" style="45"/>
    <col min="6674" max="6674" width="7.75" style="45" customWidth="1"/>
    <col min="6675" max="6675" width="13.125" style="45" customWidth="1"/>
    <col min="6676" max="6676" width="6.125" style="45" customWidth="1"/>
    <col min="6677" max="6677" width="9.75" style="45" customWidth="1"/>
    <col min="6678" max="6678" width="1.375" style="45" customWidth="1"/>
    <col min="6679" max="6918" width="9" style="45"/>
    <col min="6919" max="6919" width="1.375" style="45" customWidth="1"/>
    <col min="6920" max="6920" width="3.5" style="45" customWidth="1"/>
    <col min="6921" max="6921" width="22.125" style="45" customWidth="1"/>
    <col min="6922" max="6922" width="9.75" style="45" customWidth="1"/>
    <col min="6923" max="6923" width="7.375" style="45" customWidth="1"/>
    <col min="6924" max="6924" width="9" style="45"/>
    <col min="6925" max="6925" width="9.25" style="45" customWidth="1"/>
    <col min="6926" max="6926" width="3.5" style="45" customWidth="1"/>
    <col min="6927" max="6928" width="12.625" style="45" customWidth="1"/>
    <col min="6929" max="6929" width="9" style="45"/>
    <col min="6930" max="6930" width="7.75" style="45" customWidth="1"/>
    <col min="6931" max="6931" width="13.125" style="45" customWidth="1"/>
    <col min="6932" max="6932" width="6.125" style="45" customWidth="1"/>
    <col min="6933" max="6933" width="9.75" style="45" customWidth="1"/>
    <col min="6934" max="6934" width="1.375" style="45" customWidth="1"/>
    <col min="6935" max="7174" width="9" style="45"/>
    <col min="7175" max="7175" width="1.375" style="45" customWidth="1"/>
    <col min="7176" max="7176" width="3.5" style="45" customWidth="1"/>
    <col min="7177" max="7177" width="22.125" style="45" customWidth="1"/>
    <col min="7178" max="7178" width="9.75" style="45" customWidth="1"/>
    <col min="7179" max="7179" width="7.375" style="45" customWidth="1"/>
    <col min="7180" max="7180" width="9" style="45"/>
    <col min="7181" max="7181" width="9.25" style="45" customWidth="1"/>
    <col min="7182" max="7182" width="3.5" style="45" customWidth="1"/>
    <col min="7183" max="7184" width="12.625" style="45" customWidth="1"/>
    <col min="7185" max="7185" width="9" style="45"/>
    <col min="7186" max="7186" width="7.75" style="45" customWidth="1"/>
    <col min="7187" max="7187" width="13.125" style="45" customWidth="1"/>
    <col min="7188" max="7188" width="6.125" style="45" customWidth="1"/>
    <col min="7189" max="7189" width="9.75" style="45" customWidth="1"/>
    <col min="7190" max="7190" width="1.375" style="45" customWidth="1"/>
    <col min="7191" max="7430" width="9" style="45"/>
    <col min="7431" max="7431" width="1.375" style="45" customWidth="1"/>
    <col min="7432" max="7432" width="3.5" style="45" customWidth="1"/>
    <col min="7433" max="7433" width="22.125" style="45" customWidth="1"/>
    <col min="7434" max="7434" width="9.75" style="45" customWidth="1"/>
    <col min="7435" max="7435" width="7.375" style="45" customWidth="1"/>
    <col min="7436" max="7436" width="9" style="45"/>
    <col min="7437" max="7437" width="9.25" style="45" customWidth="1"/>
    <col min="7438" max="7438" width="3.5" style="45" customWidth="1"/>
    <col min="7439" max="7440" width="12.625" style="45" customWidth="1"/>
    <col min="7441" max="7441" width="9" style="45"/>
    <col min="7442" max="7442" width="7.75" style="45" customWidth="1"/>
    <col min="7443" max="7443" width="13.125" style="45" customWidth="1"/>
    <col min="7444" max="7444" width="6.125" style="45" customWidth="1"/>
    <col min="7445" max="7445" width="9.75" style="45" customWidth="1"/>
    <col min="7446" max="7446" width="1.375" style="45" customWidth="1"/>
    <col min="7447" max="7686" width="9" style="45"/>
    <col min="7687" max="7687" width="1.375" style="45" customWidth="1"/>
    <col min="7688" max="7688" width="3.5" style="45" customWidth="1"/>
    <col min="7689" max="7689" width="22.125" style="45" customWidth="1"/>
    <col min="7690" max="7690" width="9.75" style="45" customWidth="1"/>
    <col min="7691" max="7691" width="7.375" style="45" customWidth="1"/>
    <col min="7692" max="7692" width="9" style="45"/>
    <col min="7693" max="7693" width="9.25" style="45" customWidth="1"/>
    <col min="7694" max="7694" width="3.5" style="45" customWidth="1"/>
    <col min="7695" max="7696" width="12.625" style="45" customWidth="1"/>
    <col min="7697" max="7697" width="9" style="45"/>
    <col min="7698" max="7698" width="7.75" style="45" customWidth="1"/>
    <col min="7699" max="7699" width="13.125" style="45" customWidth="1"/>
    <col min="7700" max="7700" width="6.125" style="45" customWidth="1"/>
    <col min="7701" max="7701" width="9.75" style="45" customWidth="1"/>
    <col min="7702" max="7702" width="1.375" style="45" customWidth="1"/>
    <col min="7703" max="7942" width="9" style="45"/>
    <col min="7943" max="7943" width="1.375" style="45" customWidth="1"/>
    <col min="7944" max="7944" width="3.5" style="45" customWidth="1"/>
    <col min="7945" max="7945" width="22.125" style="45" customWidth="1"/>
    <col min="7946" max="7946" width="9.75" style="45" customWidth="1"/>
    <col min="7947" max="7947" width="7.375" style="45" customWidth="1"/>
    <col min="7948" max="7948" width="9" style="45"/>
    <col min="7949" max="7949" width="9.25" style="45" customWidth="1"/>
    <col min="7950" max="7950" width="3.5" style="45" customWidth="1"/>
    <col min="7951" max="7952" width="12.625" style="45" customWidth="1"/>
    <col min="7953" max="7953" width="9" style="45"/>
    <col min="7954" max="7954" width="7.75" style="45" customWidth="1"/>
    <col min="7955" max="7955" width="13.125" style="45" customWidth="1"/>
    <col min="7956" max="7956" width="6.125" style="45" customWidth="1"/>
    <col min="7957" max="7957" width="9.75" style="45" customWidth="1"/>
    <col min="7958" max="7958" width="1.375" style="45" customWidth="1"/>
    <col min="7959" max="8198" width="9" style="45"/>
    <col min="8199" max="8199" width="1.375" style="45" customWidth="1"/>
    <col min="8200" max="8200" width="3.5" style="45" customWidth="1"/>
    <col min="8201" max="8201" width="22.125" style="45" customWidth="1"/>
    <col min="8202" max="8202" width="9.75" style="45" customWidth="1"/>
    <col min="8203" max="8203" width="7.375" style="45" customWidth="1"/>
    <col min="8204" max="8204" width="9" style="45"/>
    <col min="8205" max="8205" width="9.25" style="45" customWidth="1"/>
    <col min="8206" max="8206" width="3.5" style="45" customWidth="1"/>
    <col min="8207" max="8208" width="12.625" style="45" customWidth="1"/>
    <col min="8209" max="8209" width="9" style="45"/>
    <col min="8210" max="8210" width="7.75" style="45" customWidth="1"/>
    <col min="8211" max="8211" width="13.125" style="45" customWidth="1"/>
    <col min="8212" max="8212" width="6.125" style="45" customWidth="1"/>
    <col min="8213" max="8213" width="9.75" style="45" customWidth="1"/>
    <col min="8214" max="8214" width="1.375" style="45" customWidth="1"/>
    <col min="8215" max="8454" width="9" style="45"/>
    <col min="8455" max="8455" width="1.375" style="45" customWidth="1"/>
    <col min="8456" max="8456" width="3.5" style="45" customWidth="1"/>
    <col min="8457" max="8457" width="22.125" style="45" customWidth="1"/>
    <col min="8458" max="8458" width="9.75" style="45" customWidth="1"/>
    <col min="8459" max="8459" width="7.375" style="45" customWidth="1"/>
    <col min="8460" max="8460" width="9" style="45"/>
    <col min="8461" max="8461" width="9.25" style="45" customWidth="1"/>
    <col min="8462" max="8462" width="3.5" style="45" customWidth="1"/>
    <col min="8463" max="8464" width="12.625" style="45" customWidth="1"/>
    <col min="8465" max="8465" width="9" style="45"/>
    <col min="8466" max="8466" width="7.75" style="45" customWidth="1"/>
    <col min="8467" max="8467" width="13.125" style="45" customWidth="1"/>
    <col min="8468" max="8468" width="6.125" style="45" customWidth="1"/>
    <col min="8469" max="8469" width="9.75" style="45" customWidth="1"/>
    <col min="8470" max="8470" width="1.375" style="45" customWidth="1"/>
    <col min="8471" max="8710" width="9" style="45"/>
    <col min="8711" max="8711" width="1.375" style="45" customWidth="1"/>
    <col min="8712" max="8712" width="3.5" style="45" customWidth="1"/>
    <col min="8713" max="8713" width="22.125" style="45" customWidth="1"/>
    <col min="8714" max="8714" width="9.75" style="45" customWidth="1"/>
    <col min="8715" max="8715" width="7.375" style="45" customWidth="1"/>
    <col min="8716" max="8716" width="9" style="45"/>
    <col min="8717" max="8717" width="9.25" style="45" customWidth="1"/>
    <col min="8718" max="8718" width="3.5" style="45" customWidth="1"/>
    <col min="8719" max="8720" width="12.625" style="45" customWidth="1"/>
    <col min="8721" max="8721" width="9" style="45"/>
    <col min="8722" max="8722" width="7.75" style="45" customWidth="1"/>
    <col min="8723" max="8723" width="13.125" style="45" customWidth="1"/>
    <col min="8724" max="8724" width="6.125" style="45" customWidth="1"/>
    <col min="8725" max="8725" width="9.75" style="45" customWidth="1"/>
    <col min="8726" max="8726" width="1.375" style="45" customWidth="1"/>
    <col min="8727" max="8966" width="9" style="45"/>
    <col min="8967" max="8967" width="1.375" style="45" customWidth="1"/>
    <col min="8968" max="8968" width="3.5" style="45" customWidth="1"/>
    <col min="8969" max="8969" width="22.125" style="45" customWidth="1"/>
    <col min="8970" max="8970" width="9.75" style="45" customWidth="1"/>
    <col min="8971" max="8971" width="7.375" style="45" customWidth="1"/>
    <col min="8972" max="8972" width="9" style="45"/>
    <col min="8973" max="8973" width="9.25" style="45" customWidth="1"/>
    <col min="8974" max="8974" width="3.5" style="45" customWidth="1"/>
    <col min="8975" max="8976" width="12.625" style="45" customWidth="1"/>
    <col min="8977" max="8977" width="9" style="45"/>
    <col min="8978" max="8978" width="7.75" style="45" customWidth="1"/>
    <col min="8979" max="8979" width="13.125" style="45" customWidth="1"/>
    <col min="8980" max="8980" width="6.125" style="45" customWidth="1"/>
    <col min="8981" max="8981" width="9.75" style="45" customWidth="1"/>
    <col min="8982" max="8982" width="1.375" style="45" customWidth="1"/>
    <col min="8983" max="9222" width="9" style="45"/>
    <col min="9223" max="9223" width="1.375" style="45" customWidth="1"/>
    <col min="9224" max="9224" width="3.5" style="45" customWidth="1"/>
    <col min="9225" max="9225" width="22.125" style="45" customWidth="1"/>
    <col min="9226" max="9226" width="9.75" style="45" customWidth="1"/>
    <col min="9227" max="9227" width="7.375" style="45" customWidth="1"/>
    <col min="9228" max="9228" width="9" style="45"/>
    <col min="9229" max="9229" width="9.25" style="45" customWidth="1"/>
    <col min="9230" max="9230" width="3.5" style="45" customWidth="1"/>
    <col min="9231" max="9232" width="12.625" style="45" customWidth="1"/>
    <col min="9233" max="9233" width="9" style="45"/>
    <col min="9234" max="9234" width="7.75" style="45" customWidth="1"/>
    <col min="9235" max="9235" width="13.125" style="45" customWidth="1"/>
    <col min="9236" max="9236" width="6.125" style="45" customWidth="1"/>
    <col min="9237" max="9237" width="9.75" style="45" customWidth="1"/>
    <col min="9238" max="9238" width="1.375" style="45" customWidth="1"/>
    <col min="9239" max="9478" width="9" style="45"/>
    <col min="9479" max="9479" width="1.375" style="45" customWidth="1"/>
    <col min="9480" max="9480" width="3.5" style="45" customWidth="1"/>
    <col min="9481" max="9481" width="22.125" style="45" customWidth="1"/>
    <col min="9482" max="9482" width="9.75" style="45" customWidth="1"/>
    <col min="9483" max="9483" width="7.375" style="45" customWidth="1"/>
    <col min="9484" max="9484" width="9" style="45"/>
    <col min="9485" max="9485" width="9.25" style="45" customWidth="1"/>
    <col min="9486" max="9486" width="3.5" style="45" customWidth="1"/>
    <col min="9487" max="9488" width="12.625" style="45" customWidth="1"/>
    <col min="9489" max="9489" width="9" style="45"/>
    <col min="9490" max="9490" width="7.75" style="45" customWidth="1"/>
    <col min="9491" max="9491" width="13.125" style="45" customWidth="1"/>
    <col min="9492" max="9492" width="6.125" style="45" customWidth="1"/>
    <col min="9493" max="9493" width="9.75" style="45" customWidth="1"/>
    <col min="9494" max="9494" width="1.375" style="45" customWidth="1"/>
    <col min="9495" max="9734" width="9" style="45"/>
    <col min="9735" max="9735" width="1.375" style="45" customWidth="1"/>
    <col min="9736" max="9736" width="3.5" style="45" customWidth="1"/>
    <col min="9737" max="9737" width="22.125" style="45" customWidth="1"/>
    <col min="9738" max="9738" width="9.75" style="45" customWidth="1"/>
    <col min="9739" max="9739" width="7.375" style="45" customWidth="1"/>
    <col min="9740" max="9740" width="9" style="45"/>
    <col min="9741" max="9741" width="9.25" style="45" customWidth="1"/>
    <col min="9742" max="9742" width="3.5" style="45" customWidth="1"/>
    <col min="9743" max="9744" width="12.625" style="45" customWidth="1"/>
    <col min="9745" max="9745" width="9" style="45"/>
    <col min="9746" max="9746" width="7.75" style="45" customWidth="1"/>
    <col min="9747" max="9747" width="13.125" style="45" customWidth="1"/>
    <col min="9748" max="9748" width="6.125" style="45" customWidth="1"/>
    <col min="9749" max="9749" width="9.75" style="45" customWidth="1"/>
    <col min="9750" max="9750" width="1.375" style="45" customWidth="1"/>
    <col min="9751" max="9990" width="9" style="45"/>
    <col min="9991" max="9991" width="1.375" style="45" customWidth="1"/>
    <col min="9992" max="9992" width="3.5" style="45" customWidth="1"/>
    <col min="9993" max="9993" width="22.125" style="45" customWidth="1"/>
    <col min="9994" max="9994" width="9.75" style="45" customWidth="1"/>
    <col min="9995" max="9995" width="7.375" style="45" customWidth="1"/>
    <col min="9996" max="9996" width="9" style="45"/>
    <col min="9997" max="9997" width="9.25" style="45" customWidth="1"/>
    <col min="9998" max="9998" width="3.5" style="45" customWidth="1"/>
    <col min="9999" max="10000" width="12.625" style="45" customWidth="1"/>
    <col min="10001" max="10001" width="9" style="45"/>
    <col min="10002" max="10002" width="7.75" style="45" customWidth="1"/>
    <col min="10003" max="10003" width="13.125" style="45" customWidth="1"/>
    <col min="10004" max="10004" width="6.125" style="45" customWidth="1"/>
    <col min="10005" max="10005" width="9.75" style="45" customWidth="1"/>
    <col min="10006" max="10006" width="1.375" style="45" customWidth="1"/>
    <col min="10007" max="10246" width="9" style="45"/>
    <col min="10247" max="10247" width="1.375" style="45" customWidth="1"/>
    <col min="10248" max="10248" width="3.5" style="45" customWidth="1"/>
    <col min="10249" max="10249" width="22.125" style="45" customWidth="1"/>
    <col min="10250" max="10250" width="9.75" style="45" customWidth="1"/>
    <col min="10251" max="10251" width="7.375" style="45" customWidth="1"/>
    <col min="10252" max="10252" width="9" style="45"/>
    <col min="10253" max="10253" width="9.25" style="45" customWidth="1"/>
    <col min="10254" max="10254" width="3.5" style="45" customWidth="1"/>
    <col min="10255" max="10256" width="12.625" style="45" customWidth="1"/>
    <col min="10257" max="10257" width="9" style="45"/>
    <col min="10258" max="10258" width="7.75" style="45" customWidth="1"/>
    <col min="10259" max="10259" width="13.125" style="45" customWidth="1"/>
    <col min="10260" max="10260" width="6.125" style="45" customWidth="1"/>
    <col min="10261" max="10261" width="9.75" style="45" customWidth="1"/>
    <col min="10262" max="10262" width="1.375" style="45" customWidth="1"/>
    <col min="10263" max="10502" width="9" style="45"/>
    <col min="10503" max="10503" width="1.375" style="45" customWidth="1"/>
    <col min="10504" max="10504" width="3.5" style="45" customWidth="1"/>
    <col min="10505" max="10505" width="22.125" style="45" customWidth="1"/>
    <col min="10506" max="10506" width="9.75" style="45" customWidth="1"/>
    <col min="10507" max="10507" width="7.375" style="45" customWidth="1"/>
    <col min="10508" max="10508" width="9" style="45"/>
    <col min="10509" max="10509" width="9.25" style="45" customWidth="1"/>
    <col min="10510" max="10510" width="3.5" style="45" customWidth="1"/>
    <col min="10511" max="10512" width="12.625" style="45" customWidth="1"/>
    <col min="10513" max="10513" width="9" style="45"/>
    <col min="10514" max="10514" width="7.75" style="45" customWidth="1"/>
    <col min="10515" max="10515" width="13.125" style="45" customWidth="1"/>
    <col min="10516" max="10516" width="6.125" style="45" customWidth="1"/>
    <col min="10517" max="10517" width="9.75" style="45" customWidth="1"/>
    <col min="10518" max="10518" width="1.375" style="45" customWidth="1"/>
    <col min="10519" max="10758" width="9" style="45"/>
    <col min="10759" max="10759" width="1.375" style="45" customWidth="1"/>
    <col min="10760" max="10760" width="3.5" style="45" customWidth="1"/>
    <col min="10761" max="10761" width="22.125" style="45" customWidth="1"/>
    <col min="10762" max="10762" width="9.75" style="45" customWidth="1"/>
    <col min="10763" max="10763" width="7.375" style="45" customWidth="1"/>
    <col min="10764" max="10764" width="9" style="45"/>
    <col min="10765" max="10765" width="9.25" style="45" customWidth="1"/>
    <col min="10766" max="10766" width="3.5" style="45" customWidth="1"/>
    <col min="10767" max="10768" width="12.625" style="45" customWidth="1"/>
    <col min="10769" max="10769" width="9" style="45"/>
    <col min="10770" max="10770" width="7.75" style="45" customWidth="1"/>
    <col min="10771" max="10771" width="13.125" style="45" customWidth="1"/>
    <col min="10772" max="10772" width="6.125" style="45" customWidth="1"/>
    <col min="10773" max="10773" width="9.75" style="45" customWidth="1"/>
    <col min="10774" max="10774" width="1.375" style="45" customWidth="1"/>
    <col min="10775" max="11014" width="9" style="45"/>
    <col min="11015" max="11015" width="1.375" style="45" customWidth="1"/>
    <col min="11016" max="11016" width="3.5" style="45" customWidth="1"/>
    <col min="11017" max="11017" width="22.125" style="45" customWidth="1"/>
    <col min="11018" max="11018" width="9.75" style="45" customWidth="1"/>
    <col min="11019" max="11019" width="7.375" style="45" customWidth="1"/>
    <col min="11020" max="11020" width="9" style="45"/>
    <col min="11021" max="11021" width="9.25" style="45" customWidth="1"/>
    <col min="11022" max="11022" width="3.5" style="45" customWidth="1"/>
    <col min="11023" max="11024" width="12.625" style="45" customWidth="1"/>
    <col min="11025" max="11025" width="9" style="45"/>
    <col min="11026" max="11026" width="7.75" style="45" customWidth="1"/>
    <col min="11027" max="11027" width="13.125" style="45" customWidth="1"/>
    <col min="11028" max="11028" width="6.125" style="45" customWidth="1"/>
    <col min="11029" max="11029" width="9.75" style="45" customWidth="1"/>
    <col min="11030" max="11030" width="1.375" style="45" customWidth="1"/>
    <col min="11031" max="11270" width="9" style="45"/>
    <col min="11271" max="11271" width="1.375" style="45" customWidth="1"/>
    <col min="11272" max="11272" width="3.5" style="45" customWidth="1"/>
    <col min="11273" max="11273" width="22.125" style="45" customWidth="1"/>
    <col min="11274" max="11274" width="9.75" style="45" customWidth="1"/>
    <col min="11275" max="11275" width="7.375" style="45" customWidth="1"/>
    <col min="11276" max="11276" width="9" style="45"/>
    <col min="11277" max="11277" width="9.25" style="45" customWidth="1"/>
    <col min="11278" max="11278" width="3.5" style="45" customWidth="1"/>
    <col min="11279" max="11280" width="12.625" style="45" customWidth="1"/>
    <col min="11281" max="11281" width="9" style="45"/>
    <col min="11282" max="11282" width="7.75" style="45" customWidth="1"/>
    <col min="11283" max="11283" width="13.125" style="45" customWidth="1"/>
    <col min="11284" max="11284" width="6.125" style="45" customWidth="1"/>
    <col min="11285" max="11285" width="9.75" style="45" customWidth="1"/>
    <col min="11286" max="11286" width="1.375" style="45" customWidth="1"/>
    <col min="11287" max="11526" width="9" style="45"/>
    <col min="11527" max="11527" width="1.375" style="45" customWidth="1"/>
    <col min="11528" max="11528" width="3.5" style="45" customWidth="1"/>
    <col min="11529" max="11529" width="22.125" style="45" customWidth="1"/>
    <col min="11530" max="11530" width="9.75" style="45" customWidth="1"/>
    <col min="11531" max="11531" width="7.375" style="45" customWidth="1"/>
    <col min="11532" max="11532" width="9" style="45"/>
    <col min="11533" max="11533" width="9.25" style="45" customWidth="1"/>
    <col min="11534" max="11534" width="3.5" style="45" customWidth="1"/>
    <col min="11535" max="11536" width="12.625" style="45" customWidth="1"/>
    <col min="11537" max="11537" width="9" style="45"/>
    <col min="11538" max="11538" width="7.75" style="45" customWidth="1"/>
    <col min="11539" max="11539" width="13.125" style="45" customWidth="1"/>
    <col min="11540" max="11540" width="6.125" style="45" customWidth="1"/>
    <col min="11541" max="11541" width="9.75" style="45" customWidth="1"/>
    <col min="11542" max="11542" width="1.375" style="45" customWidth="1"/>
    <col min="11543" max="11782" width="9" style="45"/>
    <col min="11783" max="11783" width="1.375" style="45" customWidth="1"/>
    <col min="11784" max="11784" width="3.5" style="45" customWidth="1"/>
    <col min="11785" max="11785" width="22.125" style="45" customWidth="1"/>
    <col min="11786" max="11786" width="9.75" style="45" customWidth="1"/>
    <col min="11787" max="11787" width="7.375" style="45" customWidth="1"/>
    <col min="11788" max="11788" width="9" style="45"/>
    <col min="11789" max="11789" width="9.25" style="45" customWidth="1"/>
    <col min="11790" max="11790" width="3.5" style="45" customWidth="1"/>
    <col min="11791" max="11792" width="12.625" style="45" customWidth="1"/>
    <col min="11793" max="11793" width="9" style="45"/>
    <col min="11794" max="11794" width="7.75" style="45" customWidth="1"/>
    <col min="11795" max="11795" width="13.125" style="45" customWidth="1"/>
    <col min="11796" max="11796" width="6.125" style="45" customWidth="1"/>
    <col min="11797" max="11797" width="9.75" style="45" customWidth="1"/>
    <col min="11798" max="11798" width="1.375" style="45" customWidth="1"/>
    <col min="11799" max="12038" width="9" style="45"/>
    <col min="12039" max="12039" width="1.375" style="45" customWidth="1"/>
    <col min="12040" max="12040" width="3.5" style="45" customWidth="1"/>
    <col min="12041" max="12041" width="22.125" style="45" customWidth="1"/>
    <col min="12042" max="12042" width="9.75" style="45" customWidth="1"/>
    <col min="12043" max="12043" width="7.375" style="45" customWidth="1"/>
    <col min="12044" max="12044" width="9" style="45"/>
    <col min="12045" max="12045" width="9.25" style="45" customWidth="1"/>
    <col min="12046" max="12046" width="3.5" style="45" customWidth="1"/>
    <col min="12047" max="12048" width="12.625" style="45" customWidth="1"/>
    <col min="12049" max="12049" width="9" style="45"/>
    <col min="12050" max="12050" width="7.75" style="45" customWidth="1"/>
    <col min="12051" max="12051" width="13.125" style="45" customWidth="1"/>
    <col min="12052" max="12052" width="6.125" style="45" customWidth="1"/>
    <col min="12053" max="12053" width="9.75" style="45" customWidth="1"/>
    <col min="12054" max="12054" width="1.375" style="45" customWidth="1"/>
    <col min="12055" max="12294" width="9" style="45"/>
    <col min="12295" max="12295" width="1.375" style="45" customWidth="1"/>
    <col min="12296" max="12296" width="3.5" style="45" customWidth="1"/>
    <col min="12297" max="12297" width="22.125" style="45" customWidth="1"/>
    <col min="12298" max="12298" width="9.75" style="45" customWidth="1"/>
    <col min="12299" max="12299" width="7.375" style="45" customWidth="1"/>
    <col min="12300" max="12300" width="9" style="45"/>
    <col min="12301" max="12301" width="9.25" style="45" customWidth="1"/>
    <col min="12302" max="12302" width="3.5" style="45" customWidth="1"/>
    <col min="12303" max="12304" width="12.625" style="45" customWidth="1"/>
    <col min="12305" max="12305" width="9" style="45"/>
    <col min="12306" max="12306" width="7.75" style="45" customWidth="1"/>
    <col min="12307" max="12307" width="13.125" style="45" customWidth="1"/>
    <col min="12308" max="12308" width="6.125" style="45" customWidth="1"/>
    <col min="12309" max="12309" width="9.75" style="45" customWidth="1"/>
    <col min="12310" max="12310" width="1.375" style="45" customWidth="1"/>
    <col min="12311" max="12550" width="9" style="45"/>
    <col min="12551" max="12551" width="1.375" style="45" customWidth="1"/>
    <col min="12552" max="12552" width="3.5" style="45" customWidth="1"/>
    <col min="12553" max="12553" width="22.125" style="45" customWidth="1"/>
    <col min="12554" max="12554" width="9.75" style="45" customWidth="1"/>
    <col min="12555" max="12555" width="7.375" style="45" customWidth="1"/>
    <col min="12556" max="12556" width="9" style="45"/>
    <col min="12557" max="12557" width="9.25" style="45" customWidth="1"/>
    <col min="12558" max="12558" width="3.5" style="45" customWidth="1"/>
    <col min="12559" max="12560" width="12.625" style="45" customWidth="1"/>
    <col min="12561" max="12561" width="9" style="45"/>
    <col min="12562" max="12562" width="7.75" style="45" customWidth="1"/>
    <col min="12563" max="12563" width="13.125" style="45" customWidth="1"/>
    <col min="12564" max="12564" width="6.125" style="45" customWidth="1"/>
    <col min="12565" max="12565" width="9.75" style="45" customWidth="1"/>
    <col min="12566" max="12566" width="1.375" style="45" customWidth="1"/>
    <col min="12567" max="12806" width="9" style="45"/>
    <col min="12807" max="12807" width="1.375" style="45" customWidth="1"/>
    <col min="12808" max="12808" width="3.5" style="45" customWidth="1"/>
    <col min="12809" max="12809" width="22.125" style="45" customWidth="1"/>
    <col min="12810" max="12810" width="9.75" style="45" customWidth="1"/>
    <col min="12811" max="12811" width="7.375" style="45" customWidth="1"/>
    <col min="12812" max="12812" width="9" style="45"/>
    <col min="12813" max="12813" width="9.25" style="45" customWidth="1"/>
    <col min="12814" max="12814" width="3.5" style="45" customWidth="1"/>
    <col min="12815" max="12816" width="12.625" style="45" customWidth="1"/>
    <col min="12817" max="12817" width="9" style="45"/>
    <col min="12818" max="12818" width="7.75" style="45" customWidth="1"/>
    <col min="12819" max="12819" width="13.125" style="45" customWidth="1"/>
    <col min="12820" max="12820" width="6.125" style="45" customWidth="1"/>
    <col min="12821" max="12821" width="9.75" style="45" customWidth="1"/>
    <col min="12822" max="12822" width="1.375" style="45" customWidth="1"/>
    <col min="12823" max="13062" width="9" style="45"/>
    <col min="13063" max="13063" width="1.375" style="45" customWidth="1"/>
    <col min="13064" max="13064" width="3.5" style="45" customWidth="1"/>
    <col min="13065" max="13065" width="22.125" style="45" customWidth="1"/>
    <col min="13066" max="13066" width="9.75" style="45" customWidth="1"/>
    <col min="13067" max="13067" width="7.375" style="45" customWidth="1"/>
    <col min="13068" max="13068" width="9" style="45"/>
    <col min="13069" max="13069" width="9.25" style="45" customWidth="1"/>
    <col min="13070" max="13070" width="3.5" style="45" customWidth="1"/>
    <col min="13071" max="13072" width="12.625" style="45" customWidth="1"/>
    <col min="13073" max="13073" width="9" style="45"/>
    <col min="13074" max="13074" width="7.75" style="45" customWidth="1"/>
    <col min="13075" max="13075" width="13.125" style="45" customWidth="1"/>
    <col min="13076" max="13076" width="6.125" style="45" customWidth="1"/>
    <col min="13077" max="13077" width="9.75" style="45" customWidth="1"/>
    <col min="13078" max="13078" width="1.375" style="45" customWidth="1"/>
    <col min="13079" max="13318" width="9" style="45"/>
    <col min="13319" max="13319" width="1.375" style="45" customWidth="1"/>
    <col min="13320" max="13320" width="3.5" style="45" customWidth="1"/>
    <col min="13321" max="13321" width="22.125" style="45" customWidth="1"/>
    <col min="13322" max="13322" width="9.75" style="45" customWidth="1"/>
    <col min="13323" max="13323" width="7.375" style="45" customWidth="1"/>
    <col min="13324" max="13324" width="9" style="45"/>
    <col min="13325" max="13325" width="9.25" style="45" customWidth="1"/>
    <col min="13326" max="13326" width="3.5" style="45" customWidth="1"/>
    <col min="13327" max="13328" width="12.625" style="45" customWidth="1"/>
    <col min="13329" max="13329" width="9" style="45"/>
    <col min="13330" max="13330" width="7.75" style="45" customWidth="1"/>
    <col min="13331" max="13331" width="13.125" style="45" customWidth="1"/>
    <col min="13332" max="13332" width="6.125" style="45" customWidth="1"/>
    <col min="13333" max="13333" width="9.75" style="45" customWidth="1"/>
    <col min="13334" max="13334" width="1.375" style="45" customWidth="1"/>
    <col min="13335" max="13574" width="9" style="45"/>
    <col min="13575" max="13575" width="1.375" style="45" customWidth="1"/>
    <col min="13576" max="13576" width="3.5" style="45" customWidth="1"/>
    <col min="13577" max="13577" width="22.125" style="45" customWidth="1"/>
    <col min="13578" max="13578" width="9.75" style="45" customWidth="1"/>
    <col min="13579" max="13579" width="7.375" style="45" customWidth="1"/>
    <col min="13580" max="13580" width="9" style="45"/>
    <col min="13581" max="13581" width="9.25" style="45" customWidth="1"/>
    <col min="13582" max="13582" width="3.5" style="45" customWidth="1"/>
    <col min="13583" max="13584" width="12.625" style="45" customWidth="1"/>
    <col min="13585" max="13585" width="9" style="45"/>
    <col min="13586" max="13586" width="7.75" style="45" customWidth="1"/>
    <col min="13587" max="13587" width="13.125" style="45" customWidth="1"/>
    <col min="13588" max="13588" width="6.125" style="45" customWidth="1"/>
    <col min="13589" max="13589" width="9.75" style="45" customWidth="1"/>
    <col min="13590" max="13590" width="1.375" style="45" customWidth="1"/>
    <col min="13591" max="13830" width="9" style="45"/>
    <col min="13831" max="13831" width="1.375" style="45" customWidth="1"/>
    <col min="13832" max="13832" width="3.5" style="45" customWidth="1"/>
    <col min="13833" max="13833" width="22.125" style="45" customWidth="1"/>
    <col min="13834" max="13834" width="9.75" style="45" customWidth="1"/>
    <col min="13835" max="13835" width="7.375" style="45" customWidth="1"/>
    <col min="13836" max="13836" width="9" style="45"/>
    <col min="13837" max="13837" width="9.25" style="45" customWidth="1"/>
    <col min="13838" max="13838" width="3.5" style="45" customWidth="1"/>
    <col min="13839" max="13840" width="12.625" style="45" customWidth="1"/>
    <col min="13841" max="13841" width="9" style="45"/>
    <col min="13842" max="13842" width="7.75" style="45" customWidth="1"/>
    <col min="13843" max="13843" width="13.125" style="45" customWidth="1"/>
    <col min="13844" max="13844" width="6.125" style="45" customWidth="1"/>
    <col min="13845" max="13845" width="9.75" style="45" customWidth="1"/>
    <col min="13846" max="13846" width="1.375" style="45" customWidth="1"/>
    <col min="13847" max="14086" width="9" style="45"/>
    <col min="14087" max="14087" width="1.375" style="45" customWidth="1"/>
    <col min="14088" max="14088" width="3.5" style="45" customWidth="1"/>
    <col min="14089" max="14089" width="22.125" style="45" customWidth="1"/>
    <col min="14090" max="14090" width="9.75" style="45" customWidth="1"/>
    <col min="14091" max="14091" width="7.375" style="45" customWidth="1"/>
    <col min="14092" max="14092" width="9" style="45"/>
    <col min="14093" max="14093" width="9.25" style="45" customWidth="1"/>
    <col min="14094" max="14094" width="3.5" style="45" customWidth="1"/>
    <col min="14095" max="14096" width="12.625" style="45" customWidth="1"/>
    <col min="14097" max="14097" width="9" style="45"/>
    <col min="14098" max="14098" width="7.75" style="45" customWidth="1"/>
    <col min="14099" max="14099" width="13.125" style="45" customWidth="1"/>
    <col min="14100" max="14100" width="6.125" style="45" customWidth="1"/>
    <col min="14101" max="14101" width="9.75" style="45" customWidth="1"/>
    <col min="14102" max="14102" width="1.375" style="45" customWidth="1"/>
    <col min="14103" max="14342" width="9" style="45"/>
    <col min="14343" max="14343" width="1.375" style="45" customWidth="1"/>
    <col min="14344" max="14344" width="3.5" style="45" customWidth="1"/>
    <col min="14345" max="14345" width="22.125" style="45" customWidth="1"/>
    <col min="14346" max="14346" width="9.75" style="45" customWidth="1"/>
    <col min="14347" max="14347" width="7.375" style="45" customWidth="1"/>
    <col min="14348" max="14348" width="9" style="45"/>
    <col min="14349" max="14349" width="9.25" style="45" customWidth="1"/>
    <col min="14350" max="14350" width="3.5" style="45" customWidth="1"/>
    <col min="14351" max="14352" width="12.625" style="45" customWidth="1"/>
    <col min="14353" max="14353" width="9" style="45"/>
    <col min="14354" max="14354" width="7.75" style="45" customWidth="1"/>
    <col min="14355" max="14355" width="13.125" style="45" customWidth="1"/>
    <col min="14356" max="14356" width="6.125" style="45" customWidth="1"/>
    <col min="14357" max="14357" width="9.75" style="45" customWidth="1"/>
    <col min="14358" max="14358" width="1.375" style="45" customWidth="1"/>
    <col min="14359" max="14598" width="9" style="45"/>
    <col min="14599" max="14599" width="1.375" style="45" customWidth="1"/>
    <col min="14600" max="14600" width="3.5" style="45" customWidth="1"/>
    <col min="14601" max="14601" width="22.125" style="45" customWidth="1"/>
    <col min="14602" max="14602" width="9.75" style="45" customWidth="1"/>
    <col min="14603" max="14603" width="7.375" style="45" customWidth="1"/>
    <col min="14604" max="14604" width="9" style="45"/>
    <col min="14605" max="14605" width="9.25" style="45" customWidth="1"/>
    <col min="14606" max="14606" width="3.5" style="45" customWidth="1"/>
    <col min="14607" max="14608" width="12.625" style="45" customWidth="1"/>
    <col min="14609" max="14609" width="9" style="45"/>
    <col min="14610" max="14610" width="7.75" style="45" customWidth="1"/>
    <col min="14611" max="14611" width="13.125" style="45" customWidth="1"/>
    <col min="14612" max="14612" width="6.125" style="45" customWidth="1"/>
    <col min="14613" max="14613" width="9.75" style="45" customWidth="1"/>
    <col min="14614" max="14614" width="1.375" style="45" customWidth="1"/>
    <col min="14615" max="14854" width="9" style="45"/>
    <col min="14855" max="14855" width="1.375" style="45" customWidth="1"/>
    <col min="14856" max="14856" width="3.5" style="45" customWidth="1"/>
    <col min="14857" max="14857" width="22.125" style="45" customWidth="1"/>
    <col min="14858" max="14858" width="9.75" style="45" customWidth="1"/>
    <col min="14859" max="14859" width="7.375" style="45" customWidth="1"/>
    <col min="14860" max="14860" width="9" style="45"/>
    <col min="14861" max="14861" width="9.25" style="45" customWidth="1"/>
    <col min="14862" max="14862" width="3.5" style="45" customWidth="1"/>
    <col min="14863" max="14864" width="12.625" style="45" customWidth="1"/>
    <col min="14865" max="14865" width="9" style="45"/>
    <col min="14866" max="14866" width="7.75" style="45" customWidth="1"/>
    <col min="14867" max="14867" width="13.125" style="45" customWidth="1"/>
    <col min="14868" max="14868" width="6.125" style="45" customWidth="1"/>
    <col min="14869" max="14869" width="9.75" style="45" customWidth="1"/>
    <col min="14870" max="14870" width="1.375" style="45" customWidth="1"/>
    <col min="14871" max="15110" width="9" style="45"/>
    <col min="15111" max="15111" width="1.375" style="45" customWidth="1"/>
    <col min="15112" max="15112" width="3.5" style="45" customWidth="1"/>
    <col min="15113" max="15113" width="22.125" style="45" customWidth="1"/>
    <col min="15114" max="15114" width="9.75" style="45" customWidth="1"/>
    <col min="15115" max="15115" width="7.375" style="45" customWidth="1"/>
    <col min="15116" max="15116" width="9" style="45"/>
    <col min="15117" max="15117" width="9.25" style="45" customWidth="1"/>
    <col min="15118" max="15118" width="3.5" style="45" customWidth="1"/>
    <col min="15119" max="15120" width="12.625" style="45" customWidth="1"/>
    <col min="15121" max="15121" width="9" style="45"/>
    <col min="15122" max="15122" width="7.75" style="45" customWidth="1"/>
    <col min="15123" max="15123" width="13.125" style="45" customWidth="1"/>
    <col min="15124" max="15124" width="6.125" style="45" customWidth="1"/>
    <col min="15125" max="15125" width="9.75" style="45" customWidth="1"/>
    <col min="15126" max="15126" width="1.375" style="45" customWidth="1"/>
    <col min="15127" max="15366" width="9" style="45"/>
    <col min="15367" max="15367" width="1.375" style="45" customWidth="1"/>
    <col min="15368" max="15368" width="3.5" style="45" customWidth="1"/>
    <col min="15369" max="15369" width="22.125" style="45" customWidth="1"/>
    <col min="15370" max="15370" width="9.75" style="45" customWidth="1"/>
    <col min="15371" max="15371" width="7.375" style="45" customWidth="1"/>
    <col min="15372" max="15372" width="9" style="45"/>
    <col min="15373" max="15373" width="9.25" style="45" customWidth="1"/>
    <col min="15374" max="15374" width="3.5" style="45" customWidth="1"/>
    <col min="15375" max="15376" width="12.625" style="45" customWidth="1"/>
    <col min="15377" max="15377" width="9" style="45"/>
    <col min="15378" max="15378" width="7.75" style="45" customWidth="1"/>
    <col min="15379" max="15379" width="13.125" style="45" customWidth="1"/>
    <col min="15380" max="15380" width="6.125" style="45" customWidth="1"/>
    <col min="15381" max="15381" width="9.75" style="45" customWidth="1"/>
    <col min="15382" max="15382" width="1.375" style="45" customWidth="1"/>
    <col min="15383" max="15622" width="9" style="45"/>
    <col min="15623" max="15623" width="1.375" style="45" customWidth="1"/>
    <col min="15624" max="15624" width="3.5" style="45" customWidth="1"/>
    <col min="15625" max="15625" width="22.125" style="45" customWidth="1"/>
    <col min="15626" max="15626" width="9.75" style="45" customWidth="1"/>
    <col min="15627" max="15627" width="7.375" style="45" customWidth="1"/>
    <col min="15628" max="15628" width="9" style="45"/>
    <col min="15629" max="15629" width="9.25" style="45" customWidth="1"/>
    <col min="15630" max="15630" width="3.5" style="45" customWidth="1"/>
    <col min="15631" max="15632" width="12.625" style="45" customWidth="1"/>
    <col min="15633" max="15633" width="9" style="45"/>
    <col min="15634" max="15634" width="7.75" style="45" customWidth="1"/>
    <col min="15635" max="15635" width="13.125" style="45" customWidth="1"/>
    <col min="15636" max="15636" width="6.125" style="45" customWidth="1"/>
    <col min="15637" max="15637" width="9.75" style="45" customWidth="1"/>
    <col min="15638" max="15638" width="1.375" style="45" customWidth="1"/>
    <col min="15639" max="15878" width="9" style="45"/>
    <col min="15879" max="15879" width="1.375" style="45" customWidth="1"/>
    <col min="15880" max="15880" width="3.5" style="45" customWidth="1"/>
    <col min="15881" max="15881" width="22.125" style="45" customWidth="1"/>
    <col min="15882" max="15882" width="9.75" style="45" customWidth="1"/>
    <col min="15883" max="15883" width="7.375" style="45" customWidth="1"/>
    <col min="15884" max="15884" width="9" style="45"/>
    <col min="15885" max="15885" width="9.25" style="45" customWidth="1"/>
    <col min="15886" max="15886" width="3.5" style="45" customWidth="1"/>
    <col min="15887" max="15888" width="12.625" style="45" customWidth="1"/>
    <col min="15889" max="15889" width="9" style="45"/>
    <col min="15890" max="15890" width="7.75" style="45" customWidth="1"/>
    <col min="15891" max="15891" width="13.125" style="45" customWidth="1"/>
    <col min="15892" max="15892" width="6.125" style="45" customWidth="1"/>
    <col min="15893" max="15893" width="9.75" style="45" customWidth="1"/>
    <col min="15894" max="15894" width="1.375" style="45" customWidth="1"/>
    <col min="15895" max="16134" width="9" style="45"/>
    <col min="16135" max="16135" width="1.375" style="45" customWidth="1"/>
    <col min="16136" max="16136" width="3.5" style="45" customWidth="1"/>
    <col min="16137" max="16137" width="22.125" style="45" customWidth="1"/>
    <col min="16138" max="16138" width="9.75" style="45" customWidth="1"/>
    <col min="16139" max="16139" width="7.375" style="45" customWidth="1"/>
    <col min="16140" max="16140" width="9" style="45"/>
    <col min="16141" max="16141" width="9.25" style="45" customWidth="1"/>
    <col min="16142" max="16142" width="3.5" style="45" customWidth="1"/>
    <col min="16143" max="16144" width="12.625" style="45" customWidth="1"/>
    <col min="16145" max="16145" width="9" style="45"/>
    <col min="16146" max="16146" width="7.75" style="45" customWidth="1"/>
    <col min="16147" max="16147" width="13.125" style="45" customWidth="1"/>
    <col min="16148" max="16148" width="6.125" style="45" customWidth="1"/>
    <col min="16149" max="16149" width="9.75" style="45" customWidth="1"/>
    <col min="16150" max="16150" width="1.375" style="45" customWidth="1"/>
    <col min="16151" max="16384" width="9" style="45"/>
  </cols>
  <sheetData>
    <row r="1" spans="1:23" ht="9.9499999999999993" customHeight="1" x14ac:dyDescent="0.15">
      <c r="A1" s="45" t="s">
        <v>349</v>
      </c>
    </row>
    <row r="2" spans="1:23" ht="24.95" customHeight="1" x14ac:dyDescent="0.15">
      <c r="B2" s="1" t="s">
        <v>386</v>
      </c>
      <c r="C2" s="47"/>
      <c r="D2" s="5"/>
      <c r="E2" s="5"/>
      <c r="F2" s="47"/>
      <c r="G2" s="98"/>
      <c r="H2" s="108"/>
      <c r="I2" s="98"/>
      <c r="J2" s="98"/>
      <c r="K2" s="98"/>
      <c r="L2" s="98"/>
      <c r="M2" s="98"/>
      <c r="N2" s="98"/>
      <c r="O2" s="5"/>
    </row>
    <row r="3" spans="1:23" ht="15" customHeight="1" thickBot="1" x14ac:dyDescent="0.2">
      <c r="B3" s="45" t="s">
        <v>222</v>
      </c>
      <c r="I3" s="5" t="s">
        <v>223</v>
      </c>
      <c r="P3" s="45" t="s">
        <v>243</v>
      </c>
    </row>
    <row r="4" spans="1:23" ht="15" customHeight="1" x14ac:dyDescent="0.15">
      <c r="B4" s="242" t="s">
        <v>87</v>
      </c>
      <c r="C4" s="147" t="s">
        <v>178</v>
      </c>
      <c r="D4" s="147" t="s">
        <v>139</v>
      </c>
      <c r="E4" s="147" t="s">
        <v>140</v>
      </c>
      <c r="F4" s="309" t="s">
        <v>23</v>
      </c>
      <c r="G4" s="135" t="s">
        <v>141</v>
      </c>
      <c r="H4" s="148"/>
      <c r="I4" s="1293" t="s">
        <v>87</v>
      </c>
      <c r="J4" s="1291" t="s">
        <v>182</v>
      </c>
      <c r="K4" s="417" t="s">
        <v>179</v>
      </c>
      <c r="L4" s="417" t="s">
        <v>142</v>
      </c>
      <c r="M4" s="1302" t="s">
        <v>23</v>
      </c>
      <c r="N4" s="1304" t="s">
        <v>141</v>
      </c>
      <c r="O4" s="167"/>
      <c r="P4" s="243" t="s">
        <v>185</v>
      </c>
      <c r="Q4" s="244" t="s">
        <v>186</v>
      </c>
      <c r="R4" s="244" t="s">
        <v>187</v>
      </c>
      <c r="S4" s="244" t="s">
        <v>188</v>
      </c>
      <c r="T4" s="1295" t="s">
        <v>189</v>
      </c>
      <c r="U4" s="1136"/>
      <c r="V4" s="245" t="s">
        <v>190</v>
      </c>
    </row>
    <row r="5" spans="1:23" ht="15" customHeight="1" x14ac:dyDescent="0.15">
      <c r="B5" s="1075" t="s">
        <v>174</v>
      </c>
      <c r="C5" s="62"/>
      <c r="D5" s="44"/>
      <c r="E5" s="51"/>
      <c r="F5" s="62"/>
      <c r="G5" s="136"/>
      <c r="H5" s="149"/>
      <c r="I5" s="1294"/>
      <c r="J5" s="1292"/>
      <c r="K5" s="696" t="s">
        <v>143</v>
      </c>
      <c r="L5" s="696" t="s">
        <v>298</v>
      </c>
      <c r="M5" s="1303"/>
      <c r="N5" s="1305"/>
      <c r="O5" s="167"/>
      <c r="P5" s="581" t="s">
        <v>410</v>
      </c>
      <c r="Q5" s="532"/>
      <c r="R5" s="582" t="s">
        <v>100</v>
      </c>
      <c r="S5" s="532"/>
      <c r="T5" s="1296" t="s">
        <v>411</v>
      </c>
      <c r="U5" s="1297"/>
      <c r="V5" s="583">
        <v>5806.666666666667</v>
      </c>
      <c r="W5" s="646" t="s">
        <v>408</v>
      </c>
    </row>
    <row r="6" spans="1:23" ht="15" customHeight="1" x14ac:dyDescent="0.15">
      <c r="B6" s="1076"/>
      <c r="C6" s="44"/>
      <c r="D6" s="44"/>
      <c r="E6" s="51"/>
      <c r="F6" s="44"/>
      <c r="G6" s="137"/>
      <c r="H6" s="149"/>
      <c r="I6" s="1298" t="s">
        <v>181</v>
      </c>
      <c r="J6" s="374" t="s">
        <v>632</v>
      </c>
      <c r="K6" s="427">
        <v>8.36</v>
      </c>
      <c r="L6" s="427">
        <v>13</v>
      </c>
      <c r="M6" s="427">
        <v>84.7</v>
      </c>
      <c r="N6" s="318">
        <f>K6*L6*M6</f>
        <v>9205.1959999999999</v>
      </c>
      <c r="O6" s="167"/>
      <c r="P6" s="246"/>
      <c r="Q6" s="133"/>
      <c r="R6" s="161"/>
      <c r="S6" s="133"/>
      <c r="T6" s="1287"/>
      <c r="U6" s="1288"/>
      <c r="V6" s="156"/>
    </row>
    <row r="7" spans="1:23" ht="15" customHeight="1" thickBot="1" x14ac:dyDescent="0.2">
      <c r="B7" s="1262"/>
      <c r="C7" s="138" t="s">
        <v>144</v>
      </c>
      <c r="D7" s="138"/>
      <c r="E7" s="138"/>
      <c r="F7" s="138"/>
      <c r="G7" s="139">
        <f>SUM(G5:G6)</f>
        <v>0</v>
      </c>
      <c r="H7" s="149"/>
      <c r="I7" s="1299"/>
      <c r="J7" s="374" t="s">
        <v>633</v>
      </c>
      <c r="K7" s="697">
        <v>2.62</v>
      </c>
      <c r="L7" s="427">
        <f>5+6.5</f>
        <v>11.5</v>
      </c>
      <c r="M7" s="427">
        <v>84.7</v>
      </c>
      <c r="N7" s="318">
        <f t="shared" ref="N7:N9" si="0">K7*L7*M7</f>
        <v>2552.0110000000004</v>
      </c>
      <c r="O7" s="167"/>
      <c r="P7" s="246"/>
      <c r="Q7" s="133"/>
      <c r="R7" s="161"/>
      <c r="S7" s="133"/>
      <c r="T7" s="1287"/>
      <c r="U7" s="1288"/>
      <c r="V7" s="156"/>
    </row>
    <row r="8" spans="1:23" ht="15" customHeight="1" thickTop="1" x14ac:dyDescent="0.15">
      <c r="B8" s="1261" t="s">
        <v>172</v>
      </c>
      <c r="C8" s="374" t="s">
        <v>730</v>
      </c>
      <c r="D8" s="44">
        <v>10</v>
      </c>
      <c r="E8" s="51" t="s">
        <v>287</v>
      </c>
      <c r="F8" s="44">
        <v>3840</v>
      </c>
      <c r="G8" s="137">
        <f>D8*F8</f>
        <v>38400</v>
      </c>
      <c r="H8" s="149"/>
      <c r="I8" s="1299"/>
      <c r="J8" s="374" t="s">
        <v>634</v>
      </c>
      <c r="K8" s="427">
        <v>1.2</v>
      </c>
      <c r="L8" s="427">
        <v>3</v>
      </c>
      <c r="M8" s="427">
        <v>84.7</v>
      </c>
      <c r="N8" s="318">
        <f t="shared" si="0"/>
        <v>304.91999999999996</v>
      </c>
      <c r="O8" s="167"/>
      <c r="P8" s="246"/>
      <c r="Q8" s="133"/>
      <c r="R8" s="161"/>
      <c r="S8" s="133"/>
      <c r="T8" s="1287"/>
      <c r="U8" s="1288"/>
      <c r="V8" s="156"/>
    </row>
    <row r="9" spans="1:23" ht="15" customHeight="1" x14ac:dyDescent="0.15">
      <c r="B9" s="1076"/>
      <c r="C9" s="374"/>
      <c r="D9" s="44"/>
      <c r="E9" s="51"/>
      <c r="F9" s="44"/>
      <c r="G9" s="137"/>
      <c r="H9" s="149"/>
      <c r="I9" s="1299"/>
      <c r="J9" s="698" t="s">
        <v>635</v>
      </c>
      <c r="K9" s="699">
        <v>4.2699999999999996</v>
      </c>
      <c r="L9" s="700">
        <v>5</v>
      </c>
      <c r="M9" s="427">
        <v>84.7</v>
      </c>
      <c r="N9" s="701">
        <f t="shared" si="0"/>
        <v>1808.3449999999998</v>
      </c>
      <c r="O9" s="167"/>
      <c r="P9" s="246"/>
      <c r="Q9" s="133"/>
      <c r="R9" s="161"/>
      <c r="S9" s="133"/>
      <c r="T9" s="1287"/>
      <c r="U9" s="1288"/>
      <c r="V9" s="156"/>
    </row>
    <row r="10" spans="1:23" ht="15" customHeight="1" x14ac:dyDescent="0.15">
      <c r="B10" s="1076"/>
      <c r="C10" s="374"/>
      <c r="D10" s="44"/>
      <c r="E10" s="51"/>
      <c r="F10" s="44"/>
      <c r="G10" s="137"/>
      <c r="H10" s="149"/>
      <c r="I10" s="1299"/>
      <c r="J10" s="702" t="s">
        <v>636</v>
      </c>
      <c r="K10" s="703">
        <v>0.62</v>
      </c>
      <c r="L10" s="703">
        <v>3.5</v>
      </c>
      <c r="M10" s="441">
        <v>84.7</v>
      </c>
      <c r="N10" s="704">
        <f>K10*L10*M10</f>
        <v>183.79900000000001</v>
      </c>
      <c r="O10" s="167"/>
      <c r="P10" s="246"/>
      <c r="Q10" s="306"/>
      <c r="R10" s="307"/>
      <c r="S10" s="306"/>
      <c r="T10" s="308"/>
      <c r="U10" s="301"/>
      <c r="V10" s="156"/>
    </row>
    <row r="11" spans="1:23" ht="15" customHeight="1" thickBot="1" x14ac:dyDescent="0.2">
      <c r="B11" s="1262"/>
      <c r="C11" s="140" t="s">
        <v>145</v>
      </c>
      <c r="D11" s="141"/>
      <c r="E11" s="141"/>
      <c r="F11" s="141"/>
      <c r="G11" s="142">
        <f>SUM(G8:G10)</f>
        <v>38400</v>
      </c>
      <c r="H11" s="149"/>
      <c r="I11" s="1299"/>
      <c r="J11" s="630"/>
      <c r="K11" s="630"/>
      <c r="L11" s="630"/>
      <c r="M11" s="630"/>
      <c r="N11" s="237"/>
      <c r="O11" s="167"/>
      <c r="P11" s="246"/>
      <c r="Q11" s="133"/>
      <c r="R11" s="161"/>
      <c r="S11" s="133"/>
      <c r="T11" s="1287"/>
      <c r="U11" s="1288"/>
      <c r="V11" s="156"/>
    </row>
    <row r="12" spans="1:23" ht="15" customHeight="1" thickTop="1" thickBot="1" x14ac:dyDescent="0.2">
      <c r="B12" s="1261" t="s">
        <v>173</v>
      </c>
      <c r="C12" s="374" t="s">
        <v>731</v>
      </c>
      <c r="D12" s="44">
        <v>350</v>
      </c>
      <c r="E12" s="51" t="s">
        <v>296</v>
      </c>
      <c r="F12" s="44">
        <f>3220/20</f>
        <v>161</v>
      </c>
      <c r="G12" s="137">
        <f>D12*F12</f>
        <v>56350</v>
      </c>
      <c r="H12" s="149"/>
      <c r="I12" s="1300"/>
      <c r="J12" s="302" t="s">
        <v>248</v>
      </c>
      <c r="K12" s="303">
        <f>SUM(K6:K9)</f>
        <v>16.45</v>
      </c>
      <c r="L12" s="303">
        <f>SUM(L6:L10)</f>
        <v>36</v>
      </c>
      <c r="M12" s="303"/>
      <c r="N12" s="305">
        <f>SUM(N6:N10)</f>
        <v>14054.271000000001</v>
      </c>
      <c r="O12" s="167"/>
      <c r="P12" s="246"/>
      <c r="Q12" s="133"/>
      <c r="R12" s="161"/>
      <c r="S12" s="133"/>
      <c r="T12" s="1287"/>
      <c r="U12" s="1288"/>
      <c r="V12" s="156"/>
    </row>
    <row r="13" spans="1:23" ht="15" customHeight="1" thickTop="1" x14ac:dyDescent="0.15">
      <c r="B13" s="1076"/>
      <c r="C13" s="374"/>
      <c r="D13" s="44"/>
      <c r="E13" s="51"/>
      <c r="F13" s="44"/>
      <c r="G13" s="137"/>
      <c r="H13" s="149"/>
      <c r="I13" s="1270" t="s">
        <v>249</v>
      </c>
      <c r="J13" s="374" t="s">
        <v>637</v>
      </c>
      <c r="K13" s="427">
        <v>2.78</v>
      </c>
      <c r="L13" s="427">
        <v>3.3</v>
      </c>
      <c r="M13" s="427">
        <v>158.4</v>
      </c>
      <c r="N13" s="318">
        <f>K13*L13*M13</f>
        <v>1453.1615999999999</v>
      </c>
      <c r="O13" s="167"/>
      <c r="P13" s="246"/>
      <c r="Q13" s="133"/>
      <c r="R13" s="161"/>
      <c r="S13" s="133"/>
      <c r="T13" s="1287"/>
      <c r="U13" s="1288"/>
      <c r="V13" s="156"/>
    </row>
    <row r="14" spans="1:23" ht="15" customHeight="1" x14ac:dyDescent="0.15">
      <c r="B14" s="1076"/>
      <c r="C14" s="374"/>
      <c r="D14" s="44"/>
      <c r="E14" s="51"/>
      <c r="F14" s="44"/>
      <c r="G14" s="137"/>
      <c r="H14" s="149"/>
      <c r="I14" s="1271"/>
      <c r="J14" s="374"/>
      <c r="K14" s="427"/>
      <c r="L14" s="427"/>
      <c r="M14" s="427"/>
      <c r="N14" s="318"/>
      <c r="O14" s="167"/>
      <c r="P14" s="246"/>
      <c r="Q14" s="133"/>
      <c r="R14" s="161"/>
      <c r="S14" s="133"/>
      <c r="T14" s="1287"/>
      <c r="U14" s="1288"/>
      <c r="V14" s="156"/>
    </row>
    <row r="15" spans="1:23" ht="15" customHeight="1" x14ac:dyDescent="0.15">
      <c r="B15" s="1076"/>
      <c r="C15" s="374"/>
      <c r="D15" s="44"/>
      <c r="E15" s="44"/>
      <c r="F15" s="44"/>
      <c r="G15" s="137"/>
      <c r="H15" s="149"/>
      <c r="I15" s="1271"/>
      <c r="J15" s="374"/>
      <c r="K15" s="427"/>
      <c r="L15" s="427"/>
      <c r="M15" s="427"/>
      <c r="N15" s="318"/>
      <c r="O15" s="167"/>
      <c r="P15" s="246"/>
      <c r="Q15" s="133"/>
      <c r="R15" s="161"/>
      <c r="S15" s="133"/>
      <c r="T15" s="1287"/>
      <c r="U15" s="1288"/>
      <c r="V15" s="156"/>
    </row>
    <row r="16" spans="1:23" ht="15" customHeight="1" thickBot="1" x14ac:dyDescent="0.2">
      <c r="B16" s="1262"/>
      <c r="C16" s="140" t="s">
        <v>145</v>
      </c>
      <c r="D16" s="141"/>
      <c r="E16" s="141"/>
      <c r="F16" s="141"/>
      <c r="G16" s="142">
        <f>SUM(G12:G15)</f>
        <v>56350</v>
      </c>
      <c r="H16" s="149"/>
      <c r="I16" s="1272"/>
      <c r="J16" s="705" t="s">
        <v>248</v>
      </c>
      <c r="K16" s="706">
        <f>SUM(K13:K15)</f>
        <v>2.78</v>
      </c>
      <c r="L16" s="706">
        <f>SUM(L13:L15)</f>
        <v>3.3</v>
      </c>
      <c r="M16" s="706"/>
      <c r="N16" s="707">
        <f>SUM(N13:N15)</f>
        <v>1453.1615999999999</v>
      </c>
      <c r="O16" s="167"/>
      <c r="P16" s="246"/>
      <c r="Q16" s="133"/>
      <c r="R16" s="161"/>
      <c r="S16" s="133"/>
      <c r="T16" s="1287"/>
      <c r="U16" s="1288"/>
      <c r="V16" s="156"/>
    </row>
    <row r="17" spans="2:22" ht="15" customHeight="1" thickTop="1" x14ac:dyDescent="0.15">
      <c r="B17" s="1261" t="s">
        <v>175</v>
      </c>
      <c r="C17" s="374"/>
      <c r="D17" s="44"/>
      <c r="E17" s="51"/>
      <c r="F17" s="44"/>
      <c r="G17" s="137"/>
      <c r="H17" s="149"/>
      <c r="I17" s="1270" t="s">
        <v>183</v>
      </c>
      <c r="J17" s="374"/>
      <c r="K17" s="427"/>
      <c r="L17" s="427"/>
      <c r="M17" s="427"/>
      <c r="N17" s="318"/>
      <c r="O17" s="167"/>
      <c r="P17" s="246"/>
      <c r="Q17" s="133"/>
      <c r="R17" s="274"/>
      <c r="S17" s="133"/>
      <c r="T17" s="1287"/>
      <c r="U17" s="1288"/>
      <c r="V17" s="156"/>
    </row>
    <row r="18" spans="2:22" ht="15" customHeight="1" x14ac:dyDescent="0.15">
      <c r="B18" s="1076"/>
      <c r="C18" s="374"/>
      <c r="D18" s="44"/>
      <c r="E18" s="51"/>
      <c r="F18" s="44"/>
      <c r="G18" s="137"/>
      <c r="H18" s="149"/>
      <c r="I18" s="1271"/>
      <c r="J18" s="374"/>
      <c r="K18" s="427"/>
      <c r="L18" s="427"/>
      <c r="M18" s="427"/>
      <c r="N18" s="318"/>
      <c r="O18" s="167"/>
      <c r="P18" s="246"/>
      <c r="Q18" s="133"/>
      <c r="R18" s="274"/>
      <c r="S18" s="133"/>
      <c r="T18" s="1287"/>
      <c r="U18" s="1288"/>
      <c r="V18" s="156"/>
    </row>
    <row r="19" spans="2:22" ht="15" customHeight="1" x14ac:dyDescent="0.15">
      <c r="B19" s="1076"/>
      <c r="C19" s="374"/>
      <c r="D19" s="44"/>
      <c r="E19" s="44"/>
      <c r="F19" s="44"/>
      <c r="G19" s="137"/>
      <c r="H19" s="149"/>
      <c r="I19" s="1271"/>
      <c r="J19" s="374"/>
      <c r="K19" s="427"/>
      <c r="L19" s="427"/>
      <c r="M19" s="427"/>
      <c r="N19" s="318"/>
      <c r="O19" s="167"/>
      <c r="P19" s="246"/>
      <c r="Q19" s="133"/>
      <c r="R19" s="161"/>
      <c r="S19" s="133"/>
      <c r="T19" s="1287"/>
      <c r="U19" s="1288"/>
      <c r="V19" s="156"/>
    </row>
    <row r="20" spans="2:22" ht="15" customHeight="1" thickBot="1" x14ac:dyDescent="0.2">
      <c r="B20" s="1262"/>
      <c r="C20" s="140" t="s">
        <v>145</v>
      </c>
      <c r="D20" s="141"/>
      <c r="E20" s="141"/>
      <c r="F20" s="141"/>
      <c r="G20" s="142">
        <f>SUM(G17:G19)</f>
        <v>0</v>
      </c>
      <c r="H20" s="149"/>
      <c r="I20" s="1272"/>
      <c r="J20" s="705" t="s">
        <v>250</v>
      </c>
      <c r="K20" s="706">
        <f>SUM(K17:K19)</f>
        <v>0</v>
      </c>
      <c r="L20" s="708">
        <f>SUM(L17:L19)</f>
        <v>0</v>
      </c>
      <c r="M20" s="709"/>
      <c r="N20" s="707">
        <f>SUM(N17:N19)</f>
        <v>0</v>
      </c>
      <c r="O20" s="167"/>
      <c r="P20" s="246"/>
      <c r="Q20" s="133"/>
      <c r="R20" s="161"/>
      <c r="S20" s="133"/>
      <c r="T20" s="1287"/>
      <c r="U20" s="1288"/>
      <c r="V20" s="156"/>
    </row>
    <row r="21" spans="2:22" ht="15" customHeight="1" thickTop="1" thickBot="1" x14ac:dyDescent="0.2">
      <c r="B21" s="1261" t="s">
        <v>176</v>
      </c>
      <c r="C21" s="374" t="s">
        <v>292</v>
      </c>
      <c r="D21" s="44">
        <f>131*4.3</f>
        <v>563.29999999999995</v>
      </c>
      <c r="E21" s="51" t="s">
        <v>297</v>
      </c>
      <c r="F21" s="44">
        <f>510/20</f>
        <v>25.5</v>
      </c>
      <c r="G21" s="137">
        <f>D21*F21</f>
        <v>14364.15</v>
      </c>
      <c r="H21" s="149"/>
      <c r="I21" s="1270" t="s">
        <v>184</v>
      </c>
      <c r="J21" s="374" t="s">
        <v>638</v>
      </c>
      <c r="K21" s="427">
        <v>28.2</v>
      </c>
      <c r="L21" s="427">
        <v>6.1</v>
      </c>
      <c r="M21" s="427">
        <v>102.1</v>
      </c>
      <c r="N21" s="318">
        <f>K21*L21*M21</f>
        <v>17563.241999999998</v>
      </c>
      <c r="O21" s="167"/>
      <c r="P21" s="157" t="s">
        <v>28</v>
      </c>
      <c r="Q21" s="158"/>
      <c r="R21" s="158"/>
      <c r="S21" s="158"/>
      <c r="T21" s="1306"/>
      <c r="U21" s="1307"/>
      <c r="V21" s="159">
        <f>SUM(V5:V20)</f>
        <v>5806.666666666667</v>
      </c>
    </row>
    <row r="22" spans="2:22" ht="15" customHeight="1" x14ac:dyDescent="0.15">
      <c r="B22" s="1076"/>
      <c r="C22" s="374"/>
      <c r="D22" s="44"/>
      <c r="E22" s="51"/>
      <c r="F22" s="44"/>
      <c r="G22" s="137"/>
      <c r="H22" s="149"/>
      <c r="I22" s="1271"/>
      <c r="J22" s="374"/>
      <c r="K22" s="427"/>
      <c r="L22" s="427"/>
      <c r="M22" s="427"/>
      <c r="N22" s="318"/>
      <c r="O22" s="167"/>
    </row>
    <row r="23" spans="2:22" ht="15" customHeight="1" thickBot="1" x14ac:dyDescent="0.2">
      <c r="B23" s="1076"/>
      <c r="C23" s="374"/>
      <c r="D23" s="44"/>
      <c r="E23" s="51"/>
      <c r="F23" s="44"/>
      <c r="G23" s="137"/>
      <c r="H23" s="149"/>
      <c r="I23" s="1271"/>
      <c r="J23" s="374"/>
      <c r="K23" s="427"/>
      <c r="L23" s="427"/>
      <c r="M23" s="427"/>
      <c r="N23" s="318"/>
      <c r="O23" s="167"/>
      <c r="P23" s="45" t="s">
        <v>244</v>
      </c>
    </row>
    <row r="24" spans="2:22" ht="15" customHeight="1" thickBot="1" x14ac:dyDescent="0.2">
      <c r="B24" s="1077"/>
      <c r="C24" s="143" t="s">
        <v>147</v>
      </c>
      <c r="D24" s="144"/>
      <c r="E24" s="144"/>
      <c r="F24" s="151"/>
      <c r="G24" s="145">
        <f>SUM(G21:G23)</f>
        <v>14364.15</v>
      </c>
      <c r="H24" s="149"/>
      <c r="I24" s="1272"/>
      <c r="J24" s="705" t="s">
        <v>250</v>
      </c>
      <c r="K24" s="706">
        <f>SUM(K21:K23)</f>
        <v>28.2</v>
      </c>
      <c r="L24" s="708">
        <f>SUM(L21:L23)</f>
        <v>6.1</v>
      </c>
      <c r="M24" s="709"/>
      <c r="N24" s="707">
        <f>SUM(N21:N23)</f>
        <v>17563.241999999998</v>
      </c>
      <c r="O24" s="167"/>
      <c r="P24" s="243" t="s">
        <v>192</v>
      </c>
      <c r="Q24" s="244" t="s">
        <v>186</v>
      </c>
      <c r="R24" s="244" t="s">
        <v>187</v>
      </c>
      <c r="S24" s="244" t="s">
        <v>251</v>
      </c>
      <c r="T24" s="244" t="s">
        <v>189</v>
      </c>
      <c r="U24" s="128" t="s">
        <v>193</v>
      </c>
      <c r="V24" s="245" t="s">
        <v>190</v>
      </c>
    </row>
    <row r="25" spans="2:22" ht="15" customHeight="1" thickTop="1" x14ac:dyDescent="0.15">
      <c r="I25" s="1270" t="s">
        <v>268</v>
      </c>
      <c r="J25" s="374"/>
      <c r="K25" s="427"/>
      <c r="L25" s="427"/>
      <c r="M25" s="427"/>
      <c r="N25" s="318"/>
      <c r="O25" s="167"/>
      <c r="P25" s="581" t="s">
        <v>398</v>
      </c>
      <c r="Q25" s="532">
        <v>10</v>
      </c>
      <c r="R25" s="582" t="s">
        <v>247</v>
      </c>
      <c r="S25" s="532">
        <v>500</v>
      </c>
      <c r="T25" s="532">
        <v>2</v>
      </c>
      <c r="U25" s="134">
        <v>30</v>
      </c>
      <c r="V25" s="156">
        <f>Q25*S25/T25/U25</f>
        <v>83.333333333333329</v>
      </c>
    </row>
    <row r="26" spans="2:22" ht="15" customHeight="1" thickBot="1" x14ac:dyDescent="0.2">
      <c r="B26" s="5" t="s">
        <v>252</v>
      </c>
      <c r="C26" s="5"/>
      <c r="D26" s="47"/>
      <c r="E26" s="5"/>
      <c r="F26" s="47"/>
      <c r="G26" s="48"/>
      <c r="H26" s="150"/>
      <c r="I26" s="1271"/>
      <c r="J26" s="374"/>
      <c r="K26" s="427"/>
      <c r="L26" s="427"/>
      <c r="M26" s="427"/>
      <c r="N26" s="318"/>
      <c r="O26" s="167"/>
      <c r="P26" s="581"/>
      <c r="Q26" s="532"/>
      <c r="R26" s="582"/>
      <c r="S26" s="532"/>
      <c r="T26" s="532"/>
      <c r="U26" s="134"/>
      <c r="V26" s="156"/>
    </row>
    <row r="27" spans="2:22" ht="15" customHeight="1" x14ac:dyDescent="0.15">
      <c r="B27" s="242" t="s">
        <v>87</v>
      </c>
      <c r="C27" s="807" t="s">
        <v>138</v>
      </c>
      <c r="D27" s="147" t="s">
        <v>139</v>
      </c>
      <c r="E27" s="147" t="s">
        <v>140</v>
      </c>
      <c r="F27" s="309" t="s">
        <v>23</v>
      </c>
      <c r="G27" s="135" t="s">
        <v>141</v>
      </c>
      <c r="H27" s="148"/>
      <c r="I27" s="1271"/>
      <c r="J27" s="374"/>
      <c r="K27" s="427"/>
      <c r="L27" s="427"/>
      <c r="M27" s="427"/>
      <c r="N27" s="318"/>
      <c r="O27" s="167"/>
      <c r="P27" s="246"/>
      <c r="Q27" s="133"/>
      <c r="R27" s="161"/>
      <c r="S27" s="133"/>
      <c r="T27" s="133"/>
      <c r="U27" s="134"/>
      <c r="V27" s="156"/>
    </row>
    <row r="28" spans="2:22" ht="15" customHeight="1" thickBot="1" x14ac:dyDescent="0.2">
      <c r="B28" s="1075" t="s">
        <v>29</v>
      </c>
      <c r="C28" s="374" t="s">
        <v>732</v>
      </c>
      <c r="D28" s="44">
        <v>300</v>
      </c>
      <c r="E28" s="51" t="s">
        <v>294</v>
      </c>
      <c r="F28" s="44">
        <f>62610/10000</f>
        <v>6.2610000000000001</v>
      </c>
      <c r="G28" s="136">
        <f>D28*F28</f>
        <v>1878.3</v>
      </c>
      <c r="H28" s="149"/>
      <c r="I28" s="1272"/>
      <c r="J28" s="705" t="s">
        <v>248</v>
      </c>
      <c r="K28" s="706">
        <f>SUM(K25:K27)</f>
        <v>0</v>
      </c>
      <c r="L28" s="708">
        <f>SUM(L25:L27)</f>
        <v>0</v>
      </c>
      <c r="M28" s="709"/>
      <c r="N28" s="707">
        <f>SUM(N25:N27)</f>
        <v>0</v>
      </c>
      <c r="O28" s="167"/>
      <c r="P28" s="246"/>
      <c r="Q28" s="133"/>
      <c r="R28" s="161"/>
      <c r="S28" s="133"/>
      <c r="T28" s="133"/>
      <c r="U28" s="134"/>
      <c r="V28" s="156"/>
    </row>
    <row r="29" spans="2:22" ht="15" customHeight="1" thickTop="1" x14ac:dyDescent="0.15">
      <c r="B29" s="1076"/>
      <c r="C29" s="808" t="s">
        <v>733</v>
      </c>
      <c r="D29" s="276">
        <v>180</v>
      </c>
      <c r="E29" s="51" t="s">
        <v>294</v>
      </c>
      <c r="F29" s="276">
        <f>4180/500</f>
        <v>8.36</v>
      </c>
      <c r="G29" s="136">
        <f>D29*F29</f>
        <v>1504.8</v>
      </c>
      <c r="H29" s="149"/>
      <c r="I29" s="1270" t="s">
        <v>180</v>
      </c>
      <c r="J29" s="374" t="s">
        <v>638</v>
      </c>
      <c r="K29" s="427">
        <v>31.4</v>
      </c>
      <c r="L29" s="427">
        <v>3.2</v>
      </c>
      <c r="M29" s="427">
        <v>14</v>
      </c>
      <c r="N29" s="318">
        <f>K29*L29*M29</f>
        <v>1406.72</v>
      </c>
      <c r="O29" s="167"/>
      <c r="P29" s="246"/>
      <c r="Q29" s="133"/>
      <c r="R29" s="161"/>
      <c r="S29" s="133"/>
      <c r="T29" s="133"/>
      <c r="U29" s="134"/>
      <c r="V29" s="156"/>
    </row>
    <row r="30" spans="2:22" ht="15" customHeight="1" x14ac:dyDescent="0.15">
      <c r="B30" s="1076"/>
      <c r="C30" s="374" t="s">
        <v>29</v>
      </c>
      <c r="D30" s="44">
        <v>1000</v>
      </c>
      <c r="E30" s="51" t="s">
        <v>299</v>
      </c>
      <c r="F30" s="44">
        <f>42580/20000</f>
        <v>2.129</v>
      </c>
      <c r="G30" s="136">
        <f>D30*F30</f>
        <v>2129</v>
      </c>
      <c r="H30" s="149"/>
      <c r="I30" s="1271"/>
      <c r="J30" s="374" t="s">
        <v>639</v>
      </c>
      <c r="K30" s="427">
        <v>4</v>
      </c>
      <c r="L30" s="427">
        <v>1.9</v>
      </c>
      <c r="M30" s="427">
        <v>14</v>
      </c>
      <c r="N30" s="318">
        <f t="shared" ref="N30:N31" si="1">K30*L30*M30</f>
        <v>106.39999999999999</v>
      </c>
      <c r="O30" s="46"/>
      <c r="P30" s="246"/>
      <c r="Q30" s="133"/>
      <c r="R30" s="274"/>
      <c r="S30" s="133"/>
      <c r="T30" s="133"/>
      <c r="U30" s="275"/>
      <c r="V30" s="156"/>
    </row>
    <row r="31" spans="2:22" ht="15" customHeight="1" x14ac:dyDescent="0.15">
      <c r="B31" s="1076"/>
      <c r="C31" s="809"/>
      <c r="D31" s="276"/>
      <c r="E31" s="51"/>
      <c r="F31" s="276"/>
      <c r="G31" s="137"/>
      <c r="H31" s="149"/>
      <c r="I31" s="1271"/>
      <c r="J31" s="374" t="s">
        <v>640</v>
      </c>
      <c r="K31" s="427">
        <v>24.5</v>
      </c>
      <c r="L31" s="427">
        <v>6.7</v>
      </c>
      <c r="M31" s="427">
        <v>14</v>
      </c>
      <c r="N31" s="318">
        <f t="shared" si="1"/>
        <v>2298.1</v>
      </c>
      <c r="P31" s="246"/>
      <c r="Q31" s="133"/>
      <c r="R31" s="161"/>
      <c r="S31" s="133"/>
      <c r="T31" s="133"/>
      <c r="U31" s="134"/>
      <c r="V31" s="156"/>
    </row>
    <row r="32" spans="2:22" ht="15" customHeight="1" thickBot="1" x14ac:dyDescent="0.2">
      <c r="B32" s="1076"/>
      <c r="C32" s="374"/>
      <c r="D32" s="276"/>
      <c r="E32" s="51"/>
      <c r="F32" s="276"/>
      <c r="G32" s="137"/>
      <c r="H32" s="149"/>
      <c r="I32" s="1275"/>
      <c r="J32" s="710" t="s">
        <v>253</v>
      </c>
      <c r="K32" s="711">
        <f>SUM(K29:K31)</f>
        <v>59.9</v>
      </c>
      <c r="L32" s="712">
        <f>SUM(L29:L31)</f>
        <v>11.8</v>
      </c>
      <c r="M32" s="713"/>
      <c r="N32" s="714">
        <f>SUM(N29:N31)</f>
        <v>3811.2200000000003</v>
      </c>
      <c r="P32" s="246"/>
      <c r="Q32" s="133"/>
      <c r="R32" s="161"/>
      <c r="S32" s="133"/>
      <c r="T32" s="133"/>
      <c r="U32" s="134"/>
      <c r="V32" s="156"/>
    </row>
    <row r="33" spans="2:22" ht="15" customHeight="1" x14ac:dyDescent="0.15">
      <c r="B33" s="1076"/>
      <c r="C33" s="374"/>
      <c r="D33" s="276"/>
      <c r="E33" s="51"/>
      <c r="F33" s="276"/>
      <c r="G33" s="137"/>
      <c r="H33" s="149"/>
      <c r="I33" s="127"/>
      <c r="J33" s="127"/>
      <c r="K33" s="127"/>
      <c r="L33" s="127"/>
      <c r="M33" s="127"/>
      <c r="N33" s="127"/>
      <c r="P33" s="246"/>
      <c r="Q33" s="133"/>
      <c r="R33" s="161"/>
      <c r="S33" s="133"/>
      <c r="T33" s="133"/>
      <c r="U33" s="134"/>
      <c r="V33" s="156"/>
    </row>
    <row r="34" spans="2:22" ht="15" customHeight="1" thickBot="1" x14ac:dyDescent="0.2">
      <c r="B34" s="1076"/>
      <c r="C34" s="374"/>
      <c r="D34" s="276"/>
      <c r="E34" s="51"/>
      <c r="F34" s="276"/>
      <c r="G34" s="137"/>
      <c r="H34" s="149"/>
      <c r="I34" s="117" t="s">
        <v>242</v>
      </c>
      <c r="J34" s="117"/>
      <c r="K34" s="117"/>
      <c r="L34" s="117"/>
      <c r="M34" s="117"/>
      <c r="P34" s="248" t="s">
        <v>235</v>
      </c>
      <c r="Q34" s="158"/>
      <c r="R34" s="158"/>
      <c r="S34" s="158"/>
      <c r="T34" s="158"/>
      <c r="U34" s="160"/>
      <c r="V34" s="159">
        <f>SUM(V25:V33)</f>
        <v>83.333333333333329</v>
      </c>
    </row>
    <row r="35" spans="2:22" ht="15" customHeight="1" x14ac:dyDescent="0.15">
      <c r="B35" s="1076"/>
      <c r="C35" s="374"/>
      <c r="D35" s="276"/>
      <c r="E35" s="51"/>
      <c r="F35" s="276"/>
      <c r="G35" s="137"/>
      <c r="H35" s="149"/>
      <c r="I35" s="230" t="s">
        <v>230</v>
      </c>
      <c r="J35" s="715" t="s">
        <v>5</v>
      </c>
      <c r="K35" s="1273" t="s">
        <v>231</v>
      </c>
      <c r="L35" s="1274"/>
      <c r="M35" s="249" t="s">
        <v>193</v>
      </c>
      <c r="N35" s="716" t="s">
        <v>254</v>
      </c>
    </row>
    <row r="36" spans="2:22" ht="15" customHeight="1" thickBot="1" x14ac:dyDescent="0.2">
      <c r="B36" s="1076"/>
      <c r="C36" s="374"/>
      <c r="D36" s="276"/>
      <c r="E36" s="51"/>
      <c r="F36" s="276"/>
      <c r="G36" s="137"/>
      <c r="H36" s="149"/>
      <c r="I36" s="1258" t="s">
        <v>2</v>
      </c>
      <c r="J36" s="146" t="s">
        <v>678</v>
      </c>
      <c r="K36" s="1276">
        <v>5940000</v>
      </c>
      <c r="L36" s="1276"/>
      <c r="M36" s="334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36" s="237">
        <f>+K36/M36*0.014*0.3</f>
        <v>831.6</v>
      </c>
      <c r="P36" s="117" t="s">
        <v>236</v>
      </c>
      <c r="Q36" s="117"/>
      <c r="R36" s="117"/>
      <c r="S36" s="117"/>
      <c r="T36" s="117"/>
    </row>
    <row r="37" spans="2:22" ht="15" customHeight="1" x14ac:dyDescent="0.15">
      <c r="B37" s="1076"/>
      <c r="C37" s="374"/>
      <c r="D37" s="276"/>
      <c r="E37" s="51"/>
      <c r="F37" s="276"/>
      <c r="G37" s="137"/>
      <c r="H37" s="149"/>
      <c r="I37" s="1259"/>
      <c r="J37" s="146" t="s">
        <v>679</v>
      </c>
      <c r="K37" s="1276">
        <v>10692000</v>
      </c>
      <c r="L37" s="1276"/>
      <c r="M37" s="334">
        <v>28</v>
      </c>
      <c r="N37" s="237">
        <f>+K37/M37*0.014*0.3</f>
        <v>1603.8</v>
      </c>
      <c r="P37" s="230" t="s">
        <v>229</v>
      </c>
      <c r="Q37" s="1301" t="s">
        <v>237</v>
      </c>
      <c r="R37" s="1301"/>
      <c r="S37" s="631" t="s">
        <v>240</v>
      </c>
      <c r="T37" s="631" t="s">
        <v>239</v>
      </c>
      <c r="U37" s="249" t="s">
        <v>193</v>
      </c>
      <c r="V37" s="250" t="s">
        <v>254</v>
      </c>
    </row>
    <row r="38" spans="2:22" ht="15" customHeight="1" thickBot="1" x14ac:dyDescent="0.2">
      <c r="B38" s="1262"/>
      <c r="C38" s="810" t="s">
        <v>144</v>
      </c>
      <c r="D38" s="138"/>
      <c r="E38" s="138"/>
      <c r="F38" s="138"/>
      <c r="G38" s="139">
        <f>SUM(G28:G37)</f>
        <v>5512.1</v>
      </c>
      <c r="H38" s="149"/>
      <c r="I38" s="1259"/>
      <c r="J38" s="146" t="s">
        <v>677</v>
      </c>
      <c r="K38" s="1276">
        <v>1761750</v>
      </c>
      <c r="L38" s="1276"/>
      <c r="M38" s="334">
        <v>30</v>
      </c>
      <c r="N38" s="237">
        <f>+K38/M38*0.014*0.3</f>
        <v>246.64499999999998</v>
      </c>
      <c r="O38" s="155"/>
      <c r="P38" s="1255" t="s">
        <v>238</v>
      </c>
      <c r="Q38" s="234" t="s">
        <v>228</v>
      </c>
      <c r="R38" s="253"/>
      <c r="S38" s="235">
        <v>3880</v>
      </c>
      <c r="T38" s="254"/>
      <c r="U38" s="235"/>
      <c r="V38" s="237">
        <v>3880</v>
      </c>
    </row>
    <row r="39" spans="2:22" ht="15" customHeight="1" thickTop="1" x14ac:dyDescent="0.15">
      <c r="B39" s="1261" t="s">
        <v>177</v>
      </c>
      <c r="C39" s="811" t="s">
        <v>734</v>
      </c>
      <c r="D39" s="44">
        <v>60</v>
      </c>
      <c r="E39" s="51" t="s">
        <v>299</v>
      </c>
      <c r="F39" s="44">
        <f>1450/500</f>
        <v>2.9</v>
      </c>
      <c r="G39" s="137">
        <f>D39*F39</f>
        <v>174</v>
      </c>
      <c r="H39" s="149"/>
      <c r="I39" s="1259"/>
      <c r="J39" s="146"/>
      <c r="K39" s="1276"/>
      <c r="L39" s="1276"/>
      <c r="M39" s="630"/>
      <c r="N39" s="237"/>
      <c r="O39" s="155"/>
      <c r="P39" s="1256"/>
      <c r="Q39" s="234"/>
      <c r="R39" s="253"/>
      <c r="S39" s="235"/>
      <c r="T39" s="254"/>
      <c r="U39" s="235"/>
      <c r="V39" s="237"/>
    </row>
    <row r="40" spans="2:22" ht="15" customHeight="1" x14ac:dyDescent="0.15">
      <c r="B40" s="1076"/>
      <c r="C40" s="374" t="s">
        <v>314</v>
      </c>
      <c r="D40" s="44">
        <v>1000</v>
      </c>
      <c r="E40" s="51" t="s">
        <v>299</v>
      </c>
      <c r="F40" s="44">
        <f>96020/20000</f>
        <v>4.8010000000000002</v>
      </c>
      <c r="G40" s="137">
        <f>D40*F40</f>
        <v>4801</v>
      </c>
      <c r="H40" s="149"/>
      <c r="I40" s="1259"/>
      <c r="J40" s="146"/>
      <c r="K40" s="1276"/>
      <c r="L40" s="1276"/>
      <c r="M40" s="630"/>
      <c r="N40" s="237"/>
      <c r="O40" s="155"/>
      <c r="P40" s="1256"/>
      <c r="Q40" s="234"/>
      <c r="R40" s="253"/>
      <c r="S40" s="235"/>
      <c r="T40" s="254"/>
      <c r="U40" s="235"/>
      <c r="V40" s="237"/>
    </row>
    <row r="41" spans="2:22" ht="15" customHeight="1" x14ac:dyDescent="0.15">
      <c r="B41" s="1076"/>
      <c r="C41" s="374"/>
      <c r="D41" s="44"/>
      <c r="E41" s="51"/>
      <c r="F41" s="44"/>
      <c r="G41" s="137"/>
      <c r="H41" s="149"/>
      <c r="I41" s="1259"/>
      <c r="J41" s="146"/>
      <c r="K41" s="1276"/>
      <c r="L41" s="1276"/>
      <c r="M41" s="630"/>
      <c r="N41" s="237"/>
      <c r="O41" s="155"/>
      <c r="P41" s="1256"/>
      <c r="Q41" s="234"/>
      <c r="R41" s="253"/>
      <c r="S41" s="235"/>
      <c r="T41" s="254"/>
      <c r="U41" s="235"/>
      <c r="V41" s="237"/>
    </row>
    <row r="42" spans="2:22" ht="15" customHeight="1" thickBot="1" x14ac:dyDescent="0.2">
      <c r="B42" s="1076"/>
      <c r="C42" s="374"/>
      <c r="D42" s="44"/>
      <c r="E42" s="51"/>
      <c r="F42" s="44"/>
      <c r="G42" s="137"/>
      <c r="H42" s="149"/>
      <c r="I42" s="1260"/>
      <c r="J42" s="231" t="s">
        <v>145</v>
      </c>
      <c r="K42" s="1268"/>
      <c r="L42" s="1269"/>
      <c r="M42" s="232"/>
      <c r="N42" s="236">
        <f>SUM(N36:N41)</f>
        <v>2682.0450000000001</v>
      </c>
      <c r="O42" s="155"/>
      <c r="P42" s="1256"/>
      <c r="Q42" s="234"/>
      <c r="R42" s="253"/>
      <c r="S42" s="235"/>
      <c r="T42" s="254"/>
      <c r="U42" s="235"/>
      <c r="V42" s="237"/>
    </row>
    <row r="43" spans="2:22" ht="15" customHeight="1" thickTop="1" x14ac:dyDescent="0.15">
      <c r="B43" s="1076"/>
      <c r="C43" s="374"/>
      <c r="D43" s="44"/>
      <c r="E43" s="51"/>
      <c r="F43" s="44"/>
      <c r="G43" s="137"/>
      <c r="H43" s="149"/>
      <c r="I43" s="1263" t="s">
        <v>232</v>
      </c>
      <c r="J43" s="233" t="s">
        <v>255</v>
      </c>
      <c r="K43" s="1266">
        <v>8200</v>
      </c>
      <c r="L43" s="1266"/>
      <c r="M43" s="632">
        <v>28</v>
      </c>
      <c r="N43" s="252">
        <f>+K43/M43</f>
        <v>292.85714285714283</v>
      </c>
      <c r="O43" s="155"/>
      <c r="P43" s="1256"/>
      <c r="Q43" s="234"/>
      <c r="R43" s="253"/>
      <c r="S43" s="235"/>
      <c r="T43" s="254"/>
      <c r="U43" s="235"/>
      <c r="V43" s="237"/>
    </row>
    <row r="44" spans="2:22" ht="15" customHeight="1" thickBot="1" x14ac:dyDescent="0.2">
      <c r="B44" s="1076"/>
      <c r="C44" s="374"/>
      <c r="D44" s="44"/>
      <c r="E44" s="51"/>
      <c r="F44" s="44"/>
      <c r="G44" s="137"/>
      <c r="H44" s="149"/>
      <c r="I44" s="1264"/>
      <c r="J44" s="613" t="s">
        <v>245</v>
      </c>
      <c r="K44" s="1267">
        <v>4100</v>
      </c>
      <c r="L44" s="1267"/>
      <c r="M44" s="633">
        <v>30</v>
      </c>
      <c r="N44" s="614">
        <f>K44/M44</f>
        <v>136.66666666666666</v>
      </c>
      <c r="O44" s="155"/>
      <c r="P44" s="1257"/>
      <c r="Q44" s="238" t="s">
        <v>241</v>
      </c>
      <c r="R44" s="239"/>
      <c r="S44" s="239"/>
      <c r="T44" s="239"/>
      <c r="U44" s="239"/>
      <c r="V44" s="240">
        <f>SUM(V38:V43)</f>
        <v>3880</v>
      </c>
    </row>
    <row r="45" spans="2:22" ht="15" customHeight="1" thickTop="1" x14ac:dyDescent="0.15">
      <c r="B45" s="1076"/>
      <c r="C45" s="374"/>
      <c r="D45" s="44"/>
      <c r="E45" s="51"/>
      <c r="F45" s="44"/>
      <c r="G45" s="137"/>
      <c r="H45" s="149"/>
      <c r="I45" s="1264"/>
      <c r="J45" s="146"/>
      <c r="K45" s="1276"/>
      <c r="L45" s="1276"/>
      <c r="M45" s="630"/>
      <c r="N45" s="237"/>
      <c r="O45" s="155"/>
      <c r="P45" s="1313" t="s">
        <v>246</v>
      </c>
      <c r="Q45" s="1310" t="s">
        <v>257</v>
      </c>
      <c r="R45" s="255" t="s">
        <v>258</v>
      </c>
      <c r="S45" s="233">
        <v>35750</v>
      </c>
      <c r="T45" s="256">
        <v>1</v>
      </c>
      <c r="U45" s="233">
        <v>28</v>
      </c>
      <c r="V45" s="251">
        <f>+S45*T45/U45</f>
        <v>1276.7857142857142</v>
      </c>
    </row>
    <row r="46" spans="2:22" ht="15" customHeight="1" thickBot="1" x14ac:dyDescent="0.2">
      <c r="B46" s="1076"/>
      <c r="C46" s="374"/>
      <c r="D46" s="44"/>
      <c r="E46" s="51"/>
      <c r="F46" s="44"/>
      <c r="G46" s="137"/>
      <c r="H46" s="149"/>
      <c r="I46" s="1265"/>
      <c r="J46" s="231" t="s">
        <v>145</v>
      </c>
      <c r="K46" s="1268"/>
      <c r="L46" s="1269"/>
      <c r="M46" s="232"/>
      <c r="N46" s="236">
        <f>SUM(N43:N45)</f>
        <v>429.52380952380952</v>
      </c>
      <c r="O46" s="155"/>
      <c r="P46" s="1256"/>
      <c r="Q46" s="1311"/>
      <c r="R46" s="257" t="s">
        <v>245</v>
      </c>
      <c r="S46" s="234">
        <v>15600</v>
      </c>
      <c r="T46" s="254">
        <v>1</v>
      </c>
      <c r="U46" s="234">
        <v>30</v>
      </c>
      <c r="V46" s="237">
        <f>+S46*T46/U46</f>
        <v>520</v>
      </c>
    </row>
    <row r="47" spans="2:22" ht="15" customHeight="1" thickTop="1" x14ac:dyDescent="0.15">
      <c r="B47" s="1076"/>
      <c r="C47" s="374"/>
      <c r="D47" s="44"/>
      <c r="E47" s="51"/>
      <c r="F47" s="44"/>
      <c r="G47" s="137"/>
      <c r="H47" s="149"/>
      <c r="I47" s="1263" t="s">
        <v>233</v>
      </c>
      <c r="J47" s="233" t="s">
        <v>256</v>
      </c>
      <c r="K47" s="1266">
        <v>11500</v>
      </c>
      <c r="L47" s="1266"/>
      <c r="M47" s="632">
        <v>28</v>
      </c>
      <c r="N47" s="251">
        <f>K47/M47</f>
        <v>410.71428571428572</v>
      </c>
      <c r="O47" s="155"/>
      <c r="P47" s="1256"/>
      <c r="Q47" s="1311"/>
      <c r="R47" s="257"/>
      <c r="S47" s="234"/>
      <c r="T47" s="234"/>
      <c r="U47" s="146"/>
      <c r="V47" s="258"/>
    </row>
    <row r="48" spans="2:22" ht="15" customHeight="1" x14ac:dyDescent="0.15">
      <c r="B48" s="1076"/>
      <c r="C48" s="374"/>
      <c r="D48" s="44"/>
      <c r="E48" s="51"/>
      <c r="F48" s="44"/>
      <c r="G48" s="137"/>
      <c r="H48" s="149"/>
      <c r="I48" s="1264"/>
      <c r="J48" s="234"/>
      <c r="K48" s="1276"/>
      <c r="L48" s="1276"/>
      <c r="M48" s="630"/>
      <c r="N48" s="237"/>
      <c r="O48" s="155"/>
      <c r="P48" s="1256"/>
      <c r="Q48" s="1311"/>
      <c r="R48" s="333"/>
      <c r="S48" s="630"/>
      <c r="T48" s="630"/>
      <c r="U48" s="630"/>
      <c r="V48" s="722"/>
    </row>
    <row r="49" spans="2:22" ht="15" customHeight="1" thickBot="1" x14ac:dyDescent="0.2">
      <c r="B49" s="1262"/>
      <c r="C49" s="140" t="s">
        <v>145</v>
      </c>
      <c r="D49" s="141"/>
      <c r="E49" s="141"/>
      <c r="F49" s="141"/>
      <c r="G49" s="142">
        <f>SUM(G39:G48)</f>
        <v>4975</v>
      </c>
      <c r="H49" s="149"/>
      <c r="I49" s="1264"/>
      <c r="J49" s="146"/>
      <c r="K49" s="1276"/>
      <c r="L49" s="1276"/>
      <c r="M49" s="630"/>
      <c r="N49" s="237"/>
      <c r="O49" s="155"/>
      <c r="P49" s="1256"/>
      <c r="Q49" s="1312"/>
      <c r="R49" s="257"/>
      <c r="S49" s="234"/>
      <c r="T49" s="234"/>
      <c r="U49" s="146"/>
      <c r="V49" s="258"/>
    </row>
    <row r="50" spans="2:22" ht="15" customHeight="1" thickTop="1" thickBot="1" x14ac:dyDescent="0.2">
      <c r="B50" s="1261" t="s">
        <v>31</v>
      </c>
      <c r="C50" s="374" t="s">
        <v>735</v>
      </c>
      <c r="D50" s="44">
        <v>10</v>
      </c>
      <c r="E50" s="51" t="s">
        <v>290</v>
      </c>
      <c r="F50" s="44">
        <f>24330/10</f>
        <v>2433</v>
      </c>
      <c r="G50" s="137">
        <f t="shared" ref="G50" si="2">D50*F50</f>
        <v>24330</v>
      </c>
      <c r="H50" s="149"/>
      <c r="I50" s="1265"/>
      <c r="J50" s="231" t="s">
        <v>145</v>
      </c>
      <c r="K50" s="1268"/>
      <c r="L50" s="1269"/>
      <c r="M50" s="232"/>
      <c r="N50" s="236">
        <f>SUM(N47:N49)</f>
        <v>410.71428571428572</v>
      </c>
      <c r="O50" s="155"/>
      <c r="P50" s="1256"/>
      <c r="Q50" s="238" t="s">
        <v>241</v>
      </c>
      <c r="R50" s="239"/>
      <c r="S50" s="239"/>
      <c r="T50" s="239"/>
      <c r="U50" s="239"/>
      <c r="V50" s="240">
        <f>SUM(V45:V49)</f>
        <v>1796.7857142857142</v>
      </c>
    </row>
    <row r="51" spans="2:22" ht="15" customHeight="1" thickTop="1" x14ac:dyDescent="0.15">
      <c r="B51" s="1076"/>
      <c r="C51" s="374"/>
      <c r="D51" s="44"/>
      <c r="E51" s="44"/>
      <c r="F51" s="44"/>
      <c r="G51" s="137"/>
      <c r="H51" s="149"/>
      <c r="I51" s="1263" t="s">
        <v>234</v>
      </c>
      <c r="J51" s="233" t="s">
        <v>52</v>
      </c>
      <c r="K51" s="1277">
        <v>2400</v>
      </c>
      <c r="L51" s="1278"/>
      <c r="M51" s="632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51" s="252">
        <f>+K51/M51</f>
        <v>80</v>
      </c>
      <c r="O51" s="155"/>
      <c r="P51" s="1256"/>
      <c r="Q51" s="1310" t="s">
        <v>259</v>
      </c>
      <c r="R51" s="255" t="s">
        <v>258</v>
      </c>
      <c r="S51" s="233">
        <v>60000</v>
      </c>
      <c r="T51" s="256">
        <v>1</v>
      </c>
      <c r="U51" s="233">
        <v>28</v>
      </c>
      <c r="V51" s="251">
        <f>+S51*T51/U51</f>
        <v>2142.8571428571427</v>
      </c>
    </row>
    <row r="52" spans="2:22" ht="15" customHeight="1" x14ac:dyDescent="0.15">
      <c r="B52" s="1076"/>
      <c r="C52" s="374"/>
      <c r="D52" s="44"/>
      <c r="E52" s="44"/>
      <c r="F52" s="44"/>
      <c r="G52" s="137"/>
      <c r="H52" s="149"/>
      <c r="I52" s="1264"/>
      <c r="J52" s="234" t="s">
        <v>399</v>
      </c>
      <c r="K52" s="1279">
        <v>4800</v>
      </c>
      <c r="L52" s="1280"/>
      <c r="M52" s="241">
        <f>'１　対象経営の概要，２　前提条件'!N7</f>
        <v>28</v>
      </c>
      <c r="N52" s="237">
        <f>+K52/M52*2</f>
        <v>342.85714285714283</v>
      </c>
      <c r="O52" s="155"/>
      <c r="P52" s="1256"/>
      <c r="Q52" s="1311"/>
      <c r="R52" s="257" t="s">
        <v>245</v>
      </c>
      <c r="S52" s="234">
        <v>25000</v>
      </c>
      <c r="T52" s="254">
        <v>1</v>
      </c>
      <c r="U52" s="234">
        <v>30</v>
      </c>
      <c r="V52" s="237">
        <f>+S52*T52/U52</f>
        <v>833.33333333333337</v>
      </c>
    </row>
    <row r="53" spans="2:22" ht="15" customHeight="1" thickBot="1" x14ac:dyDescent="0.2">
      <c r="B53" s="1262"/>
      <c r="C53" s="140" t="s">
        <v>145</v>
      </c>
      <c r="D53" s="141"/>
      <c r="E53" s="141"/>
      <c r="F53" s="141"/>
      <c r="G53" s="142">
        <f>SUM(G50:G52)</f>
        <v>24330</v>
      </c>
      <c r="H53" s="149"/>
      <c r="I53" s="1264"/>
      <c r="J53" s="630" t="s">
        <v>245</v>
      </c>
      <c r="K53" s="1281">
        <v>5000</v>
      </c>
      <c r="L53" s="1282"/>
      <c r="M53" s="334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53" s="237">
        <f t="shared" ref="N53:N54" si="3">+K53/M53</f>
        <v>166.66666666666666</v>
      </c>
      <c r="O53" s="155"/>
      <c r="P53" s="1256"/>
      <c r="Q53" s="1311"/>
      <c r="R53" s="257"/>
      <c r="S53" s="234"/>
      <c r="T53" s="234"/>
      <c r="U53" s="146"/>
      <c r="V53" s="258"/>
    </row>
    <row r="54" spans="2:22" ht="13.9" customHeight="1" thickTop="1" x14ac:dyDescent="0.15">
      <c r="B54" s="1261" t="s">
        <v>312</v>
      </c>
      <c r="C54" s="374" t="s">
        <v>736</v>
      </c>
      <c r="D54" s="313">
        <f>131*50/1000</f>
        <v>6.55</v>
      </c>
      <c r="E54" s="51" t="s">
        <v>290</v>
      </c>
      <c r="F54" s="44">
        <f>9650/3</f>
        <v>3216.6666666666665</v>
      </c>
      <c r="G54" s="136">
        <f>D54*F54</f>
        <v>21069.166666666664</v>
      </c>
      <c r="I54" s="1264"/>
      <c r="J54" s="234" t="s">
        <v>400</v>
      </c>
      <c r="K54" s="1283">
        <v>5900</v>
      </c>
      <c r="L54" s="1284"/>
      <c r="M54" s="334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54" s="464">
        <f t="shared" si="3"/>
        <v>196.66666666666666</v>
      </c>
      <c r="O54" s="155"/>
      <c r="P54" s="1256"/>
      <c r="Q54" s="1311"/>
      <c r="R54" s="333"/>
      <c r="S54" s="630"/>
      <c r="T54" s="630"/>
      <c r="U54" s="630"/>
      <c r="V54" s="722"/>
    </row>
    <row r="55" spans="2:22" x14ac:dyDescent="0.15">
      <c r="B55" s="1076"/>
      <c r="C55" s="374" t="s">
        <v>737</v>
      </c>
      <c r="D55" s="44">
        <v>1000</v>
      </c>
      <c r="E55" s="51" t="s">
        <v>294</v>
      </c>
      <c r="F55" s="44">
        <f>68710/10000</f>
        <v>6.8710000000000004</v>
      </c>
      <c r="G55" s="137">
        <f>D55*F55</f>
        <v>6871</v>
      </c>
      <c r="I55" s="1264"/>
      <c r="J55" s="630"/>
      <c r="K55" s="5"/>
      <c r="L55" s="5"/>
      <c r="M55" s="630"/>
      <c r="N55" s="237"/>
      <c r="O55" s="155"/>
      <c r="P55" s="1256"/>
      <c r="Q55" s="1312"/>
      <c r="R55" s="257"/>
      <c r="S55" s="234"/>
      <c r="T55" s="234"/>
      <c r="U55" s="146"/>
      <c r="V55" s="258"/>
    </row>
    <row r="56" spans="2:22" x14ac:dyDescent="0.15">
      <c r="B56" s="1076"/>
      <c r="C56" s="44"/>
      <c r="D56" s="44"/>
      <c r="E56" s="51"/>
      <c r="F56" s="44"/>
      <c r="G56" s="137"/>
      <c r="I56" s="1258"/>
      <c r="J56" s="717" t="s">
        <v>145</v>
      </c>
      <c r="K56" s="1285"/>
      <c r="L56" s="1286"/>
      <c r="M56" s="718"/>
      <c r="N56" s="719">
        <f>SUM(N51:N54)</f>
        <v>786.19047619047615</v>
      </c>
      <c r="O56" s="155"/>
      <c r="P56" s="1314"/>
      <c r="Q56" s="723" t="s">
        <v>241</v>
      </c>
      <c r="R56" s="724"/>
      <c r="S56" s="724"/>
      <c r="T56" s="724"/>
      <c r="U56" s="724"/>
      <c r="V56" s="725">
        <f>SUM(V51:V55)</f>
        <v>2976.1904761904761</v>
      </c>
    </row>
    <row r="57" spans="2:22" ht="14.25" thickBot="1" x14ac:dyDescent="0.2">
      <c r="B57" s="1077"/>
      <c r="C57" s="143" t="s">
        <v>147</v>
      </c>
      <c r="D57" s="144"/>
      <c r="E57" s="144"/>
      <c r="F57" s="144"/>
      <c r="G57" s="145">
        <f>SUM(G54:G56)</f>
        <v>27940.166666666664</v>
      </c>
      <c r="I57" s="1315" t="s">
        <v>235</v>
      </c>
      <c r="J57" s="1316"/>
      <c r="K57" s="1289"/>
      <c r="L57" s="1290"/>
      <c r="M57" s="720"/>
      <c r="N57" s="721">
        <f>SUM(N42,N46,N50,N56)</f>
        <v>4308.4735714285716</v>
      </c>
      <c r="O57" s="155"/>
      <c r="P57" s="1308" t="s">
        <v>235</v>
      </c>
      <c r="Q57" s="1309"/>
      <c r="R57" s="726"/>
      <c r="S57" s="726"/>
      <c r="T57" s="726"/>
      <c r="U57" s="726"/>
      <c r="V57" s="721">
        <f>SUM(V44,V50,V56)</f>
        <v>8652.9761904761908</v>
      </c>
    </row>
    <row r="58" spans="2:22" x14ac:dyDescent="0.15">
      <c r="O58" s="155"/>
      <c r="V58" s="45"/>
    </row>
    <row r="59" spans="2:22" x14ac:dyDescent="0.15">
      <c r="I59" s="155"/>
      <c r="J59" s="155"/>
      <c r="K59" s="155"/>
      <c r="L59" s="155"/>
      <c r="M59" s="155"/>
      <c r="N59" s="155"/>
      <c r="O59" s="155"/>
    </row>
    <row r="60" spans="2:22" x14ac:dyDescent="0.15">
      <c r="I60" s="155"/>
      <c r="J60" s="155"/>
      <c r="K60" s="155"/>
      <c r="L60" s="155"/>
      <c r="M60" s="155"/>
      <c r="N60" s="155"/>
      <c r="O60" s="155"/>
    </row>
    <row r="61" spans="2:22" x14ac:dyDescent="0.15">
      <c r="I61" s="155"/>
      <c r="J61" s="155"/>
      <c r="K61" s="155"/>
      <c r="L61" s="155"/>
      <c r="M61" s="155"/>
      <c r="N61" s="155"/>
      <c r="O61" s="155"/>
    </row>
    <row r="62" spans="2:22" x14ac:dyDescent="0.15">
      <c r="I62" s="155"/>
      <c r="J62" s="155"/>
      <c r="K62" s="155"/>
      <c r="L62" s="155"/>
      <c r="M62" s="155"/>
      <c r="N62" s="155"/>
      <c r="O62" s="155"/>
    </row>
    <row r="63" spans="2:22" x14ac:dyDescent="0.15">
      <c r="I63" s="155"/>
      <c r="J63" s="155"/>
      <c r="K63" s="155"/>
      <c r="L63" s="155"/>
      <c r="M63" s="155"/>
      <c r="N63" s="155"/>
      <c r="O63" s="155"/>
    </row>
    <row r="64" spans="2:22" x14ac:dyDescent="0.15">
      <c r="I64" s="155"/>
      <c r="J64" s="155"/>
      <c r="K64" s="155"/>
      <c r="L64" s="155"/>
      <c r="M64" s="155"/>
      <c r="N64" s="155"/>
      <c r="O64" s="155"/>
    </row>
    <row r="65" spans="9:15" x14ac:dyDescent="0.15">
      <c r="I65" s="155"/>
      <c r="J65" s="155"/>
      <c r="K65" s="155"/>
      <c r="L65" s="155"/>
      <c r="M65" s="155"/>
      <c r="N65" s="155"/>
      <c r="O65" s="155"/>
    </row>
    <row r="66" spans="9:15" x14ac:dyDescent="0.15">
      <c r="I66" s="155"/>
      <c r="J66" s="155"/>
      <c r="K66" s="155"/>
      <c r="L66" s="155"/>
      <c r="M66" s="155"/>
      <c r="N66" s="155"/>
      <c r="O66" s="155"/>
    </row>
    <row r="67" spans="9:15" x14ac:dyDescent="0.15">
      <c r="I67" s="155"/>
      <c r="J67" s="155"/>
      <c r="K67" s="155"/>
      <c r="L67" s="155"/>
      <c r="M67" s="155"/>
      <c r="N67" s="155"/>
      <c r="O67" s="155"/>
    </row>
    <row r="68" spans="9:15" x14ac:dyDescent="0.15">
      <c r="I68" s="155"/>
      <c r="J68" s="155"/>
      <c r="K68" s="155"/>
      <c r="L68" s="155"/>
      <c r="M68" s="155"/>
      <c r="N68" s="155"/>
      <c r="O68" s="155"/>
    </row>
    <row r="69" spans="9:15" x14ac:dyDescent="0.15">
      <c r="I69" s="155"/>
      <c r="J69" s="155"/>
      <c r="K69" s="155"/>
      <c r="L69" s="155"/>
      <c r="M69" s="155"/>
      <c r="N69" s="155"/>
      <c r="O69" s="155"/>
    </row>
    <row r="70" spans="9:15" x14ac:dyDescent="0.15">
      <c r="I70" s="155"/>
      <c r="J70" s="155"/>
      <c r="K70" s="155"/>
      <c r="L70" s="155"/>
      <c r="M70" s="155"/>
      <c r="N70" s="155"/>
      <c r="O70" s="155"/>
    </row>
    <row r="71" spans="9:15" x14ac:dyDescent="0.15">
      <c r="I71" s="155"/>
      <c r="J71" s="155"/>
      <c r="K71" s="155"/>
      <c r="L71" s="155"/>
      <c r="M71" s="155"/>
      <c r="N71" s="155"/>
      <c r="O71" s="155"/>
    </row>
    <row r="72" spans="9:15" x14ac:dyDescent="0.15">
      <c r="I72" s="155"/>
      <c r="J72" s="155"/>
      <c r="K72" s="155"/>
      <c r="L72" s="155"/>
      <c r="M72" s="155"/>
      <c r="N72" s="155"/>
      <c r="O72" s="155"/>
    </row>
    <row r="73" spans="9:15" x14ac:dyDescent="0.15">
      <c r="I73" s="155"/>
      <c r="J73" s="155"/>
      <c r="K73" s="155"/>
      <c r="L73" s="155"/>
      <c r="M73" s="155"/>
      <c r="N73" s="155"/>
      <c r="O73" s="155"/>
    </row>
    <row r="74" spans="9:15" x14ac:dyDescent="0.15">
      <c r="I74" s="155"/>
      <c r="J74" s="155"/>
      <c r="K74" s="155"/>
      <c r="L74" s="155"/>
      <c r="M74" s="155"/>
      <c r="N74" s="155"/>
      <c r="O74" s="155"/>
    </row>
    <row r="75" spans="9:15" x14ac:dyDescent="0.15">
      <c r="I75" s="155"/>
      <c r="J75" s="155"/>
      <c r="K75" s="155"/>
      <c r="L75" s="155"/>
      <c r="M75" s="155"/>
      <c r="N75" s="155"/>
      <c r="O75" s="155"/>
    </row>
    <row r="76" spans="9:15" x14ac:dyDescent="0.15">
      <c r="I76" s="155"/>
      <c r="J76" s="155"/>
      <c r="K76" s="155"/>
      <c r="L76" s="155"/>
      <c r="M76" s="155"/>
      <c r="N76" s="155"/>
      <c r="O76" s="155"/>
    </row>
    <row r="77" spans="9:15" x14ac:dyDescent="0.15">
      <c r="I77" s="155"/>
      <c r="J77" s="155"/>
      <c r="K77" s="155"/>
      <c r="L77" s="155"/>
      <c r="M77" s="155"/>
      <c r="N77" s="155"/>
      <c r="O77" s="155"/>
    </row>
    <row r="78" spans="9:15" x14ac:dyDescent="0.15">
      <c r="I78" s="155"/>
      <c r="J78" s="155"/>
      <c r="K78" s="155"/>
      <c r="L78" s="155"/>
      <c r="M78" s="155"/>
      <c r="N78" s="155"/>
      <c r="O78" s="155"/>
    </row>
    <row r="79" spans="9:15" x14ac:dyDescent="0.15">
      <c r="I79" s="155"/>
      <c r="J79" s="155"/>
      <c r="K79" s="155"/>
      <c r="L79" s="155"/>
      <c r="M79" s="155"/>
      <c r="N79" s="155"/>
      <c r="O79" s="155"/>
    </row>
    <row r="80" spans="9:15" x14ac:dyDescent="0.15">
      <c r="I80" s="155"/>
      <c r="J80" s="155"/>
      <c r="K80" s="155"/>
      <c r="L80" s="155"/>
      <c r="M80" s="155"/>
      <c r="N80" s="155"/>
      <c r="O80" s="155"/>
    </row>
    <row r="81" spans="2:15" x14ac:dyDescent="0.15">
      <c r="I81" s="155"/>
      <c r="J81" s="155"/>
      <c r="K81" s="155"/>
      <c r="L81" s="155"/>
      <c r="M81" s="155"/>
      <c r="N81" s="155"/>
      <c r="O81" s="155"/>
    </row>
    <row r="82" spans="2:15" x14ac:dyDescent="0.15">
      <c r="I82" s="155"/>
      <c r="J82" s="155"/>
      <c r="K82" s="155"/>
      <c r="L82" s="155"/>
      <c r="M82" s="155"/>
      <c r="N82" s="155"/>
      <c r="O82" s="155"/>
    </row>
    <row r="83" spans="2:15" x14ac:dyDescent="0.15">
      <c r="B83" s="148"/>
      <c r="C83" s="149"/>
      <c r="D83" s="149"/>
      <c r="E83" s="149"/>
      <c r="F83" s="149"/>
      <c r="I83" s="155"/>
      <c r="J83" s="155"/>
      <c r="K83" s="155"/>
      <c r="L83" s="155"/>
      <c r="M83" s="155"/>
      <c r="N83" s="155"/>
      <c r="O83" s="155"/>
    </row>
    <row r="84" spans="2:15" x14ac:dyDescent="0.15">
      <c r="B84" s="148"/>
      <c r="C84" s="149"/>
      <c r="D84" s="149"/>
      <c r="E84" s="149"/>
      <c r="F84" s="149"/>
      <c r="I84" s="155"/>
      <c r="J84" s="155"/>
      <c r="K84" s="155"/>
      <c r="L84" s="155"/>
      <c r="M84" s="155"/>
      <c r="N84" s="155"/>
      <c r="O84" s="155"/>
    </row>
    <row r="85" spans="2:15" x14ac:dyDescent="0.15">
      <c r="I85" s="155"/>
      <c r="J85" s="155"/>
      <c r="K85" s="155"/>
      <c r="L85" s="155"/>
      <c r="M85" s="155"/>
      <c r="N85" s="155"/>
      <c r="O85" s="155"/>
    </row>
    <row r="86" spans="2:15" x14ac:dyDescent="0.15">
      <c r="I86" s="155"/>
      <c r="J86" s="155"/>
      <c r="K86" s="155"/>
      <c r="L86" s="155"/>
      <c r="M86" s="155"/>
      <c r="N86" s="155"/>
      <c r="O86" s="155"/>
    </row>
    <row r="87" spans="2:15" x14ac:dyDescent="0.15">
      <c r="I87" s="155"/>
      <c r="J87" s="155"/>
      <c r="K87" s="155"/>
      <c r="L87" s="155"/>
      <c r="M87" s="155"/>
      <c r="N87" s="155"/>
      <c r="O87" s="155"/>
    </row>
    <row r="88" spans="2:15" x14ac:dyDescent="0.15">
      <c r="I88" s="155"/>
      <c r="J88" s="155"/>
      <c r="K88" s="155"/>
      <c r="L88" s="155"/>
      <c r="M88" s="155"/>
      <c r="N88" s="155"/>
      <c r="O88" s="155"/>
    </row>
    <row r="89" spans="2:15" x14ac:dyDescent="0.15">
      <c r="I89" s="155"/>
      <c r="J89" s="155"/>
      <c r="K89" s="155"/>
      <c r="L89" s="155"/>
      <c r="M89" s="155"/>
      <c r="N89" s="155"/>
      <c r="O89" s="155"/>
    </row>
    <row r="90" spans="2:15" x14ac:dyDescent="0.15">
      <c r="I90" s="155"/>
      <c r="J90" s="155"/>
      <c r="K90" s="155"/>
      <c r="L90" s="155"/>
      <c r="M90" s="155"/>
      <c r="N90" s="155"/>
      <c r="O90" s="155"/>
    </row>
    <row r="91" spans="2:15" x14ac:dyDescent="0.15">
      <c r="I91" s="155"/>
      <c r="J91" s="155"/>
      <c r="K91" s="155"/>
      <c r="L91" s="155"/>
      <c r="M91" s="155"/>
      <c r="N91" s="155"/>
      <c r="O91" s="155"/>
    </row>
    <row r="92" spans="2:15" x14ac:dyDescent="0.15">
      <c r="I92" s="155"/>
      <c r="J92" s="155"/>
      <c r="K92" s="155"/>
      <c r="L92" s="155"/>
      <c r="M92" s="155"/>
      <c r="N92" s="155"/>
      <c r="O92" s="155"/>
    </row>
    <row r="93" spans="2:15" x14ac:dyDescent="0.15">
      <c r="I93" s="155"/>
      <c r="J93" s="155"/>
      <c r="K93" s="155"/>
      <c r="L93" s="155"/>
      <c r="M93" s="155"/>
      <c r="N93" s="155"/>
      <c r="O93" s="155"/>
    </row>
    <row r="94" spans="2:15" x14ac:dyDescent="0.15">
      <c r="I94" s="155"/>
      <c r="J94" s="155"/>
      <c r="K94" s="155"/>
      <c r="L94" s="155"/>
      <c r="M94" s="155"/>
      <c r="N94" s="155"/>
      <c r="O94" s="155"/>
    </row>
    <row r="95" spans="2:15" x14ac:dyDescent="0.15">
      <c r="I95" s="155"/>
      <c r="J95" s="155"/>
      <c r="K95" s="155"/>
      <c r="L95" s="155"/>
      <c r="M95" s="155"/>
      <c r="N95" s="155"/>
      <c r="O95" s="155"/>
    </row>
    <row r="96" spans="2:15" x14ac:dyDescent="0.15">
      <c r="I96" s="155"/>
      <c r="J96" s="155"/>
      <c r="K96" s="155"/>
      <c r="L96" s="155"/>
      <c r="M96" s="155"/>
      <c r="N96" s="155"/>
      <c r="O96" s="155"/>
    </row>
    <row r="97" spans="9:15" x14ac:dyDescent="0.15">
      <c r="I97" s="155"/>
      <c r="J97" s="155"/>
      <c r="K97" s="155"/>
      <c r="L97" s="155"/>
      <c r="M97" s="155"/>
      <c r="N97" s="155"/>
      <c r="O97" s="155"/>
    </row>
    <row r="98" spans="9:15" x14ac:dyDescent="0.15">
      <c r="I98" s="155"/>
      <c r="J98" s="155"/>
      <c r="K98" s="155"/>
      <c r="L98" s="155"/>
      <c r="M98" s="155"/>
      <c r="N98" s="155"/>
      <c r="O98" s="155"/>
    </row>
    <row r="99" spans="9:15" x14ac:dyDescent="0.15">
      <c r="I99" s="155"/>
      <c r="J99" s="155"/>
      <c r="K99" s="155"/>
      <c r="L99" s="155"/>
      <c r="M99" s="155"/>
      <c r="N99" s="155"/>
      <c r="O99" s="155"/>
    </row>
    <row r="100" spans="9:15" x14ac:dyDescent="0.15">
      <c r="I100" s="155"/>
      <c r="J100" s="155"/>
      <c r="K100" s="155"/>
      <c r="L100" s="155"/>
      <c r="M100" s="155"/>
      <c r="N100" s="155"/>
      <c r="O100" s="155"/>
    </row>
    <row r="101" spans="9:15" x14ac:dyDescent="0.15">
      <c r="I101" s="155"/>
      <c r="J101" s="155"/>
      <c r="K101" s="155"/>
      <c r="L101" s="155"/>
      <c r="M101" s="155"/>
      <c r="N101" s="155"/>
      <c r="O101" s="155"/>
    </row>
    <row r="102" spans="9:15" x14ac:dyDescent="0.15">
      <c r="I102" s="155"/>
      <c r="J102" s="155"/>
      <c r="K102" s="155"/>
      <c r="L102" s="155"/>
      <c r="M102" s="155"/>
      <c r="N102" s="155"/>
      <c r="O102" s="155"/>
    </row>
    <row r="103" spans="9:15" x14ac:dyDescent="0.15">
      <c r="I103" s="155"/>
      <c r="J103" s="155"/>
      <c r="K103" s="155"/>
      <c r="L103" s="155"/>
      <c r="M103" s="155"/>
      <c r="N103" s="155"/>
      <c r="O103" s="155"/>
    </row>
    <row r="104" spans="9:15" x14ac:dyDescent="0.15">
      <c r="I104" s="155"/>
      <c r="J104" s="155"/>
      <c r="K104" s="155"/>
      <c r="L104" s="155"/>
      <c r="M104" s="155"/>
      <c r="N104" s="155"/>
      <c r="O104" s="155"/>
    </row>
    <row r="105" spans="9:15" x14ac:dyDescent="0.15">
      <c r="I105" s="155"/>
      <c r="J105" s="155"/>
      <c r="K105" s="155"/>
      <c r="L105" s="155"/>
      <c r="M105" s="155"/>
      <c r="N105" s="155"/>
      <c r="O105" s="155"/>
    </row>
    <row r="106" spans="9:15" x14ac:dyDescent="0.15">
      <c r="I106" s="155"/>
      <c r="J106" s="155"/>
      <c r="K106" s="155"/>
      <c r="L106" s="155"/>
      <c r="M106" s="155"/>
      <c r="N106" s="155"/>
      <c r="O106" s="155"/>
    </row>
    <row r="107" spans="9:15" x14ac:dyDescent="0.15">
      <c r="I107" s="155"/>
      <c r="J107" s="155"/>
      <c r="K107" s="155"/>
      <c r="L107" s="155"/>
      <c r="M107" s="155"/>
      <c r="N107" s="155"/>
      <c r="O107" s="155"/>
    </row>
    <row r="108" spans="9:15" x14ac:dyDescent="0.15">
      <c r="I108" s="155"/>
      <c r="J108" s="155"/>
      <c r="K108" s="155"/>
      <c r="L108" s="155"/>
      <c r="M108" s="155"/>
      <c r="N108" s="155"/>
      <c r="O108" s="155"/>
    </row>
    <row r="109" spans="9:15" x14ac:dyDescent="0.15">
      <c r="I109" s="155"/>
      <c r="J109" s="155"/>
      <c r="K109" s="155"/>
      <c r="L109" s="155"/>
      <c r="M109" s="155"/>
      <c r="N109" s="155"/>
      <c r="O109" s="155"/>
    </row>
    <row r="110" spans="9:15" x14ac:dyDescent="0.15">
      <c r="I110" s="155"/>
      <c r="J110" s="155"/>
      <c r="K110" s="155"/>
      <c r="L110" s="155"/>
      <c r="M110" s="155"/>
      <c r="N110" s="155"/>
      <c r="O110" s="155"/>
    </row>
    <row r="111" spans="9:15" x14ac:dyDescent="0.15">
      <c r="I111" s="155"/>
      <c r="J111" s="155"/>
      <c r="K111" s="155"/>
      <c r="L111" s="155"/>
      <c r="M111" s="155"/>
      <c r="N111" s="155"/>
      <c r="O111" s="155"/>
    </row>
    <row r="112" spans="9:15" x14ac:dyDescent="0.15">
      <c r="I112" s="155"/>
      <c r="J112" s="155"/>
      <c r="K112" s="155"/>
      <c r="L112" s="155"/>
      <c r="M112" s="155"/>
      <c r="N112" s="155"/>
      <c r="O112" s="155"/>
    </row>
    <row r="113" spans="9:15" x14ac:dyDescent="0.15">
      <c r="I113" s="155"/>
      <c r="J113" s="155"/>
      <c r="K113" s="155"/>
      <c r="L113" s="155"/>
      <c r="M113" s="155"/>
      <c r="N113" s="155"/>
      <c r="O113" s="155"/>
    </row>
    <row r="114" spans="9:15" x14ac:dyDescent="0.15">
      <c r="I114" s="155"/>
      <c r="J114" s="155"/>
      <c r="K114" s="155"/>
      <c r="L114" s="155"/>
      <c r="M114" s="155"/>
      <c r="N114" s="155"/>
      <c r="O114" s="155"/>
    </row>
    <row r="115" spans="9:15" x14ac:dyDescent="0.15">
      <c r="I115" s="155"/>
      <c r="J115" s="155"/>
      <c r="K115" s="155"/>
      <c r="L115" s="155"/>
      <c r="M115" s="155"/>
      <c r="N115" s="155"/>
      <c r="O115" s="155"/>
    </row>
    <row r="116" spans="9:15" x14ac:dyDescent="0.15">
      <c r="I116" s="155"/>
      <c r="J116" s="155"/>
      <c r="K116" s="155"/>
      <c r="L116" s="155"/>
      <c r="M116" s="155"/>
      <c r="N116" s="155"/>
      <c r="O116" s="155"/>
    </row>
    <row r="117" spans="9:15" x14ac:dyDescent="0.15">
      <c r="I117" s="155"/>
      <c r="J117" s="155"/>
      <c r="K117" s="155"/>
      <c r="L117" s="155"/>
      <c r="M117" s="155"/>
      <c r="N117" s="155"/>
      <c r="O117" s="155"/>
    </row>
    <row r="118" spans="9:15" x14ac:dyDescent="0.15">
      <c r="I118" s="155"/>
      <c r="J118" s="155"/>
      <c r="K118" s="155"/>
      <c r="L118" s="155"/>
      <c r="M118" s="155"/>
      <c r="N118" s="155"/>
      <c r="O118" s="155"/>
    </row>
    <row r="119" spans="9:15" x14ac:dyDescent="0.15">
      <c r="I119" s="155"/>
      <c r="J119" s="155"/>
      <c r="K119" s="155"/>
      <c r="L119" s="155"/>
      <c r="M119" s="155"/>
      <c r="N119" s="155"/>
      <c r="O119" s="155"/>
    </row>
    <row r="120" spans="9:15" x14ac:dyDescent="0.15">
      <c r="I120" s="155"/>
      <c r="J120" s="155"/>
      <c r="K120" s="155"/>
      <c r="L120" s="155"/>
      <c r="M120" s="155"/>
      <c r="N120" s="155"/>
      <c r="O120" s="155"/>
    </row>
    <row r="121" spans="9:15" x14ac:dyDescent="0.15">
      <c r="I121" s="155"/>
      <c r="J121" s="155"/>
      <c r="K121" s="155"/>
      <c r="L121" s="155"/>
      <c r="M121" s="155"/>
      <c r="N121" s="155"/>
      <c r="O121" s="155"/>
    </row>
    <row r="122" spans="9:15" x14ac:dyDescent="0.15">
      <c r="I122" s="155"/>
      <c r="J122" s="155"/>
      <c r="K122" s="155"/>
      <c r="L122" s="155"/>
      <c r="M122" s="155"/>
      <c r="N122" s="155"/>
      <c r="O122" s="155"/>
    </row>
    <row r="123" spans="9:15" x14ac:dyDescent="0.15">
      <c r="I123" s="155"/>
      <c r="J123" s="155"/>
      <c r="K123" s="155"/>
      <c r="L123" s="155"/>
      <c r="M123" s="155"/>
      <c r="N123" s="155"/>
      <c r="O123" s="155"/>
    </row>
    <row r="124" spans="9:15" x14ac:dyDescent="0.15">
      <c r="I124" s="155"/>
      <c r="J124" s="155"/>
      <c r="K124" s="155"/>
      <c r="L124" s="155"/>
      <c r="M124" s="155"/>
      <c r="N124" s="155"/>
      <c r="O124" s="155"/>
    </row>
    <row r="125" spans="9:15" x14ac:dyDescent="0.15">
      <c r="I125" s="155"/>
      <c r="J125" s="155"/>
      <c r="K125" s="155"/>
      <c r="L125" s="155"/>
      <c r="M125" s="155"/>
      <c r="N125" s="155"/>
      <c r="O125" s="155"/>
    </row>
    <row r="126" spans="9:15" x14ac:dyDescent="0.15">
      <c r="I126" s="155"/>
      <c r="J126" s="155"/>
      <c r="K126" s="155"/>
      <c r="L126" s="155"/>
      <c r="M126" s="155"/>
      <c r="N126" s="155"/>
      <c r="O126" s="155"/>
    </row>
    <row r="127" spans="9:15" x14ac:dyDescent="0.15">
      <c r="I127" s="155"/>
      <c r="J127" s="155"/>
      <c r="K127" s="155"/>
      <c r="L127" s="155"/>
      <c r="M127" s="155"/>
      <c r="N127" s="155"/>
      <c r="O127" s="155"/>
    </row>
    <row r="128" spans="9:15" x14ac:dyDescent="0.15">
      <c r="I128" s="155"/>
      <c r="J128" s="155"/>
      <c r="K128" s="155"/>
      <c r="L128" s="155"/>
      <c r="M128" s="155"/>
      <c r="N128" s="155"/>
      <c r="O128" s="155"/>
    </row>
    <row r="129" spans="9:15" x14ac:dyDescent="0.15">
      <c r="I129" s="155"/>
      <c r="J129" s="155"/>
      <c r="K129" s="155"/>
      <c r="L129" s="155"/>
      <c r="M129" s="155"/>
      <c r="N129" s="155"/>
      <c r="O129" s="155"/>
    </row>
    <row r="130" spans="9:15" x14ac:dyDescent="0.15">
      <c r="I130" s="155"/>
      <c r="J130" s="155"/>
      <c r="K130" s="155"/>
      <c r="L130" s="155"/>
      <c r="M130" s="155"/>
      <c r="N130" s="155"/>
      <c r="O130" s="155"/>
    </row>
    <row r="131" spans="9:15" x14ac:dyDescent="0.15">
      <c r="I131" s="155"/>
      <c r="J131" s="155"/>
      <c r="K131" s="155"/>
      <c r="L131" s="155"/>
      <c r="M131" s="155"/>
      <c r="N131" s="155"/>
      <c r="O131" s="155"/>
    </row>
    <row r="132" spans="9:15" x14ac:dyDescent="0.15">
      <c r="I132" s="155"/>
      <c r="J132" s="155"/>
      <c r="K132" s="155"/>
      <c r="L132" s="155"/>
      <c r="M132" s="155"/>
      <c r="N132" s="155"/>
      <c r="O132" s="155"/>
    </row>
    <row r="133" spans="9:15" x14ac:dyDescent="0.15">
      <c r="I133" s="155"/>
      <c r="J133" s="155"/>
      <c r="K133" s="155"/>
      <c r="L133" s="155"/>
      <c r="M133" s="155"/>
      <c r="N133" s="155"/>
      <c r="O133" s="155"/>
    </row>
    <row r="134" spans="9:15" x14ac:dyDescent="0.15">
      <c r="I134" s="155"/>
      <c r="J134" s="155"/>
      <c r="K134" s="155"/>
      <c r="L134" s="155"/>
      <c r="M134" s="155"/>
      <c r="N134" s="155"/>
      <c r="O134" s="155"/>
    </row>
    <row r="135" spans="9:15" x14ac:dyDescent="0.15">
      <c r="I135" s="155"/>
      <c r="J135" s="155"/>
      <c r="K135" s="155"/>
      <c r="L135" s="155"/>
      <c r="M135" s="155"/>
      <c r="N135" s="155"/>
      <c r="O135" s="155"/>
    </row>
    <row r="136" spans="9:15" x14ac:dyDescent="0.15">
      <c r="I136" s="155"/>
      <c r="J136" s="155"/>
      <c r="K136" s="155"/>
      <c r="L136" s="155"/>
      <c r="M136" s="155"/>
      <c r="N136" s="155"/>
      <c r="O136" s="155"/>
    </row>
    <row r="137" spans="9:15" x14ac:dyDescent="0.15">
      <c r="I137" s="155"/>
      <c r="J137" s="155"/>
      <c r="K137" s="155"/>
      <c r="L137" s="155"/>
      <c r="M137" s="155"/>
      <c r="N137" s="155"/>
      <c r="O137" s="155"/>
    </row>
    <row r="138" spans="9:15" x14ac:dyDescent="0.15">
      <c r="I138" s="155"/>
      <c r="J138" s="155"/>
      <c r="K138" s="155"/>
      <c r="L138" s="155"/>
      <c r="M138" s="155"/>
      <c r="N138" s="155"/>
      <c r="O138" s="155"/>
    </row>
    <row r="139" spans="9:15" x14ac:dyDescent="0.15">
      <c r="I139" s="155"/>
      <c r="J139" s="155"/>
      <c r="K139" s="155"/>
      <c r="L139" s="155"/>
      <c r="M139" s="155"/>
      <c r="N139" s="155"/>
      <c r="O139" s="155"/>
    </row>
    <row r="140" spans="9:15" x14ac:dyDescent="0.15">
      <c r="I140" s="155"/>
      <c r="J140" s="155"/>
      <c r="K140" s="155"/>
      <c r="L140" s="155"/>
      <c r="M140" s="155"/>
      <c r="N140" s="155"/>
    </row>
    <row r="141" spans="9:15" x14ac:dyDescent="0.15">
      <c r="I141" s="155"/>
      <c r="J141" s="155"/>
      <c r="K141" s="155"/>
      <c r="L141" s="155"/>
      <c r="M141" s="155"/>
      <c r="N141" s="155"/>
    </row>
    <row r="142" spans="9:15" x14ac:dyDescent="0.15">
      <c r="I142" s="155"/>
      <c r="J142" s="155"/>
      <c r="K142" s="155"/>
      <c r="L142" s="155"/>
      <c r="M142" s="155"/>
      <c r="N142" s="155"/>
    </row>
    <row r="143" spans="9:15" x14ac:dyDescent="0.15">
      <c r="I143" s="155"/>
      <c r="J143" s="155"/>
      <c r="K143" s="155"/>
      <c r="L143" s="155"/>
      <c r="M143" s="155"/>
      <c r="N143" s="155"/>
    </row>
    <row r="144" spans="9:15" x14ac:dyDescent="0.15">
      <c r="I144" s="155"/>
      <c r="J144" s="155"/>
      <c r="K144" s="155"/>
      <c r="L144" s="155"/>
      <c r="M144" s="155"/>
      <c r="N144" s="155"/>
    </row>
    <row r="145" spans="9:14" x14ac:dyDescent="0.15">
      <c r="I145" s="155"/>
      <c r="J145" s="155"/>
      <c r="K145" s="155"/>
      <c r="L145" s="155"/>
      <c r="M145" s="155"/>
      <c r="N145" s="155"/>
    </row>
    <row r="146" spans="9:14" x14ac:dyDescent="0.15">
      <c r="I146" s="155"/>
      <c r="J146" s="155"/>
      <c r="K146" s="155"/>
      <c r="L146" s="155"/>
      <c r="M146" s="155"/>
      <c r="N146" s="155"/>
    </row>
    <row r="147" spans="9:14" x14ac:dyDescent="0.15">
      <c r="I147" s="155"/>
      <c r="J147" s="155"/>
      <c r="K147" s="155"/>
      <c r="L147" s="155"/>
      <c r="M147" s="155"/>
      <c r="N147" s="155"/>
    </row>
    <row r="148" spans="9:14" x14ac:dyDescent="0.15">
      <c r="I148" s="155"/>
      <c r="J148" s="155"/>
      <c r="K148" s="155"/>
      <c r="L148" s="155"/>
      <c r="M148" s="155"/>
      <c r="N148" s="155"/>
    </row>
    <row r="149" spans="9:14" x14ac:dyDescent="0.15">
      <c r="I149" s="155"/>
      <c r="J149" s="155"/>
      <c r="K149" s="155"/>
      <c r="L149" s="155"/>
      <c r="M149" s="155"/>
      <c r="N149" s="155"/>
    </row>
    <row r="150" spans="9:14" x14ac:dyDescent="0.15">
      <c r="I150" s="155"/>
      <c r="J150" s="155"/>
      <c r="K150" s="155"/>
      <c r="L150" s="155"/>
      <c r="M150" s="155"/>
      <c r="N150" s="155"/>
    </row>
    <row r="151" spans="9:14" x14ac:dyDescent="0.15">
      <c r="I151" s="155"/>
      <c r="J151" s="155"/>
      <c r="K151" s="155"/>
      <c r="L151" s="155"/>
      <c r="M151" s="155"/>
      <c r="N151" s="155"/>
    </row>
    <row r="152" spans="9:14" x14ac:dyDescent="0.15">
      <c r="I152" s="155"/>
      <c r="J152" s="155"/>
      <c r="K152" s="155"/>
      <c r="L152" s="155"/>
      <c r="M152" s="155"/>
      <c r="N152" s="155"/>
    </row>
    <row r="153" spans="9:14" x14ac:dyDescent="0.15">
      <c r="I153" s="155"/>
      <c r="J153" s="155"/>
      <c r="K153" s="155"/>
      <c r="L153" s="155"/>
      <c r="M153" s="155"/>
      <c r="N153" s="155"/>
    </row>
    <row r="154" spans="9:14" x14ac:dyDescent="0.15">
      <c r="I154" s="155"/>
      <c r="J154" s="155"/>
      <c r="K154" s="155"/>
      <c r="L154" s="155"/>
      <c r="M154" s="155"/>
      <c r="N154" s="155"/>
    </row>
    <row r="155" spans="9:14" x14ac:dyDescent="0.15">
      <c r="J155" s="155"/>
      <c r="K155" s="155"/>
      <c r="L155" s="155"/>
      <c r="M155" s="155"/>
      <c r="N155" s="155"/>
    </row>
    <row r="156" spans="9:14" x14ac:dyDescent="0.15">
      <c r="J156" s="155"/>
      <c r="K156" s="155"/>
      <c r="L156" s="155"/>
      <c r="M156" s="155"/>
      <c r="N156" s="155"/>
    </row>
    <row r="173" spans="15:15" x14ac:dyDescent="0.15">
      <c r="O173" s="155"/>
    </row>
    <row r="174" spans="15:15" x14ac:dyDescent="0.15">
      <c r="O174" s="155"/>
    </row>
    <row r="175" spans="15:15" x14ac:dyDescent="0.15">
      <c r="O175" s="155"/>
    </row>
    <row r="176" spans="15:15" x14ac:dyDescent="0.15">
      <c r="O176" s="155"/>
    </row>
    <row r="177" spans="15:15" x14ac:dyDescent="0.15">
      <c r="O177" s="155"/>
    </row>
    <row r="178" spans="15:15" x14ac:dyDescent="0.15">
      <c r="O178" s="155"/>
    </row>
    <row r="179" spans="15:15" x14ac:dyDescent="0.15">
      <c r="O179" s="155"/>
    </row>
    <row r="180" spans="15:15" x14ac:dyDescent="0.15">
      <c r="O180" s="155"/>
    </row>
    <row r="181" spans="15:15" x14ac:dyDescent="0.15">
      <c r="O181" s="155"/>
    </row>
    <row r="182" spans="15:15" x14ac:dyDescent="0.15">
      <c r="O182" s="155"/>
    </row>
    <row r="183" spans="15:15" x14ac:dyDescent="0.15">
      <c r="O183" s="155"/>
    </row>
    <row r="184" spans="15:15" x14ac:dyDescent="0.15">
      <c r="O184" s="155"/>
    </row>
    <row r="185" spans="15:15" x14ac:dyDescent="0.15">
      <c r="O185" s="155"/>
    </row>
    <row r="186" spans="15:15" x14ac:dyDescent="0.15">
      <c r="O186" s="155"/>
    </row>
    <row r="187" spans="15:15" x14ac:dyDescent="0.15">
      <c r="O187" s="155"/>
    </row>
    <row r="188" spans="15:15" x14ac:dyDescent="0.15">
      <c r="O188" s="155"/>
    </row>
    <row r="189" spans="15:15" x14ac:dyDescent="0.15">
      <c r="O189" s="155"/>
    </row>
    <row r="190" spans="15:15" x14ac:dyDescent="0.15">
      <c r="O190" s="155"/>
    </row>
    <row r="191" spans="15:15" x14ac:dyDescent="0.15">
      <c r="O191" s="155"/>
    </row>
    <row r="192" spans="15:15" x14ac:dyDescent="0.15">
      <c r="O192" s="155"/>
    </row>
  </sheetData>
  <mergeCells count="69">
    <mergeCell ref="P57:Q57"/>
    <mergeCell ref="Q45:Q49"/>
    <mergeCell ref="Q51:Q55"/>
    <mergeCell ref="P45:P56"/>
    <mergeCell ref="I57:J57"/>
    <mergeCell ref="K45:L45"/>
    <mergeCell ref="K48:L48"/>
    <mergeCell ref="K49:L49"/>
    <mergeCell ref="Q37:R37"/>
    <mergeCell ref="T14:U14"/>
    <mergeCell ref="M4:M5"/>
    <mergeCell ref="N4:N5"/>
    <mergeCell ref="T7:U7"/>
    <mergeCell ref="T8:U8"/>
    <mergeCell ref="T9:U9"/>
    <mergeCell ref="T11:U11"/>
    <mergeCell ref="T12:U12"/>
    <mergeCell ref="T13:U13"/>
    <mergeCell ref="T21:U21"/>
    <mergeCell ref="T15:U15"/>
    <mergeCell ref="T16:U16"/>
    <mergeCell ref="T19:U19"/>
    <mergeCell ref="T20:U20"/>
    <mergeCell ref="T17:U17"/>
    <mergeCell ref="J4:J5"/>
    <mergeCell ref="I4:I5"/>
    <mergeCell ref="T4:U4"/>
    <mergeCell ref="T5:U5"/>
    <mergeCell ref="T6:U6"/>
    <mergeCell ref="I6:I12"/>
    <mergeCell ref="T18:U18"/>
    <mergeCell ref="B54:B57"/>
    <mergeCell ref="B50:B53"/>
    <mergeCell ref="B5:B7"/>
    <mergeCell ref="B12:B16"/>
    <mergeCell ref="B21:B24"/>
    <mergeCell ref="B17:B20"/>
    <mergeCell ref="B28:B38"/>
    <mergeCell ref="B39:B49"/>
    <mergeCell ref="K57:L57"/>
    <mergeCell ref="K36:L36"/>
    <mergeCell ref="K37:L37"/>
    <mergeCell ref="K39:L39"/>
    <mergeCell ref="K40:L40"/>
    <mergeCell ref="K50:L50"/>
    <mergeCell ref="K47:L47"/>
    <mergeCell ref="K42:L42"/>
    <mergeCell ref="I51:I56"/>
    <mergeCell ref="K51:L51"/>
    <mergeCell ref="K52:L52"/>
    <mergeCell ref="K53:L53"/>
    <mergeCell ref="K54:L54"/>
    <mergeCell ref="K56:L56"/>
    <mergeCell ref="P38:P44"/>
    <mergeCell ref="I36:I42"/>
    <mergeCell ref="B8:B11"/>
    <mergeCell ref="I43:I46"/>
    <mergeCell ref="I47:I50"/>
    <mergeCell ref="K43:L43"/>
    <mergeCell ref="K44:L44"/>
    <mergeCell ref="K46:L46"/>
    <mergeCell ref="I13:I16"/>
    <mergeCell ref="K35:L35"/>
    <mergeCell ref="I29:I32"/>
    <mergeCell ref="I25:I28"/>
    <mergeCell ref="I17:I20"/>
    <mergeCell ref="I21:I24"/>
    <mergeCell ref="K41:L41"/>
    <mergeCell ref="K38:L38"/>
  </mergeCells>
  <phoneticPr fontId="4"/>
  <pageMargins left="0.78740157480314965" right="0.78740157480314965" top="0.78740157480314965" bottom="0.78740157480314965" header="0.39370078740157483" footer="0.39370078740157483"/>
  <pageSetup paperSize="9" scale="60" orientation="landscape" r:id="rId1"/>
  <headerFooter alignWithMargins="0">
    <oddHeader>&amp;R&amp;F</oddHeader>
    <oddFooter>&amp;R&amp;A</oddFooter>
  </headerFooter>
  <ignoredErrors>
    <ignoredError sqref="G16 G20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192"/>
  <sheetViews>
    <sheetView zoomScale="75" zoomScaleNormal="75" workbookViewId="0"/>
  </sheetViews>
  <sheetFormatPr defaultRowHeight="13.5" x14ac:dyDescent="0.15"/>
  <cols>
    <col min="1" max="1" width="1.625" style="45" customWidth="1"/>
    <col min="2" max="2" width="3.625" style="45" customWidth="1"/>
    <col min="3" max="3" width="19.5" style="45" customWidth="1"/>
    <col min="4" max="7" width="8.625" style="45" customWidth="1"/>
    <col min="8" max="8" width="2.375" style="155" customWidth="1"/>
    <col min="9" max="9" width="3.625" style="45" customWidth="1"/>
    <col min="10" max="10" width="15.625" style="45" customWidth="1"/>
    <col min="11" max="14" width="8.625" style="45" customWidth="1"/>
    <col min="15" max="15" width="3.5" style="45" customWidth="1"/>
    <col min="16" max="16" width="15.625" style="126" customWidth="1"/>
    <col min="17" max="17" width="8.625" style="45" customWidth="1"/>
    <col min="18" max="18" width="8.625" style="46" customWidth="1"/>
    <col min="19" max="21" width="8.625" style="45" customWidth="1"/>
    <col min="22" max="22" width="10.625" style="46" customWidth="1"/>
    <col min="23" max="262" width="8.875" style="45"/>
    <col min="263" max="263" width="1.375" style="45" customWidth="1"/>
    <col min="264" max="264" width="3.5" style="45" customWidth="1"/>
    <col min="265" max="265" width="22.125" style="45" customWidth="1"/>
    <col min="266" max="266" width="9.75" style="45" customWidth="1"/>
    <col min="267" max="267" width="7.375" style="45" customWidth="1"/>
    <col min="268" max="268" width="8.875" style="45"/>
    <col min="269" max="269" width="9.25" style="45" customWidth="1"/>
    <col min="270" max="270" width="3.5" style="45" customWidth="1"/>
    <col min="271" max="272" width="12.625" style="45" customWidth="1"/>
    <col min="273" max="273" width="8.875" style="45"/>
    <col min="274" max="274" width="7.75" style="45" customWidth="1"/>
    <col min="275" max="275" width="13.125" style="45" customWidth="1"/>
    <col min="276" max="276" width="6.125" style="45" customWidth="1"/>
    <col min="277" max="277" width="9.75" style="45" customWidth="1"/>
    <col min="278" max="278" width="1.375" style="45" customWidth="1"/>
    <col min="279" max="518" width="8.875" style="45"/>
    <col min="519" max="519" width="1.375" style="45" customWidth="1"/>
    <col min="520" max="520" width="3.5" style="45" customWidth="1"/>
    <col min="521" max="521" width="22.125" style="45" customWidth="1"/>
    <col min="522" max="522" width="9.75" style="45" customWidth="1"/>
    <col min="523" max="523" width="7.375" style="45" customWidth="1"/>
    <col min="524" max="524" width="8.875" style="45"/>
    <col min="525" max="525" width="9.25" style="45" customWidth="1"/>
    <col min="526" max="526" width="3.5" style="45" customWidth="1"/>
    <col min="527" max="528" width="12.625" style="45" customWidth="1"/>
    <col min="529" max="529" width="8.875" style="45"/>
    <col min="530" max="530" width="7.75" style="45" customWidth="1"/>
    <col min="531" max="531" width="13.125" style="45" customWidth="1"/>
    <col min="532" max="532" width="6.125" style="45" customWidth="1"/>
    <col min="533" max="533" width="9.75" style="45" customWidth="1"/>
    <col min="534" max="534" width="1.375" style="45" customWidth="1"/>
    <col min="535" max="774" width="8.875" style="45"/>
    <col min="775" max="775" width="1.375" style="45" customWidth="1"/>
    <col min="776" max="776" width="3.5" style="45" customWidth="1"/>
    <col min="777" max="777" width="22.125" style="45" customWidth="1"/>
    <col min="778" max="778" width="9.75" style="45" customWidth="1"/>
    <col min="779" max="779" width="7.375" style="45" customWidth="1"/>
    <col min="780" max="780" width="8.875" style="45"/>
    <col min="781" max="781" width="9.25" style="45" customWidth="1"/>
    <col min="782" max="782" width="3.5" style="45" customWidth="1"/>
    <col min="783" max="784" width="12.625" style="45" customWidth="1"/>
    <col min="785" max="785" width="8.875" style="45"/>
    <col min="786" max="786" width="7.75" style="45" customWidth="1"/>
    <col min="787" max="787" width="13.125" style="45" customWidth="1"/>
    <col min="788" max="788" width="6.125" style="45" customWidth="1"/>
    <col min="789" max="789" width="9.75" style="45" customWidth="1"/>
    <col min="790" max="790" width="1.375" style="45" customWidth="1"/>
    <col min="791" max="1030" width="8.875" style="45"/>
    <col min="1031" max="1031" width="1.375" style="45" customWidth="1"/>
    <col min="1032" max="1032" width="3.5" style="45" customWidth="1"/>
    <col min="1033" max="1033" width="22.125" style="45" customWidth="1"/>
    <col min="1034" max="1034" width="9.75" style="45" customWidth="1"/>
    <col min="1035" max="1035" width="7.375" style="45" customWidth="1"/>
    <col min="1036" max="1036" width="8.875" style="45"/>
    <col min="1037" max="1037" width="9.25" style="45" customWidth="1"/>
    <col min="1038" max="1038" width="3.5" style="45" customWidth="1"/>
    <col min="1039" max="1040" width="12.625" style="45" customWidth="1"/>
    <col min="1041" max="1041" width="8.875" style="45"/>
    <col min="1042" max="1042" width="7.75" style="45" customWidth="1"/>
    <col min="1043" max="1043" width="13.125" style="45" customWidth="1"/>
    <col min="1044" max="1044" width="6.125" style="45" customWidth="1"/>
    <col min="1045" max="1045" width="9.75" style="45" customWidth="1"/>
    <col min="1046" max="1046" width="1.375" style="45" customWidth="1"/>
    <col min="1047" max="1286" width="8.875" style="45"/>
    <col min="1287" max="1287" width="1.375" style="45" customWidth="1"/>
    <col min="1288" max="1288" width="3.5" style="45" customWidth="1"/>
    <col min="1289" max="1289" width="22.125" style="45" customWidth="1"/>
    <col min="1290" max="1290" width="9.75" style="45" customWidth="1"/>
    <col min="1291" max="1291" width="7.375" style="45" customWidth="1"/>
    <col min="1292" max="1292" width="8.875" style="45"/>
    <col min="1293" max="1293" width="9.25" style="45" customWidth="1"/>
    <col min="1294" max="1294" width="3.5" style="45" customWidth="1"/>
    <col min="1295" max="1296" width="12.625" style="45" customWidth="1"/>
    <col min="1297" max="1297" width="8.875" style="45"/>
    <col min="1298" max="1298" width="7.75" style="45" customWidth="1"/>
    <col min="1299" max="1299" width="13.125" style="45" customWidth="1"/>
    <col min="1300" max="1300" width="6.125" style="45" customWidth="1"/>
    <col min="1301" max="1301" width="9.75" style="45" customWidth="1"/>
    <col min="1302" max="1302" width="1.375" style="45" customWidth="1"/>
    <col min="1303" max="1542" width="8.875" style="45"/>
    <col min="1543" max="1543" width="1.375" style="45" customWidth="1"/>
    <col min="1544" max="1544" width="3.5" style="45" customWidth="1"/>
    <col min="1545" max="1545" width="22.125" style="45" customWidth="1"/>
    <col min="1546" max="1546" width="9.75" style="45" customWidth="1"/>
    <col min="1547" max="1547" width="7.375" style="45" customWidth="1"/>
    <col min="1548" max="1548" width="8.875" style="45"/>
    <col min="1549" max="1549" width="9.25" style="45" customWidth="1"/>
    <col min="1550" max="1550" width="3.5" style="45" customWidth="1"/>
    <col min="1551" max="1552" width="12.625" style="45" customWidth="1"/>
    <col min="1553" max="1553" width="8.875" style="45"/>
    <col min="1554" max="1554" width="7.75" style="45" customWidth="1"/>
    <col min="1555" max="1555" width="13.125" style="45" customWidth="1"/>
    <col min="1556" max="1556" width="6.125" style="45" customWidth="1"/>
    <col min="1557" max="1557" width="9.75" style="45" customWidth="1"/>
    <col min="1558" max="1558" width="1.375" style="45" customWidth="1"/>
    <col min="1559" max="1798" width="8.875" style="45"/>
    <col min="1799" max="1799" width="1.375" style="45" customWidth="1"/>
    <col min="1800" max="1800" width="3.5" style="45" customWidth="1"/>
    <col min="1801" max="1801" width="22.125" style="45" customWidth="1"/>
    <col min="1802" max="1802" width="9.75" style="45" customWidth="1"/>
    <col min="1803" max="1803" width="7.375" style="45" customWidth="1"/>
    <col min="1804" max="1804" width="8.875" style="45"/>
    <col min="1805" max="1805" width="9.25" style="45" customWidth="1"/>
    <col min="1806" max="1806" width="3.5" style="45" customWidth="1"/>
    <col min="1807" max="1808" width="12.625" style="45" customWidth="1"/>
    <col min="1809" max="1809" width="8.875" style="45"/>
    <col min="1810" max="1810" width="7.75" style="45" customWidth="1"/>
    <col min="1811" max="1811" width="13.125" style="45" customWidth="1"/>
    <col min="1812" max="1812" width="6.125" style="45" customWidth="1"/>
    <col min="1813" max="1813" width="9.75" style="45" customWidth="1"/>
    <col min="1814" max="1814" width="1.375" style="45" customWidth="1"/>
    <col min="1815" max="2054" width="8.875" style="45"/>
    <col min="2055" max="2055" width="1.375" style="45" customWidth="1"/>
    <col min="2056" max="2056" width="3.5" style="45" customWidth="1"/>
    <col min="2057" max="2057" width="22.125" style="45" customWidth="1"/>
    <col min="2058" max="2058" width="9.75" style="45" customWidth="1"/>
    <col min="2059" max="2059" width="7.375" style="45" customWidth="1"/>
    <col min="2060" max="2060" width="8.875" style="45"/>
    <col min="2061" max="2061" width="9.25" style="45" customWidth="1"/>
    <col min="2062" max="2062" width="3.5" style="45" customWidth="1"/>
    <col min="2063" max="2064" width="12.625" style="45" customWidth="1"/>
    <col min="2065" max="2065" width="8.875" style="45"/>
    <col min="2066" max="2066" width="7.75" style="45" customWidth="1"/>
    <col min="2067" max="2067" width="13.125" style="45" customWidth="1"/>
    <col min="2068" max="2068" width="6.125" style="45" customWidth="1"/>
    <col min="2069" max="2069" width="9.75" style="45" customWidth="1"/>
    <col min="2070" max="2070" width="1.375" style="45" customWidth="1"/>
    <col min="2071" max="2310" width="8.875" style="45"/>
    <col min="2311" max="2311" width="1.375" style="45" customWidth="1"/>
    <col min="2312" max="2312" width="3.5" style="45" customWidth="1"/>
    <col min="2313" max="2313" width="22.125" style="45" customWidth="1"/>
    <col min="2314" max="2314" width="9.75" style="45" customWidth="1"/>
    <col min="2315" max="2315" width="7.375" style="45" customWidth="1"/>
    <col min="2316" max="2316" width="8.875" style="45"/>
    <col min="2317" max="2317" width="9.25" style="45" customWidth="1"/>
    <col min="2318" max="2318" width="3.5" style="45" customWidth="1"/>
    <col min="2319" max="2320" width="12.625" style="45" customWidth="1"/>
    <col min="2321" max="2321" width="8.875" style="45"/>
    <col min="2322" max="2322" width="7.75" style="45" customWidth="1"/>
    <col min="2323" max="2323" width="13.125" style="45" customWidth="1"/>
    <col min="2324" max="2324" width="6.125" style="45" customWidth="1"/>
    <col min="2325" max="2325" width="9.75" style="45" customWidth="1"/>
    <col min="2326" max="2326" width="1.375" style="45" customWidth="1"/>
    <col min="2327" max="2566" width="8.875" style="45"/>
    <col min="2567" max="2567" width="1.375" style="45" customWidth="1"/>
    <col min="2568" max="2568" width="3.5" style="45" customWidth="1"/>
    <col min="2569" max="2569" width="22.125" style="45" customWidth="1"/>
    <col min="2570" max="2570" width="9.75" style="45" customWidth="1"/>
    <col min="2571" max="2571" width="7.375" style="45" customWidth="1"/>
    <col min="2572" max="2572" width="8.875" style="45"/>
    <col min="2573" max="2573" width="9.25" style="45" customWidth="1"/>
    <col min="2574" max="2574" width="3.5" style="45" customWidth="1"/>
    <col min="2575" max="2576" width="12.625" style="45" customWidth="1"/>
    <col min="2577" max="2577" width="8.875" style="45"/>
    <col min="2578" max="2578" width="7.75" style="45" customWidth="1"/>
    <col min="2579" max="2579" width="13.125" style="45" customWidth="1"/>
    <col min="2580" max="2580" width="6.125" style="45" customWidth="1"/>
    <col min="2581" max="2581" width="9.75" style="45" customWidth="1"/>
    <col min="2582" max="2582" width="1.375" style="45" customWidth="1"/>
    <col min="2583" max="2822" width="8.875" style="45"/>
    <col min="2823" max="2823" width="1.375" style="45" customWidth="1"/>
    <col min="2824" max="2824" width="3.5" style="45" customWidth="1"/>
    <col min="2825" max="2825" width="22.125" style="45" customWidth="1"/>
    <col min="2826" max="2826" width="9.75" style="45" customWidth="1"/>
    <col min="2827" max="2827" width="7.375" style="45" customWidth="1"/>
    <col min="2828" max="2828" width="8.875" style="45"/>
    <col min="2829" max="2829" width="9.25" style="45" customWidth="1"/>
    <col min="2830" max="2830" width="3.5" style="45" customWidth="1"/>
    <col min="2831" max="2832" width="12.625" style="45" customWidth="1"/>
    <col min="2833" max="2833" width="8.875" style="45"/>
    <col min="2834" max="2834" width="7.75" style="45" customWidth="1"/>
    <col min="2835" max="2835" width="13.125" style="45" customWidth="1"/>
    <col min="2836" max="2836" width="6.125" style="45" customWidth="1"/>
    <col min="2837" max="2837" width="9.75" style="45" customWidth="1"/>
    <col min="2838" max="2838" width="1.375" style="45" customWidth="1"/>
    <col min="2839" max="3078" width="8.875" style="45"/>
    <col min="3079" max="3079" width="1.375" style="45" customWidth="1"/>
    <col min="3080" max="3080" width="3.5" style="45" customWidth="1"/>
    <col min="3081" max="3081" width="22.125" style="45" customWidth="1"/>
    <col min="3082" max="3082" width="9.75" style="45" customWidth="1"/>
    <col min="3083" max="3083" width="7.375" style="45" customWidth="1"/>
    <col min="3084" max="3084" width="8.875" style="45"/>
    <col min="3085" max="3085" width="9.25" style="45" customWidth="1"/>
    <col min="3086" max="3086" width="3.5" style="45" customWidth="1"/>
    <col min="3087" max="3088" width="12.625" style="45" customWidth="1"/>
    <col min="3089" max="3089" width="8.875" style="45"/>
    <col min="3090" max="3090" width="7.75" style="45" customWidth="1"/>
    <col min="3091" max="3091" width="13.125" style="45" customWidth="1"/>
    <col min="3092" max="3092" width="6.125" style="45" customWidth="1"/>
    <col min="3093" max="3093" width="9.75" style="45" customWidth="1"/>
    <col min="3094" max="3094" width="1.375" style="45" customWidth="1"/>
    <col min="3095" max="3334" width="8.875" style="45"/>
    <col min="3335" max="3335" width="1.375" style="45" customWidth="1"/>
    <col min="3336" max="3336" width="3.5" style="45" customWidth="1"/>
    <col min="3337" max="3337" width="22.125" style="45" customWidth="1"/>
    <col min="3338" max="3338" width="9.75" style="45" customWidth="1"/>
    <col min="3339" max="3339" width="7.375" style="45" customWidth="1"/>
    <col min="3340" max="3340" width="8.875" style="45"/>
    <col min="3341" max="3341" width="9.25" style="45" customWidth="1"/>
    <col min="3342" max="3342" width="3.5" style="45" customWidth="1"/>
    <col min="3343" max="3344" width="12.625" style="45" customWidth="1"/>
    <col min="3345" max="3345" width="8.875" style="45"/>
    <col min="3346" max="3346" width="7.75" style="45" customWidth="1"/>
    <col min="3347" max="3347" width="13.125" style="45" customWidth="1"/>
    <col min="3348" max="3348" width="6.125" style="45" customWidth="1"/>
    <col min="3349" max="3349" width="9.75" style="45" customWidth="1"/>
    <col min="3350" max="3350" width="1.375" style="45" customWidth="1"/>
    <col min="3351" max="3590" width="8.875" style="45"/>
    <col min="3591" max="3591" width="1.375" style="45" customWidth="1"/>
    <col min="3592" max="3592" width="3.5" style="45" customWidth="1"/>
    <col min="3593" max="3593" width="22.125" style="45" customWidth="1"/>
    <col min="3594" max="3594" width="9.75" style="45" customWidth="1"/>
    <col min="3595" max="3595" width="7.375" style="45" customWidth="1"/>
    <col min="3596" max="3596" width="8.875" style="45"/>
    <col min="3597" max="3597" width="9.25" style="45" customWidth="1"/>
    <col min="3598" max="3598" width="3.5" style="45" customWidth="1"/>
    <col min="3599" max="3600" width="12.625" style="45" customWidth="1"/>
    <col min="3601" max="3601" width="8.875" style="45"/>
    <col min="3602" max="3602" width="7.75" style="45" customWidth="1"/>
    <col min="3603" max="3603" width="13.125" style="45" customWidth="1"/>
    <col min="3604" max="3604" width="6.125" style="45" customWidth="1"/>
    <col min="3605" max="3605" width="9.75" style="45" customWidth="1"/>
    <col min="3606" max="3606" width="1.375" style="45" customWidth="1"/>
    <col min="3607" max="3846" width="8.875" style="45"/>
    <col min="3847" max="3847" width="1.375" style="45" customWidth="1"/>
    <col min="3848" max="3848" width="3.5" style="45" customWidth="1"/>
    <col min="3849" max="3849" width="22.125" style="45" customWidth="1"/>
    <col min="3850" max="3850" width="9.75" style="45" customWidth="1"/>
    <col min="3851" max="3851" width="7.375" style="45" customWidth="1"/>
    <col min="3852" max="3852" width="8.875" style="45"/>
    <col min="3853" max="3853" width="9.25" style="45" customWidth="1"/>
    <col min="3854" max="3854" width="3.5" style="45" customWidth="1"/>
    <col min="3855" max="3856" width="12.625" style="45" customWidth="1"/>
    <col min="3857" max="3857" width="8.875" style="45"/>
    <col min="3858" max="3858" width="7.75" style="45" customWidth="1"/>
    <col min="3859" max="3859" width="13.125" style="45" customWidth="1"/>
    <col min="3860" max="3860" width="6.125" style="45" customWidth="1"/>
    <col min="3861" max="3861" width="9.75" style="45" customWidth="1"/>
    <col min="3862" max="3862" width="1.375" style="45" customWidth="1"/>
    <col min="3863" max="4102" width="8.875" style="45"/>
    <col min="4103" max="4103" width="1.375" style="45" customWidth="1"/>
    <col min="4104" max="4104" width="3.5" style="45" customWidth="1"/>
    <col min="4105" max="4105" width="22.125" style="45" customWidth="1"/>
    <col min="4106" max="4106" width="9.75" style="45" customWidth="1"/>
    <col min="4107" max="4107" width="7.375" style="45" customWidth="1"/>
    <col min="4108" max="4108" width="8.875" style="45"/>
    <col min="4109" max="4109" width="9.25" style="45" customWidth="1"/>
    <col min="4110" max="4110" width="3.5" style="45" customWidth="1"/>
    <col min="4111" max="4112" width="12.625" style="45" customWidth="1"/>
    <col min="4113" max="4113" width="8.875" style="45"/>
    <col min="4114" max="4114" width="7.75" style="45" customWidth="1"/>
    <col min="4115" max="4115" width="13.125" style="45" customWidth="1"/>
    <col min="4116" max="4116" width="6.125" style="45" customWidth="1"/>
    <col min="4117" max="4117" width="9.75" style="45" customWidth="1"/>
    <col min="4118" max="4118" width="1.375" style="45" customWidth="1"/>
    <col min="4119" max="4358" width="8.875" style="45"/>
    <col min="4359" max="4359" width="1.375" style="45" customWidth="1"/>
    <col min="4360" max="4360" width="3.5" style="45" customWidth="1"/>
    <col min="4361" max="4361" width="22.125" style="45" customWidth="1"/>
    <col min="4362" max="4362" width="9.75" style="45" customWidth="1"/>
    <col min="4363" max="4363" width="7.375" style="45" customWidth="1"/>
    <col min="4364" max="4364" width="8.875" style="45"/>
    <col min="4365" max="4365" width="9.25" style="45" customWidth="1"/>
    <col min="4366" max="4366" width="3.5" style="45" customWidth="1"/>
    <col min="4367" max="4368" width="12.625" style="45" customWidth="1"/>
    <col min="4369" max="4369" width="8.875" style="45"/>
    <col min="4370" max="4370" width="7.75" style="45" customWidth="1"/>
    <col min="4371" max="4371" width="13.125" style="45" customWidth="1"/>
    <col min="4372" max="4372" width="6.125" style="45" customWidth="1"/>
    <col min="4373" max="4373" width="9.75" style="45" customWidth="1"/>
    <col min="4374" max="4374" width="1.375" style="45" customWidth="1"/>
    <col min="4375" max="4614" width="8.875" style="45"/>
    <col min="4615" max="4615" width="1.375" style="45" customWidth="1"/>
    <col min="4616" max="4616" width="3.5" style="45" customWidth="1"/>
    <col min="4617" max="4617" width="22.125" style="45" customWidth="1"/>
    <col min="4618" max="4618" width="9.75" style="45" customWidth="1"/>
    <col min="4619" max="4619" width="7.375" style="45" customWidth="1"/>
    <col min="4620" max="4620" width="8.875" style="45"/>
    <col min="4621" max="4621" width="9.25" style="45" customWidth="1"/>
    <col min="4622" max="4622" width="3.5" style="45" customWidth="1"/>
    <col min="4623" max="4624" width="12.625" style="45" customWidth="1"/>
    <col min="4625" max="4625" width="8.875" style="45"/>
    <col min="4626" max="4626" width="7.75" style="45" customWidth="1"/>
    <col min="4627" max="4627" width="13.125" style="45" customWidth="1"/>
    <col min="4628" max="4628" width="6.125" style="45" customWidth="1"/>
    <col min="4629" max="4629" width="9.75" style="45" customWidth="1"/>
    <col min="4630" max="4630" width="1.375" style="45" customWidth="1"/>
    <col min="4631" max="4870" width="8.875" style="45"/>
    <col min="4871" max="4871" width="1.375" style="45" customWidth="1"/>
    <col min="4872" max="4872" width="3.5" style="45" customWidth="1"/>
    <col min="4873" max="4873" width="22.125" style="45" customWidth="1"/>
    <col min="4874" max="4874" width="9.75" style="45" customWidth="1"/>
    <col min="4875" max="4875" width="7.375" style="45" customWidth="1"/>
    <col min="4876" max="4876" width="8.875" style="45"/>
    <col min="4877" max="4877" width="9.25" style="45" customWidth="1"/>
    <col min="4878" max="4878" width="3.5" style="45" customWidth="1"/>
    <col min="4879" max="4880" width="12.625" style="45" customWidth="1"/>
    <col min="4881" max="4881" width="8.875" style="45"/>
    <col min="4882" max="4882" width="7.75" style="45" customWidth="1"/>
    <col min="4883" max="4883" width="13.125" style="45" customWidth="1"/>
    <col min="4884" max="4884" width="6.125" style="45" customWidth="1"/>
    <col min="4885" max="4885" width="9.75" style="45" customWidth="1"/>
    <col min="4886" max="4886" width="1.375" style="45" customWidth="1"/>
    <col min="4887" max="5126" width="8.875" style="45"/>
    <col min="5127" max="5127" width="1.375" style="45" customWidth="1"/>
    <col min="5128" max="5128" width="3.5" style="45" customWidth="1"/>
    <col min="5129" max="5129" width="22.125" style="45" customWidth="1"/>
    <col min="5130" max="5130" width="9.75" style="45" customWidth="1"/>
    <col min="5131" max="5131" width="7.375" style="45" customWidth="1"/>
    <col min="5132" max="5132" width="8.875" style="45"/>
    <col min="5133" max="5133" width="9.25" style="45" customWidth="1"/>
    <col min="5134" max="5134" width="3.5" style="45" customWidth="1"/>
    <col min="5135" max="5136" width="12.625" style="45" customWidth="1"/>
    <col min="5137" max="5137" width="8.875" style="45"/>
    <col min="5138" max="5138" width="7.75" style="45" customWidth="1"/>
    <col min="5139" max="5139" width="13.125" style="45" customWidth="1"/>
    <col min="5140" max="5140" width="6.125" style="45" customWidth="1"/>
    <col min="5141" max="5141" width="9.75" style="45" customWidth="1"/>
    <col min="5142" max="5142" width="1.375" style="45" customWidth="1"/>
    <col min="5143" max="5382" width="8.875" style="45"/>
    <col min="5383" max="5383" width="1.375" style="45" customWidth="1"/>
    <col min="5384" max="5384" width="3.5" style="45" customWidth="1"/>
    <col min="5385" max="5385" width="22.125" style="45" customWidth="1"/>
    <col min="5386" max="5386" width="9.75" style="45" customWidth="1"/>
    <col min="5387" max="5387" width="7.375" style="45" customWidth="1"/>
    <col min="5388" max="5388" width="8.875" style="45"/>
    <col min="5389" max="5389" width="9.25" style="45" customWidth="1"/>
    <col min="5390" max="5390" width="3.5" style="45" customWidth="1"/>
    <col min="5391" max="5392" width="12.625" style="45" customWidth="1"/>
    <col min="5393" max="5393" width="8.875" style="45"/>
    <col min="5394" max="5394" width="7.75" style="45" customWidth="1"/>
    <col min="5395" max="5395" width="13.125" style="45" customWidth="1"/>
    <col min="5396" max="5396" width="6.125" style="45" customWidth="1"/>
    <col min="5397" max="5397" width="9.75" style="45" customWidth="1"/>
    <col min="5398" max="5398" width="1.375" style="45" customWidth="1"/>
    <col min="5399" max="5638" width="8.875" style="45"/>
    <col min="5639" max="5639" width="1.375" style="45" customWidth="1"/>
    <col min="5640" max="5640" width="3.5" style="45" customWidth="1"/>
    <col min="5641" max="5641" width="22.125" style="45" customWidth="1"/>
    <col min="5642" max="5642" width="9.75" style="45" customWidth="1"/>
    <col min="5643" max="5643" width="7.375" style="45" customWidth="1"/>
    <col min="5644" max="5644" width="8.875" style="45"/>
    <col min="5645" max="5645" width="9.25" style="45" customWidth="1"/>
    <col min="5646" max="5646" width="3.5" style="45" customWidth="1"/>
    <col min="5647" max="5648" width="12.625" style="45" customWidth="1"/>
    <col min="5649" max="5649" width="8.875" style="45"/>
    <col min="5650" max="5650" width="7.75" style="45" customWidth="1"/>
    <col min="5651" max="5651" width="13.125" style="45" customWidth="1"/>
    <col min="5652" max="5652" width="6.125" style="45" customWidth="1"/>
    <col min="5653" max="5653" width="9.75" style="45" customWidth="1"/>
    <col min="5654" max="5654" width="1.375" style="45" customWidth="1"/>
    <col min="5655" max="5894" width="8.875" style="45"/>
    <col min="5895" max="5895" width="1.375" style="45" customWidth="1"/>
    <col min="5896" max="5896" width="3.5" style="45" customWidth="1"/>
    <col min="5897" max="5897" width="22.125" style="45" customWidth="1"/>
    <col min="5898" max="5898" width="9.75" style="45" customWidth="1"/>
    <col min="5899" max="5899" width="7.375" style="45" customWidth="1"/>
    <col min="5900" max="5900" width="8.875" style="45"/>
    <col min="5901" max="5901" width="9.25" style="45" customWidth="1"/>
    <col min="5902" max="5902" width="3.5" style="45" customWidth="1"/>
    <col min="5903" max="5904" width="12.625" style="45" customWidth="1"/>
    <col min="5905" max="5905" width="8.875" style="45"/>
    <col min="5906" max="5906" width="7.75" style="45" customWidth="1"/>
    <col min="5907" max="5907" width="13.125" style="45" customWidth="1"/>
    <col min="5908" max="5908" width="6.125" style="45" customWidth="1"/>
    <col min="5909" max="5909" width="9.75" style="45" customWidth="1"/>
    <col min="5910" max="5910" width="1.375" style="45" customWidth="1"/>
    <col min="5911" max="6150" width="8.875" style="45"/>
    <col min="6151" max="6151" width="1.375" style="45" customWidth="1"/>
    <col min="6152" max="6152" width="3.5" style="45" customWidth="1"/>
    <col min="6153" max="6153" width="22.125" style="45" customWidth="1"/>
    <col min="6154" max="6154" width="9.75" style="45" customWidth="1"/>
    <col min="6155" max="6155" width="7.375" style="45" customWidth="1"/>
    <col min="6156" max="6156" width="8.875" style="45"/>
    <col min="6157" max="6157" width="9.25" style="45" customWidth="1"/>
    <col min="6158" max="6158" width="3.5" style="45" customWidth="1"/>
    <col min="6159" max="6160" width="12.625" style="45" customWidth="1"/>
    <col min="6161" max="6161" width="8.875" style="45"/>
    <col min="6162" max="6162" width="7.75" style="45" customWidth="1"/>
    <col min="6163" max="6163" width="13.125" style="45" customWidth="1"/>
    <col min="6164" max="6164" width="6.125" style="45" customWidth="1"/>
    <col min="6165" max="6165" width="9.75" style="45" customWidth="1"/>
    <col min="6166" max="6166" width="1.375" style="45" customWidth="1"/>
    <col min="6167" max="6406" width="8.875" style="45"/>
    <col min="6407" max="6407" width="1.375" style="45" customWidth="1"/>
    <col min="6408" max="6408" width="3.5" style="45" customWidth="1"/>
    <col min="6409" max="6409" width="22.125" style="45" customWidth="1"/>
    <col min="6410" max="6410" width="9.75" style="45" customWidth="1"/>
    <col min="6411" max="6411" width="7.375" style="45" customWidth="1"/>
    <col min="6412" max="6412" width="8.875" style="45"/>
    <col min="6413" max="6413" width="9.25" style="45" customWidth="1"/>
    <col min="6414" max="6414" width="3.5" style="45" customWidth="1"/>
    <col min="6415" max="6416" width="12.625" style="45" customWidth="1"/>
    <col min="6417" max="6417" width="8.875" style="45"/>
    <col min="6418" max="6418" width="7.75" style="45" customWidth="1"/>
    <col min="6419" max="6419" width="13.125" style="45" customWidth="1"/>
    <col min="6420" max="6420" width="6.125" style="45" customWidth="1"/>
    <col min="6421" max="6421" width="9.75" style="45" customWidth="1"/>
    <col min="6422" max="6422" width="1.375" style="45" customWidth="1"/>
    <col min="6423" max="6662" width="8.875" style="45"/>
    <col min="6663" max="6663" width="1.375" style="45" customWidth="1"/>
    <col min="6664" max="6664" width="3.5" style="45" customWidth="1"/>
    <col min="6665" max="6665" width="22.125" style="45" customWidth="1"/>
    <col min="6666" max="6666" width="9.75" style="45" customWidth="1"/>
    <col min="6667" max="6667" width="7.375" style="45" customWidth="1"/>
    <col min="6668" max="6668" width="8.875" style="45"/>
    <col min="6669" max="6669" width="9.25" style="45" customWidth="1"/>
    <col min="6670" max="6670" width="3.5" style="45" customWidth="1"/>
    <col min="6671" max="6672" width="12.625" style="45" customWidth="1"/>
    <col min="6673" max="6673" width="8.875" style="45"/>
    <col min="6674" max="6674" width="7.75" style="45" customWidth="1"/>
    <col min="6675" max="6675" width="13.125" style="45" customWidth="1"/>
    <col min="6676" max="6676" width="6.125" style="45" customWidth="1"/>
    <col min="6677" max="6677" width="9.75" style="45" customWidth="1"/>
    <col min="6678" max="6678" width="1.375" style="45" customWidth="1"/>
    <col min="6679" max="6918" width="8.875" style="45"/>
    <col min="6919" max="6919" width="1.375" style="45" customWidth="1"/>
    <col min="6920" max="6920" width="3.5" style="45" customWidth="1"/>
    <col min="6921" max="6921" width="22.125" style="45" customWidth="1"/>
    <col min="6922" max="6922" width="9.75" style="45" customWidth="1"/>
    <col min="6923" max="6923" width="7.375" style="45" customWidth="1"/>
    <col min="6924" max="6924" width="8.875" style="45"/>
    <col min="6925" max="6925" width="9.25" style="45" customWidth="1"/>
    <col min="6926" max="6926" width="3.5" style="45" customWidth="1"/>
    <col min="6927" max="6928" width="12.625" style="45" customWidth="1"/>
    <col min="6929" max="6929" width="8.875" style="45"/>
    <col min="6930" max="6930" width="7.75" style="45" customWidth="1"/>
    <col min="6931" max="6931" width="13.125" style="45" customWidth="1"/>
    <col min="6932" max="6932" width="6.125" style="45" customWidth="1"/>
    <col min="6933" max="6933" width="9.75" style="45" customWidth="1"/>
    <col min="6934" max="6934" width="1.375" style="45" customWidth="1"/>
    <col min="6935" max="7174" width="8.875" style="45"/>
    <col min="7175" max="7175" width="1.375" style="45" customWidth="1"/>
    <col min="7176" max="7176" width="3.5" style="45" customWidth="1"/>
    <col min="7177" max="7177" width="22.125" style="45" customWidth="1"/>
    <col min="7178" max="7178" width="9.75" style="45" customWidth="1"/>
    <col min="7179" max="7179" width="7.375" style="45" customWidth="1"/>
    <col min="7180" max="7180" width="8.875" style="45"/>
    <col min="7181" max="7181" width="9.25" style="45" customWidth="1"/>
    <col min="7182" max="7182" width="3.5" style="45" customWidth="1"/>
    <col min="7183" max="7184" width="12.625" style="45" customWidth="1"/>
    <col min="7185" max="7185" width="8.875" style="45"/>
    <col min="7186" max="7186" width="7.75" style="45" customWidth="1"/>
    <col min="7187" max="7187" width="13.125" style="45" customWidth="1"/>
    <col min="7188" max="7188" width="6.125" style="45" customWidth="1"/>
    <col min="7189" max="7189" width="9.75" style="45" customWidth="1"/>
    <col min="7190" max="7190" width="1.375" style="45" customWidth="1"/>
    <col min="7191" max="7430" width="8.875" style="45"/>
    <col min="7431" max="7431" width="1.375" style="45" customWidth="1"/>
    <col min="7432" max="7432" width="3.5" style="45" customWidth="1"/>
    <col min="7433" max="7433" width="22.125" style="45" customWidth="1"/>
    <col min="7434" max="7434" width="9.75" style="45" customWidth="1"/>
    <col min="7435" max="7435" width="7.375" style="45" customWidth="1"/>
    <col min="7436" max="7436" width="8.875" style="45"/>
    <col min="7437" max="7437" width="9.25" style="45" customWidth="1"/>
    <col min="7438" max="7438" width="3.5" style="45" customWidth="1"/>
    <col min="7439" max="7440" width="12.625" style="45" customWidth="1"/>
    <col min="7441" max="7441" width="8.875" style="45"/>
    <col min="7442" max="7442" width="7.75" style="45" customWidth="1"/>
    <col min="7443" max="7443" width="13.125" style="45" customWidth="1"/>
    <col min="7444" max="7444" width="6.125" style="45" customWidth="1"/>
    <col min="7445" max="7445" width="9.75" style="45" customWidth="1"/>
    <col min="7446" max="7446" width="1.375" style="45" customWidth="1"/>
    <col min="7447" max="7686" width="8.875" style="45"/>
    <col min="7687" max="7687" width="1.375" style="45" customWidth="1"/>
    <col min="7688" max="7688" width="3.5" style="45" customWidth="1"/>
    <col min="7689" max="7689" width="22.125" style="45" customWidth="1"/>
    <col min="7690" max="7690" width="9.75" style="45" customWidth="1"/>
    <col min="7691" max="7691" width="7.375" style="45" customWidth="1"/>
    <col min="7692" max="7692" width="8.875" style="45"/>
    <col min="7693" max="7693" width="9.25" style="45" customWidth="1"/>
    <col min="7694" max="7694" width="3.5" style="45" customWidth="1"/>
    <col min="7695" max="7696" width="12.625" style="45" customWidth="1"/>
    <col min="7697" max="7697" width="8.875" style="45"/>
    <col min="7698" max="7698" width="7.75" style="45" customWidth="1"/>
    <col min="7699" max="7699" width="13.125" style="45" customWidth="1"/>
    <col min="7700" max="7700" width="6.125" style="45" customWidth="1"/>
    <col min="7701" max="7701" width="9.75" style="45" customWidth="1"/>
    <col min="7702" max="7702" width="1.375" style="45" customWidth="1"/>
    <col min="7703" max="7942" width="8.875" style="45"/>
    <col min="7943" max="7943" width="1.375" style="45" customWidth="1"/>
    <col min="7944" max="7944" width="3.5" style="45" customWidth="1"/>
    <col min="7945" max="7945" width="22.125" style="45" customWidth="1"/>
    <col min="7946" max="7946" width="9.75" style="45" customWidth="1"/>
    <col min="7947" max="7947" width="7.375" style="45" customWidth="1"/>
    <col min="7948" max="7948" width="8.875" style="45"/>
    <col min="7949" max="7949" width="9.25" style="45" customWidth="1"/>
    <col min="7950" max="7950" width="3.5" style="45" customWidth="1"/>
    <col min="7951" max="7952" width="12.625" style="45" customWidth="1"/>
    <col min="7953" max="7953" width="8.875" style="45"/>
    <col min="7954" max="7954" width="7.75" style="45" customWidth="1"/>
    <col min="7955" max="7955" width="13.125" style="45" customWidth="1"/>
    <col min="7956" max="7956" width="6.125" style="45" customWidth="1"/>
    <col min="7957" max="7957" width="9.75" style="45" customWidth="1"/>
    <col min="7958" max="7958" width="1.375" style="45" customWidth="1"/>
    <col min="7959" max="8198" width="8.875" style="45"/>
    <col min="8199" max="8199" width="1.375" style="45" customWidth="1"/>
    <col min="8200" max="8200" width="3.5" style="45" customWidth="1"/>
    <col min="8201" max="8201" width="22.125" style="45" customWidth="1"/>
    <col min="8202" max="8202" width="9.75" style="45" customWidth="1"/>
    <col min="8203" max="8203" width="7.375" style="45" customWidth="1"/>
    <col min="8204" max="8204" width="8.875" style="45"/>
    <col min="8205" max="8205" width="9.25" style="45" customWidth="1"/>
    <col min="8206" max="8206" width="3.5" style="45" customWidth="1"/>
    <col min="8207" max="8208" width="12.625" style="45" customWidth="1"/>
    <col min="8209" max="8209" width="8.875" style="45"/>
    <col min="8210" max="8210" width="7.75" style="45" customWidth="1"/>
    <col min="8211" max="8211" width="13.125" style="45" customWidth="1"/>
    <col min="8212" max="8212" width="6.125" style="45" customWidth="1"/>
    <col min="8213" max="8213" width="9.75" style="45" customWidth="1"/>
    <col min="8214" max="8214" width="1.375" style="45" customWidth="1"/>
    <col min="8215" max="8454" width="8.875" style="45"/>
    <col min="8455" max="8455" width="1.375" style="45" customWidth="1"/>
    <col min="8456" max="8456" width="3.5" style="45" customWidth="1"/>
    <col min="8457" max="8457" width="22.125" style="45" customWidth="1"/>
    <col min="8458" max="8458" width="9.75" style="45" customWidth="1"/>
    <col min="8459" max="8459" width="7.375" style="45" customWidth="1"/>
    <col min="8460" max="8460" width="8.875" style="45"/>
    <col min="8461" max="8461" width="9.25" style="45" customWidth="1"/>
    <col min="8462" max="8462" width="3.5" style="45" customWidth="1"/>
    <col min="8463" max="8464" width="12.625" style="45" customWidth="1"/>
    <col min="8465" max="8465" width="8.875" style="45"/>
    <col min="8466" max="8466" width="7.75" style="45" customWidth="1"/>
    <col min="8467" max="8467" width="13.125" style="45" customWidth="1"/>
    <col min="8468" max="8468" width="6.125" style="45" customWidth="1"/>
    <col min="8469" max="8469" width="9.75" style="45" customWidth="1"/>
    <col min="8470" max="8470" width="1.375" style="45" customWidth="1"/>
    <col min="8471" max="8710" width="8.875" style="45"/>
    <col min="8711" max="8711" width="1.375" style="45" customWidth="1"/>
    <col min="8712" max="8712" width="3.5" style="45" customWidth="1"/>
    <col min="8713" max="8713" width="22.125" style="45" customWidth="1"/>
    <col min="8714" max="8714" width="9.75" style="45" customWidth="1"/>
    <col min="8715" max="8715" width="7.375" style="45" customWidth="1"/>
    <col min="8716" max="8716" width="8.875" style="45"/>
    <col min="8717" max="8717" width="9.25" style="45" customWidth="1"/>
    <col min="8718" max="8718" width="3.5" style="45" customWidth="1"/>
    <col min="8719" max="8720" width="12.625" style="45" customWidth="1"/>
    <col min="8721" max="8721" width="8.875" style="45"/>
    <col min="8722" max="8722" width="7.75" style="45" customWidth="1"/>
    <col min="8723" max="8723" width="13.125" style="45" customWidth="1"/>
    <col min="8724" max="8724" width="6.125" style="45" customWidth="1"/>
    <col min="8725" max="8725" width="9.75" style="45" customWidth="1"/>
    <col min="8726" max="8726" width="1.375" style="45" customWidth="1"/>
    <col min="8727" max="8966" width="8.875" style="45"/>
    <col min="8967" max="8967" width="1.375" style="45" customWidth="1"/>
    <col min="8968" max="8968" width="3.5" style="45" customWidth="1"/>
    <col min="8969" max="8969" width="22.125" style="45" customWidth="1"/>
    <col min="8970" max="8970" width="9.75" style="45" customWidth="1"/>
    <col min="8971" max="8971" width="7.375" style="45" customWidth="1"/>
    <col min="8972" max="8972" width="8.875" style="45"/>
    <col min="8973" max="8973" width="9.25" style="45" customWidth="1"/>
    <col min="8974" max="8974" width="3.5" style="45" customWidth="1"/>
    <col min="8975" max="8976" width="12.625" style="45" customWidth="1"/>
    <col min="8977" max="8977" width="8.875" style="45"/>
    <col min="8978" max="8978" width="7.75" style="45" customWidth="1"/>
    <col min="8979" max="8979" width="13.125" style="45" customWidth="1"/>
    <col min="8980" max="8980" width="6.125" style="45" customWidth="1"/>
    <col min="8981" max="8981" width="9.75" style="45" customWidth="1"/>
    <col min="8982" max="8982" width="1.375" style="45" customWidth="1"/>
    <col min="8983" max="9222" width="8.875" style="45"/>
    <col min="9223" max="9223" width="1.375" style="45" customWidth="1"/>
    <col min="9224" max="9224" width="3.5" style="45" customWidth="1"/>
    <col min="9225" max="9225" width="22.125" style="45" customWidth="1"/>
    <col min="9226" max="9226" width="9.75" style="45" customWidth="1"/>
    <col min="9227" max="9227" width="7.375" style="45" customWidth="1"/>
    <col min="9228" max="9228" width="8.875" style="45"/>
    <col min="9229" max="9229" width="9.25" style="45" customWidth="1"/>
    <col min="9230" max="9230" width="3.5" style="45" customWidth="1"/>
    <col min="9231" max="9232" width="12.625" style="45" customWidth="1"/>
    <col min="9233" max="9233" width="8.875" style="45"/>
    <col min="9234" max="9234" width="7.75" style="45" customWidth="1"/>
    <col min="9235" max="9235" width="13.125" style="45" customWidth="1"/>
    <col min="9236" max="9236" width="6.125" style="45" customWidth="1"/>
    <col min="9237" max="9237" width="9.75" style="45" customWidth="1"/>
    <col min="9238" max="9238" width="1.375" style="45" customWidth="1"/>
    <col min="9239" max="9478" width="8.875" style="45"/>
    <col min="9479" max="9479" width="1.375" style="45" customWidth="1"/>
    <col min="9480" max="9480" width="3.5" style="45" customWidth="1"/>
    <col min="9481" max="9481" width="22.125" style="45" customWidth="1"/>
    <col min="9482" max="9482" width="9.75" style="45" customWidth="1"/>
    <col min="9483" max="9483" width="7.375" style="45" customWidth="1"/>
    <col min="9484" max="9484" width="8.875" style="45"/>
    <col min="9485" max="9485" width="9.25" style="45" customWidth="1"/>
    <col min="9486" max="9486" width="3.5" style="45" customWidth="1"/>
    <col min="9487" max="9488" width="12.625" style="45" customWidth="1"/>
    <col min="9489" max="9489" width="8.875" style="45"/>
    <col min="9490" max="9490" width="7.75" style="45" customWidth="1"/>
    <col min="9491" max="9491" width="13.125" style="45" customWidth="1"/>
    <col min="9492" max="9492" width="6.125" style="45" customWidth="1"/>
    <col min="9493" max="9493" width="9.75" style="45" customWidth="1"/>
    <col min="9494" max="9494" width="1.375" style="45" customWidth="1"/>
    <col min="9495" max="9734" width="8.875" style="45"/>
    <col min="9735" max="9735" width="1.375" style="45" customWidth="1"/>
    <col min="9736" max="9736" width="3.5" style="45" customWidth="1"/>
    <col min="9737" max="9737" width="22.125" style="45" customWidth="1"/>
    <col min="9738" max="9738" width="9.75" style="45" customWidth="1"/>
    <col min="9739" max="9739" width="7.375" style="45" customWidth="1"/>
    <col min="9740" max="9740" width="8.875" style="45"/>
    <col min="9741" max="9741" width="9.25" style="45" customWidth="1"/>
    <col min="9742" max="9742" width="3.5" style="45" customWidth="1"/>
    <col min="9743" max="9744" width="12.625" style="45" customWidth="1"/>
    <col min="9745" max="9745" width="8.875" style="45"/>
    <col min="9746" max="9746" width="7.75" style="45" customWidth="1"/>
    <col min="9747" max="9747" width="13.125" style="45" customWidth="1"/>
    <col min="9748" max="9748" width="6.125" style="45" customWidth="1"/>
    <col min="9749" max="9749" width="9.75" style="45" customWidth="1"/>
    <col min="9750" max="9750" width="1.375" style="45" customWidth="1"/>
    <col min="9751" max="9990" width="8.875" style="45"/>
    <col min="9991" max="9991" width="1.375" style="45" customWidth="1"/>
    <col min="9992" max="9992" width="3.5" style="45" customWidth="1"/>
    <col min="9993" max="9993" width="22.125" style="45" customWidth="1"/>
    <col min="9994" max="9994" width="9.75" style="45" customWidth="1"/>
    <col min="9995" max="9995" width="7.375" style="45" customWidth="1"/>
    <col min="9996" max="9996" width="8.875" style="45"/>
    <col min="9997" max="9997" width="9.25" style="45" customWidth="1"/>
    <col min="9998" max="9998" width="3.5" style="45" customWidth="1"/>
    <col min="9999" max="10000" width="12.625" style="45" customWidth="1"/>
    <col min="10001" max="10001" width="8.875" style="45"/>
    <col min="10002" max="10002" width="7.75" style="45" customWidth="1"/>
    <col min="10003" max="10003" width="13.125" style="45" customWidth="1"/>
    <col min="10004" max="10004" width="6.125" style="45" customWidth="1"/>
    <col min="10005" max="10005" width="9.75" style="45" customWidth="1"/>
    <col min="10006" max="10006" width="1.375" style="45" customWidth="1"/>
    <col min="10007" max="10246" width="8.875" style="45"/>
    <col min="10247" max="10247" width="1.375" style="45" customWidth="1"/>
    <col min="10248" max="10248" width="3.5" style="45" customWidth="1"/>
    <col min="10249" max="10249" width="22.125" style="45" customWidth="1"/>
    <col min="10250" max="10250" width="9.75" style="45" customWidth="1"/>
    <col min="10251" max="10251" width="7.375" style="45" customWidth="1"/>
    <col min="10252" max="10252" width="8.875" style="45"/>
    <col min="10253" max="10253" width="9.25" style="45" customWidth="1"/>
    <col min="10254" max="10254" width="3.5" style="45" customWidth="1"/>
    <col min="10255" max="10256" width="12.625" style="45" customWidth="1"/>
    <col min="10257" max="10257" width="8.875" style="45"/>
    <col min="10258" max="10258" width="7.75" style="45" customWidth="1"/>
    <col min="10259" max="10259" width="13.125" style="45" customWidth="1"/>
    <col min="10260" max="10260" width="6.125" style="45" customWidth="1"/>
    <col min="10261" max="10261" width="9.75" style="45" customWidth="1"/>
    <col min="10262" max="10262" width="1.375" style="45" customWidth="1"/>
    <col min="10263" max="10502" width="8.875" style="45"/>
    <col min="10503" max="10503" width="1.375" style="45" customWidth="1"/>
    <col min="10504" max="10504" width="3.5" style="45" customWidth="1"/>
    <col min="10505" max="10505" width="22.125" style="45" customWidth="1"/>
    <col min="10506" max="10506" width="9.75" style="45" customWidth="1"/>
    <col min="10507" max="10507" width="7.375" style="45" customWidth="1"/>
    <col min="10508" max="10508" width="8.875" style="45"/>
    <col min="10509" max="10509" width="9.25" style="45" customWidth="1"/>
    <col min="10510" max="10510" width="3.5" style="45" customWidth="1"/>
    <col min="10511" max="10512" width="12.625" style="45" customWidth="1"/>
    <col min="10513" max="10513" width="8.875" style="45"/>
    <col min="10514" max="10514" width="7.75" style="45" customWidth="1"/>
    <col min="10515" max="10515" width="13.125" style="45" customWidth="1"/>
    <col min="10516" max="10516" width="6.125" style="45" customWidth="1"/>
    <col min="10517" max="10517" width="9.75" style="45" customWidth="1"/>
    <col min="10518" max="10518" width="1.375" style="45" customWidth="1"/>
    <col min="10519" max="10758" width="8.875" style="45"/>
    <col min="10759" max="10759" width="1.375" style="45" customWidth="1"/>
    <col min="10760" max="10760" width="3.5" style="45" customWidth="1"/>
    <col min="10761" max="10761" width="22.125" style="45" customWidth="1"/>
    <col min="10762" max="10762" width="9.75" style="45" customWidth="1"/>
    <col min="10763" max="10763" width="7.375" style="45" customWidth="1"/>
    <col min="10764" max="10764" width="8.875" style="45"/>
    <col min="10765" max="10765" width="9.25" style="45" customWidth="1"/>
    <col min="10766" max="10766" width="3.5" style="45" customWidth="1"/>
    <col min="10767" max="10768" width="12.625" style="45" customWidth="1"/>
    <col min="10769" max="10769" width="8.875" style="45"/>
    <col min="10770" max="10770" width="7.75" style="45" customWidth="1"/>
    <col min="10771" max="10771" width="13.125" style="45" customWidth="1"/>
    <col min="10772" max="10772" width="6.125" style="45" customWidth="1"/>
    <col min="10773" max="10773" width="9.75" style="45" customWidth="1"/>
    <col min="10774" max="10774" width="1.375" style="45" customWidth="1"/>
    <col min="10775" max="11014" width="8.875" style="45"/>
    <col min="11015" max="11015" width="1.375" style="45" customWidth="1"/>
    <col min="11016" max="11016" width="3.5" style="45" customWidth="1"/>
    <col min="11017" max="11017" width="22.125" style="45" customWidth="1"/>
    <col min="11018" max="11018" width="9.75" style="45" customWidth="1"/>
    <col min="11019" max="11019" width="7.375" style="45" customWidth="1"/>
    <col min="11020" max="11020" width="8.875" style="45"/>
    <col min="11021" max="11021" width="9.25" style="45" customWidth="1"/>
    <col min="11022" max="11022" width="3.5" style="45" customWidth="1"/>
    <col min="11023" max="11024" width="12.625" style="45" customWidth="1"/>
    <col min="11025" max="11025" width="8.875" style="45"/>
    <col min="11026" max="11026" width="7.75" style="45" customWidth="1"/>
    <col min="11027" max="11027" width="13.125" style="45" customWidth="1"/>
    <col min="11028" max="11028" width="6.125" style="45" customWidth="1"/>
    <col min="11029" max="11029" width="9.75" style="45" customWidth="1"/>
    <col min="11030" max="11030" width="1.375" style="45" customWidth="1"/>
    <col min="11031" max="11270" width="8.875" style="45"/>
    <col min="11271" max="11271" width="1.375" style="45" customWidth="1"/>
    <col min="11272" max="11272" width="3.5" style="45" customWidth="1"/>
    <col min="11273" max="11273" width="22.125" style="45" customWidth="1"/>
    <col min="11274" max="11274" width="9.75" style="45" customWidth="1"/>
    <col min="11275" max="11275" width="7.375" style="45" customWidth="1"/>
    <col min="11276" max="11276" width="8.875" style="45"/>
    <col min="11277" max="11277" width="9.25" style="45" customWidth="1"/>
    <col min="11278" max="11278" width="3.5" style="45" customWidth="1"/>
    <col min="11279" max="11280" width="12.625" style="45" customWidth="1"/>
    <col min="11281" max="11281" width="8.875" style="45"/>
    <col min="11282" max="11282" width="7.75" style="45" customWidth="1"/>
    <col min="11283" max="11283" width="13.125" style="45" customWidth="1"/>
    <col min="11284" max="11284" width="6.125" style="45" customWidth="1"/>
    <col min="11285" max="11285" width="9.75" style="45" customWidth="1"/>
    <col min="11286" max="11286" width="1.375" style="45" customWidth="1"/>
    <col min="11287" max="11526" width="8.875" style="45"/>
    <col min="11527" max="11527" width="1.375" style="45" customWidth="1"/>
    <col min="11528" max="11528" width="3.5" style="45" customWidth="1"/>
    <col min="11529" max="11529" width="22.125" style="45" customWidth="1"/>
    <col min="11530" max="11530" width="9.75" style="45" customWidth="1"/>
    <col min="11531" max="11531" width="7.375" style="45" customWidth="1"/>
    <col min="11532" max="11532" width="8.875" style="45"/>
    <col min="11533" max="11533" width="9.25" style="45" customWidth="1"/>
    <col min="11534" max="11534" width="3.5" style="45" customWidth="1"/>
    <col min="11535" max="11536" width="12.625" style="45" customWidth="1"/>
    <col min="11537" max="11537" width="8.875" style="45"/>
    <col min="11538" max="11538" width="7.75" style="45" customWidth="1"/>
    <col min="11539" max="11539" width="13.125" style="45" customWidth="1"/>
    <col min="11540" max="11540" width="6.125" style="45" customWidth="1"/>
    <col min="11541" max="11541" width="9.75" style="45" customWidth="1"/>
    <col min="11542" max="11542" width="1.375" style="45" customWidth="1"/>
    <col min="11543" max="11782" width="8.875" style="45"/>
    <col min="11783" max="11783" width="1.375" style="45" customWidth="1"/>
    <col min="11784" max="11784" width="3.5" style="45" customWidth="1"/>
    <col min="11785" max="11785" width="22.125" style="45" customWidth="1"/>
    <col min="11786" max="11786" width="9.75" style="45" customWidth="1"/>
    <col min="11787" max="11787" width="7.375" style="45" customWidth="1"/>
    <col min="11788" max="11788" width="8.875" style="45"/>
    <col min="11789" max="11789" width="9.25" style="45" customWidth="1"/>
    <col min="11790" max="11790" width="3.5" style="45" customWidth="1"/>
    <col min="11791" max="11792" width="12.625" style="45" customWidth="1"/>
    <col min="11793" max="11793" width="8.875" style="45"/>
    <col min="11794" max="11794" width="7.75" style="45" customWidth="1"/>
    <col min="11795" max="11795" width="13.125" style="45" customWidth="1"/>
    <col min="11796" max="11796" width="6.125" style="45" customWidth="1"/>
    <col min="11797" max="11797" width="9.75" style="45" customWidth="1"/>
    <col min="11798" max="11798" width="1.375" style="45" customWidth="1"/>
    <col min="11799" max="12038" width="8.875" style="45"/>
    <col min="12039" max="12039" width="1.375" style="45" customWidth="1"/>
    <col min="12040" max="12040" width="3.5" style="45" customWidth="1"/>
    <col min="12041" max="12041" width="22.125" style="45" customWidth="1"/>
    <col min="12042" max="12042" width="9.75" style="45" customWidth="1"/>
    <col min="12043" max="12043" width="7.375" style="45" customWidth="1"/>
    <col min="12044" max="12044" width="8.875" style="45"/>
    <col min="12045" max="12045" width="9.25" style="45" customWidth="1"/>
    <col min="12046" max="12046" width="3.5" style="45" customWidth="1"/>
    <col min="12047" max="12048" width="12.625" style="45" customWidth="1"/>
    <col min="12049" max="12049" width="8.875" style="45"/>
    <col min="12050" max="12050" width="7.75" style="45" customWidth="1"/>
    <col min="12051" max="12051" width="13.125" style="45" customWidth="1"/>
    <col min="12052" max="12052" width="6.125" style="45" customWidth="1"/>
    <col min="12053" max="12053" width="9.75" style="45" customWidth="1"/>
    <col min="12054" max="12054" width="1.375" style="45" customWidth="1"/>
    <col min="12055" max="12294" width="8.875" style="45"/>
    <col min="12295" max="12295" width="1.375" style="45" customWidth="1"/>
    <col min="12296" max="12296" width="3.5" style="45" customWidth="1"/>
    <col min="12297" max="12297" width="22.125" style="45" customWidth="1"/>
    <col min="12298" max="12298" width="9.75" style="45" customWidth="1"/>
    <col min="12299" max="12299" width="7.375" style="45" customWidth="1"/>
    <col min="12300" max="12300" width="8.875" style="45"/>
    <col min="12301" max="12301" width="9.25" style="45" customWidth="1"/>
    <col min="12302" max="12302" width="3.5" style="45" customWidth="1"/>
    <col min="12303" max="12304" width="12.625" style="45" customWidth="1"/>
    <col min="12305" max="12305" width="8.875" style="45"/>
    <col min="12306" max="12306" width="7.75" style="45" customWidth="1"/>
    <col min="12307" max="12307" width="13.125" style="45" customWidth="1"/>
    <col min="12308" max="12308" width="6.125" style="45" customWidth="1"/>
    <col min="12309" max="12309" width="9.75" style="45" customWidth="1"/>
    <col min="12310" max="12310" width="1.375" style="45" customWidth="1"/>
    <col min="12311" max="12550" width="8.875" style="45"/>
    <col min="12551" max="12551" width="1.375" style="45" customWidth="1"/>
    <col min="12552" max="12552" width="3.5" style="45" customWidth="1"/>
    <col min="12553" max="12553" width="22.125" style="45" customWidth="1"/>
    <col min="12554" max="12554" width="9.75" style="45" customWidth="1"/>
    <col min="12555" max="12555" width="7.375" style="45" customWidth="1"/>
    <col min="12556" max="12556" width="8.875" style="45"/>
    <col min="12557" max="12557" width="9.25" style="45" customWidth="1"/>
    <col min="12558" max="12558" width="3.5" style="45" customWidth="1"/>
    <col min="12559" max="12560" width="12.625" style="45" customWidth="1"/>
    <col min="12561" max="12561" width="8.875" style="45"/>
    <col min="12562" max="12562" width="7.75" style="45" customWidth="1"/>
    <col min="12563" max="12563" width="13.125" style="45" customWidth="1"/>
    <col min="12564" max="12564" width="6.125" style="45" customWidth="1"/>
    <col min="12565" max="12565" width="9.75" style="45" customWidth="1"/>
    <col min="12566" max="12566" width="1.375" style="45" customWidth="1"/>
    <col min="12567" max="12806" width="8.875" style="45"/>
    <col min="12807" max="12807" width="1.375" style="45" customWidth="1"/>
    <col min="12808" max="12808" width="3.5" style="45" customWidth="1"/>
    <col min="12809" max="12809" width="22.125" style="45" customWidth="1"/>
    <col min="12810" max="12810" width="9.75" style="45" customWidth="1"/>
    <col min="12811" max="12811" width="7.375" style="45" customWidth="1"/>
    <col min="12812" max="12812" width="8.875" style="45"/>
    <col min="12813" max="12813" width="9.25" style="45" customWidth="1"/>
    <col min="12814" max="12814" width="3.5" style="45" customWidth="1"/>
    <col min="12815" max="12816" width="12.625" style="45" customWidth="1"/>
    <col min="12817" max="12817" width="8.875" style="45"/>
    <col min="12818" max="12818" width="7.75" style="45" customWidth="1"/>
    <col min="12819" max="12819" width="13.125" style="45" customWidth="1"/>
    <col min="12820" max="12820" width="6.125" style="45" customWidth="1"/>
    <col min="12821" max="12821" width="9.75" style="45" customWidth="1"/>
    <col min="12822" max="12822" width="1.375" style="45" customWidth="1"/>
    <col min="12823" max="13062" width="8.875" style="45"/>
    <col min="13063" max="13063" width="1.375" style="45" customWidth="1"/>
    <col min="13064" max="13064" width="3.5" style="45" customWidth="1"/>
    <col min="13065" max="13065" width="22.125" style="45" customWidth="1"/>
    <col min="13066" max="13066" width="9.75" style="45" customWidth="1"/>
    <col min="13067" max="13067" width="7.375" style="45" customWidth="1"/>
    <col min="13068" max="13068" width="8.875" style="45"/>
    <col min="13069" max="13069" width="9.25" style="45" customWidth="1"/>
    <col min="13070" max="13070" width="3.5" style="45" customWidth="1"/>
    <col min="13071" max="13072" width="12.625" style="45" customWidth="1"/>
    <col min="13073" max="13073" width="8.875" style="45"/>
    <col min="13074" max="13074" width="7.75" style="45" customWidth="1"/>
    <col min="13075" max="13075" width="13.125" style="45" customWidth="1"/>
    <col min="13076" max="13076" width="6.125" style="45" customWidth="1"/>
    <col min="13077" max="13077" width="9.75" style="45" customWidth="1"/>
    <col min="13078" max="13078" width="1.375" style="45" customWidth="1"/>
    <col min="13079" max="13318" width="8.875" style="45"/>
    <col min="13319" max="13319" width="1.375" style="45" customWidth="1"/>
    <col min="13320" max="13320" width="3.5" style="45" customWidth="1"/>
    <col min="13321" max="13321" width="22.125" style="45" customWidth="1"/>
    <col min="13322" max="13322" width="9.75" style="45" customWidth="1"/>
    <col min="13323" max="13323" width="7.375" style="45" customWidth="1"/>
    <col min="13324" max="13324" width="8.875" style="45"/>
    <col min="13325" max="13325" width="9.25" style="45" customWidth="1"/>
    <col min="13326" max="13326" width="3.5" style="45" customWidth="1"/>
    <col min="13327" max="13328" width="12.625" style="45" customWidth="1"/>
    <col min="13329" max="13329" width="8.875" style="45"/>
    <col min="13330" max="13330" width="7.75" style="45" customWidth="1"/>
    <col min="13331" max="13331" width="13.125" style="45" customWidth="1"/>
    <col min="13332" max="13332" width="6.125" style="45" customWidth="1"/>
    <col min="13333" max="13333" width="9.75" style="45" customWidth="1"/>
    <col min="13334" max="13334" width="1.375" style="45" customWidth="1"/>
    <col min="13335" max="13574" width="8.875" style="45"/>
    <col min="13575" max="13575" width="1.375" style="45" customWidth="1"/>
    <col min="13576" max="13576" width="3.5" style="45" customWidth="1"/>
    <col min="13577" max="13577" width="22.125" style="45" customWidth="1"/>
    <col min="13578" max="13578" width="9.75" style="45" customWidth="1"/>
    <col min="13579" max="13579" width="7.375" style="45" customWidth="1"/>
    <col min="13580" max="13580" width="8.875" style="45"/>
    <col min="13581" max="13581" width="9.25" style="45" customWidth="1"/>
    <col min="13582" max="13582" width="3.5" style="45" customWidth="1"/>
    <col min="13583" max="13584" width="12.625" style="45" customWidth="1"/>
    <col min="13585" max="13585" width="8.875" style="45"/>
    <col min="13586" max="13586" width="7.75" style="45" customWidth="1"/>
    <col min="13587" max="13587" width="13.125" style="45" customWidth="1"/>
    <col min="13588" max="13588" width="6.125" style="45" customWidth="1"/>
    <col min="13589" max="13589" width="9.75" style="45" customWidth="1"/>
    <col min="13590" max="13590" width="1.375" style="45" customWidth="1"/>
    <col min="13591" max="13830" width="8.875" style="45"/>
    <col min="13831" max="13831" width="1.375" style="45" customWidth="1"/>
    <col min="13832" max="13832" width="3.5" style="45" customWidth="1"/>
    <col min="13833" max="13833" width="22.125" style="45" customWidth="1"/>
    <col min="13834" max="13834" width="9.75" style="45" customWidth="1"/>
    <col min="13835" max="13835" width="7.375" style="45" customWidth="1"/>
    <col min="13836" max="13836" width="8.875" style="45"/>
    <col min="13837" max="13837" width="9.25" style="45" customWidth="1"/>
    <col min="13838" max="13838" width="3.5" style="45" customWidth="1"/>
    <col min="13839" max="13840" width="12.625" style="45" customWidth="1"/>
    <col min="13841" max="13841" width="8.875" style="45"/>
    <col min="13842" max="13842" width="7.75" style="45" customWidth="1"/>
    <col min="13843" max="13843" width="13.125" style="45" customWidth="1"/>
    <col min="13844" max="13844" width="6.125" style="45" customWidth="1"/>
    <col min="13845" max="13845" width="9.75" style="45" customWidth="1"/>
    <col min="13846" max="13846" width="1.375" style="45" customWidth="1"/>
    <col min="13847" max="14086" width="8.875" style="45"/>
    <col min="14087" max="14087" width="1.375" style="45" customWidth="1"/>
    <col min="14088" max="14088" width="3.5" style="45" customWidth="1"/>
    <col min="14089" max="14089" width="22.125" style="45" customWidth="1"/>
    <col min="14090" max="14090" width="9.75" style="45" customWidth="1"/>
    <col min="14091" max="14091" width="7.375" style="45" customWidth="1"/>
    <col min="14092" max="14092" width="8.875" style="45"/>
    <col min="14093" max="14093" width="9.25" style="45" customWidth="1"/>
    <col min="14094" max="14094" width="3.5" style="45" customWidth="1"/>
    <col min="14095" max="14096" width="12.625" style="45" customWidth="1"/>
    <col min="14097" max="14097" width="8.875" style="45"/>
    <col min="14098" max="14098" width="7.75" style="45" customWidth="1"/>
    <col min="14099" max="14099" width="13.125" style="45" customWidth="1"/>
    <col min="14100" max="14100" width="6.125" style="45" customWidth="1"/>
    <col min="14101" max="14101" width="9.75" style="45" customWidth="1"/>
    <col min="14102" max="14102" width="1.375" style="45" customWidth="1"/>
    <col min="14103" max="14342" width="8.875" style="45"/>
    <col min="14343" max="14343" width="1.375" style="45" customWidth="1"/>
    <col min="14344" max="14344" width="3.5" style="45" customWidth="1"/>
    <col min="14345" max="14345" width="22.125" style="45" customWidth="1"/>
    <col min="14346" max="14346" width="9.75" style="45" customWidth="1"/>
    <col min="14347" max="14347" width="7.375" style="45" customWidth="1"/>
    <col min="14348" max="14348" width="8.875" style="45"/>
    <col min="14349" max="14349" width="9.25" style="45" customWidth="1"/>
    <col min="14350" max="14350" width="3.5" style="45" customWidth="1"/>
    <col min="14351" max="14352" width="12.625" style="45" customWidth="1"/>
    <col min="14353" max="14353" width="8.875" style="45"/>
    <col min="14354" max="14354" width="7.75" style="45" customWidth="1"/>
    <col min="14355" max="14355" width="13.125" style="45" customWidth="1"/>
    <col min="14356" max="14356" width="6.125" style="45" customWidth="1"/>
    <col min="14357" max="14357" width="9.75" style="45" customWidth="1"/>
    <col min="14358" max="14358" width="1.375" style="45" customWidth="1"/>
    <col min="14359" max="14598" width="8.875" style="45"/>
    <col min="14599" max="14599" width="1.375" style="45" customWidth="1"/>
    <col min="14600" max="14600" width="3.5" style="45" customWidth="1"/>
    <col min="14601" max="14601" width="22.125" style="45" customWidth="1"/>
    <col min="14602" max="14602" width="9.75" style="45" customWidth="1"/>
    <col min="14603" max="14603" width="7.375" style="45" customWidth="1"/>
    <col min="14604" max="14604" width="8.875" style="45"/>
    <col min="14605" max="14605" width="9.25" style="45" customWidth="1"/>
    <col min="14606" max="14606" width="3.5" style="45" customWidth="1"/>
    <col min="14607" max="14608" width="12.625" style="45" customWidth="1"/>
    <col min="14609" max="14609" width="8.875" style="45"/>
    <col min="14610" max="14610" width="7.75" style="45" customWidth="1"/>
    <col min="14611" max="14611" width="13.125" style="45" customWidth="1"/>
    <col min="14612" max="14612" width="6.125" style="45" customWidth="1"/>
    <col min="14613" max="14613" width="9.75" style="45" customWidth="1"/>
    <col min="14614" max="14614" width="1.375" style="45" customWidth="1"/>
    <col min="14615" max="14854" width="8.875" style="45"/>
    <col min="14855" max="14855" width="1.375" style="45" customWidth="1"/>
    <col min="14856" max="14856" width="3.5" style="45" customWidth="1"/>
    <col min="14857" max="14857" width="22.125" style="45" customWidth="1"/>
    <col min="14858" max="14858" width="9.75" style="45" customWidth="1"/>
    <col min="14859" max="14859" width="7.375" style="45" customWidth="1"/>
    <col min="14860" max="14860" width="8.875" style="45"/>
    <col min="14861" max="14861" width="9.25" style="45" customWidth="1"/>
    <col min="14862" max="14862" width="3.5" style="45" customWidth="1"/>
    <col min="14863" max="14864" width="12.625" style="45" customWidth="1"/>
    <col min="14865" max="14865" width="8.875" style="45"/>
    <col min="14866" max="14866" width="7.75" style="45" customWidth="1"/>
    <col min="14867" max="14867" width="13.125" style="45" customWidth="1"/>
    <col min="14868" max="14868" width="6.125" style="45" customWidth="1"/>
    <col min="14869" max="14869" width="9.75" style="45" customWidth="1"/>
    <col min="14870" max="14870" width="1.375" style="45" customWidth="1"/>
    <col min="14871" max="15110" width="8.875" style="45"/>
    <col min="15111" max="15111" width="1.375" style="45" customWidth="1"/>
    <col min="15112" max="15112" width="3.5" style="45" customWidth="1"/>
    <col min="15113" max="15113" width="22.125" style="45" customWidth="1"/>
    <col min="15114" max="15114" width="9.75" style="45" customWidth="1"/>
    <col min="15115" max="15115" width="7.375" style="45" customWidth="1"/>
    <col min="15116" max="15116" width="8.875" style="45"/>
    <col min="15117" max="15117" width="9.25" style="45" customWidth="1"/>
    <col min="15118" max="15118" width="3.5" style="45" customWidth="1"/>
    <col min="15119" max="15120" width="12.625" style="45" customWidth="1"/>
    <col min="15121" max="15121" width="8.875" style="45"/>
    <col min="15122" max="15122" width="7.75" style="45" customWidth="1"/>
    <col min="15123" max="15123" width="13.125" style="45" customWidth="1"/>
    <col min="15124" max="15124" width="6.125" style="45" customWidth="1"/>
    <col min="15125" max="15125" width="9.75" style="45" customWidth="1"/>
    <col min="15126" max="15126" width="1.375" style="45" customWidth="1"/>
    <col min="15127" max="15366" width="8.875" style="45"/>
    <col min="15367" max="15367" width="1.375" style="45" customWidth="1"/>
    <col min="15368" max="15368" width="3.5" style="45" customWidth="1"/>
    <col min="15369" max="15369" width="22.125" style="45" customWidth="1"/>
    <col min="15370" max="15370" width="9.75" style="45" customWidth="1"/>
    <col min="15371" max="15371" width="7.375" style="45" customWidth="1"/>
    <col min="15372" max="15372" width="8.875" style="45"/>
    <col min="15373" max="15373" width="9.25" style="45" customWidth="1"/>
    <col min="15374" max="15374" width="3.5" style="45" customWidth="1"/>
    <col min="15375" max="15376" width="12.625" style="45" customWidth="1"/>
    <col min="15377" max="15377" width="8.875" style="45"/>
    <col min="15378" max="15378" width="7.75" style="45" customWidth="1"/>
    <col min="15379" max="15379" width="13.125" style="45" customWidth="1"/>
    <col min="15380" max="15380" width="6.125" style="45" customWidth="1"/>
    <col min="15381" max="15381" width="9.75" style="45" customWidth="1"/>
    <col min="15382" max="15382" width="1.375" style="45" customWidth="1"/>
    <col min="15383" max="15622" width="8.875" style="45"/>
    <col min="15623" max="15623" width="1.375" style="45" customWidth="1"/>
    <col min="15624" max="15624" width="3.5" style="45" customWidth="1"/>
    <col min="15625" max="15625" width="22.125" style="45" customWidth="1"/>
    <col min="15626" max="15626" width="9.75" style="45" customWidth="1"/>
    <col min="15627" max="15627" width="7.375" style="45" customWidth="1"/>
    <col min="15628" max="15628" width="8.875" style="45"/>
    <col min="15629" max="15629" width="9.25" style="45" customWidth="1"/>
    <col min="15630" max="15630" width="3.5" style="45" customWidth="1"/>
    <col min="15631" max="15632" width="12.625" style="45" customWidth="1"/>
    <col min="15633" max="15633" width="8.875" style="45"/>
    <col min="15634" max="15634" width="7.75" style="45" customWidth="1"/>
    <col min="15635" max="15635" width="13.125" style="45" customWidth="1"/>
    <col min="15636" max="15636" width="6.125" style="45" customWidth="1"/>
    <col min="15637" max="15637" width="9.75" style="45" customWidth="1"/>
    <col min="15638" max="15638" width="1.375" style="45" customWidth="1"/>
    <col min="15639" max="15878" width="8.875" style="45"/>
    <col min="15879" max="15879" width="1.375" style="45" customWidth="1"/>
    <col min="15880" max="15880" width="3.5" style="45" customWidth="1"/>
    <col min="15881" max="15881" width="22.125" style="45" customWidth="1"/>
    <col min="15882" max="15882" width="9.75" style="45" customWidth="1"/>
    <col min="15883" max="15883" width="7.375" style="45" customWidth="1"/>
    <col min="15884" max="15884" width="8.875" style="45"/>
    <col min="15885" max="15885" width="9.25" style="45" customWidth="1"/>
    <col min="15886" max="15886" width="3.5" style="45" customWidth="1"/>
    <col min="15887" max="15888" width="12.625" style="45" customWidth="1"/>
    <col min="15889" max="15889" width="8.875" style="45"/>
    <col min="15890" max="15890" width="7.75" style="45" customWidth="1"/>
    <col min="15891" max="15891" width="13.125" style="45" customWidth="1"/>
    <col min="15892" max="15892" width="6.125" style="45" customWidth="1"/>
    <col min="15893" max="15893" width="9.75" style="45" customWidth="1"/>
    <col min="15894" max="15894" width="1.375" style="45" customWidth="1"/>
    <col min="15895" max="16134" width="8.875" style="45"/>
    <col min="16135" max="16135" width="1.375" style="45" customWidth="1"/>
    <col min="16136" max="16136" width="3.5" style="45" customWidth="1"/>
    <col min="16137" max="16137" width="22.125" style="45" customWidth="1"/>
    <col min="16138" max="16138" width="9.75" style="45" customWidth="1"/>
    <col min="16139" max="16139" width="7.375" style="45" customWidth="1"/>
    <col min="16140" max="16140" width="8.875" style="45"/>
    <col min="16141" max="16141" width="9.25" style="45" customWidth="1"/>
    <col min="16142" max="16142" width="3.5" style="45" customWidth="1"/>
    <col min="16143" max="16144" width="12.625" style="45" customWidth="1"/>
    <col min="16145" max="16145" width="8.875" style="45"/>
    <col min="16146" max="16146" width="7.75" style="45" customWidth="1"/>
    <col min="16147" max="16147" width="13.125" style="45" customWidth="1"/>
    <col min="16148" max="16148" width="6.125" style="45" customWidth="1"/>
    <col min="16149" max="16149" width="9.75" style="45" customWidth="1"/>
    <col min="16150" max="16150" width="1.375" style="45" customWidth="1"/>
    <col min="16151" max="16384" width="8.875" style="45"/>
  </cols>
  <sheetData>
    <row r="1" spans="2:23" ht="9.9499999999999993" customHeight="1" x14ac:dyDescent="0.15"/>
    <row r="2" spans="2:23" ht="24.95" customHeight="1" x14ac:dyDescent="0.15">
      <c r="B2" s="1" t="s">
        <v>387</v>
      </c>
      <c r="C2" s="47"/>
      <c r="D2" s="5"/>
      <c r="E2" s="5"/>
      <c r="F2" s="47"/>
      <c r="G2" s="98"/>
      <c r="H2" s="108"/>
      <c r="I2" s="98"/>
      <c r="J2" s="98"/>
      <c r="K2" s="98"/>
      <c r="L2" s="98"/>
      <c r="M2" s="98"/>
      <c r="N2" s="98"/>
      <c r="O2" s="5"/>
    </row>
    <row r="3" spans="2:23" ht="15" customHeight="1" thickBot="1" x14ac:dyDescent="0.2">
      <c r="B3" s="45" t="s">
        <v>222</v>
      </c>
      <c r="I3" s="5" t="s">
        <v>223</v>
      </c>
      <c r="P3" s="45" t="s">
        <v>243</v>
      </c>
    </row>
    <row r="4" spans="2:23" ht="15" customHeight="1" x14ac:dyDescent="0.15">
      <c r="B4" s="242" t="s">
        <v>87</v>
      </c>
      <c r="C4" s="147" t="s">
        <v>178</v>
      </c>
      <c r="D4" s="147" t="s">
        <v>139</v>
      </c>
      <c r="E4" s="147" t="s">
        <v>140</v>
      </c>
      <c r="F4" s="309" t="s">
        <v>23</v>
      </c>
      <c r="G4" s="135" t="s">
        <v>141</v>
      </c>
      <c r="H4" s="148"/>
      <c r="I4" s="1293" t="s">
        <v>87</v>
      </c>
      <c r="J4" s="1291" t="s">
        <v>182</v>
      </c>
      <c r="K4" s="417" t="s">
        <v>179</v>
      </c>
      <c r="L4" s="417" t="s">
        <v>142</v>
      </c>
      <c r="M4" s="1302" t="s">
        <v>23</v>
      </c>
      <c r="N4" s="1304" t="s">
        <v>141</v>
      </c>
      <c r="O4" s="167"/>
      <c r="P4" s="243" t="s">
        <v>185</v>
      </c>
      <c r="Q4" s="244" t="s">
        <v>186</v>
      </c>
      <c r="R4" s="244" t="s">
        <v>187</v>
      </c>
      <c r="S4" s="244" t="s">
        <v>188</v>
      </c>
      <c r="T4" s="1295" t="s">
        <v>189</v>
      </c>
      <c r="U4" s="1136"/>
      <c r="V4" s="245" t="s">
        <v>190</v>
      </c>
    </row>
    <row r="5" spans="2:23" ht="15" customHeight="1" x14ac:dyDescent="0.15">
      <c r="B5" s="1075" t="s">
        <v>174</v>
      </c>
      <c r="C5" s="62"/>
      <c r="D5" s="44"/>
      <c r="E5" s="51"/>
      <c r="F5" s="62"/>
      <c r="G5" s="136"/>
      <c r="H5" s="149"/>
      <c r="I5" s="1294"/>
      <c r="J5" s="1292"/>
      <c r="K5" s="696" t="s">
        <v>143</v>
      </c>
      <c r="L5" s="696" t="s">
        <v>298</v>
      </c>
      <c r="M5" s="1303"/>
      <c r="N5" s="1305"/>
      <c r="O5" s="167"/>
      <c r="P5" s="581" t="s">
        <v>410</v>
      </c>
      <c r="Q5" s="532"/>
      <c r="R5" s="582" t="s">
        <v>100</v>
      </c>
      <c r="S5" s="532"/>
      <c r="T5" s="1296" t="s">
        <v>411</v>
      </c>
      <c r="U5" s="1297"/>
      <c r="V5" s="583">
        <v>5806.666666666667</v>
      </c>
      <c r="W5" s="646" t="s">
        <v>408</v>
      </c>
    </row>
    <row r="6" spans="2:23" ht="15" customHeight="1" x14ac:dyDescent="0.15">
      <c r="B6" s="1076"/>
      <c r="C6" s="44"/>
      <c r="D6" s="44"/>
      <c r="E6" s="51"/>
      <c r="F6" s="44"/>
      <c r="G6" s="137"/>
      <c r="H6" s="149"/>
      <c r="I6" s="1328" t="s">
        <v>181</v>
      </c>
      <c r="J6" s="374" t="s">
        <v>632</v>
      </c>
      <c r="K6" s="427">
        <v>8.36</v>
      </c>
      <c r="L6" s="427">
        <v>13</v>
      </c>
      <c r="M6" s="427">
        <v>84.7</v>
      </c>
      <c r="N6" s="318">
        <f>K6*L6*M6</f>
        <v>9205.1959999999999</v>
      </c>
      <c r="O6" s="167"/>
      <c r="P6" s="246"/>
      <c r="Q6" s="133"/>
      <c r="R6" s="310"/>
      <c r="S6" s="133"/>
      <c r="T6" s="1287"/>
      <c r="U6" s="1288"/>
      <c r="V6" s="156"/>
    </row>
    <row r="7" spans="2:23" ht="15" customHeight="1" thickBot="1" x14ac:dyDescent="0.2">
      <c r="B7" s="1262"/>
      <c r="C7" s="138" t="s">
        <v>144</v>
      </c>
      <c r="D7" s="138"/>
      <c r="E7" s="138"/>
      <c r="F7" s="138"/>
      <c r="G7" s="139">
        <f>SUM(G5:G6)</f>
        <v>0</v>
      </c>
      <c r="H7" s="149"/>
      <c r="I7" s="1299"/>
      <c r="J7" s="374" t="s">
        <v>633</v>
      </c>
      <c r="K7" s="697">
        <v>2.62</v>
      </c>
      <c r="L7" s="427">
        <f>5+6.5</f>
        <v>11.5</v>
      </c>
      <c r="M7" s="427">
        <v>84.7</v>
      </c>
      <c r="N7" s="318">
        <f t="shared" ref="N7:N9" si="0">K7*L7*M7</f>
        <v>2552.0110000000004</v>
      </c>
      <c r="O7" s="167"/>
      <c r="P7" s="246"/>
      <c r="Q7" s="133"/>
      <c r="R7" s="310"/>
      <c r="S7" s="133"/>
      <c r="T7" s="1287"/>
      <c r="U7" s="1288"/>
      <c r="V7" s="156"/>
    </row>
    <row r="8" spans="2:23" ht="15" customHeight="1" thickTop="1" x14ac:dyDescent="0.15">
      <c r="B8" s="1261" t="s">
        <v>172</v>
      </c>
      <c r="C8" s="374" t="s">
        <v>730</v>
      </c>
      <c r="D8" s="44">
        <v>10</v>
      </c>
      <c r="E8" s="51" t="s">
        <v>287</v>
      </c>
      <c r="F8" s="44">
        <v>3840</v>
      </c>
      <c r="G8" s="137">
        <f>D8*F8</f>
        <v>38400</v>
      </c>
      <c r="H8" s="149"/>
      <c r="I8" s="1299"/>
      <c r="J8" s="374" t="s">
        <v>634</v>
      </c>
      <c r="K8" s="427">
        <v>1.2</v>
      </c>
      <c r="L8" s="427">
        <v>3</v>
      </c>
      <c r="M8" s="427">
        <v>84.7</v>
      </c>
      <c r="N8" s="318">
        <f t="shared" si="0"/>
        <v>304.91999999999996</v>
      </c>
      <c r="O8" s="167"/>
      <c r="P8" s="246"/>
      <c r="Q8" s="133"/>
      <c r="R8" s="310"/>
      <c r="S8" s="133"/>
      <c r="T8" s="1287"/>
      <c r="U8" s="1288"/>
      <c r="V8" s="156"/>
    </row>
    <row r="9" spans="2:23" ht="15" customHeight="1" x14ac:dyDescent="0.15">
      <c r="B9" s="1076"/>
      <c r="C9" s="374"/>
      <c r="D9" s="44"/>
      <c r="E9" s="51"/>
      <c r="F9" s="44"/>
      <c r="G9" s="137"/>
      <c r="H9" s="149"/>
      <c r="I9" s="1299"/>
      <c r="J9" s="727" t="s">
        <v>635</v>
      </c>
      <c r="K9" s="728">
        <v>4.2699999999999996</v>
      </c>
      <c r="L9" s="729">
        <v>5</v>
      </c>
      <c r="M9" s="427">
        <v>84.7</v>
      </c>
      <c r="N9" s="730">
        <f t="shared" si="0"/>
        <v>1808.3449999999998</v>
      </c>
      <c r="O9" s="167"/>
      <c r="P9" s="246"/>
      <c r="Q9" s="133"/>
      <c r="R9" s="310"/>
      <c r="S9" s="133"/>
      <c r="T9" s="1287"/>
      <c r="U9" s="1288"/>
      <c r="V9" s="156"/>
    </row>
    <row r="10" spans="2:23" ht="15" customHeight="1" x14ac:dyDescent="0.15">
      <c r="B10" s="1076"/>
      <c r="C10" s="374"/>
      <c r="D10" s="44"/>
      <c r="E10" s="51"/>
      <c r="F10" s="44"/>
      <c r="G10" s="137"/>
      <c r="H10" s="149"/>
      <c r="I10" s="1299"/>
      <c r="J10" s="731" t="s">
        <v>636</v>
      </c>
      <c r="K10" s="732">
        <v>0.62</v>
      </c>
      <c r="L10" s="732">
        <v>3.5</v>
      </c>
      <c r="M10" s="441">
        <v>84.7</v>
      </c>
      <c r="N10" s="733">
        <f>K10*L10*M10</f>
        <v>183.79900000000001</v>
      </c>
      <c r="O10" s="167"/>
      <c r="P10" s="246"/>
      <c r="Q10" s="306"/>
      <c r="R10" s="307"/>
      <c r="S10" s="306"/>
      <c r="T10" s="308"/>
      <c r="U10" s="311"/>
      <c r="V10" s="156"/>
    </row>
    <row r="11" spans="2:23" ht="15" customHeight="1" thickBot="1" x14ac:dyDescent="0.2">
      <c r="B11" s="1262"/>
      <c r="C11" s="140" t="s">
        <v>145</v>
      </c>
      <c r="D11" s="141"/>
      <c r="E11" s="141"/>
      <c r="F11" s="141"/>
      <c r="G11" s="142">
        <f>SUM(G8:G10)</f>
        <v>38400</v>
      </c>
      <c r="H11" s="149"/>
      <c r="I11" s="1299"/>
      <c r="J11" s="630"/>
      <c r="K11" s="630"/>
      <c r="L11" s="630"/>
      <c r="M11" s="630"/>
      <c r="N11" s="237"/>
      <c r="O11" s="167"/>
      <c r="P11" s="246"/>
      <c r="Q11" s="133"/>
      <c r="R11" s="310"/>
      <c r="S11" s="133"/>
      <c r="T11" s="1287"/>
      <c r="U11" s="1288"/>
      <c r="V11" s="156"/>
    </row>
    <row r="12" spans="2:23" ht="15" customHeight="1" thickTop="1" thickBot="1" x14ac:dyDescent="0.2">
      <c r="B12" s="1261" t="s">
        <v>173</v>
      </c>
      <c r="C12" s="374" t="s">
        <v>731</v>
      </c>
      <c r="D12" s="44">
        <v>550</v>
      </c>
      <c r="E12" s="51" t="s">
        <v>295</v>
      </c>
      <c r="F12" s="44">
        <f>3710/20</f>
        <v>185.5</v>
      </c>
      <c r="G12" s="137">
        <f>D12*F12</f>
        <v>102025</v>
      </c>
      <c r="H12" s="149"/>
      <c r="I12" s="1300"/>
      <c r="J12" s="302" t="s">
        <v>248</v>
      </c>
      <c r="K12" s="303">
        <f>SUM(K6:K9)</f>
        <v>16.45</v>
      </c>
      <c r="L12" s="303">
        <f>SUM(L6:L10)</f>
        <v>36</v>
      </c>
      <c r="M12" s="303"/>
      <c r="N12" s="305">
        <f>SUM(N6:N10)</f>
        <v>14054.271000000001</v>
      </c>
      <c r="O12" s="167"/>
      <c r="P12" s="246"/>
      <c r="Q12" s="133"/>
      <c r="R12" s="310"/>
      <c r="S12" s="133"/>
      <c r="T12" s="1287"/>
      <c r="U12" s="1288"/>
      <c r="V12" s="156"/>
    </row>
    <row r="13" spans="2:23" ht="15" customHeight="1" thickTop="1" x14ac:dyDescent="0.15">
      <c r="B13" s="1076"/>
      <c r="C13" s="374"/>
      <c r="D13" s="44"/>
      <c r="E13" s="51"/>
      <c r="F13" s="44"/>
      <c r="G13" s="137"/>
      <c r="H13" s="149"/>
      <c r="I13" s="1270" t="s">
        <v>46</v>
      </c>
      <c r="J13" s="374" t="s">
        <v>637</v>
      </c>
      <c r="K13" s="427">
        <v>2.78</v>
      </c>
      <c r="L13" s="427">
        <v>3.3</v>
      </c>
      <c r="M13" s="427">
        <v>158.4</v>
      </c>
      <c r="N13" s="318">
        <f>K13*L13*M13</f>
        <v>1453.1615999999999</v>
      </c>
      <c r="O13" s="167"/>
      <c r="P13" s="246"/>
      <c r="Q13" s="133"/>
      <c r="R13" s="310"/>
      <c r="S13" s="133"/>
      <c r="T13" s="1287"/>
      <c r="U13" s="1288"/>
      <c r="V13" s="156"/>
    </row>
    <row r="14" spans="2:23" ht="15" customHeight="1" x14ac:dyDescent="0.15">
      <c r="B14" s="1076"/>
      <c r="C14" s="374"/>
      <c r="D14" s="44"/>
      <c r="E14" s="51"/>
      <c r="F14" s="44"/>
      <c r="G14" s="137"/>
      <c r="H14" s="149"/>
      <c r="I14" s="1271"/>
      <c r="J14" s="374"/>
      <c r="K14" s="427"/>
      <c r="L14" s="427"/>
      <c r="M14" s="427"/>
      <c r="N14" s="318"/>
      <c r="O14" s="167"/>
      <c r="P14" s="246"/>
      <c r="Q14" s="133"/>
      <c r="R14" s="310"/>
      <c r="S14" s="133"/>
      <c r="T14" s="1287"/>
      <c r="U14" s="1288"/>
      <c r="V14" s="156"/>
    </row>
    <row r="15" spans="2:23" ht="15" customHeight="1" x14ac:dyDescent="0.15">
      <c r="B15" s="1076"/>
      <c r="C15" s="374"/>
      <c r="D15" s="44"/>
      <c r="E15" s="44"/>
      <c r="F15" s="44"/>
      <c r="G15" s="137"/>
      <c r="H15" s="149"/>
      <c r="I15" s="1271"/>
      <c r="J15" s="374"/>
      <c r="K15" s="427"/>
      <c r="L15" s="427"/>
      <c r="M15" s="427"/>
      <c r="N15" s="318"/>
      <c r="O15" s="167"/>
      <c r="P15" s="246"/>
      <c r="Q15" s="133"/>
      <c r="R15" s="310"/>
      <c r="S15" s="133"/>
      <c r="T15" s="1287"/>
      <c r="U15" s="1288"/>
      <c r="V15" s="156"/>
    </row>
    <row r="16" spans="2:23" ht="15" customHeight="1" thickBot="1" x14ac:dyDescent="0.2">
      <c r="B16" s="1262"/>
      <c r="C16" s="140" t="s">
        <v>145</v>
      </c>
      <c r="D16" s="141"/>
      <c r="E16" s="141"/>
      <c r="F16" s="141"/>
      <c r="G16" s="142">
        <f>SUM(G12:G15)</f>
        <v>102025</v>
      </c>
      <c r="H16" s="149"/>
      <c r="I16" s="1272"/>
      <c r="J16" s="734" t="s">
        <v>248</v>
      </c>
      <c r="K16" s="735">
        <f>SUM(K13:K15)</f>
        <v>2.78</v>
      </c>
      <c r="L16" s="735">
        <f>SUM(L13:L15)</f>
        <v>3.3</v>
      </c>
      <c r="M16" s="735"/>
      <c r="N16" s="736">
        <f>SUM(N13:N15)</f>
        <v>1453.1615999999999</v>
      </c>
      <c r="O16" s="167"/>
      <c r="P16" s="246"/>
      <c r="Q16" s="133"/>
      <c r="R16" s="310"/>
      <c r="S16" s="133"/>
      <c r="T16" s="1287"/>
      <c r="U16" s="1288"/>
      <c r="V16" s="156"/>
    </row>
    <row r="17" spans="2:22" ht="15" customHeight="1" thickTop="1" x14ac:dyDescent="0.15">
      <c r="B17" s="1261" t="s">
        <v>175</v>
      </c>
      <c r="C17" s="374"/>
      <c r="D17" s="44"/>
      <c r="E17" s="51"/>
      <c r="F17" s="44"/>
      <c r="G17" s="137"/>
      <c r="H17" s="149"/>
      <c r="I17" s="1270" t="s">
        <v>183</v>
      </c>
      <c r="J17" s="374"/>
      <c r="K17" s="427"/>
      <c r="L17" s="427"/>
      <c r="M17" s="427"/>
      <c r="N17" s="318"/>
      <c r="O17" s="167"/>
      <c r="P17" s="246"/>
      <c r="Q17" s="133"/>
      <c r="R17" s="310"/>
      <c r="S17" s="133"/>
      <c r="T17" s="1287"/>
      <c r="U17" s="1288"/>
      <c r="V17" s="156"/>
    </row>
    <row r="18" spans="2:22" ht="15" customHeight="1" x14ac:dyDescent="0.15">
      <c r="B18" s="1076"/>
      <c r="C18" s="374"/>
      <c r="D18" s="44"/>
      <c r="E18" s="51"/>
      <c r="F18" s="44"/>
      <c r="G18" s="137"/>
      <c r="H18" s="149"/>
      <c r="I18" s="1271"/>
      <c r="J18" s="374"/>
      <c r="K18" s="427"/>
      <c r="L18" s="427"/>
      <c r="M18" s="427"/>
      <c r="N18" s="318"/>
      <c r="O18" s="167"/>
      <c r="P18" s="246"/>
      <c r="Q18" s="133"/>
      <c r="R18" s="310"/>
      <c r="S18" s="133"/>
      <c r="T18" s="1287"/>
      <c r="U18" s="1288"/>
      <c r="V18" s="156"/>
    </row>
    <row r="19" spans="2:22" ht="15" customHeight="1" x14ac:dyDescent="0.15">
      <c r="B19" s="1076"/>
      <c r="C19" s="374"/>
      <c r="D19" s="44"/>
      <c r="E19" s="44"/>
      <c r="F19" s="44"/>
      <c r="G19" s="137"/>
      <c r="H19" s="149"/>
      <c r="I19" s="1271"/>
      <c r="J19" s="374"/>
      <c r="K19" s="427"/>
      <c r="L19" s="427"/>
      <c r="M19" s="427"/>
      <c r="N19" s="318"/>
      <c r="O19" s="167"/>
      <c r="P19" s="246"/>
      <c r="Q19" s="133"/>
      <c r="R19" s="310"/>
      <c r="S19" s="133"/>
      <c r="T19" s="1287"/>
      <c r="U19" s="1288"/>
      <c r="V19" s="156"/>
    </row>
    <row r="20" spans="2:22" ht="15" customHeight="1" thickBot="1" x14ac:dyDescent="0.2">
      <c r="B20" s="1262"/>
      <c r="C20" s="140" t="s">
        <v>145</v>
      </c>
      <c r="D20" s="141"/>
      <c r="E20" s="141"/>
      <c r="F20" s="141"/>
      <c r="G20" s="142">
        <f>SUM(G17:G19)</f>
        <v>0</v>
      </c>
      <c r="H20" s="149"/>
      <c r="I20" s="1272"/>
      <c r="J20" s="734" t="s">
        <v>248</v>
      </c>
      <c r="K20" s="735">
        <f>SUM(K17:K19)</f>
        <v>0</v>
      </c>
      <c r="L20" s="737">
        <f>SUM(L17:L19)</f>
        <v>0</v>
      </c>
      <c r="M20" s="738"/>
      <c r="N20" s="736">
        <f>SUM(N17:N19)</f>
        <v>0</v>
      </c>
      <c r="O20" s="167"/>
      <c r="P20" s="246"/>
      <c r="Q20" s="133"/>
      <c r="R20" s="310"/>
      <c r="S20" s="133"/>
      <c r="T20" s="1287"/>
      <c r="U20" s="1288"/>
      <c r="V20" s="156"/>
    </row>
    <row r="21" spans="2:22" ht="15" customHeight="1" thickTop="1" thickBot="1" x14ac:dyDescent="0.2">
      <c r="B21" s="1261" t="s">
        <v>176</v>
      </c>
      <c r="C21" s="374" t="s">
        <v>292</v>
      </c>
      <c r="D21" s="44">
        <f>131*4.3</f>
        <v>563.29999999999995</v>
      </c>
      <c r="E21" s="51" t="s">
        <v>290</v>
      </c>
      <c r="F21" s="44">
        <f>510/20</f>
        <v>25.5</v>
      </c>
      <c r="G21" s="137">
        <f>D21*F21</f>
        <v>14364.15</v>
      </c>
      <c r="H21" s="149"/>
      <c r="I21" s="1270" t="s">
        <v>184</v>
      </c>
      <c r="J21" s="374" t="s">
        <v>638</v>
      </c>
      <c r="K21" s="427">
        <v>28.2</v>
      </c>
      <c r="L21" s="427">
        <v>6.1</v>
      </c>
      <c r="M21" s="427">
        <v>102.1</v>
      </c>
      <c r="N21" s="318">
        <f>K21*L21*M21</f>
        <v>17563.241999999998</v>
      </c>
      <c r="O21" s="167"/>
      <c r="P21" s="157" t="s">
        <v>28</v>
      </c>
      <c r="Q21" s="158"/>
      <c r="R21" s="158"/>
      <c r="S21" s="158"/>
      <c r="T21" s="1306"/>
      <c r="U21" s="1307"/>
      <c r="V21" s="159">
        <f>SUM(V5:V20)</f>
        <v>5806.666666666667</v>
      </c>
    </row>
    <row r="22" spans="2:22" ht="15" customHeight="1" x14ac:dyDescent="0.15">
      <c r="B22" s="1076"/>
      <c r="C22" s="374"/>
      <c r="D22" s="44"/>
      <c r="E22" s="51"/>
      <c r="F22" s="44"/>
      <c r="G22" s="137"/>
      <c r="H22" s="149"/>
      <c r="I22" s="1271"/>
      <c r="J22" s="374"/>
      <c r="K22" s="427"/>
      <c r="L22" s="427"/>
      <c r="M22" s="427"/>
      <c r="N22" s="318"/>
      <c r="O22" s="167"/>
    </row>
    <row r="23" spans="2:22" ht="15" customHeight="1" thickBot="1" x14ac:dyDescent="0.2">
      <c r="B23" s="1076"/>
      <c r="C23" s="374"/>
      <c r="D23" s="44"/>
      <c r="E23" s="51"/>
      <c r="F23" s="44"/>
      <c r="G23" s="137"/>
      <c r="H23" s="149"/>
      <c r="I23" s="1271"/>
      <c r="J23" s="374"/>
      <c r="K23" s="427"/>
      <c r="L23" s="427"/>
      <c r="M23" s="427"/>
      <c r="N23" s="318"/>
      <c r="O23" s="167"/>
      <c r="P23" s="45" t="s">
        <v>244</v>
      </c>
    </row>
    <row r="24" spans="2:22" ht="15" customHeight="1" thickBot="1" x14ac:dyDescent="0.2">
      <c r="B24" s="1077"/>
      <c r="C24" s="143" t="s">
        <v>147</v>
      </c>
      <c r="D24" s="144"/>
      <c r="E24" s="144"/>
      <c r="F24" s="151"/>
      <c r="G24" s="145">
        <f>SUM(G21:G23)</f>
        <v>14364.15</v>
      </c>
      <c r="H24" s="149"/>
      <c r="I24" s="1272"/>
      <c r="J24" s="734" t="s">
        <v>248</v>
      </c>
      <c r="K24" s="735">
        <f>SUM(K21:K23)</f>
        <v>28.2</v>
      </c>
      <c r="L24" s="737">
        <f>SUM(L21:L23)</f>
        <v>6.1</v>
      </c>
      <c r="M24" s="738"/>
      <c r="N24" s="736">
        <f>SUM(N21:N23)</f>
        <v>17563.241999999998</v>
      </c>
      <c r="O24" s="167"/>
      <c r="P24" s="243" t="s">
        <v>192</v>
      </c>
      <c r="Q24" s="244" t="s">
        <v>186</v>
      </c>
      <c r="R24" s="244" t="s">
        <v>187</v>
      </c>
      <c r="S24" s="244" t="s">
        <v>188</v>
      </c>
      <c r="T24" s="244" t="s">
        <v>189</v>
      </c>
      <c r="U24" s="312" t="s">
        <v>193</v>
      </c>
      <c r="V24" s="245" t="s">
        <v>190</v>
      </c>
    </row>
    <row r="25" spans="2:22" ht="15" customHeight="1" thickTop="1" x14ac:dyDescent="0.15">
      <c r="I25" s="1270" t="s">
        <v>268</v>
      </c>
      <c r="J25" s="374"/>
      <c r="K25" s="427"/>
      <c r="L25" s="427"/>
      <c r="M25" s="427"/>
      <c r="N25" s="318"/>
      <c r="O25" s="167"/>
      <c r="P25" s="246" t="s">
        <v>398</v>
      </c>
      <c r="Q25" s="133">
        <v>10</v>
      </c>
      <c r="R25" s="310" t="s">
        <v>247</v>
      </c>
      <c r="S25" s="353">
        <v>500</v>
      </c>
      <c r="T25" s="133">
        <v>2</v>
      </c>
      <c r="U25" s="134">
        <v>30</v>
      </c>
      <c r="V25" s="156">
        <f>Q25*S25/T25/U25</f>
        <v>83.333333333333329</v>
      </c>
    </row>
    <row r="26" spans="2:22" ht="15" customHeight="1" thickBot="1" x14ac:dyDescent="0.2">
      <c r="B26" s="5" t="s">
        <v>252</v>
      </c>
      <c r="C26" s="5"/>
      <c r="D26" s="47"/>
      <c r="E26" s="5"/>
      <c r="F26" s="47"/>
      <c r="G26" s="48"/>
      <c r="H26" s="150"/>
      <c r="I26" s="1271"/>
      <c r="J26" s="374"/>
      <c r="K26" s="427"/>
      <c r="L26" s="427"/>
      <c r="M26" s="427"/>
      <c r="N26" s="318"/>
      <c r="O26" s="167"/>
      <c r="P26" s="246"/>
      <c r="Q26" s="133"/>
      <c r="R26" s="310"/>
      <c r="S26" s="133"/>
      <c r="T26" s="133"/>
      <c r="U26" s="134"/>
      <c r="V26" s="156"/>
    </row>
    <row r="27" spans="2:22" ht="15" customHeight="1" x14ac:dyDescent="0.15">
      <c r="B27" s="242" t="s">
        <v>87</v>
      </c>
      <c r="C27" s="807" t="s">
        <v>138</v>
      </c>
      <c r="D27" s="147" t="s">
        <v>139</v>
      </c>
      <c r="E27" s="147" t="s">
        <v>140</v>
      </c>
      <c r="F27" s="309" t="s">
        <v>23</v>
      </c>
      <c r="G27" s="135" t="s">
        <v>141</v>
      </c>
      <c r="H27" s="148"/>
      <c r="I27" s="1271"/>
      <c r="J27" s="374"/>
      <c r="K27" s="427"/>
      <c r="L27" s="427"/>
      <c r="M27" s="427"/>
      <c r="N27" s="318"/>
      <c r="O27" s="167"/>
      <c r="P27" s="246"/>
      <c r="Q27" s="133"/>
      <c r="R27" s="310"/>
      <c r="S27" s="133"/>
      <c r="T27" s="133"/>
      <c r="U27" s="134"/>
      <c r="V27" s="156"/>
    </row>
    <row r="28" spans="2:22" ht="15" customHeight="1" thickBot="1" x14ac:dyDescent="0.2">
      <c r="B28" s="1075" t="s">
        <v>29</v>
      </c>
      <c r="C28" s="374" t="s">
        <v>732</v>
      </c>
      <c r="D28" s="44">
        <v>300</v>
      </c>
      <c r="E28" s="51" t="s">
        <v>294</v>
      </c>
      <c r="F28" s="44">
        <f>62610/10000</f>
        <v>6.2610000000000001</v>
      </c>
      <c r="G28" s="136">
        <f>D28*F28</f>
        <v>1878.3</v>
      </c>
      <c r="H28" s="149"/>
      <c r="I28" s="1272"/>
      <c r="J28" s="734" t="s">
        <v>248</v>
      </c>
      <c r="K28" s="735">
        <f>SUM(K25:K27)</f>
        <v>0</v>
      </c>
      <c r="L28" s="737">
        <f>SUM(L25:L27)</f>
        <v>0</v>
      </c>
      <c r="M28" s="738"/>
      <c r="N28" s="736">
        <f>SUM(N25:N27)</f>
        <v>0</v>
      </c>
      <c r="O28" s="167"/>
      <c r="P28" s="246"/>
      <c r="Q28" s="133"/>
      <c r="R28" s="310"/>
      <c r="S28" s="133"/>
      <c r="T28" s="133"/>
      <c r="U28" s="134"/>
      <c r="V28" s="156"/>
    </row>
    <row r="29" spans="2:22" ht="15" customHeight="1" thickTop="1" x14ac:dyDescent="0.15">
      <c r="B29" s="1076"/>
      <c r="C29" s="808" t="s">
        <v>733</v>
      </c>
      <c r="D29" s="276">
        <v>180</v>
      </c>
      <c r="E29" s="51" t="s">
        <v>294</v>
      </c>
      <c r="F29" s="276">
        <f>4180/500</f>
        <v>8.36</v>
      </c>
      <c r="G29" s="136">
        <f>D29*F29</f>
        <v>1504.8</v>
      </c>
      <c r="H29" s="149"/>
      <c r="I29" s="1270" t="s">
        <v>180</v>
      </c>
      <c r="J29" s="374" t="s">
        <v>638</v>
      </c>
      <c r="K29" s="427">
        <v>31.4</v>
      </c>
      <c r="L29" s="427">
        <v>3.2</v>
      </c>
      <c r="M29" s="427">
        <v>14</v>
      </c>
      <c r="N29" s="318">
        <f>K29*L29*M29</f>
        <v>1406.72</v>
      </c>
      <c r="O29" s="167"/>
      <c r="P29" s="246"/>
      <c r="Q29" s="133"/>
      <c r="R29" s="310"/>
      <c r="S29" s="133"/>
      <c r="T29" s="133"/>
      <c r="U29" s="134"/>
      <c r="V29" s="156"/>
    </row>
    <row r="30" spans="2:22" ht="15" customHeight="1" x14ac:dyDescent="0.15">
      <c r="B30" s="1076"/>
      <c r="C30" s="374" t="s">
        <v>29</v>
      </c>
      <c r="D30" s="44">
        <v>1000</v>
      </c>
      <c r="E30" s="51" t="s">
        <v>299</v>
      </c>
      <c r="F30" s="44">
        <f>42580/20000</f>
        <v>2.129</v>
      </c>
      <c r="G30" s="136">
        <f>D30*F30</f>
        <v>2129</v>
      </c>
      <c r="H30" s="149"/>
      <c r="I30" s="1271"/>
      <c r="J30" s="374" t="s">
        <v>639</v>
      </c>
      <c r="K30" s="427">
        <v>4</v>
      </c>
      <c r="L30" s="427">
        <v>1.9</v>
      </c>
      <c r="M30" s="427">
        <v>14</v>
      </c>
      <c r="N30" s="318">
        <f t="shared" ref="N30:N31" si="1">K30*L30*M30</f>
        <v>106.39999999999999</v>
      </c>
      <c r="O30" s="46"/>
      <c r="P30" s="246"/>
      <c r="Q30" s="133"/>
      <c r="R30" s="310"/>
      <c r="S30" s="133"/>
      <c r="T30" s="133"/>
      <c r="U30" s="275"/>
      <c r="V30" s="156"/>
    </row>
    <row r="31" spans="2:22" ht="15" customHeight="1" x14ac:dyDescent="0.15">
      <c r="B31" s="1076"/>
      <c r="C31" s="809"/>
      <c r="D31" s="276"/>
      <c r="E31" s="51"/>
      <c r="F31" s="276"/>
      <c r="G31" s="137"/>
      <c r="H31" s="149"/>
      <c r="I31" s="1271"/>
      <c r="J31" s="374" t="s">
        <v>640</v>
      </c>
      <c r="K31" s="427">
        <v>24.5</v>
      </c>
      <c r="L31" s="427">
        <v>6.7</v>
      </c>
      <c r="M31" s="427">
        <v>14</v>
      </c>
      <c r="N31" s="318">
        <f t="shared" si="1"/>
        <v>2298.1</v>
      </c>
      <c r="P31" s="246"/>
      <c r="Q31" s="133"/>
      <c r="R31" s="310"/>
      <c r="S31" s="133"/>
      <c r="T31" s="133"/>
      <c r="U31" s="134"/>
      <c r="V31" s="156"/>
    </row>
    <row r="32" spans="2:22" ht="15" customHeight="1" thickBot="1" x14ac:dyDescent="0.2">
      <c r="B32" s="1076"/>
      <c r="C32" s="374"/>
      <c r="D32" s="276"/>
      <c r="E32" s="51"/>
      <c r="F32" s="276"/>
      <c r="G32" s="137"/>
      <c r="H32" s="149"/>
      <c r="I32" s="1275"/>
      <c r="J32" s="739" t="s">
        <v>248</v>
      </c>
      <c r="K32" s="740">
        <f>SUM(K29:K31)</f>
        <v>59.9</v>
      </c>
      <c r="L32" s="741">
        <f>SUM(L29:L31)</f>
        <v>11.8</v>
      </c>
      <c r="M32" s="742"/>
      <c r="N32" s="743">
        <f>SUM(N29:N31)</f>
        <v>3811.2200000000003</v>
      </c>
      <c r="P32" s="246"/>
      <c r="Q32" s="133"/>
      <c r="R32" s="310"/>
      <c r="S32" s="133"/>
      <c r="T32" s="133"/>
      <c r="U32" s="134"/>
      <c r="V32" s="156"/>
    </row>
    <row r="33" spans="2:22" ht="15" customHeight="1" x14ac:dyDescent="0.15">
      <c r="B33" s="1076"/>
      <c r="C33" s="374"/>
      <c r="D33" s="276"/>
      <c r="E33" s="51"/>
      <c r="F33" s="276"/>
      <c r="G33" s="137"/>
      <c r="H33" s="149"/>
      <c r="I33" s="127"/>
      <c r="J33" s="127"/>
      <c r="K33" s="127"/>
      <c r="L33" s="127"/>
      <c r="M33" s="127"/>
      <c r="N33" s="127"/>
      <c r="P33" s="246"/>
      <c r="Q33" s="133"/>
      <c r="R33" s="310"/>
      <c r="S33" s="133"/>
      <c r="T33" s="133"/>
      <c r="U33" s="134"/>
      <c r="V33" s="156"/>
    </row>
    <row r="34" spans="2:22" ht="15" customHeight="1" thickBot="1" x14ac:dyDescent="0.2">
      <c r="B34" s="1076"/>
      <c r="C34" s="374"/>
      <c r="D34" s="276"/>
      <c r="E34" s="51"/>
      <c r="F34" s="276"/>
      <c r="G34" s="137"/>
      <c r="H34" s="149"/>
      <c r="I34" s="117" t="s">
        <v>242</v>
      </c>
      <c r="J34" s="117"/>
      <c r="K34" s="117"/>
      <c r="L34" s="117"/>
      <c r="M34" s="117"/>
      <c r="P34" s="248" t="s">
        <v>235</v>
      </c>
      <c r="Q34" s="158"/>
      <c r="R34" s="158"/>
      <c r="S34" s="158"/>
      <c r="T34" s="158"/>
      <c r="U34" s="160"/>
      <c r="V34" s="159">
        <f>SUM(V25:V33)</f>
        <v>83.333333333333329</v>
      </c>
    </row>
    <row r="35" spans="2:22" ht="15" customHeight="1" x14ac:dyDescent="0.15">
      <c r="B35" s="1076"/>
      <c r="C35" s="374"/>
      <c r="D35" s="276"/>
      <c r="E35" s="51"/>
      <c r="F35" s="276"/>
      <c r="G35" s="137"/>
      <c r="H35" s="149"/>
      <c r="I35" s="230" t="s">
        <v>230</v>
      </c>
      <c r="J35" s="715" t="s">
        <v>5</v>
      </c>
      <c r="K35" s="1273" t="s">
        <v>231</v>
      </c>
      <c r="L35" s="1274"/>
      <c r="M35" s="749" t="s">
        <v>193</v>
      </c>
      <c r="N35" s="716" t="s">
        <v>254</v>
      </c>
    </row>
    <row r="36" spans="2:22" ht="15" customHeight="1" thickBot="1" x14ac:dyDescent="0.2">
      <c r="B36" s="1076"/>
      <c r="C36" s="374"/>
      <c r="D36" s="276"/>
      <c r="E36" s="51"/>
      <c r="F36" s="276"/>
      <c r="G36" s="137"/>
      <c r="H36" s="149"/>
      <c r="I36" s="1258" t="s">
        <v>2</v>
      </c>
      <c r="J36" s="146" t="s">
        <v>678</v>
      </c>
      <c r="K36" s="1276">
        <v>5940000</v>
      </c>
      <c r="L36" s="1276"/>
      <c r="M36" s="630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36" s="237">
        <f>+K36/M36*0.014*0.3</f>
        <v>831.6</v>
      </c>
      <c r="P36" s="117" t="s">
        <v>236</v>
      </c>
      <c r="Q36" s="117"/>
      <c r="R36" s="117"/>
      <c r="S36" s="117"/>
      <c r="T36" s="117"/>
    </row>
    <row r="37" spans="2:22" ht="15" customHeight="1" x14ac:dyDescent="0.15">
      <c r="B37" s="1076"/>
      <c r="C37" s="374"/>
      <c r="D37" s="276"/>
      <c r="E37" s="51"/>
      <c r="F37" s="276"/>
      <c r="G37" s="137"/>
      <c r="H37" s="149"/>
      <c r="I37" s="1259"/>
      <c r="J37" s="146" t="s">
        <v>679</v>
      </c>
      <c r="K37" s="1276">
        <v>10692000</v>
      </c>
      <c r="L37" s="1276"/>
      <c r="M37" s="630">
        <v>28</v>
      </c>
      <c r="N37" s="237">
        <f>+K37/M37*0.014*0.3</f>
        <v>1603.8</v>
      </c>
      <c r="P37" s="230" t="s">
        <v>229</v>
      </c>
      <c r="Q37" s="1301" t="s">
        <v>237</v>
      </c>
      <c r="R37" s="1301"/>
      <c r="S37" s="631" t="s">
        <v>240</v>
      </c>
      <c r="T37" s="631" t="s">
        <v>239</v>
      </c>
      <c r="U37" s="249" t="s">
        <v>193</v>
      </c>
      <c r="V37" s="250" t="s">
        <v>254</v>
      </c>
    </row>
    <row r="38" spans="2:22" ht="15" customHeight="1" thickBot="1" x14ac:dyDescent="0.2">
      <c r="B38" s="1262"/>
      <c r="C38" s="810" t="s">
        <v>144</v>
      </c>
      <c r="D38" s="138"/>
      <c r="E38" s="138"/>
      <c r="F38" s="138"/>
      <c r="G38" s="139">
        <f>SUM(G28:G37)</f>
        <v>5512.1</v>
      </c>
      <c r="H38" s="149"/>
      <c r="I38" s="1259"/>
      <c r="J38" s="146" t="s">
        <v>677</v>
      </c>
      <c r="K38" s="1276">
        <v>1761750</v>
      </c>
      <c r="L38" s="1276"/>
      <c r="M38" s="630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38" s="237">
        <f>+K38/M38*0.014*0.3</f>
        <v>246.64499999999998</v>
      </c>
      <c r="O38" s="155"/>
      <c r="P38" s="1255" t="s">
        <v>238</v>
      </c>
      <c r="Q38" s="234" t="s">
        <v>228</v>
      </c>
      <c r="R38" s="253"/>
      <c r="S38" s="235">
        <v>3880</v>
      </c>
      <c r="T38" s="254"/>
      <c r="U38" s="235"/>
      <c r="V38" s="237">
        <v>3880</v>
      </c>
    </row>
    <row r="39" spans="2:22" ht="15" customHeight="1" thickTop="1" x14ac:dyDescent="0.15">
      <c r="B39" s="1261" t="s">
        <v>177</v>
      </c>
      <c r="C39" s="811" t="s">
        <v>734</v>
      </c>
      <c r="D39" s="44">
        <v>60</v>
      </c>
      <c r="E39" s="51" t="s">
        <v>299</v>
      </c>
      <c r="F39" s="44">
        <f>1450/500</f>
        <v>2.9</v>
      </c>
      <c r="G39" s="137">
        <f>D39*F39</f>
        <v>174</v>
      </c>
      <c r="H39" s="149"/>
      <c r="I39" s="1259"/>
      <c r="J39" s="146"/>
      <c r="K39" s="1276"/>
      <c r="L39" s="1276"/>
      <c r="M39" s="630"/>
      <c r="N39" s="237"/>
      <c r="O39" s="155"/>
      <c r="P39" s="1256"/>
      <c r="Q39" s="234"/>
      <c r="R39" s="253"/>
      <c r="S39" s="235"/>
      <c r="T39" s="254"/>
      <c r="U39" s="235"/>
      <c r="V39" s="237"/>
    </row>
    <row r="40" spans="2:22" ht="15" customHeight="1" x14ac:dyDescent="0.15">
      <c r="B40" s="1076"/>
      <c r="C40" s="374" t="s">
        <v>314</v>
      </c>
      <c r="D40" s="44">
        <v>1000</v>
      </c>
      <c r="E40" s="51" t="s">
        <v>299</v>
      </c>
      <c r="F40" s="44">
        <f>96020/20000</f>
        <v>4.8010000000000002</v>
      </c>
      <c r="G40" s="137">
        <f>D40*F40</f>
        <v>4801</v>
      </c>
      <c r="H40" s="149"/>
      <c r="I40" s="1259"/>
      <c r="J40" s="146"/>
      <c r="K40" s="1276"/>
      <c r="L40" s="1276"/>
      <c r="M40" s="630"/>
      <c r="N40" s="237"/>
      <c r="O40" s="155"/>
      <c r="P40" s="1256"/>
      <c r="Q40" s="234"/>
      <c r="R40" s="253"/>
      <c r="S40" s="235"/>
      <c r="T40" s="254"/>
      <c r="U40" s="235"/>
      <c r="V40" s="237"/>
    </row>
    <row r="41" spans="2:22" ht="15" customHeight="1" x14ac:dyDescent="0.15">
      <c r="B41" s="1076"/>
      <c r="C41" s="374"/>
      <c r="D41" s="44"/>
      <c r="E41" s="51"/>
      <c r="F41" s="44"/>
      <c r="G41" s="137"/>
      <c r="H41" s="149"/>
      <c r="I41" s="1259"/>
      <c r="J41" s="146"/>
      <c r="K41" s="1276"/>
      <c r="L41" s="1276"/>
      <c r="M41" s="630"/>
      <c r="N41" s="237"/>
      <c r="O41" s="155"/>
      <c r="P41" s="1256"/>
      <c r="Q41" s="234"/>
      <c r="R41" s="253"/>
      <c r="S41" s="235"/>
      <c r="T41" s="254"/>
      <c r="U41" s="235"/>
      <c r="V41" s="237"/>
    </row>
    <row r="42" spans="2:22" ht="15" customHeight="1" thickBot="1" x14ac:dyDescent="0.2">
      <c r="B42" s="1076"/>
      <c r="C42" s="374"/>
      <c r="D42" s="44"/>
      <c r="E42" s="51"/>
      <c r="F42" s="44"/>
      <c r="G42" s="137"/>
      <c r="H42" s="149"/>
      <c r="I42" s="1260"/>
      <c r="J42" s="231" t="s">
        <v>145</v>
      </c>
      <c r="K42" s="1268"/>
      <c r="L42" s="1269"/>
      <c r="M42" s="232"/>
      <c r="N42" s="236">
        <f>SUM(N36:N41)</f>
        <v>2682.0450000000001</v>
      </c>
      <c r="O42" s="155"/>
      <c r="P42" s="1256"/>
      <c r="Q42" s="234"/>
      <c r="R42" s="253"/>
      <c r="S42" s="235"/>
      <c r="T42" s="254"/>
      <c r="U42" s="235"/>
      <c r="V42" s="237"/>
    </row>
    <row r="43" spans="2:22" ht="15" customHeight="1" thickTop="1" x14ac:dyDescent="0.15">
      <c r="B43" s="1076"/>
      <c r="C43" s="374"/>
      <c r="D43" s="44"/>
      <c r="E43" s="51"/>
      <c r="F43" s="44"/>
      <c r="G43" s="137"/>
      <c r="H43" s="149"/>
      <c r="I43" s="1263" t="s">
        <v>232</v>
      </c>
      <c r="J43" s="233" t="s">
        <v>255</v>
      </c>
      <c r="K43" s="1266">
        <v>8200</v>
      </c>
      <c r="L43" s="1266"/>
      <c r="M43" s="632">
        <v>28</v>
      </c>
      <c r="N43" s="252">
        <f>+K43/M43</f>
        <v>292.85714285714283</v>
      </c>
      <c r="O43" s="155"/>
      <c r="P43" s="1256"/>
      <c r="Q43" s="234"/>
      <c r="R43" s="253"/>
      <c r="S43" s="235"/>
      <c r="T43" s="254"/>
      <c r="U43" s="235"/>
      <c r="V43" s="237"/>
    </row>
    <row r="44" spans="2:22" ht="15" customHeight="1" thickBot="1" x14ac:dyDescent="0.2">
      <c r="B44" s="1076"/>
      <c r="C44" s="374"/>
      <c r="D44" s="44"/>
      <c r="E44" s="51"/>
      <c r="F44" s="44"/>
      <c r="G44" s="137"/>
      <c r="H44" s="149"/>
      <c r="I44" s="1264"/>
      <c r="J44" s="234" t="s">
        <v>245</v>
      </c>
      <c r="K44" s="1276">
        <v>4100</v>
      </c>
      <c r="L44" s="1276"/>
      <c r="M44" s="630">
        <v>30</v>
      </c>
      <c r="N44" s="237">
        <f>K44/30</f>
        <v>136.66666666666666</v>
      </c>
      <c r="O44" s="155"/>
      <c r="P44" s="1257"/>
      <c r="Q44" s="238" t="s">
        <v>241</v>
      </c>
      <c r="R44" s="239"/>
      <c r="S44" s="239"/>
      <c r="T44" s="239"/>
      <c r="U44" s="239"/>
      <c r="V44" s="240">
        <f>SUM(V38:V43)</f>
        <v>3880</v>
      </c>
    </row>
    <row r="45" spans="2:22" ht="15" customHeight="1" thickTop="1" x14ac:dyDescent="0.15">
      <c r="B45" s="1076"/>
      <c r="C45" s="374"/>
      <c r="D45" s="44"/>
      <c r="E45" s="51"/>
      <c r="F45" s="44"/>
      <c r="G45" s="137"/>
      <c r="H45" s="149"/>
      <c r="I45" s="1264"/>
      <c r="J45" s="146"/>
      <c r="K45" s="1276"/>
      <c r="L45" s="1276"/>
      <c r="M45" s="630"/>
      <c r="N45" s="237"/>
      <c r="O45" s="155"/>
      <c r="P45" s="1313" t="s">
        <v>246</v>
      </c>
      <c r="Q45" s="1310" t="s">
        <v>257</v>
      </c>
      <c r="R45" s="255" t="s">
        <v>258</v>
      </c>
      <c r="S45" s="233">
        <v>35750</v>
      </c>
      <c r="T45" s="256">
        <v>1</v>
      </c>
      <c r="U45" s="233">
        <v>28</v>
      </c>
      <c r="V45" s="251">
        <f>+S45*T45/U45</f>
        <v>1276.7857142857142</v>
      </c>
    </row>
    <row r="46" spans="2:22" ht="15" customHeight="1" thickBot="1" x14ac:dyDescent="0.2">
      <c r="B46" s="1076"/>
      <c r="C46" s="374"/>
      <c r="D46" s="44"/>
      <c r="E46" s="51"/>
      <c r="F46" s="44"/>
      <c r="G46" s="137"/>
      <c r="H46" s="149"/>
      <c r="I46" s="1265"/>
      <c r="J46" s="231" t="s">
        <v>145</v>
      </c>
      <c r="K46" s="1268"/>
      <c r="L46" s="1269"/>
      <c r="M46" s="232"/>
      <c r="N46" s="236">
        <f>SUM(N43:N45)</f>
        <v>429.52380952380952</v>
      </c>
      <c r="O46" s="155"/>
      <c r="P46" s="1256"/>
      <c r="Q46" s="1311"/>
      <c r="R46" s="257" t="s">
        <v>245</v>
      </c>
      <c r="S46" s="234">
        <v>15600</v>
      </c>
      <c r="T46" s="254">
        <v>1</v>
      </c>
      <c r="U46" s="234">
        <v>30</v>
      </c>
      <c r="V46" s="237">
        <f>+S46*T46/U46</f>
        <v>520</v>
      </c>
    </row>
    <row r="47" spans="2:22" ht="15" customHeight="1" thickTop="1" x14ac:dyDescent="0.15">
      <c r="B47" s="1076"/>
      <c r="C47" s="374"/>
      <c r="D47" s="44"/>
      <c r="E47" s="51"/>
      <c r="F47" s="44"/>
      <c r="G47" s="137"/>
      <c r="H47" s="149"/>
      <c r="I47" s="1263" t="s">
        <v>233</v>
      </c>
      <c r="J47" s="233" t="s">
        <v>255</v>
      </c>
      <c r="K47" s="1266">
        <v>11500</v>
      </c>
      <c r="L47" s="1266"/>
      <c r="M47" s="632">
        <v>28</v>
      </c>
      <c r="N47" s="251">
        <f>K47/M47</f>
        <v>410.71428571428572</v>
      </c>
      <c r="O47" s="155"/>
      <c r="P47" s="1256"/>
      <c r="Q47" s="1311"/>
      <c r="R47" s="257"/>
      <c r="S47" s="234"/>
      <c r="T47" s="234"/>
      <c r="U47" s="146"/>
      <c r="V47" s="258"/>
    </row>
    <row r="48" spans="2:22" ht="15" customHeight="1" x14ac:dyDescent="0.15">
      <c r="B48" s="1076"/>
      <c r="C48" s="374"/>
      <c r="D48" s="44"/>
      <c r="E48" s="51"/>
      <c r="F48" s="44"/>
      <c r="G48" s="137"/>
      <c r="H48" s="149"/>
      <c r="I48" s="1264"/>
      <c r="J48" s="234"/>
      <c r="K48" s="1276"/>
      <c r="L48" s="1276"/>
      <c r="M48" s="630"/>
      <c r="N48" s="237"/>
      <c r="O48" s="155"/>
      <c r="P48" s="1256"/>
      <c r="Q48" s="1311"/>
      <c r="R48" s="333"/>
      <c r="S48" s="630"/>
      <c r="T48" s="630"/>
      <c r="U48" s="630"/>
      <c r="V48" s="722"/>
    </row>
    <row r="49" spans="2:22" ht="15" customHeight="1" thickBot="1" x14ac:dyDescent="0.2">
      <c r="B49" s="1262"/>
      <c r="C49" s="140" t="s">
        <v>145</v>
      </c>
      <c r="D49" s="141"/>
      <c r="E49" s="141"/>
      <c r="F49" s="141"/>
      <c r="G49" s="142">
        <f>SUM(G39:G48)</f>
        <v>4975</v>
      </c>
      <c r="H49" s="149"/>
      <c r="I49" s="1264"/>
      <c r="J49" s="146"/>
      <c r="K49" s="1276"/>
      <c r="L49" s="1276"/>
      <c r="M49" s="630"/>
      <c r="N49" s="237"/>
      <c r="O49" s="155"/>
      <c r="P49" s="1256"/>
      <c r="Q49" s="1317"/>
      <c r="R49" s="257"/>
      <c r="S49" s="234"/>
      <c r="T49" s="234"/>
      <c r="U49" s="146"/>
      <c r="V49" s="258"/>
    </row>
    <row r="50" spans="2:22" ht="15" customHeight="1" thickTop="1" thickBot="1" x14ac:dyDescent="0.2">
      <c r="B50" s="1261" t="s">
        <v>31</v>
      </c>
      <c r="C50" s="374" t="s">
        <v>735</v>
      </c>
      <c r="D50" s="44">
        <v>10</v>
      </c>
      <c r="E50" s="51" t="s">
        <v>290</v>
      </c>
      <c r="F50" s="44">
        <f>24330/10</f>
        <v>2433</v>
      </c>
      <c r="G50" s="137">
        <f t="shared" ref="G50" si="2">D50*F50</f>
        <v>24330</v>
      </c>
      <c r="H50" s="149"/>
      <c r="I50" s="1265"/>
      <c r="J50" s="231" t="s">
        <v>145</v>
      </c>
      <c r="K50" s="1268"/>
      <c r="L50" s="1269"/>
      <c r="M50" s="232"/>
      <c r="N50" s="236">
        <f>SUM(N47:N49)</f>
        <v>410.71428571428572</v>
      </c>
      <c r="O50" s="155"/>
      <c r="P50" s="1256"/>
      <c r="Q50" s="238" t="s">
        <v>241</v>
      </c>
      <c r="R50" s="239"/>
      <c r="S50" s="239"/>
      <c r="T50" s="239"/>
      <c r="U50" s="239"/>
      <c r="V50" s="240">
        <f>SUM(V45:V49)</f>
        <v>1796.7857142857142</v>
      </c>
    </row>
    <row r="51" spans="2:22" ht="15" customHeight="1" thickTop="1" x14ac:dyDescent="0.15">
      <c r="B51" s="1076"/>
      <c r="C51" s="374"/>
      <c r="D51" s="44"/>
      <c r="E51" s="44"/>
      <c r="F51" s="44"/>
      <c r="G51" s="137"/>
      <c r="H51" s="149"/>
      <c r="I51" s="1263" t="s">
        <v>234</v>
      </c>
      <c r="J51" s="233" t="s">
        <v>52</v>
      </c>
      <c r="K51" s="1277">
        <v>2400</v>
      </c>
      <c r="L51" s="1278"/>
      <c r="M51" s="632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51" s="252">
        <f>+K51/M51</f>
        <v>80</v>
      </c>
      <c r="O51" s="155"/>
      <c r="P51" s="1256"/>
      <c r="Q51" s="1310" t="s">
        <v>259</v>
      </c>
      <c r="R51" s="255" t="s">
        <v>258</v>
      </c>
      <c r="S51" s="233">
        <v>60000</v>
      </c>
      <c r="T51" s="256">
        <v>1</v>
      </c>
      <c r="U51" s="233">
        <v>28</v>
      </c>
      <c r="V51" s="251">
        <f>+S51*T51/U51</f>
        <v>2142.8571428571427</v>
      </c>
    </row>
    <row r="52" spans="2:22" ht="15" customHeight="1" x14ac:dyDescent="0.15">
      <c r="B52" s="1076"/>
      <c r="C52" s="374"/>
      <c r="D52" s="44"/>
      <c r="E52" s="44"/>
      <c r="F52" s="44"/>
      <c r="G52" s="137"/>
      <c r="H52" s="149"/>
      <c r="I52" s="1264"/>
      <c r="J52" s="234" t="s">
        <v>399</v>
      </c>
      <c r="K52" s="1279">
        <v>4800</v>
      </c>
      <c r="L52" s="1280"/>
      <c r="M52" s="241">
        <f>'１　対象経営の概要，２　前提条件'!N7</f>
        <v>28</v>
      </c>
      <c r="N52" s="237">
        <f>+K52/M52*2</f>
        <v>342.85714285714283</v>
      </c>
      <c r="O52" s="155"/>
      <c r="P52" s="1256"/>
      <c r="Q52" s="1311"/>
      <c r="R52" s="257" t="s">
        <v>245</v>
      </c>
      <c r="S52" s="234">
        <v>25000</v>
      </c>
      <c r="T52" s="254">
        <v>1</v>
      </c>
      <c r="U52" s="234">
        <v>30</v>
      </c>
      <c r="V52" s="237">
        <f>+S52*T52/U52</f>
        <v>833.33333333333337</v>
      </c>
    </row>
    <row r="53" spans="2:22" ht="15" customHeight="1" thickBot="1" x14ac:dyDescent="0.2">
      <c r="B53" s="1262"/>
      <c r="C53" s="140" t="s">
        <v>145</v>
      </c>
      <c r="D53" s="141"/>
      <c r="E53" s="141"/>
      <c r="F53" s="141"/>
      <c r="G53" s="142">
        <f>SUM(G50:G52)</f>
        <v>24330</v>
      </c>
      <c r="H53" s="149"/>
      <c r="I53" s="1264"/>
      <c r="J53" s="630" t="s">
        <v>245</v>
      </c>
      <c r="K53" s="1281">
        <v>5000</v>
      </c>
      <c r="L53" s="1282"/>
      <c r="M53" s="750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53" s="237">
        <f t="shared" ref="N53:N54" si="3">+K53/M53</f>
        <v>166.66666666666666</v>
      </c>
      <c r="O53" s="155"/>
      <c r="P53" s="1256"/>
      <c r="Q53" s="1311"/>
      <c r="R53" s="257"/>
      <c r="S53" s="234"/>
      <c r="T53" s="234"/>
      <c r="U53" s="146"/>
      <c r="V53" s="258"/>
    </row>
    <row r="54" spans="2:22" ht="13.9" customHeight="1" thickTop="1" x14ac:dyDescent="0.15">
      <c r="B54" s="1261" t="s">
        <v>312</v>
      </c>
      <c r="C54" s="374" t="s">
        <v>736</v>
      </c>
      <c r="D54" s="313">
        <f>131*50/1000</f>
        <v>6.55</v>
      </c>
      <c r="E54" s="51" t="s">
        <v>290</v>
      </c>
      <c r="F54" s="44">
        <f>9650/3</f>
        <v>3216.6666666666665</v>
      </c>
      <c r="G54" s="136">
        <f>D54*F54</f>
        <v>21069.166666666664</v>
      </c>
      <c r="I54" s="1264"/>
      <c r="J54" s="234" t="s">
        <v>400</v>
      </c>
      <c r="K54" s="1283">
        <v>5900</v>
      </c>
      <c r="L54" s="1284"/>
      <c r="M54" s="750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54" s="751">
        <f t="shared" si="3"/>
        <v>196.66666666666666</v>
      </c>
      <c r="O54" s="155"/>
      <c r="P54" s="1256"/>
      <c r="Q54" s="1311"/>
      <c r="R54" s="333"/>
      <c r="S54" s="630"/>
      <c r="T54" s="630"/>
      <c r="U54" s="630"/>
      <c r="V54" s="722"/>
    </row>
    <row r="55" spans="2:22" x14ac:dyDescent="0.15">
      <c r="B55" s="1076"/>
      <c r="C55" s="374" t="s">
        <v>737</v>
      </c>
      <c r="D55" s="44">
        <v>1000</v>
      </c>
      <c r="E55" s="51" t="s">
        <v>294</v>
      </c>
      <c r="F55" s="44">
        <f>68710/10000</f>
        <v>6.8710000000000004</v>
      </c>
      <c r="G55" s="137">
        <f>D55*F55</f>
        <v>6871</v>
      </c>
      <c r="I55" s="1264"/>
      <c r="J55" s="630"/>
      <c r="K55" s="1326"/>
      <c r="L55" s="1327"/>
      <c r="M55" s="630"/>
      <c r="N55" s="237"/>
      <c r="O55" s="155"/>
      <c r="P55" s="1256"/>
      <c r="Q55" s="1317"/>
      <c r="R55" s="257"/>
      <c r="S55" s="234"/>
      <c r="T55" s="234"/>
      <c r="U55" s="146"/>
      <c r="V55" s="258"/>
    </row>
    <row r="56" spans="2:22" x14ac:dyDescent="0.15">
      <c r="B56" s="1076"/>
      <c r="C56" s="44"/>
      <c r="D56" s="44"/>
      <c r="E56" s="51"/>
      <c r="F56" s="44"/>
      <c r="G56" s="137"/>
      <c r="I56" s="1258"/>
      <c r="J56" s="752" t="s">
        <v>145</v>
      </c>
      <c r="K56" s="1324"/>
      <c r="L56" s="1325"/>
      <c r="M56" s="753"/>
      <c r="N56" s="754">
        <f>SUM(N51:N54)</f>
        <v>786.19047619047615</v>
      </c>
      <c r="O56" s="155"/>
      <c r="P56" s="1314"/>
      <c r="Q56" s="744" t="s">
        <v>241</v>
      </c>
      <c r="R56" s="745"/>
      <c r="S56" s="745"/>
      <c r="T56" s="745"/>
      <c r="U56" s="745"/>
      <c r="V56" s="746">
        <f>SUM(V51:V55)</f>
        <v>2976.1904761904761</v>
      </c>
    </row>
    <row r="57" spans="2:22" ht="14.25" thickBot="1" x14ac:dyDescent="0.2">
      <c r="B57" s="1077"/>
      <c r="C57" s="143" t="s">
        <v>147</v>
      </c>
      <c r="D57" s="144"/>
      <c r="E57" s="144"/>
      <c r="F57" s="144"/>
      <c r="G57" s="145">
        <f>SUM(G54:G56)</f>
        <v>27940.166666666664</v>
      </c>
      <c r="I57" s="1318" t="s">
        <v>235</v>
      </c>
      <c r="J57" s="1319"/>
      <c r="K57" s="1320"/>
      <c r="L57" s="1321"/>
      <c r="M57" s="755"/>
      <c r="N57" s="748">
        <f>SUM(N42,N46,N50,N56)</f>
        <v>4308.4735714285716</v>
      </c>
      <c r="O57" s="155"/>
      <c r="P57" s="1322" t="s">
        <v>235</v>
      </c>
      <c r="Q57" s="1323"/>
      <c r="R57" s="747"/>
      <c r="S57" s="747"/>
      <c r="T57" s="747"/>
      <c r="U57" s="747"/>
      <c r="V57" s="748">
        <f>SUM(V44,V50,V56)</f>
        <v>8652.9761904761908</v>
      </c>
    </row>
    <row r="58" spans="2:22" x14ac:dyDescent="0.15">
      <c r="O58" s="155"/>
      <c r="V58" s="45"/>
    </row>
    <row r="59" spans="2:22" x14ac:dyDescent="0.15">
      <c r="I59" s="155"/>
      <c r="J59" s="155"/>
      <c r="K59" s="155"/>
      <c r="L59" s="155"/>
      <c r="M59" s="155"/>
      <c r="N59" s="155"/>
      <c r="O59" s="155"/>
    </row>
    <row r="60" spans="2:22" x14ac:dyDescent="0.15">
      <c r="I60" s="155"/>
      <c r="J60" s="155"/>
      <c r="K60" s="155"/>
      <c r="L60" s="155"/>
      <c r="M60" s="155"/>
      <c r="N60" s="155"/>
      <c r="O60" s="155"/>
    </row>
    <row r="61" spans="2:22" x14ac:dyDescent="0.15">
      <c r="I61" s="155"/>
      <c r="J61" s="155"/>
      <c r="K61" s="155"/>
      <c r="L61" s="155"/>
      <c r="M61" s="155"/>
      <c r="N61" s="155"/>
      <c r="O61" s="155"/>
    </row>
    <row r="62" spans="2:22" x14ac:dyDescent="0.15">
      <c r="I62" s="155"/>
      <c r="J62" s="155"/>
      <c r="K62" s="155"/>
      <c r="L62" s="155"/>
      <c r="M62" s="155"/>
      <c r="N62" s="155"/>
      <c r="O62" s="155"/>
    </row>
    <row r="63" spans="2:22" x14ac:dyDescent="0.15">
      <c r="I63" s="155"/>
      <c r="J63" s="155"/>
      <c r="K63" s="155"/>
      <c r="L63" s="155"/>
      <c r="M63" s="155"/>
      <c r="N63" s="155"/>
      <c r="O63" s="155"/>
    </row>
    <row r="64" spans="2:22" x14ac:dyDescent="0.15">
      <c r="I64" s="155"/>
      <c r="J64" s="155"/>
      <c r="K64" s="155"/>
      <c r="L64" s="155"/>
      <c r="M64" s="155"/>
      <c r="N64" s="155"/>
      <c r="O64" s="155"/>
    </row>
    <row r="65" spans="9:15" x14ac:dyDescent="0.15">
      <c r="I65" s="155"/>
      <c r="J65" s="155"/>
      <c r="K65" s="155"/>
      <c r="L65" s="155"/>
      <c r="M65" s="155"/>
      <c r="N65" s="155"/>
      <c r="O65" s="155"/>
    </row>
    <row r="66" spans="9:15" x14ac:dyDescent="0.15">
      <c r="I66" s="155"/>
      <c r="J66" s="155"/>
      <c r="K66" s="155"/>
      <c r="L66" s="155"/>
      <c r="M66" s="155"/>
      <c r="N66" s="155"/>
      <c r="O66" s="155"/>
    </row>
    <row r="67" spans="9:15" x14ac:dyDescent="0.15">
      <c r="I67" s="155"/>
      <c r="J67" s="155"/>
      <c r="K67" s="155"/>
      <c r="L67" s="155"/>
      <c r="M67" s="155"/>
      <c r="N67" s="155"/>
      <c r="O67" s="155"/>
    </row>
    <row r="68" spans="9:15" x14ac:dyDescent="0.15">
      <c r="I68" s="155"/>
      <c r="J68" s="155"/>
      <c r="K68" s="155"/>
      <c r="L68" s="155"/>
      <c r="M68" s="155"/>
      <c r="N68" s="155"/>
      <c r="O68" s="155"/>
    </row>
    <row r="69" spans="9:15" x14ac:dyDescent="0.15">
      <c r="I69" s="155"/>
      <c r="J69" s="155"/>
      <c r="K69" s="155"/>
      <c r="L69" s="155"/>
      <c r="M69" s="155"/>
      <c r="N69" s="155"/>
      <c r="O69" s="155"/>
    </row>
    <row r="70" spans="9:15" x14ac:dyDescent="0.15">
      <c r="I70" s="155"/>
      <c r="J70" s="155"/>
      <c r="K70" s="155"/>
      <c r="L70" s="155"/>
      <c r="M70" s="155"/>
      <c r="N70" s="155"/>
      <c r="O70" s="155"/>
    </row>
    <row r="71" spans="9:15" x14ac:dyDescent="0.15">
      <c r="I71" s="155"/>
      <c r="J71" s="155"/>
      <c r="K71" s="155"/>
      <c r="L71" s="155"/>
      <c r="M71" s="155"/>
      <c r="N71" s="155"/>
      <c r="O71" s="155"/>
    </row>
    <row r="72" spans="9:15" x14ac:dyDescent="0.15">
      <c r="I72" s="155"/>
      <c r="J72" s="155"/>
      <c r="K72" s="155"/>
      <c r="L72" s="155"/>
      <c r="M72" s="155"/>
      <c r="N72" s="155"/>
      <c r="O72" s="155"/>
    </row>
    <row r="73" spans="9:15" x14ac:dyDescent="0.15">
      <c r="I73" s="155"/>
      <c r="J73" s="155"/>
      <c r="K73" s="155"/>
      <c r="L73" s="155"/>
      <c r="M73" s="155"/>
      <c r="N73" s="155"/>
      <c r="O73" s="155"/>
    </row>
    <row r="74" spans="9:15" x14ac:dyDescent="0.15">
      <c r="I74" s="155"/>
      <c r="J74" s="155"/>
      <c r="K74" s="155"/>
      <c r="L74" s="155"/>
      <c r="M74" s="155"/>
      <c r="N74" s="155"/>
      <c r="O74" s="155"/>
    </row>
    <row r="75" spans="9:15" x14ac:dyDescent="0.15">
      <c r="I75" s="155"/>
      <c r="J75" s="155"/>
      <c r="K75" s="155"/>
      <c r="L75" s="155"/>
      <c r="M75" s="155"/>
      <c r="N75" s="155"/>
      <c r="O75" s="155"/>
    </row>
    <row r="76" spans="9:15" x14ac:dyDescent="0.15">
      <c r="I76" s="155"/>
      <c r="J76" s="155"/>
      <c r="K76" s="155"/>
      <c r="L76" s="155"/>
      <c r="M76" s="155"/>
      <c r="N76" s="155"/>
      <c r="O76" s="155"/>
    </row>
    <row r="77" spans="9:15" x14ac:dyDescent="0.15">
      <c r="I77" s="155"/>
      <c r="J77" s="155"/>
      <c r="K77" s="155"/>
      <c r="L77" s="155"/>
      <c r="M77" s="155"/>
      <c r="N77" s="155"/>
      <c r="O77" s="155"/>
    </row>
    <row r="78" spans="9:15" x14ac:dyDescent="0.15">
      <c r="I78" s="155"/>
      <c r="J78" s="155"/>
      <c r="K78" s="155"/>
      <c r="L78" s="155"/>
      <c r="M78" s="155"/>
      <c r="N78" s="155"/>
      <c r="O78" s="155"/>
    </row>
    <row r="79" spans="9:15" x14ac:dyDescent="0.15">
      <c r="I79" s="155"/>
      <c r="J79" s="155"/>
      <c r="K79" s="155"/>
      <c r="L79" s="155"/>
      <c r="M79" s="155"/>
      <c r="N79" s="155"/>
      <c r="O79" s="155"/>
    </row>
    <row r="80" spans="9:15" x14ac:dyDescent="0.15">
      <c r="I80" s="155"/>
      <c r="J80" s="155"/>
      <c r="K80" s="155"/>
      <c r="L80" s="155"/>
      <c r="M80" s="155"/>
      <c r="N80" s="155"/>
      <c r="O80" s="155"/>
    </row>
    <row r="81" spans="2:15" x14ac:dyDescent="0.15">
      <c r="I81" s="155"/>
      <c r="J81" s="155"/>
      <c r="K81" s="155"/>
      <c r="L81" s="155"/>
      <c r="M81" s="155"/>
      <c r="N81" s="155"/>
      <c r="O81" s="155"/>
    </row>
    <row r="82" spans="2:15" x14ac:dyDescent="0.15">
      <c r="I82" s="155"/>
      <c r="J82" s="155"/>
      <c r="K82" s="155"/>
      <c r="L82" s="155"/>
      <c r="M82" s="155"/>
      <c r="N82" s="155"/>
      <c r="O82" s="155"/>
    </row>
    <row r="83" spans="2:15" x14ac:dyDescent="0.15">
      <c r="B83" s="148"/>
      <c r="C83" s="149"/>
      <c r="D83" s="149"/>
      <c r="E83" s="149"/>
      <c r="F83" s="149"/>
      <c r="I83" s="155"/>
      <c r="J83" s="155"/>
      <c r="K83" s="155"/>
      <c r="L83" s="155"/>
      <c r="M83" s="155"/>
      <c r="N83" s="155"/>
      <c r="O83" s="155"/>
    </row>
    <row r="84" spans="2:15" x14ac:dyDescent="0.15">
      <c r="B84" s="148"/>
      <c r="C84" s="149"/>
      <c r="D84" s="149"/>
      <c r="E84" s="149"/>
      <c r="F84" s="149"/>
      <c r="I84" s="155"/>
      <c r="J84" s="155"/>
      <c r="K84" s="155"/>
      <c r="L84" s="155"/>
      <c r="M84" s="155"/>
      <c r="N84" s="155"/>
      <c r="O84" s="155"/>
    </row>
    <row r="85" spans="2:15" x14ac:dyDescent="0.15">
      <c r="I85" s="155"/>
      <c r="J85" s="155"/>
      <c r="K85" s="155"/>
      <c r="L85" s="155"/>
      <c r="M85" s="155"/>
      <c r="N85" s="155"/>
      <c r="O85" s="155"/>
    </row>
    <row r="86" spans="2:15" x14ac:dyDescent="0.15">
      <c r="I86" s="155"/>
      <c r="J86" s="155"/>
      <c r="K86" s="155"/>
      <c r="L86" s="155"/>
      <c r="M86" s="155"/>
      <c r="N86" s="155"/>
      <c r="O86" s="155"/>
    </row>
    <row r="87" spans="2:15" x14ac:dyDescent="0.15">
      <c r="I87" s="155"/>
      <c r="J87" s="155"/>
      <c r="K87" s="155"/>
      <c r="L87" s="155"/>
      <c r="M87" s="155"/>
      <c r="N87" s="155"/>
      <c r="O87" s="155"/>
    </row>
    <row r="88" spans="2:15" x14ac:dyDescent="0.15">
      <c r="I88" s="155"/>
      <c r="J88" s="155"/>
      <c r="K88" s="155"/>
      <c r="L88" s="155"/>
      <c r="M88" s="155"/>
      <c r="N88" s="155"/>
      <c r="O88" s="155"/>
    </row>
    <row r="89" spans="2:15" x14ac:dyDescent="0.15">
      <c r="I89" s="155"/>
      <c r="J89" s="155"/>
      <c r="K89" s="155"/>
      <c r="L89" s="155"/>
      <c r="M89" s="155"/>
      <c r="N89" s="155"/>
      <c r="O89" s="155"/>
    </row>
    <row r="90" spans="2:15" x14ac:dyDescent="0.15">
      <c r="I90" s="155"/>
      <c r="J90" s="155"/>
      <c r="K90" s="155"/>
      <c r="L90" s="155"/>
      <c r="M90" s="155"/>
      <c r="N90" s="155"/>
      <c r="O90" s="155"/>
    </row>
    <row r="91" spans="2:15" x14ac:dyDescent="0.15">
      <c r="I91" s="155"/>
      <c r="J91" s="155"/>
      <c r="K91" s="155"/>
      <c r="L91" s="155"/>
      <c r="M91" s="155"/>
      <c r="N91" s="155"/>
      <c r="O91" s="155"/>
    </row>
    <row r="92" spans="2:15" x14ac:dyDescent="0.15">
      <c r="I92" s="155"/>
      <c r="J92" s="155"/>
      <c r="K92" s="155"/>
      <c r="L92" s="155"/>
      <c r="M92" s="155"/>
      <c r="N92" s="155"/>
      <c r="O92" s="155"/>
    </row>
    <row r="93" spans="2:15" x14ac:dyDescent="0.15">
      <c r="I93" s="155"/>
      <c r="J93" s="155"/>
      <c r="K93" s="155"/>
      <c r="L93" s="155"/>
      <c r="M93" s="155"/>
      <c r="N93" s="155"/>
      <c r="O93" s="155"/>
    </row>
    <row r="94" spans="2:15" x14ac:dyDescent="0.15">
      <c r="I94" s="155"/>
      <c r="J94" s="155"/>
      <c r="K94" s="155"/>
      <c r="L94" s="155"/>
      <c r="M94" s="155"/>
      <c r="N94" s="155"/>
      <c r="O94" s="155"/>
    </row>
    <row r="95" spans="2:15" x14ac:dyDescent="0.15">
      <c r="I95" s="155"/>
      <c r="J95" s="155"/>
      <c r="K95" s="155"/>
      <c r="L95" s="155"/>
      <c r="M95" s="155"/>
      <c r="N95" s="155"/>
      <c r="O95" s="155"/>
    </row>
    <row r="96" spans="2:15" x14ac:dyDescent="0.15">
      <c r="I96" s="155"/>
      <c r="J96" s="155"/>
      <c r="K96" s="155"/>
      <c r="L96" s="155"/>
      <c r="M96" s="155"/>
      <c r="N96" s="155"/>
      <c r="O96" s="155"/>
    </row>
    <row r="97" spans="9:15" x14ac:dyDescent="0.15">
      <c r="I97" s="155"/>
      <c r="J97" s="155"/>
      <c r="K97" s="155"/>
      <c r="L97" s="155"/>
      <c r="M97" s="155"/>
      <c r="N97" s="155"/>
      <c r="O97" s="155"/>
    </row>
    <row r="98" spans="9:15" x14ac:dyDescent="0.15">
      <c r="I98" s="155"/>
      <c r="J98" s="155"/>
      <c r="K98" s="155"/>
      <c r="L98" s="155"/>
      <c r="M98" s="155"/>
      <c r="N98" s="155"/>
      <c r="O98" s="155"/>
    </row>
    <row r="99" spans="9:15" x14ac:dyDescent="0.15">
      <c r="I99" s="155"/>
      <c r="J99" s="155"/>
      <c r="K99" s="155"/>
      <c r="L99" s="155"/>
      <c r="M99" s="155"/>
      <c r="N99" s="155"/>
      <c r="O99" s="155"/>
    </row>
    <row r="100" spans="9:15" x14ac:dyDescent="0.15">
      <c r="I100" s="155"/>
      <c r="J100" s="155"/>
      <c r="K100" s="155"/>
      <c r="L100" s="155"/>
      <c r="M100" s="155"/>
      <c r="N100" s="155"/>
      <c r="O100" s="155"/>
    </row>
    <row r="101" spans="9:15" x14ac:dyDescent="0.15">
      <c r="I101" s="155"/>
      <c r="J101" s="155"/>
      <c r="K101" s="155"/>
      <c r="L101" s="155"/>
      <c r="M101" s="155"/>
      <c r="N101" s="155"/>
      <c r="O101" s="155"/>
    </row>
    <row r="102" spans="9:15" x14ac:dyDescent="0.15">
      <c r="I102" s="155"/>
      <c r="J102" s="155"/>
      <c r="K102" s="155"/>
      <c r="L102" s="155"/>
      <c r="M102" s="155"/>
      <c r="N102" s="155"/>
      <c r="O102" s="155"/>
    </row>
    <row r="103" spans="9:15" x14ac:dyDescent="0.15">
      <c r="I103" s="155"/>
      <c r="J103" s="155"/>
      <c r="K103" s="155"/>
      <c r="L103" s="155"/>
      <c r="M103" s="155"/>
      <c r="N103" s="155"/>
      <c r="O103" s="155"/>
    </row>
    <row r="104" spans="9:15" x14ac:dyDescent="0.15">
      <c r="I104" s="155"/>
      <c r="J104" s="155"/>
      <c r="K104" s="155"/>
      <c r="L104" s="155"/>
      <c r="M104" s="155"/>
      <c r="N104" s="155"/>
      <c r="O104" s="155"/>
    </row>
    <row r="105" spans="9:15" x14ac:dyDescent="0.15">
      <c r="I105" s="155"/>
      <c r="J105" s="155"/>
      <c r="K105" s="155"/>
      <c r="L105" s="155"/>
      <c r="M105" s="155"/>
      <c r="N105" s="155"/>
      <c r="O105" s="155"/>
    </row>
    <row r="106" spans="9:15" x14ac:dyDescent="0.15">
      <c r="I106" s="155"/>
      <c r="J106" s="155"/>
      <c r="K106" s="155"/>
      <c r="L106" s="155"/>
      <c r="M106" s="155"/>
      <c r="N106" s="155"/>
      <c r="O106" s="155"/>
    </row>
    <row r="107" spans="9:15" x14ac:dyDescent="0.15">
      <c r="I107" s="155"/>
      <c r="J107" s="155"/>
      <c r="K107" s="155"/>
      <c r="L107" s="155"/>
      <c r="M107" s="155"/>
      <c r="N107" s="155"/>
      <c r="O107" s="155"/>
    </row>
    <row r="108" spans="9:15" x14ac:dyDescent="0.15">
      <c r="I108" s="155"/>
      <c r="J108" s="155"/>
      <c r="K108" s="155"/>
      <c r="L108" s="155"/>
      <c r="M108" s="155"/>
      <c r="N108" s="155"/>
      <c r="O108" s="155"/>
    </row>
    <row r="109" spans="9:15" x14ac:dyDescent="0.15">
      <c r="I109" s="155"/>
      <c r="J109" s="155"/>
      <c r="K109" s="155"/>
      <c r="L109" s="155"/>
      <c r="M109" s="155"/>
      <c r="N109" s="155"/>
      <c r="O109" s="155"/>
    </row>
    <row r="110" spans="9:15" x14ac:dyDescent="0.15">
      <c r="I110" s="155"/>
      <c r="J110" s="155"/>
      <c r="K110" s="155"/>
      <c r="L110" s="155"/>
      <c r="M110" s="155"/>
      <c r="N110" s="155"/>
      <c r="O110" s="155"/>
    </row>
    <row r="111" spans="9:15" x14ac:dyDescent="0.15">
      <c r="I111" s="155"/>
      <c r="J111" s="155"/>
      <c r="K111" s="155"/>
      <c r="L111" s="155"/>
      <c r="M111" s="155"/>
      <c r="N111" s="155"/>
      <c r="O111" s="155"/>
    </row>
    <row r="112" spans="9:15" x14ac:dyDescent="0.15">
      <c r="I112" s="155"/>
      <c r="J112" s="155"/>
      <c r="K112" s="155"/>
      <c r="L112" s="155"/>
      <c r="M112" s="155"/>
      <c r="N112" s="155"/>
      <c r="O112" s="155"/>
    </row>
    <row r="113" spans="9:15" x14ac:dyDescent="0.15">
      <c r="I113" s="155"/>
      <c r="J113" s="155"/>
      <c r="K113" s="155"/>
      <c r="L113" s="155"/>
      <c r="M113" s="155"/>
      <c r="N113" s="155"/>
      <c r="O113" s="155"/>
    </row>
    <row r="114" spans="9:15" x14ac:dyDescent="0.15">
      <c r="I114" s="155"/>
      <c r="J114" s="155"/>
      <c r="K114" s="155"/>
      <c r="L114" s="155"/>
      <c r="M114" s="155"/>
      <c r="N114" s="155"/>
      <c r="O114" s="155"/>
    </row>
    <row r="115" spans="9:15" x14ac:dyDescent="0.15">
      <c r="I115" s="155"/>
      <c r="J115" s="155"/>
      <c r="K115" s="155"/>
      <c r="L115" s="155"/>
      <c r="M115" s="155"/>
      <c r="N115" s="155"/>
      <c r="O115" s="155"/>
    </row>
    <row r="116" spans="9:15" x14ac:dyDescent="0.15">
      <c r="I116" s="155"/>
      <c r="J116" s="155"/>
      <c r="K116" s="155"/>
      <c r="L116" s="155"/>
      <c r="M116" s="155"/>
      <c r="N116" s="155"/>
      <c r="O116" s="155"/>
    </row>
    <row r="117" spans="9:15" x14ac:dyDescent="0.15">
      <c r="I117" s="155"/>
      <c r="J117" s="155"/>
      <c r="K117" s="155"/>
      <c r="L117" s="155"/>
      <c r="M117" s="155"/>
      <c r="N117" s="155"/>
      <c r="O117" s="155"/>
    </row>
    <row r="118" spans="9:15" x14ac:dyDescent="0.15">
      <c r="I118" s="155"/>
      <c r="J118" s="155"/>
      <c r="K118" s="155"/>
      <c r="L118" s="155"/>
      <c r="M118" s="155"/>
      <c r="N118" s="155"/>
      <c r="O118" s="155"/>
    </row>
    <row r="119" spans="9:15" x14ac:dyDescent="0.15">
      <c r="I119" s="155"/>
      <c r="J119" s="155"/>
      <c r="K119" s="155"/>
      <c r="L119" s="155"/>
      <c r="M119" s="155"/>
      <c r="N119" s="155"/>
      <c r="O119" s="155"/>
    </row>
    <row r="120" spans="9:15" x14ac:dyDescent="0.15">
      <c r="I120" s="155"/>
      <c r="J120" s="155"/>
      <c r="K120" s="155"/>
      <c r="L120" s="155"/>
      <c r="M120" s="155"/>
      <c r="N120" s="155"/>
      <c r="O120" s="155"/>
    </row>
    <row r="121" spans="9:15" x14ac:dyDescent="0.15">
      <c r="I121" s="155"/>
      <c r="J121" s="155"/>
      <c r="K121" s="155"/>
      <c r="L121" s="155"/>
      <c r="M121" s="155"/>
      <c r="N121" s="155"/>
      <c r="O121" s="155"/>
    </row>
    <row r="122" spans="9:15" x14ac:dyDescent="0.15">
      <c r="I122" s="155"/>
      <c r="J122" s="155"/>
      <c r="K122" s="155"/>
      <c r="L122" s="155"/>
      <c r="M122" s="155"/>
      <c r="N122" s="155"/>
      <c r="O122" s="155"/>
    </row>
    <row r="123" spans="9:15" x14ac:dyDescent="0.15">
      <c r="I123" s="155"/>
      <c r="J123" s="155"/>
      <c r="K123" s="155"/>
      <c r="L123" s="155"/>
      <c r="M123" s="155"/>
      <c r="N123" s="155"/>
      <c r="O123" s="155"/>
    </row>
    <row r="124" spans="9:15" x14ac:dyDescent="0.15">
      <c r="I124" s="155"/>
      <c r="J124" s="155"/>
      <c r="K124" s="155"/>
      <c r="L124" s="155"/>
      <c r="M124" s="155"/>
      <c r="N124" s="155"/>
      <c r="O124" s="155"/>
    </row>
    <row r="125" spans="9:15" x14ac:dyDescent="0.15">
      <c r="I125" s="155"/>
      <c r="J125" s="155"/>
      <c r="K125" s="155"/>
      <c r="L125" s="155"/>
      <c r="M125" s="155"/>
      <c r="N125" s="155"/>
      <c r="O125" s="155"/>
    </row>
    <row r="126" spans="9:15" x14ac:dyDescent="0.15">
      <c r="I126" s="155"/>
      <c r="J126" s="155"/>
      <c r="K126" s="155"/>
      <c r="L126" s="155"/>
      <c r="M126" s="155"/>
      <c r="N126" s="155"/>
      <c r="O126" s="155"/>
    </row>
    <row r="127" spans="9:15" x14ac:dyDescent="0.15">
      <c r="I127" s="155"/>
      <c r="J127" s="155"/>
      <c r="K127" s="155"/>
      <c r="L127" s="155"/>
      <c r="M127" s="155"/>
      <c r="N127" s="155"/>
      <c r="O127" s="155"/>
    </row>
    <row r="128" spans="9:15" x14ac:dyDescent="0.15">
      <c r="I128" s="155"/>
      <c r="J128" s="155"/>
      <c r="K128" s="155"/>
      <c r="L128" s="155"/>
      <c r="M128" s="155"/>
      <c r="N128" s="155"/>
      <c r="O128" s="155"/>
    </row>
    <row r="129" spans="9:15" x14ac:dyDescent="0.15">
      <c r="I129" s="155"/>
      <c r="J129" s="155"/>
      <c r="K129" s="155"/>
      <c r="L129" s="155"/>
      <c r="M129" s="155"/>
      <c r="N129" s="155"/>
      <c r="O129" s="155"/>
    </row>
    <row r="130" spans="9:15" x14ac:dyDescent="0.15">
      <c r="I130" s="155"/>
      <c r="J130" s="155"/>
      <c r="K130" s="155"/>
      <c r="L130" s="155"/>
      <c r="M130" s="155"/>
      <c r="N130" s="155"/>
      <c r="O130" s="155"/>
    </row>
    <row r="131" spans="9:15" x14ac:dyDescent="0.15">
      <c r="I131" s="155"/>
      <c r="J131" s="155"/>
      <c r="K131" s="155"/>
      <c r="L131" s="155"/>
      <c r="M131" s="155"/>
      <c r="N131" s="155"/>
      <c r="O131" s="155"/>
    </row>
    <row r="132" spans="9:15" x14ac:dyDescent="0.15">
      <c r="I132" s="155"/>
      <c r="J132" s="155"/>
      <c r="K132" s="155"/>
      <c r="L132" s="155"/>
      <c r="M132" s="155"/>
      <c r="N132" s="155"/>
      <c r="O132" s="155"/>
    </row>
    <row r="133" spans="9:15" x14ac:dyDescent="0.15">
      <c r="I133" s="155"/>
      <c r="J133" s="155"/>
      <c r="K133" s="155"/>
      <c r="L133" s="155"/>
      <c r="M133" s="155"/>
      <c r="N133" s="155"/>
      <c r="O133" s="155"/>
    </row>
    <row r="134" spans="9:15" x14ac:dyDescent="0.15">
      <c r="I134" s="155"/>
      <c r="J134" s="155"/>
      <c r="K134" s="155"/>
      <c r="L134" s="155"/>
      <c r="M134" s="155"/>
      <c r="N134" s="155"/>
      <c r="O134" s="155"/>
    </row>
    <row r="135" spans="9:15" x14ac:dyDescent="0.15">
      <c r="I135" s="155"/>
      <c r="J135" s="155"/>
      <c r="K135" s="155"/>
      <c r="L135" s="155"/>
      <c r="M135" s="155"/>
      <c r="N135" s="155"/>
      <c r="O135" s="155"/>
    </row>
    <row r="136" spans="9:15" x14ac:dyDescent="0.15">
      <c r="I136" s="155"/>
      <c r="J136" s="155"/>
      <c r="K136" s="155"/>
      <c r="L136" s="155"/>
      <c r="M136" s="155"/>
      <c r="N136" s="155"/>
      <c r="O136" s="155"/>
    </row>
    <row r="137" spans="9:15" x14ac:dyDescent="0.15">
      <c r="I137" s="155"/>
      <c r="J137" s="155"/>
      <c r="K137" s="155"/>
      <c r="L137" s="155"/>
      <c r="M137" s="155"/>
      <c r="N137" s="155"/>
      <c r="O137" s="155"/>
    </row>
    <row r="138" spans="9:15" x14ac:dyDescent="0.15">
      <c r="I138" s="155"/>
      <c r="J138" s="155"/>
      <c r="K138" s="155"/>
      <c r="L138" s="155"/>
      <c r="M138" s="155"/>
      <c r="N138" s="155"/>
      <c r="O138" s="155"/>
    </row>
    <row r="139" spans="9:15" x14ac:dyDescent="0.15">
      <c r="I139" s="155"/>
      <c r="J139" s="155"/>
      <c r="K139" s="155"/>
      <c r="L139" s="155"/>
      <c r="M139" s="155"/>
      <c r="N139" s="155"/>
      <c r="O139" s="155"/>
    </row>
    <row r="140" spans="9:15" x14ac:dyDescent="0.15">
      <c r="I140" s="155"/>
      <c r="J140" s="155"/>
      <c r="K140" s="155"/>
      <c r="L140" s="155"/>
      <c r="M140" s="155"/>
      <c r="N140" s="155"/>
    </row>
    <row r="141" spans="9:15" x14ac:dyDescent="0.15">
      <c r="I141" s="155"/>
      <c r="J141" s="155"/>
      <c r="K141" s="155"/>
      <c r="L141" s="155"/>
      <c r="M141" s="155"/>
      <c r="N141" s="155"/>
    </row>
    <row r="142" spans="9:15" x14ac:dyDescent="0.15">
      <c r="I142" s="155"/>
      <c r="J142" s="155"/>
      <c r="K142" s="155"/>
      <c r="L142" s="155"/>
      <c r="M142" s="155"/>
      <c r="N142" s="155"/>
    </row>
    <row r="143" spans="9:15" x14ac:dyDescent="0.15">
      <c r="I143" s="155"/>
      <c r="J143" s="155"/>
      <c r="K143" s="155"/>
      <c r="L143" s="155"/>
      <c r="M143" s="155"/>
      <c r="N143" s="155"/>
    </row>
    <row r="144" spans="9:15" x14ac:dyDescent="0.15">
      <c r="I144" s="155"/>
      <c r="J144" s="155"/>
      <c r="K144" s="155"/>
      <c r="L144" s="155"/>
      <c r="M144" s="155"/>
      <c r="N144" s="155"/>
    </row>
    <row r="145" spans="9:14" x14ac:dyDescent="0.15">
      <c r="I145" s="155"/>
      <c r="J145" s="155"/>
      <c r="K145" s="155"/>
      <c r="L145" s="155"/>
      <c r="M145" s="155"/>
      <c r="N145" s="155"/>
    </row>
    <row r="146" spans="9:14" x14ac:dyDescent="0.15">
      <c r="I146" s="155"/>
      <c r="J146" s="155"/>
      <c r="K146" s="155"/>
      <c r="L146" s="155"/>
      <c r="M146" s="155"/>
      <c r="N146" s="155"/>
    </row>
    <row r="147" spans="9:14" x14ac:dyDescent="0.15">
      <c r="I147" s="155"/>
      <c r="J147" s="155"/>
      <c r="K147" s="155"/>
      <c r="L147" s="155"/>
      <c r="M147" s="155"/>
      <c r="N147" s="155"/>
    </row>
    <row r="148" spans="9:14" x14ac:dyDescent="0.15">
      <c r="I148" s="155"/>
      <c r="J148" s="155"/>
      <c r="K148" s="155"/>
      <c r="L148" s="155"/>
      <c r="M148" s="155"/>
      <c r="N148" s="155"/>
    </row>
    <row r="149" spans="9:14" x14ac:dyDescent="0.15">
      <c r="I149" s="155"/>
      <c r="J149" s="155"/>
      <c r="K149" s="155"/>
      <c r="L149" s="155"/>
      <c r="M149" s="155"/>
      <c r="N149" s="155"/>
    </row>
    <row r="150" spans="9:14" x14ac:dyDescent="0.15">
      <c r="I150" s="155"/>
      <c r="J150" s="155"/>
      <c r="K150" s="155"/>
      <c r="L150" s="155"/>
      <c r="M150" s="155"/>
      <c r="N150" s="155"/>
    </row>
    <row r="151" spans="9:14" x14ac:dyDescent="0.15">
      <c r="I151" s="155"/>
      <c r="J151" s="155"/>
      <c r="K151" s="155"/>
      <c r="L151" s="155"/>
      <c r="M151" s="155"/>
      <c r="N151" s="155"/>
    </row>
    <row r="152" spans="9:14" x14ac:dyDescent="0.15">
      <c r="I152" s="155"/>
      <c r="J152" s="155"/>
      <c r="K152" s="155"/>
      <c r="L152" s="155"/>
      <c r="M152" s="155"/>
      <c r="N152" s="155"/>
    </row>
    <row r="153" spans="9:14" x14ac:dyDescent="0.15">
      <c r="I153" s="155"/>
      <c r="J153" s="155"/>
      <c r="K153" s="155"/>
      <c r="L153" s="155"/>
      <c r="M153" s="155"/>
      <c r="N153" s="155"/>
    </row>
    <row r="154" spans="9:14" x14ac:dyDescent="0.15">
      <c r="I154" s="155"/>
      <c r="J154" s="155"/>
      <c r="K154" s="155"/>
      <c r="L154" s="155"/>
      <c r="M154" s="155"/>
      <c r="N154" s="155"/>
    </row>
    <row r="155" spans="9:14" x14ac:dyDescent="0.15">
      <c r="J155" s="155"/>
      <c r="K155" s="155"/>
      <c r="L155" s="155"/>
      <c r="M155" s="155"/>
      <c r="N155" s="155"/>
    </row>
    <row r="156" spans="9:14" x14ac:dyDescent="0.15">
      <c r="J156" s="155"/>
      <c r="K156" s="155"/>
      <c r="L156" s="155"/>
      <c r="M156" s="155"/>
      <c r="N156" s="155"/>
    </row>
    <row r="173" spans="15:15" x14ac:dyDescent="0.15">
      <c r="O173" s="155"/>
    </row>
    <row r="174" spans="15:15" x14ac:dyDescent="0.15">
      <c r="O174" s="155"/>
    </row>
    <row r="175" spans="15:15" x14ac:dyDescent="0.15">
      <c r="O175" s="155"/>
    </row>
    <row r="176" spans="15:15" x14ac:dyDescent="0.15">
      <c r="O176" s="155"/>
    </row>
    <row r="177" spans="15:15" x14ac:dyDescent="0.15">
      <c r="O177" s="155"/>
    </row>
    <row r="178" spans="15:15" x14ac:dyDescent="0.15">
      <c r="O178" s="155"/>
    </row>
    <row r="179" spans="15:15" x14ac:dyDescent="0.15">
      <c r="O179" s="155"/>
    </row>
    <row r="180" spans="15:15" x14ac:dyDescent="0.15">
      <c r="O180" s="155"/>
    </row>
    <row r="181" spans="15:15" x14ac:dyDescent="0.15">
      <c r="O181" s="155"/>
    </row>
    <row r="182" spans="15:15" x14ac:dyDescent="0.15">
      <c r="O182" s="155"/>
    </row>
    <row r="183" spans="15:15" x14ac:dyDescent="0.15">
      <c r="O183" s="155"/>
    </row>
    <row r="184" spans="15:15" x14ac:dyDescent="0.15">
      <c r="O184" s="155"/>
    </row>
    <row r="185" spans="15:15" x14ac:dyDescent="0.15">
      <c r="O185" s="155"/>
    </row>
    <row r="186" spans="15:15" x14ac:dyDescent="0.15">
      <c r="O186" s="155"/>
    </row>
    <row r="187" spans="15:15" x14ac:dyDescent="0.15">
      <c r="O187" s="155"/>
    </row>
    <row r="188" spans="15:15" x14ac:dyDescent="0.15">
      <c r="O188" s="155"/>
    </row>
    <row r="189" spans="15:15" x14ac:dyDescent="0.15">
      <c r="O189" s="155"/>
    </row>
    <row r="190" spans="15:15" x14ac:dyDescent="0.15">
      <c r="O190" s="155"/>
    </row>
    <row r="191" spans="15:15" x14ac:dyDescent="0.15">
      <c r="O191" s="155"/>
    </row>
    <row r="192" spans="15:15" x14ac:dyDescent="0.15">
      <c r="O192" s="155"/>
    </row>
  </sheetData>
  <mergeCells count="70">
    <mergeCell ref="T14:U14"/>
    <mergeCell ref="T15:U15"/>
    <mergeCell ref="I25:I28"/>
    <mergeCell ref="B28:B38"/>
    <mergeCell ref="K35:L35"/>
    <mergeCell ref="K36:L36"/>
    <mergeCell ref="K37:L37"/>
    <mergeCell ref="K38:L38"/>
    <mergeCell ref="Q37:R37"/>
    <mergeCell ref="B5:B7"/>
    <mergeCell ref="T5:U5"/>
    <mergeCell ref="I6:I12"/>
    <mergeCell ref="T6:U6"/>
    <mergeCell ref="T7:U7"/>
    <mergeCell ref="I4:I5"/>
    <mergeCell ref="J4:J5"/>
    <mergeCell ref="M4:M5"/>
    <mergeCell ref="N4:N5"/>
    <mergeCell ref="T4:U4"/>
    <mergeCell ref="T8:U8"/>
    <mergeCell ref="T9:U9"/>
    <mergeCell ref="T11:U11"/>
    <mergeCell ref="T12:U12"/>
    <mergeCell ref="B8:B11"/>
    <mergeCell ref="B39:B49"/>
    <mergeCell ref="I36:I42"/>
    <mergeCell ref="T16:U16"/>
    <mergeCell ref="I17:I20"/>
    <mergeCell ref="T17:U17"/>
    <mergeCell ref="B17:B20"/>
    <mergeCell ref="T18:U18"/>
    <mergeCell ref="T19:U19"/>
    <mergeCell ref="T20:U20"/>
    <mergeCell ref="I21:I24"/>
    <mergeCell ref="T21:U21"/>
    <mergeCell ref="B21:B24"/>
    <mergeCell ref="B12:B16"/>
    <mergeCell ref="I13:I16"/>
    <mergeCell ref="T13:U13"/>
    <mergeCell ref="I29:I32"/>
    <mergeCell ref="K45:L45"/>
    <mergeCell ref="P45:P56"/>
    <mergeCell ref="K46:L46"/>
    <mergeCell ref="K49:L49"/>
    <mergeCell ref="K56:L56"/>
    <mergeCell ref="K48:L48"/>
    <mergeCell ref="K55:L55"/>
    <mergeCell ref="K39:L39"/>
    <mergeCell ref="P38:P44"/>
    <mergeCell ref="K40:L40"/>
    <mergeCell ref="K41:L41"/>
    <mergeCell ref="K42:L42"/>
    <mergeCell ref="K43:L43"/>
    <mergeCell ref="K44:L44"/>
    <mergeCell ref="Q45:Q49"/>
    <mergeCell ref="I57:J57"/>
    <mergeCell ref="K57:L57"/>
    <mergeCell ref="P57:Q57"/>
    <mergeCell ref="B50:B53"/>
    <mergeCell ref="K50:L50"/>
    <mergeCell ref="I51:I56"/>
    <mergeCell ref="K51:L51"/>
    <mergeCell ref="Q51:Q55"/>
    <mergeCell ref="K52:L52"/>
    <mergeCell ref="K53:L53"/>
    <mergeCell ref="B54:B57"/>
    <mergeCell ref="K54:L54"/>
    <mergeCell ref="I47:I50"/>
    <mergeCell ref="K47:L47"/>
    <mergeCell ref="I43:I46"/>
  </mergeCells>
  <phoneticPr fontId="4"/>
  <pageMargins left="0.78740157480314965" right="0.78740157480314965" top="0.78740157480314965" bottom="0.78740157480314965" header="0.39370078740157483" footer="0.39370078740157483"/>
  <pageSetup paperSize="9" scale="60" orientation="landscape" r:id="rId1"/>
  <headerFooter alignWithMargins="0">
    <oddHeader>&amp;R&amp;F</oddHeader>
    <oddFooter>&amp;R&amp;A</oddFooter>
  </headerFooter>
  <ignoredErrors>
    <ignoredError sqref="N28 N12 N16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192"/>
  <sheetViews>
    <sheetView zoomScale="75" zoomScaleNormal="75" workbookViewId="0"/>
  </sheetViews>
  <sheetFormatPr defaultRowHeight="13.5" x14ac:dyDescent="0.15"/>
  <cols>
    <col min="1" max="1" width="1.625" style="45" customWidth="1"/>
    <col min="2" max="2" width="3.625" style="45" customWidth="1"/>
    <col min="3" max="3" width="19.5" style="45" customWidth="1"/>
    <col min="4" max="7" width="8.625" style="45" customWidth="1"/>
    <col min="8" max="8" width="2.375" style="155" customWidth="1"/>
    <col min="9" max="9" width="3.625" style="45" customWidth="1"/>
    <col min="10" max="10" width="15.625" style="45" customWidth="1"/>
    <col min="11" max="14" width="8.625" style="45" customWidth="1"/>
    <col min="15" max="15" width="3.5" style="45" customWidth="1"/>
    <col min="16" max="16" width="15.625" style="126" customWidth="1"/>
    <col min="17" max="17" width="8.625" style="45" customWidth="1"/>
    <col min="18" max="18" width="8.625" style="46" customWidth="1"/>
    <col min="19" max="21" width="8.625" style="45" customWidth="1"/>
    <col min="22" max="22" width="10.625" style="46" customWidth="1"/>
    <col min="23" max="262" width="8.875" style="45"/>
    <col min="263" max="263" width="1.375" style="45" customWidth="1"/>
    <col min="264" max="264" width="3.5" style="45" customWidth="1"/>
    <col min="265" max="265" width="22.125" style="45" customWidth="1"/>
    <col min="266" max="266" width="9.75" style="45" customWidth="1"/>
    <col min="267" max="267" width="7.375" style="45" customWidth="1"/>
    <col min="268" max="268" width="8.875" style="45"/>
    <col min="269" max="269" width="9.25" style="45" customWidth="1"/>
    <col min="270" max="270" width="3.5" style="45" customWidth="1"/>
    <col min="271" max="272" width="12.625" style="45" customWidth="1"/>
    <col min="273" max="273" width="8.875" style="45"/>
    <col min="274" max="274" width="7.75" style="45" customWidth="1"/>
    <col min="275" max="275" width="13.125" style="45" customWidth="1"/>
    <col min="276" max="276" width="6.125" style="45" customWidth="1"/>
    <col min="277" max="277" width="9.75" style="45" customWidth="1"/>
    <col min="278" max="278" width="1.375" style="45" customWidth="1"/>
    <col min="279" max="518" width="8.875" style="45"/>
    <col min="519" max="519" width="1.375" style="45" customWidth="1"/>
    <col min="520" max="520" width="3.5" style="45" customWidth="1"/>
    <col min="521" max="521" width="22.125" style="45" customWidth="1"/>
    <col min="522" max="522" width="9.75" style="45" customWidth="1"/>
    <col min="523" max="523" width="7.375" style="45" customWidth="1"/>
    <col min="524" max="524" width="8.875" style="45"/>
    <col min="525" max="525" width="9.25" style="45" customWidth="1"/>
    <col min="526" max="526" width="3.5" style="45" customWidth="1"/>
    <col min="527" max="528" width="12.625" style="45" customWidth="1"/>
    <col min="529" max="529" width="8.875" style="45"/>
    <col min="530" max="530" width="7.75" style="45" customWidth="1"/>
    <col min="531" max="531" width="13.125" style="45" customWidth="1"/>
    <col min="532" max="532" width="6.125" style="45" customWidth="1"/>
    <col min="533" max="533" width="9.75" style="45" customWidth="1"/>
    <col min="534" max="534" width="1.375" style="45" customWidth="1"/>
    <col min="535" max="774" width="8.875" style="45"/>
    <col min="775" max="775" width="1.375" style="45" customWidth="1"/>
    <col min="776" max="776" width="3.5" style="45" customWidth="1"/>
    <col min="777" max="777" width="22.125" style="45" customWidth="1"/>
    <col min="778" max="778" width="9.75" style="45" customWidth="1"/>
    <col min="779" max="779" width="7.375" style="45" customWidth="1"/>
    <col min="780" max="780" width="8.875" style="45"/>
    <col min="781" max="781" width="9.25" style="45" customWidth="1"/>
    <col min="782" max="782" width="3.5" style="45" customWidth="1"/>
    <col min="783" max="784" width="12.625" style="45" customWidth="1"/>
    <col min="785" max="785" width="8.875" style="45"/>
    <col min="786" max="786" width="7.75" style="45" customWidth="1"/>
    <col min="787" max="787" width="13.125" style="45" customWidth="1"/>
    <col min="788" max="788" width="6.125" style="45" customWidth="1"/>
    <col min="789" max="789" width="9.75" style="45" customWidth="1"/>
    <col min="790" max="790" width="1.375" style="45" customWidth="1"/>
    <col min="791" max="1030" width="8.875" style="45"/>
    <col min="1031" max="1031" width="1.375" style="45" customWidth="1"/>
    <col min="1032" max="1032" width="3.5" style="45" customWidth="1"/>
    <col min="1033" max="1033" width="22.125" style="45" customWidth="1"/>
    <col min="1034" max="1034" width="9.75" style="45" customWidth="1"/>
    <col min="1035" max="1035" width="7.375" style="45" customWidth="1"/>
    <col min="1036" max="1036" width="8.875" style="45"/>
    <col min="1037" max="1037" width="9.25" style="45" customWidth="1"/>
    <col min="1038" max="1038" width="3.5" style="45" customWidth="1"/>
    <col min="1039" max="1040" width="12.625" style="45" customWidth="1"/>
    <col min="1041" max="1041" width="8.875" style="45"/>
    <col min="1042" max="1042" width="7.75" style="45" customWidth="1"/>
    <col min="1043" max="1043" width="13.125" style="45" customWidth="1"/>
    <col min="1044" max="1044" width="6.125" style="45" customWidth="1"/>
    <col min="1045" max="1045" width="9.75" style="45" customWidth="1"/>
    <col min="1046" max="1046" width="1.375" style="45" customWidth="1"/>
    <col min="1047" max="1286" width="8.875" style="45"/>
    <col min="1287" max="1287" width="1.375" style="45" customWidth="1"/>
    <col min="1288" max="1288" width="3.5" style="45" customWidth="1"/>
    <col min="1289" max="1289" width="22.125" style="45" customWidth="1"/>
    <col min="1290" max="1290" width="9.75" style="45" customWidth="1"/>
    <col min="1291" max="1291" width="7.375" style="45" customWidth="1"/>
    <col min="1292" max="1292" width="8.875" style="45"/>
    <col min="1293" max="1293" width="9.25" style="45" customWidth="1"/>
    <col min="1294" max="1294" width="3.5" style="45" customWidth="1"/>
    <col min="1295" max="1296" width="12.625" style="45" customWidth="1"/>
    <col min="1297" max="1297" width="8.875" style="45"/>
    <col min="1298" max="1298" width="7.75" style="45" customWidth="1"/>
    <col min="1299" max="1299" width="13.125" style="45" customWidth="1"/>
    <col min="1300" max="1300" width="6.125" style="45" customWidth="1"/>
    <col min="1301" max="1301" width="9.75" style="45" customWidth="1"/>
    <col min="1302" max="1302" width="1.375" style="45" customWidth="1"/>
    <col min="1303" max="1542" width="8.875" style="45"/>
    <col min="1543" max="1543" width="1.375" style="45" customWidth="1"/>
    <col min="1544" max="1544" width="3.5" style="45" customWidth="1"/>
    <col min="1545" max="1545" width="22.125" style="45" customWidth="1"/>
    <col min="1546" max="1546" width="9.75" style="45" customWidth="1"/>
    <col min="1547" max="1547" width="7.375" style="45" customWidth="1"/>
    <col min="1548" max="1548" width="8.875" style="45"/>
    <col min="1549" max="1549" width="9.25" style="45" customWidth="1"/>
    <col min="1550" max="1550" width="3.5" style="45" customWidth="1"/>
    <col min="1551" max="1552" width="12.625" style="45" customWidth="1"/>
    <col min="1553" max="1553" width="8.875" style="45"/>
    <col min="1554" max="1554" width="7.75" style="45" customWidth="1"/>
    <col min="1555" max="1555" width="13.125" style="45" customWidth="1"/>
    <col min="1556" max="1556" width="6.125" style="45" customWidth="1"/>
    <col min="1557" max="1557" width="9.75" style="45" customWidth="1"/>
    <col min="1558" max="1558" width="1.375" style="45" customWidth="1"/>
    <col min="1559" max="1798" width="8.875" style="45"/>
    <col min="1799" max="1799" width="1.375" style="45" customWidth="1"/>
    <col min="1800" max="1800" width="3.5" style="45" customWidth="1"/>
    <col min="1801" max="1801" width="22.125" style="45" customWidth="1"/>
    <col min="1802" max="1802" width="9.75" style="45" customWidth="1"/>
    <col min="1803" max="1803" width="7.375" style="45" customWidth="1"/>
    <col min="1804" max="1804" width="8.875" style="45"/>
    <col min="1805" max="1805" width="9.25" style="45" customWidth="1"/>
    <col min="1806" max="1806" width="3.5" style="45" customWidth="1"/>
    <col min="1807" max="1808" width="12.625" style="45" customWidth="1"/>
    <col min="1809" max="1809" width="8.875" style="45"/>
    <col min="1810" max="1810" width="7.75" style="45" customWidth="1"/>
    <col min="1811" max="1811" width="13.125" style="45" customWidth="1"/>
    <col min="1812" max="1812" width="6.125" style="45" customWidth="1"/>
    <col min="1813" max="1813" width="9.75" style="45" customWidth="1"/>
    <col min="1814" max="1814" width="1.375" style="45" customWidth="1"/>
    <col min="1815" max="2054" width="8.875" style="45"/>
    <col min="2055" max="2055" width="1.375" style="45" customWidth="1"/>
    <col min="2056" max="2056" width="3.5" style="45" customWidth="1"/>
    <col min="2057" max="2057" width="22.125" style="45" customWidth="1"/>
    <col min="2058" max="2058" width="9.75" style="45" customWidth="1"/>
    <col min="2059" max="2059" width="7.375" style="45" customWidth="1"/>
    <col min="2060" max="2060" width="8.875" style="45"/>
    <col min="2061" max="2061" width="9.25" style="45" customWidth="1"/>
    <col min="2062" max="2062" width="3.5" style="45" customWidth="1"/>
    <col min="2063" max="2064" width="12.625" style="45" customWidth="1"/>
    <col min="2065" max="2065" width="8.875" style="45"/>
    <col min="2066" max="2066" width="7.75" style="45" customWidth="1"/>
    <col min="2067" max="2067" width="13.125" style="45" customWidth="1"/>
    <col min="2068" max="2068" width="6.125" style="45" customWidth="1"/>
    <col min="2069" max="2069" width="9.75" style="45" customWidth="1"/>
    <col min="2070" max="2070" width="1.375" style="45" customWidth="1"/>
    <col min="2071" max="2310" width="8.875" style="45"/>
    <col min="2311" max="2311" width="1.375" style="45" customWidth="1"/>
    <col min="2312" max="2312" width="3.5" style="45" customWidth="1"/>
    <col min="2313" max="2313" width="22.125" style="45" customWidth="1"/>
    <col min="2314" max="2314" width="9.75" style="45" customWidth="1"/>
    <col min="2315" max="2315" width="7.375" style="45" customWidth="1"/>
    <col min="2316" max="2316" width="8.875" style="45"/>
    <col min="2317" max="2317" width="9.25" style="45" customWidth="1"/>
    <col min="2318" max="2318" width="3.5" style="45" customWidth="1"/>
    <col min="2319" max="2320" width="12.625" style="45" customWidth="1"/>
    <col min="2321" max="2321" width="8.875" style="45"/>
    <col min="2322" max="2322" width="7.75" style="45" customWidth="1"/>
    <col min="2323" max="2323" width="13.125" style="45" customWidth="1"/>
    <col min="2324" max="2324" width="6.125" style="45" customWidth="1"/>
    <col min="2325" max="2325" width="9.75" style="45" customWidth="1"/>
    <col min="2326" max="2326" width="1.375" style="45" customWidth="1"/>
    <col min="2327" max="2566" width="8.875" style="45"/>
    <col min="2567" max="2567" width="1.375" style="45" customWidth="1"/>
    <col min="2568" max="2568" width="3.5" style="45" customWidth="1"/>
    <col min="2569" max="2569" width="22.125" style="45" customWidth="1"/>
    <col min="2570" max="2570" width="9.75" style="45" customWidth="1"/>
    <col min="2571" max="2571" width="7.375" style="45" customWidth="1"/>
    <col min="2572" max="2572" width="8.875" style="45"/>
    <col min="2573" max="2573" width="9.25" style="45" customWidth="1"/>
    <col min="2574" max="2574" width="3.5" style="45" customWidth="1"/>
    <col min="2575" max="2576" width="12.625" style="45" customWidth="1"/>
    <col min="2577" max="2577" width="8.875" style="45"/>
    <col min="2578" max="2578" width="7.75" style="45" customWidth="1"/>
    <col min="2579" max="2579" width="13.125" style="45" customWidth="1"/>
    <col min="2580" max="2580" width="6.125" style="45" customWidth="1"/>
    <col min="2581" max="2581" width="9.75" style="45" customWidth="1"/>
    <col min="2582" max="2582" width="1.375" style="45" customWidth="1"/>
    <col min="2583" max="2822" width="8.875" style="45"/>
    <col min="2823" max="2823" width="1.375" style="45" customWidth="1"/>
    <col min="2824" max="2824" width="3.5" style="45" customWidth="1"/>
    <col min="2825" max="2825" width="22.125" style="45" customWidth="1"/>
    <col min="2826" max="2826" width="9.75" style="45" customWidth="1"/>
    <col min="2827" max="2827" width="7.375" style="45" customWidth="1"/>
    <col min="2828" max="2828" width="8.875" style="45"/>
    <col min="2829" max="2829" width="9.25" style="45" customWidth="1"/>
    <col min="2830" max="2830" width="3.5" style="45" customWidth="1"/>
    <col min="2831" max="2832" width="12.625" style="45" customWidth="1"/>
    <col min="2833" max="2833" width="8.875" style="45"/>
    <col min="2834" max="2834" width="7.75" style="45" customWidth="1"/>
    <col min="2835" max="2835" width="13.125" style="45" customWidth="1"/>
    <col min="2836" max="2836" width="6.125" style="45" customWidth="1"/>
    <col min="2837" max="2837" width="9.75" style="45" customWidth="1"/>
    <col min="2838" max="2838" width="1.375" style="45" customWidth="1"/>
    <col min="2839" max="3078" width="8.875" style="45"/>
    <col min="3079" max="3079" width="1.375" style="45" customWidth="1"/>
    <col min="3080" max="3080" width="3.5" style="45" customWidth="1"/>
    <col min="3081" max="3081" width="22.125" style="45" customWidth="1"/>
    <col min="3082" max="3082" width="9.75" style="45" customWidth="1"/>
    <col min="3083" max="3083" width="7.375" style="45" customWidth="1"/>
    <col min="3084" max="3084" width="8.875" style="45"/>
    <col min="3085" max="3085" width="9.25" style="45" customWidth="1"/>
    <col min="3086" max="3086" width="3.5" style="45" customWidth="1"/>
    <col min="3087" max="3088" width="12.625" style="45" customWidth="1"/>
    <col min="3089" max="3089" width="8.875" style="45"/>
    <col min="3090" max="3090" width="7.75" style="45" customWidth="1"/>
    <col min="3091" max="3091" width="13.125" style="45" customWidth="1"/>
    <col min="3092" max="3092" width="6.125" style="45" customWidth="1"/>
    <col min="3093" max="3093" width="9.75" style="45" customWidth="1"/>
    <col min="3094" max="3094" width="1.375" style="45" customWidth="1"/>
    <col min="3095" max="3334" width="8.875" style="45"/>
    <col min="3335" max="3335" width="1.375" style="45" customWidth="1"/>
    <col min="3336" max="3336" width="3.5" style="45" customWidth="1"/>
    <col min="3337" max="3337" width="22.125" style="45" customWidth="1"/>
    <col min="3338" max="3338" width="9.75" style="45" customWidth="1"/>
    <col min="3339" max="3339" width="7.375" style="45" customWidth="1"/>
    <col min="3340" max="3340" width="8.875" style="45"/>
    <col min="3341" max="3341" width="9.25" style="45" customWidth="1"/>
    <col min="3342" max="3342" width="3.5" style="45" customWidth="1"/>
    <col min="3343" max="3344" width="12.625" style="45" customWidth="1"/>
    <col min="3345" max="3345" width="8.875" style="45"/>
    <col min="3346" max="3346" width="7.75" style="45" customWidth="1"/>
    <col min="3347" max="3347" width="13.125" style="45" customWidth="1"/>
    <col min="3348" max="3348" width="6.125" style="45" customWidth="1"/>
    <col min="3349" max="3349" width="9.75" style="45" customWidth="1"/>
    <col min="3350" max="3350" width="1.375" style="45" customWidth="1"/>
    <col min="3351" max="3590" width="8.875" style="45"/>
    <col min="3591" max="3591" width="1.375" style="45" customWidth="1"/>
    <col min="3592" max="3592" width="3.5" style="45" customWidth="1"/>
    <col min="3593" max="3593" width="22.125" style="45" customWidth="1"/>
    <col min="3594" max="3594" width="9.75" style="45" customWidth="1"/>
    <col min="3595" max="3595" width="7.375" style="45" customWidth="1"/>
    <col min="3596" max="3596" width="8.875" style="45"/>
    <col min="3597" max="3597" width="9.25" style="45" customWidth="1"/>
    <col min="3598" max="3598" width="3.5" style="45" customWidth="1"/>
    <col min="3599" max="3600" width="12.625" style="45" customWidth="1"/>
    <col min="3601" max="3601" width="8.875" style="45"/>
    <col min="3602" max="3602" width="7.75" style="45" customWidth="1"/>
    <col min="3603" max="3603" width="13.125" style="45" customWidth="1"/>
    <col min="3604" max="3604" width="6.125" style="45" customWidth="1"/>
    <col min="3605" max="3605" width="9.75" style="45" customWidth="1"/>
    <col min="3606" max="3606" width="1.375" style="45" customWidth="1"/>
    <col min="3607" max="3846" width="8.875" style="45"/>
    <col min="3847" max="3847" width="1.375" style="45" customWidth="1"/>
    <col min="3848" max="3848" width="3.5" style="45" customWidth="1"/>
    <col min="3849" max="3849" width="22.125" style="45" customWidth="1"/>
    <col min="3850" max="3850" width="9.75" style="45" customWidth="1"/>
    <col min="3851" max="3851" width="7.375" style="45" customWidth="1"/>
    <col min="3852" max="3852" width="8.875" style="45"/>
    <col min="3853" max="3853" width="9.25" style="45" customWidth="1"/>
    <col min="3854" max="3854" width="3.5" style="45" customWidth="1"/>
    <col min="3855" max="3856" width="12.625" style="45" customWidth="1"/>
    <col min="3857" max="3857" width="8.875" style="45"/>
    <col min="3858" max="3858" width="7.75" style="45" customWidth="1"/>
    <col min="3859" max="3859" width="13.125" style="45" customWidth="1"/>
    <col min="3860" max="3860" width="6.125" style="45" customWidth="1"/>
    <col min="3861" max="3861" width="9.75" style="45" customWidth="1"/>
    <col min="3862" max="3862" width="1.375" style="45" customWidth="1"/>
    <col min="3863" max="4102" width="8.875" style="45"/>
    <col min="4103" max="4103" width="1.375" style="45" customWidth="1"/>
    <col min="4104" max="4104" width="3.5" style="45" customWidth="1"/>
    <col min="4105" max="4105" width="22.125" style="45" customWidth="1"/>
    <col min="4106" max="4106" width="9.75" style="45" customWidth="1"/>
    <col min="4107" max="4107" width="7.375" style="45" customWidth="1"/>
    <col min="4108" max="4108" width="8.875" style="45"/>
    <col min="4109" max="4109" width="9.25" style="45" customWidth="1"/>
    <col min="4110" max="4110" width="3.5" style="45" customWidth="1"/>
    <col min="4111" max="4112" width="12.625" style="45" customWidth="1"/>
    <col min="4113" max="4113" width="8.875" style="45"/>
    <col min="4114" max="4114" width="7.75" style="45" customWidth="1"/>
    <col min="4115" max="4115" width="13.125" style="45" customWidth="1"/>
    <col min="4116" max="4116" width="6.125" style="45" customWidth="1"/>
    <col min="4117" max="4117" width="9.75" style="45" customWidth="1"/>
    <col min="4118" max="4118" width="1.375" style="45" customWidth="1"/>
    <col min="4119" max="4358" width="8.875" style="45"/>
    <col min="4359" max="4359" width="1.375" style="45" customWidth="1"/>
    <col min="4360" max="4360" width="3.5" style="45" customWidth="1"/>
    <col min="4361" max="4361" width="22.125" style="45" customWidth="1"/>
    <col min="4362" max="4362" width="9.75" style="45" customWidth="1"/>
    <col min="4363" max="4363" width="7.375" style="45" customWidth="1"/>
    <col min="4364" max="4364" width="8.875" style="45"/>
    <col min="4365" max="4365" width="9.25" style="45" customWidth="1"/>
    <col min="4366" max="4366" width="3.5" style="45" customWidth="1"/>
    <col min="4367" max="4368" width="12.625" style="45" customWidth="1"/>
    <col min="4369" max="4369" width="8.875" style="45"/>
    <col min="4370" max="4370" width="7.75" style="45" customWidth="1"/>
    <col min="4371" max="4371" width="13.125" style="45" customWidth="1"/>
    <col min="4372" max="4372" width="6.125" style="45" customWidth="1"/>
    <col min="4373" max="4373" width="9.75" style="45" customWidth="1"/>
    <col min="4374" max="4374" width="1.375" style="45" customWidth="1"/>
    <col min="4375" max="4614" width="8.875" style="45"/>
    <col min="4615" max="4615" width="1.375" style="45" customWidth="1"/>
    <col min="4616" max="4616" width="3.5" style="45" customWidth="1"/>
    <col min="4617" max="4617" width="22.125" style="45" customWidth="1"/>
    <col min="4618" max="4618" width="9.75" style="45" customWidth="1"/>
    <col min="4619" max="4619" width="7.375" style="45" customWidth="1"/>
    <col min="4620" max="4620" width="8.875" style="45"/>
    <col min="4621" max="4621" width="9.25" style="45" customWidth="1"/>
    <col min="4622" max="4622" width="3.5" style="45" customWidth="1"/>
    <col min="4623" max="4624" width="12.625" style="45" customWidth="1"/>
    <col min="4625" max="4625" width="8.875" style="45"/>
    <col min="4626" max="4626" width="7.75" style="45" customWidth="1"/>
    <col min="4627" max="4627" width="13.125" style="45" customWidth="1"/>
    <col min="4628" max="4628" width="6.125" style="45" customWidth="1"/>
    <col min="4629" max="4629" width="9.75" style="45" customWidth="1"/>
    <col min="4630" max="4630" width="1.375" style="45" customWidth="1"/>
    <col min="4631" max="4870" width="8.875" style="45"/>
    <col min="4871" max="4871" width="1.375" style="45" customWidth="1"/>
    <col min="4872" max="4872" width="3.5" style="45" customWidth="1"/>
    <col min="4873" max="4873" width="22.125" style="45" customWidth="1"/>
    <col min="4874" max="4874" width="9.75" style="45" customWidth="1"/>
    <col min="4875" max="4875" width="7.375" style="45" customWidth="1"/>
    <col min="4876" max="4876" width="8.875" style="45"/>
    <col min="4877" max="4877" width="9.25" style="45" customWidth="1"/>
    <col min="4878" max="4878" width="3.5" style="45" customWidth="1"/>
    <col min="4879" max="4880" width="12.625" style="45" customWidth="1"/>
    <col min="4881" max="4881" width="8.875" style="45"/>
    <col min="4882" max="4882" width="7.75" style="45" customWidth="1"/>
    <col min="4883" max="4883" width="13.125" style="45" customWidth="1"/>
    <col min="4884" max="4884" width="6.125" style="45" customWidth="1"/>
    <col min="4885" max="4885" width="9.75" style="45" customWidth="1"/>
    <col min="4886" max="4886" width="1.375" style="45" customWidth="1"/>
    <col min="4887" max="5126" width="8.875" style="45"/>
    <col min="5127" max="5127" width="1.375" style="45" customWidth="1"/>
    <col min="5128" max="5128" width="3.5" style="45" customWidth="1"/>
    <col min="5129" max="5129" width="22.125" style="45" customWidth="1"/>
    <col min="5130" max="5130" width="9.75" style="45" customWidth="1"/>
    <col min="5131" max="5131" width="7.375" style="45" customWidth="1"/>
    <col min="5132" max="5132" width="8.875" style="45"/>
    <col min="5133" max="5133" width="9.25" style="45" customWidth="1"/>
    <col min="5134" max="5134" width="3.5" style="45" customWidth="1"/>
    <col min="5135" max="5136" width="12.625" style="45" customWidth="1"/>
    <col min="5137" max="5137" width="8.875" style="45"/>
    <col min="5138" max="5138" width="7.75" style="45" customWidth="1"/>
    <col min="5139" max="5139" width="13.125" style="45" customWidth="1"/>
    <col min="5140" max="5140" width="6.125" style="45" customWidth="1"/>
    <col min="5141" max="5141" width="9.75" style="45" customWidth="1"/>
    <col min="5142" max="5142" width="1.375" style="45" customWidth="1"/>
    <col min="5143" max="5382" width="8.875" style="45"/>
    <col min="5383" max="5383" width="1.375" style="45" customWidth="1"/>
    <col min="5384" max="5384" width="3.5" style="45" customWidth="1"/>
    <col min="5385" max="5385" width="22.125" style="45" customWidth="1"/>
    <col min="5386" max="5386" width="9.75" style="45" customWidth="1"/>
    <col min="5387" max="5387" width="7.375" style="45" customWidth="1"/>
    <col min="5388" max="5388" width="8.875" style="45"/>
    <col min="5389" max="5389" width="9.25" style="45" customWidth="1"/>
    <col min="5390" max="5390" width="3.5" style="45" customWidth="1"/>
    <col min="5391" max="5392" width="12.625" style="45" customWidth="1"/>
    <col min="5393" max="5393" width="8.875" style="45"/>
    <col min="5394" max="5394" width="7.75" style="45" customWidth="1"/>
    <col min="5395" max="5395" width="13.125" style="45" customWidth="1"/>
    <col min="5396" max="5396" width="6.125" style="45" customWidth="1"/>
    <col min="5397" max="5397" width="9.75" style="45" customWidth="1"/>
    <col min="5398" max="5398" width="1.375" style="45" customWidth="1"/>
    <col min="5399" max="5638" width="8.875" style="45"/>
    <col min="5639" max="5639" width="1.375" style="45" customWidth="1"/>
    <col min="5640" max="5640" width="3.5" style="45" customWidth="1"/>
    <col min="5641" max="5641" width="22.125" style="45" customWidth="1"/>
    <col min="5642" max="5642" width="9.75" style="45" customWidth="1"/>
    <col min="5643" max="5643" width="7.375" style="45" customWidth="1"/>
    <col min="5644" max="5644" width="8.875" style="45"/>
    <col min="5645" max="5645" width="9.25" style="45" customWidth="1"/>
    <col min="5646" max="5646" width="3.5" style="45" customWidth="1"/>
    <col min="5647" max="5648" width="12.625" style="45" customWidth="1"/>
    <col min="5649" max="5649" width="8.875" style="45"/>
    <col min="5650" max="5650" width="7.75" style="45" customWidth="1"/>
    <col min="5651" max="5651" width="13.125" style="45" customWidth="1"/>
    <col min="5652" max="5652" width="6.125" style="45" customWidth="1"/>
    <col min="5653" max="5653" width="9.75" style="45" customWidth="1"/>
    <col min="5654" max="5654" width="1.375" style="45" customWidth="1"/>
    <col min="5655" max="5894" width="8.875" style="45"/>
    <col min="5895" max="5895" width="1.375" style="45" customWidth="1"/>
    <col min="5896" max="5896" width="3.5" style="45" customWidth="1"/>
    <col min="5897" max="5897" width="22.125" style="45" customWidth="1"/>
    <col min="5898" max="5898" width="9.75" style="45" customWidth="1"/>
    <col min="5899" max="5899" width="7.375" style="45" customWidth="1"/>
    <col min="5900" max="5900" width="8.875" style="45"/>
    <col min="5901" max="5901" width="9.25" style="45" customWidth="1"/>
    <col min="5902" max="5902" width="3.5" style="45" customWidth="1"/>
    <col min="5903" max="5904" width="12.625" style="45" customWidth="1"/>
    <col min="5905" max="5905" width="8.875" style="45"/>
    <col min="5906" max="5906" width="7.75" style="45" customWidth="1"/>
    <col min="5907" max="5907" width="13.125" style="45" customWidth="1"/>
    <col min="5908" max="5908" width="6.125" style="45" customWidth="1"/>
    <col min="5909" max="5909" width="9.75" style="45" customWidth="1"/>
    <col min="5910" max="5910" width="1.375" style="45" customWidth="1"/>
    <col min="5911" max="6150" width="8.875" style="45"/>
    <col min="6151" max="6151" width="1.375" style="45" customWidth="1"/>
    <col min="6152" max="6152" width="3.5" style="45" customWidth="1"/>
    <col min="6153" max="6153" width="22.125" style="45" customWidth="1"/>
    <col min="6154" max="6154" width="9.75" style="45" customWidth="1"/>
    <col min="6155" max="6155" width="7.375" style="45" customWidth="1"/>
    <col min="6156" max="6156" width="8.875" style="45"/>
    <col min="6157" max="6157" width="9.25" style="45" customWidth="1"/>
    <col min="6158" max="6158" width="3.5" style="45" customWidth="1"/>
    <col min="6159" max="6160" width="12.625" style="45" customWidth="1"/>
    <col min="6161" max="6161" width="8.875" style="45"/>
    <col min="6162" max="6162" width="7.75" style="45" customWidth="1"/>
    <col min="6163" max="6163" width="13.125" style="45" customWidth="1"/>
    <col min="6164" max="6164" width="6.125" style="45" customWidth="1"/>
    <col min="6165" max="6165" width="9.75" style="45" customWidth="1"/>
    <col min="6166" max="6166" width="1.375" style="45" customWidth="1"/>
    <col min="6167" max="6406" width="8.875" style="45"/>
    <col min="6407" max="6407" width="1.375" style="45" customWidth="1"/>
    <col min="6408" max="6408" width="3.5" style="45" customWidth="1"/>
    <col min="6409" max="6409" width="22.125" style="45" customWidth="1"/>
    <col min="6410" max="6410" width="9.75" style="45" customWidth="1"/>
    <col min="6411" max="6411" width="7.375" style="45" customWidth="1"/>
    <col min="6412" max="6412" width="8.875" style="45"/>
    <col min="6413" max="6413" width="9.25" style="45" customWidth="1"/>
    <col min="6414" max="6414" width="3.5" style="45" customWidth="1"/>
    <col min="6415" max="6416" width="12.625" style="45" customWidth="1"/>
    <col min="6417" max="6417" width="8.875" style="45"/>
    <col min="6418" max="6418" width="7.75" style="45" customWidth="1"/>
    <col min="6419" max="6419" width="13.125" style="45" customWidth="1"/>
    <col min="6420" max="6420" width="6.125" style="45" customWidth="1"/>
    <col min="6421" max="6421" width="9.75" style="45" customWidth="1"/>
    <col min="6422" max="6422" width="1.375" style="45" customWidth="1"/>
    <col min="6423" max="6662" width="8.875" style="45"/>
    <col min="6663" max="6663" width="1.375" style="45" customWidth="1"/>
    <col min="6664" max="6664" width="3.5" style="45" customWidth="1"/>
    <col min="6665" max="6665" width="22.125" style="45" customWidth="1"/>
    <col min="6666" max="6666" width="9.75" style="45" customWidth="1"/>
    <col min="6667" max="6667" width="7.375" style="45" customWidth="1"/>
    <col min="6668" max="6668" width="8.875" style="45"/>
    <col min="6669" max="6669" width="9.25" style="45" customWidth="1"/>
    <col min="6670" max="6670" width="3.5" style="45" customWidth="1"/>
    <col min="6671" max="6672" width="12.625" style="45" customWidth="1"/>
    <col min="6673" max="6673" width="8.875" style="45"/>
    <col min="6674" max="6674" width="7.75" style="45" customWidth="1"/>
    <col min="6675" max="6675" width="13.125" style="45" customWidth="1"/>
    <col min="6676" max="6676" width="6.125" style="45" customWidth="1"/>
    <col min="6677" max="6677" width="9.75" style="45" customWidth="1"/>
    <col min="6678" max="6678" width="1.375" style="45" customWidth="1"/>
    <col min="6679" max="6918" width="8.875" style="45"/>
    <col min="6919" max="6919" width="1.375" style="45" customWidth="1"/>
    <col min="6920" max="6920" width="3.5" style="45" customWidth="1"/>
    <col min="6921" max="6921" width="22.125" style="45" customWidth="1"/>
    <col min="6922" max="6922" width="9.75" style="45" customWidth="1"/>
    <col min="6923" max="6923" width="7.375" style="45" customWidth="1"/>
    <col min="6924" max="6924" width="8.875" style="45"/>
    <col min="6925" max="6925" width="9.25" style="45" customWidth="1"/>
    <col min="6926" max="6926" width="3.5" style="45" customWidth="1"/>
    <col min="6927" max="6928" width="12.625" style="45" customWidth="1"/>
    <col min="6929" max="6929" width="8.875" style="45"/>
    <col min="6930" max="6930" width="7.75" style="45" customWidth="1"/>
    <col min="6931" max="6931" width="13.125" style="45" customWidth="1"/>
    <col min="6932" max="6932" width="6.125" style="45" customWidth="1"/>
    <col min="6933" max="6933" width="9.75" style="45" customWidth="1"/>
    <col min="6934" max="6934" width="1.375" style="45" customWidth="1"/>
    <col min="6935" max="7174" width="8.875" style="45"/>
    <col min="7175" max="7175" width="1.375" style="45" customWidth="1"/>
    <col min="7176" max="7176" width="3.5" style="45" customWidth="1"/>
    <col min="7177" max="7177" width="22.125" style="45" customWidth="1"/>
    <col min="7178" max="7178" width="9.75" style="45" customWidth="1"/>
    <col min="7179" max="7179" width="7.375" style="45" customWidth="1"/>
    <col min="7180" max="7180" width="8.875" style="45"/>
    <col min="7181" max="7181" width="9.25" style="45" customWidth="1"/>
    <col min="7182" max="7182" width="3.5" style="45" customWidth="1"/>
    <col min="7183" max="7184" width="12.625" style="45" customWidth="1"/>
    <col min="7185" max="7185" width="8.875" style="45"/>
    <col min="7186" max="7186" width="7.75" style="45" customWidth="1"/>
    <col min="7187" max="7187" width="13.125" style="45" customWidth="1"/>
    <col min="7188" max="7188" width="6.125" style="45" customWidth="1"/>
    <col min="7189" max="7189" width="9.75" style="45" customWidth="1"/>
    <col min="7190" max="7190" width="1.375" style="45" customWidth="1"/>
    <col min="7191" max="7430" width="8.875" style="45"/>
    <col min="7431" max="7431" width="1.375" style="45" customWidth="1"/>
    <col min="7432" max="7432" width="3.5" style="45" customWidth="1"/>
    <col min="7433" max="7433" width="22.125" style="45" customWidth="1"/>
    <col min="7434" max="7434" width="9.75" style="45" customWidth="1"/>
    <col min="7435" max="7435" width="7.375" style="45" customWidth="1"/>
    <col min="7436" max="7436" width="8.875" style="45"/>
    <col min="7437" max="7437" width="9.25" style="45" customWidth="1"/>
    <col min="7438" max="7438" width="3.5" style="45" customWidth="1"/>
    <col min="7439" max="7440" width="12.625" style="45" customWidth="1"/>
    <col min="7441" max="7441" width="8.875" style="45"/>
    <col min="7442" max="7442" width="7.75" style="45" customWidth="1"/>
    <col min="7443" max="7443" width="13.125" style="45" customWidth="1"/>
    <col min="7444" max="7444" width="6.125" style="45" customWidth="1"/>
    <col min="7445" max="7445" width="9.75" style="45" customWidth="1"/>
    <col min="7446" max="7446" width="1.375" style="45" customWidth="1"/>
    <col min="7447" max="7686" width="8.875" style="45"/>
    <col min="7687" max="7687" width="1.375" style="45" customWidth="1"/>
    <col min="7688" max="7688" width="3.5" style="45" customWidth="1"/>
    <col min="7689" max="7689" width="22.125" style="45" customWidth="1"/>
    <col min="7690" max="7690" width="9.75" style="45" customWidth="1"/>
    <col min="7691" max="7691" width="7.375" style="45" customWidth="1"/>
    <col min="7692" max="7692" width="8.875" style="45"/>
    <col min="7693" max="7693" width="9.25" style="45" customWidth="1"/>
    <col min="7694" max="7694" width="3.5" style="45" customWidth="1"/>
    <col min="7695" max="7696" width="12.625" style="45" customWidth="1"/>
    <col min="7697" max="7697" width="8.875" style="45"/>
    <col min="7698" max="7698" width="7.75" style="45" customWidth="1"/>
    <col min="7699" max="7699" width="13.125" style="45" customWidth="1"/>
    <col min="7700" max="7700" width="6.125" style="45" customWidth="1"/>
    <col min="7701" max="7701" width="9.75" style="45" customWidth="1"/>
    <col min="7702" max="7702" width="1.375" style="45" customWidth="1"/>
    <col min="7703" max="7942" width="8.875" style="45"/>
    <col min="7943" max="7943" width="1.375" style="45" customWidth="1"/>
    <col min="7944" max="7944" width="3.5" style="45" customWidth="1"/>
    <col min="7945" max="7945" width="22.125" style="45" customWidth="1"/>
    <col min="7946" max="7946" width="9.75" style="45" customWidth="1"/>
    <col min="7947" max="7947" width="7.375" style="45" customWidth="1"/>
    <col min="7948" max="7948" width="8.875" style="45"/>
    <col min="7949" max="7949" width="9.25" style="45" customWidth="1"/>
    <col min="7950" max="7950" width="3.5" style="45" customWidth="1"/>
    <col min="7951" max="7952" width="12.625" style="45" customWidth="1"/>
    <col min="7953" max="7953" width="8.875" style="45"/>
    <col min="7954" max="7954" width="7.75" style="45" customWidth="1"/>
    <col min="7955" max="7955" width="13.125" style="45" customWidth="1"/>
    <col min="7956" max="7956" width="6.125" style="45" customWidth="1"/>
    <col min="7957" max="7957" width="9.75" style="45" customWidth="1"/>
    <col min="7958" max="7958" width="1.375" style="45" customWidth="1"/>
    <col min="7959" max="8198" width="8.875" style="45"/>
    <col min="8199" max="8199" width="1.375" style="45" customWidth="1"/>
    <col min="8200" max="8200" width="3.5" style="45" customWidth="1"/>
    <col min="8201" max="8201" width="22.125" style="45" customWidth="1"/>
    <col min="8202" max="8202" width="9.75" style="45" customWidth="1"/>
    <col min="8203" max="8203" width="7.375" style="45" customWidth="1"/>
    <col min="8204" max="8204" width="8.875" style="45"/>
    <col min="8205" max="8205" width="9.25" style="45" customWidth="1"/>
    <col min="8206" max="8206" width="3.5" style="45" customWidth="1"/>
    <col min="8207" max="8208" width="12.625" style="45" customWidth="1"/>
    <col min="8209" max="8209" width="8.875" style="45"/>
    <col min="8210" max="8210" width="7.75" style="45" customWidth="1"/>
    <col min="8211" max="8211" width="13.125" style="45" customWidth="1"/>
    <col min="8212" max="8212" width="6.125" style="45" customWidth="1"/>
    <col min="8213" max="8213" width="9.75" style="45" customWidth="1"/>
    <col min="8214" max="8214" width="1.375" style="45" customWidth="1"/>
    <col min="8215" max="8454" width="8.875" style="45"/>
    <col min="8455" max="8455" width="1.375" style="45" customWidth="1"/>
    <col min="8456" max="8456" width="3.5" style="45" customWidth="1"/>
    <col min="8457" max="8457" width="22.125" style="45" customWidth="1"/>
    <col min="8458" max="8458" width="9.75" style="45" customWidth="1"/>
    <col min="8459" max="8459" width="7.375" style="45" customWidth="1"/>
    <col min="8460" max="8460" width="8.875" style="45"/>
    <col min="8461" max="8461" width="9.25" style="45" customWidth="1"/>
    <col min="8462" max="8462" width="3.5" style="45" customWidth="1"/>
    <col min="8463" max="8464" width="12.625" style="45" customWidth="1"/>
    <col min="8465" max="8465" width="8.875" style="45"/>
    <col min="8466" max="8466" width="7.75" style="45" customWidth="1"/>
    <col min="8467" max="8467" width="13.125" style="45" customWidth="1"/>
    <col min="8468" max="8468" width="6.125" style="45" customWidth="1"/>
    <col min="8469" max="8469" width="9.75" style="45" customWidth="1"/>
    <col min="8470" max="8470" width="1.375" style="45" customWidth="1"/>
    <col min="8471" max="8710" width="8.875" style="45"/>
    <col min="8711" max="8711" width="1.375" style="45" customWidth="1"/>
    <col min="8712" max="8712" width="3.5" style="45" customWidth="1"/>
    <col min="8713" max="8713" width="22.125" style="45" customWidth="1"/>
    <col min="8714" max="8714" width="9.75" style="45" customWidth="1"/>
    <col min="8715" max="8715" width="7.375" style="45" customWidth="1"/>
    <col min="8716" max="8716" width="8.875" style="45"/>
    <col min="8717" max="8717" width="9.25" style="45" customWidth="1"/>
    <col min="8718" max="8718" width="3.5" style="45" customWidth="1"/>
    <col min="8719" max="8720" width="12.625" style="45" customWidth="1"/>
    <col min="8721" max="8721" width="8.875" style="45"/>
    <col min="8722" max="8722" width="7.75" style="45" customWidth="1"/>
    <col min="8723" max="8723" width="13.125" style="45" customWidth="1"/>
    <col min="8724" max="8724" width="6.125" style="45" customWidth="1"/>
    <col min="8725" max="8725" width="9.75" style="45" customWidth="1"/>
    <col min="8726" max="8726" width="1.375" style="45" customWidth="1"/>
    <col min="8727" max="8966" width="8.875" style="45"/>
    <col min="8967" max="8967" width="1.375" style="45" customWidth="1"/>
    <col min="8968" max="8968" width="3.5" style="45" customWidth="1"/>
    <col min="8969" max="8969" width="22.125" style="45" customWidth="1"/>
    <col min="8970" max="8970" width="9.75" style="45" customWidth="1"/>
    <col min="8971" max="8971" width="7.375" style="45" customWidth="1"/>
    <col min="8972" max="8972" width="8.875" style="45"/>
    <col min="8973" max="8973" width="9.25" style="45" customWidth="1"/>
    <col min="8974" max="8974" width="3.5" style="45" customWidth="1"/>
    <col min="8975" max="8976" width="12.625" style="45" customWidth="1"/>
    <col min="8977" max="8977" width="8.875" style="45"/>
    <col min="8978" max="8978" width="7.75" style="45" customWidth="1"/>
    <col min="8979" max="8979" width="13.125" style="45" customWidth="1"/>
    <col min="8980" max="8980" width="6.125" style="45" customWidth="1"/>
    <col min="8981" max="8981" width="9.75" style="45" customWidth="1"/>
    <col min="8982" max="8982" width="1.375" style="45" customWidth="1"/>
    <col min="8983" max="9222" width="8.875" style="45"/>
    <col min="9223" max="9223" width="1.375" style="45" customWidth="1"/>
    <col min="9224" max="9224" width="3.5" style="45" customWidth="1"/>
    <col min="9225" max="9225" width="22.125" style="45" customWidth="1"/>
    <col min="9226" max="9226" width="9.75" style="45" customWidth="1"/>
    <col min="9227" max="9227" width="7.375" style="45" customWidth="1"/>
    <col min="9228" max="9228" width="8.875" style="45"/>
    <col min="9229" max="9229" width="9.25" style="45" customWidth="1"/>
    <col min="9230" max="9230" width="3.5" style="45" customWidth="1"/>
    <col min="9231" max="9232" width="12.625" style="45" customWidth="1"/>
    <col min="9233" max="9233" width="8.875" style="45"/>
    <col min="9234" max="9234" width="7.75" style="45" customWidth="1"/>
    <col min="9235" max="9235" width="13.125" style="45" customWidth="1"/>
    <col min="9236" max="9236" width="6.125" style="45" customWidth="1"/>
    <col min="9237" max="9237" width="9.75" style="45" customWidth="1"/>
    <col min="9238" max="9238" width="1.375" style="45" customWidth="1"/>
    <col min="9239" max="9478" width="8.875" style="45"/>
    <col min="9479" max="9479" width="1.375" style="45" customWidth="1"/>
    <col min="9480" max="9480" width="3.5" style="45" customWidth="1"/>
    <col min="9481" max="9481" width="22.125" style="45" customWidth="1"/>
    <col min="9482" max="9482" width="9.75" style="45" customWidth="1"/>
    <col min="9483" max="9483" width="7.375" style="45" customWidth="1"/>
    <col min="9484" max="9484" width="8.875" style="45"/>
    <col min="9485" max="9485" width="9.25" style="45" customWidth="1"/>
    <col min="9486" max="9486" width="3.5" style="45" customWidth="1"/>
    <col min="9487" max="9488" width="12.625" style="45" customWidth="1"/>
    <col min="9489" max="9489" width="8.875" style="45"/>
    <col min="9490" max="9490" width="7.75" style="45" customWidth="1"/>
    <col min="9491" max="9491" width="13.125" style="45" customWidth="1"/>
    <col min="9492" max="9492" width="6.125" style="45" customWidth="1"/>
    <col min="9493" max="9493" width="9.75" style="45" customWidth="1"/>
    <col min="9494" max="9494" width="1.375" style="45" customWidth="1"/>
    <col min="9495" max="9734" width="8.875" style="45"/>
    <col min="9735" max="9735" width="1.375" style="45" customWidth="1"/>
    <col min="9736" max="9736" width="3.5" style="45" customWidth="1"/>
    <col min="9737" max="9737" width="22.125" style="45" customWidth="1"/>
    <col min="9738" max="9738" width="9.75" style="45" customWidth="1"/>
    <col min="9739" max="9739" width="7.375" style="45" customWidth="1"/>
    <col min="9740" max="9740" width="8.875" style="45"/>
    <col min="9741" max="9741" width="9.25" style="45" customWidth="1"/>
    <col min="9742" max="9742" width="3.5" style="45" customWidth="1"/>
    <col min="9743" max="9744" width="12.625" style="45" customWidth="1"/>
    <col min="9745" max="9745" width="8.875" style="45"/>
    <col min="9746" max="9746" width="7.75" style="45" customWidth="1"/>
    <col min="9747" max="9747" width="13.125" style="45" customWidth="1"/>
    <col min="9748" max="9748" width="6.125" style="45" customWidth="1"/>
    <col min="9749" max="9749" width="9.75" style="45" customWidth="1"/>
    <col min="9750" max="9750" width="1.375" style="45" customWidth="1"/>
    <col min="9751" max="9990" width="8.875" style="45"/>
    <col min="9991" max="9991" width="1.375" style="45" customWidth="1"/>
    <col min="9992" max="9992" width="3.5" style="45" customWidth="1"/>
    <col min="9993" max="9993" width="22.125" style="45" customWidth="1"/>
    <col min="9994" max="9994" width="9.75" style="45" customWidth="1"/>
    <col min="9995" max="9995" width="7.375" style="45" customWidth="1"/>
    <col min="9996" max="9996" width="8.875" style="45"/>
    <col min="9997" max="9997" width="9.25" style="45" customWidth="1"/>
    <col min="9998" max="9998" width="3.5" style="45" customWidth="1"/>
    <col min="9999" max="10000" width="12.625" style="45" customWidth="1"/>
    <col min="10001" max="10001" width="8.875" style="45"/>
    <col min="10002" max="10002" width="7.75" style="45" customWidth="1"/>
    <col min="10003" max="10003" width="13.125" style="45" customWidth="1"/>
    <col min="10004" max="10004" width="6.125" style="45" customWidth="1"/>
    <col min="10005" max="10005" width="9.75" style="45" customWidth="1"/>
    <col min="10006" max="10006" width="1.375" style="45" customWidth="1"/>
    <col min="10007" max="10246" width="8.875" style="45"/>
    <col min="10247" max="10247" width="1.375" style="45" customWidth="1"/>
    <col min="10248" max="10248" width="3.5" style="45" customWidth="1"/>
    <col min="10249" max="10249" width="22.125" style="45" customWidth="1"/>
    <col min="10250" max="10250" width="9.75" style="45" customWidth="1"/>
    <col min="10251" max="10251" width="7.375" style="45" customWidth="1"/>
    <col min="10252" max="10252" width="8.875" style="45"/>
    <col min="10253" max="10253" width="9.25" style="45" customWidth="1"/>
    <col min="10254" max="10254" width="3.5" style="45" customWidth="1"/>
    <col min="10255" max="10256" width="12.625" style="45" customWidth="1"/>
    <col min="10257" max="10257" width="8.875" style="45"/>
    <col min="10258" max="10258" width="7.75" style="45" customWidth="1"/>
    <col min="10259" max="10259" width="13.125" style="45" customWidth="1"/>
    <col min="10260" max="10260" width="6.125" style="45" customWidth="1"/>
    <col min="10261" max="10261" width="9.75" style="45" customWidth="1"/>
    <col min="10262" max="10262" width="1.375" style="45" customWidth="1"/>
    <col min="10263" max="10502" width="8.875" style="45"/>
    <col min="10503" max="10503" width="1.375" style="45" customWidth="1"/>
    <col min="10504" max="10504" width="3.5" style="45" customWidth="1"/>
    <col min="10505" max="10505" width="22.125" style="45" customWidth="1"/>
    <col min="10506" max="10506" width="9.75" style="45" customWidth="1"/>
    <col min="10507" max="10507" width="7.375" style="45" customWidth="1"/>
    <col min="10508" max="10508" width="8.875" style="45"/>
    <col min="10509" max="10509" width="9.25" style="45" customWidth="1"/>
    <col min="10510" max="10510" width="3.5" style="45" customWidth="1"/>
    <col min="10511" max="10512" width="12.625" style="45" customWidth="1"/>
    <col min="10513" max="10513" width="8.875" style="45"/>
    <col min="10514" max="10514" width="7.75" style="45" customWidth="1"/>
    <col min="10515" max="10515" width="13.125" style="45" customWidth="1"/>
    <col min="10516" max="10516" width="6.125" style="45" customWidth="1"/>
    <col min="10517" max="10517" width="9.75" style="45" customWidth="1"/>
    <col min="10518" max="10518" width="1.375" style="45" customWidth="1"/>
    <col min="10519" max="10758" width="8.875" style="45"/>
    <col min="10759" max="10759" width="1.375" style="45" customWidth="1"/>
    <col min="10760" max="10760" width="3.5" style="45" customWidth="1"/>
    <col min="10761" max="10761" width="22.125" style="45" customWidth="1"/>
    <col min="10762" max="10762" width="9.75" style="45" customWidth="1"/>
    <col min="10763" max="10763" width="7.375" style="45" customWidth="1"/>
    <col min="10764" max="10764" width="8.875" style="45"/>
    <col min="10765" max="10765" width="9.25" style="45" customWidth="1"/>
    <col min="10766" max="10766" width="3.5" style="45" customWidth="1"/>
    <col min="10767" max="10768" width="12.625" style="45" customWidth="1"/>
    <col min="10769" max="10769" width="8.875" style="45"/>
    <col min="10770" max="10770" width="7.75" style="45" customWidth="1"/>
    <col min="10771" max="10771" width="13.125" style="45" customWidth="1"/>
    <col min="10772" max="10772" width="6.125" style="45" customWidth="1"/>
    <col min="10773" max="10773" width="9.75" style="45" customWidth="1"/>
    <col min="10774" max="10774" width="1.375" style="45" customWidth="1"/>
    <col min="10775" max="11014" width="8.875" style="45"/>
    <col min="11015" max="11015" width="1.375" style="45" customWidth="1"/>
    <col min="11016" max="11016" width="3.5" style="45" customWidth="1"/>
    <col min="11017" max="11017" width="22.125" style="45" customWidth="1"/>
    <col min="11018" max="11018" width="9.75" style="45" customWidth="1"/>
    <col min="11019" max="11019" width="7.375" style="45" customWidth="1"/>
    <col min="11020" max="11020" width="8.875" style="45"/>
    <col min="11021" max="11021" width="9.25" style="45" customWidth="1"/>
    <col min="11022" max="11022" width="3.5" style="45" customWidth="1"/>
    <col min="11023" max="11024" width="12.625" style="45" customWidth="1"/>
    <col min="11025" max="11025" width="8.875" style="45"/>
    <col min="11026" max="11026" width="7.75" style="45" customWidth="1"/>
    <col min="11027" max="11027" width="13.125" style="45" customWidth="1"/>
    <col min="11028" max="11028" width="6.125" style="45" customWidth="1"/>
    <col min="11029" max="11029" width="9.75" style="45" customWidth="1"/>
    <col min="11030" max="11030" width="1.375" style="45" customWidth="1"/>
    <col min="11031" max="11270" width="8.875" style="45"/>
    <col min="11271" max="11271" width="1.375" style="45" customWidth="1"/>
    <col min="11272" max="11272" width="3.5" style="45" customWidth="1"/>
    <col min="11273" max="11273" width="22.125" style="45" customWidth="1"/>
    <col min="11274" max="11274" width="9.75" style="45" customWidth="1"/>
    <col min="11275" max="11275" width="7.375" style="45" customWidth="1"/>
    <col min="11276" max="11276" width="8.875" style="45"/>
    <col min="11277" max="11277" width="9.25" style="45" customWidth="1"/>
    <col min="11278" max="11278" width="3.5" style="45" customWidth="1"/>
    <col min="11279" max="11280" width="12.625" style="45" customWidth="1"/>
    <col min="11281" max="11281" width="8.875" style="45"/>
    <col min="11282" max="11282" width="7.75" style="45" customWidth="1"/>
    <col min="11283" max="11283" width="13.125" style="45" customWidth="1"/>
    <col min="11284" max="11284" width="6.125" style="45" customWidth="1"/>
    <col min="11285" max="11285" width="9.75" style="45" customWidth="1"/>
    <col min="11286" max="11286" width="1.375" style="45" customWidth="1"/>
    <col min="11287" max="11526" width="8.875" style="45"/>
    <col min="11527" max="11527" width="1.375" style="45" customWidth="1"/>
    <col min="11528" max="11528" width="3.5" style="45" customWidth="1"/>
    <col min="11529" max="11529" width="22.125" style="45" customWidth="1"/>
    <col min="11530" max="11530" width="9.75" style="45" customWidth="1"/>
    <col min="11531" max="11531" width="7.375" style="45" customWidth="1"/>
    <col min="11532" max="11532" width="8.875" style="45"/>
    <col min="11533" max="11533" width="9.25" style="45" customWidth="1"/>
    <col min="11534" max="11534" width="3.5" style="45" customWidth="1"/>
    <col min="11535" max="11536" width="12.625" style="45" customWidth="1"/>
    <col min="11537" max="11537" width="8.875" style="45"/>
    <col min="11538" max="11538" width="7.75" style="45" customWidth="1"/>
    <col min="11539" max="11539" width="13.125" style="45" customWidth="1"/>
    <col min="11540" max="11540" width="6.125" style="45" customWidth="1"/>
    <col min="11541" max="11541" width="9.75" style="45" customWidth="1"/>
    <col min="11542" max="11542" width="1.375" style="45" customWidth="1"/>
    <col min="11543" max="11782" width="8.875" style="45"/>
    <col min="11783" max="11783" width="1.375" style="45" customWidth="1"/>
    <col min="11784" max="11784" width="3.5" style="45" customWidth="1"/>
    <col min="11785" max="11785" width="22.125" style="45" customWidth="1"/>
    <col min="11786" max="11786" width="9.75" style="45" customWidth="1"/>
    <col min="11787" max="11787" width="7.375" style="45" customWidth="1"/>
    <col min="11788" max="11788" width="8.875" style="45"/>
    <col min="11789" max="11789" width="9.25" style="45" customWidth="1"/>
    <col min="11790" max="11790" width="3.5" style="45" customWidth="1"/>
    <col min="11791" max="11792" width="12.625" style="45" customWidth="1"/>
    <col min="11793" max="11793" width="8.875" style="45"/>
    <col min="11794" max="11794" width="7.75" style="45" customWidth="1"/>
    <col min="11795" max="11795" width="13.125" style="45" customWidth="1"/>
    <col min="11796" max="11796" width="6.125" style="45" customWidth="1"/>
    <col min="11797" max="11797" width="9.75" style="45" customWidth="1"/>
    <col min="11798" max="11798" width="1.375" style="45" customWidth="1"/>
    <col min="11799" max="12038" width="8.875" style="45"/>
    <col min="12039" max="12039" width="1.375" style="45" customWidth="1"/>
    <col min="12040" max="12040" width="3.5" style="45" customWidth="1"/>
    <col min="12041" max="12041" width="22.125" style="45" customWidth="1"/>
    <col min="12042" max="12042" width="9.75" style="45" customWidth="1"/>
    <col min="12043" max="12043" width="7.375" style="45" customWidth="1"/>
    <col min="12044" max="12044" width="8.875" style="45"/>
    <col min="12045" max="12045" width="9.25" style="45" customWidth="1"/>
    <col min="12046" max="12046" width="3.5" style="45" customWidth="1"/>
    <col min="12047" max="12048" width="12.625" style="45" customWidth="1"/>
    <col min="12049" max="12049" width="8.875" style="45"/>
    <col min="12050" max="12050" width="7.75" style="45" customWidth="1"/>
    <col min="12051" max="12051" width="13.125" style="45" customWidth="1"/>
    <col min="12052" max="12052" width="6.125" style="45" customWidth="1"/>
    <col min="12053" max="12053" width="9.75" style="45" customWidth="1"/>
    <col min="12054" max="12054" width="1.375" style="45" customWidth="1"/>
    <col min="12055" max="12294" width="8.875" style="45"/>
    <col min="12295" max="12295" width="1.375" style="45" customWidth="1"/>
    <col min="12296" max="12296" width="3.5" style="45" customWidth="1"/>
    <col min="12297" max="12297" width="22.125" style="45" customWidth="1"/>
    <col min="12298" max="12298" width="9.75" style="45" customWidth="1"/>
    <col min="12299" max="12299" width="7.375" style="45" customWidth="1"/>
    <col min="12300" max="12300" width="8.875" style="45"/>
    <col min="12301" max="12301" width="9.25" style="45" customWidth="1"/>
    <col min="12302" max="12302" width="3.5" style="45" customWidth="1"/>
    <col min="12303" max="12304" width="12.625" style="45" customWidth="1"/>
    <col min="12305" max="12305" width="8.875" style="45"/>
    <col min="12306" max="12306" width="7.75" style="45" customWidth="1"/>
    <col min="12307" max="12307" width="13.125" style="45" customWidth="1"/>
    <col min="12308" max="12308" width="6.125" style="45" customWidth="1"/>
    <col min="12309" max="12309" width="9.75" style="45" customWidth="1"/>
    <col min="12310" max="12310" width="1.375" style="45" customWidth="1"/>
    <col min="12311" max="12550" width="8.875" style="45"/>
    <col min="12551" max="12551" width="1.375" style="45" customWidth="1"/>
    <col min="12552" max="12552" width="3.5" style="45" customWidth="1"/>
    <col min="12553" max="12553" width="22.125" style="45" customWidth="1"/>
    <col min="12554" max="12554" width="9.75" style="45" customWidth="1"/>
    <col min="12555" max="12555" width="7.375" style="45" customWidth="1"/>
    <col min="12556" max="12556" width="8.875" style="45"/>
    <col min="12557" max="12557" width="9.25" style="45" customWidth="1"/>
    <col min="12558" max="12558" width="3.5" style="45" customWidth="1"/>
    <col min="12559" max="12560" width="12.625" style="45" customWidth="1"/>
    <col min="12561" max="12561" width="8.875" style="45"/>
    <col min="12562" max="12562" width="7.75" style="45" customWidth="1"/>
    <col min="12563" max="12563" width="13.125" style="45" customWidth="1"/>
    <col min="12564" max="12564" width="6.125" style="45" customWidth="1"/>
    <col min="12565" max="12565" width="9.75" style="45" customWidth="1"/>
    <col min="12566" max="12566" width="1.375" style="45" customWidth="1"/>
    <col min="12567" max="12806" width="8.875" style="45"/>
    <col min="12807" max="12807" width="1.375" style="45" customWidth="1"/>
    <col min="12808" max="12808" width="3.5" style="45" customWidth="1"/>
    <col min="12809" max="12809" width="22.125" style="45" customWidth="1"/>
    <col min="12810" max="12810" width="9.75" style="45" customWidth="1"/>
    <col min="12811" max="12811" width="7.375" style="45" customWidth="1"/>
    <col min="12812" max="12812" width="8.875" style="45"/>
    <col min="12813" max="12813" width="9.25" style="45" customWidth="1"/>
    <col min="12814" max="12814" width="3.5" style="45" customWidth="1"/>
    <col min="12815" max="12816" width="12.625" style="45" customWidth="1"/>
    <col min="12817" max="12817" width="8.875" style="45"/>
    <col min="12818" max="12818" width="7.75" style="45" customWidth="1"/>
    <col min="12819" max="12819" width="13.125" style="45" customWidth="1"/>
    <col min="12820" max="12820" width="6.125" style="45" customWidth="1"/>
    <col min="12821" max="12821" width="9.75" style="45" customWidth="1"/>
    <col min="12822" max="12822" width="1.375" style="45" customWidth="1"/>
    <col min="12823" max="13062" width="8.875" style="45"/>
    <col min="13063" max="13063" width="1.375" style="45" customWidth="1"/>
    <col min="13064" max="13064" width="3.5" style="45" customWidth="1"/>
    <col min="13065" max="13065" width="22.125" style="45" customWidth="1"/>
    <col min="13066" max="13066" width="9.75" style="45" customWidth="1"/>
    <col min="13067" max="13067" width="7.375" style="45" customWidth="1"/>
    <col min="13068" max="13068" width="8.875" style="45"/>
    <col min="13069" max="13069" width="9.25" style="45" customWidth="1"/>
    <col min="13070" max="13070" width="3.5" style="45" customWidth="1"/>
    <col min="13071" max="13072" width="12.625" style="45" customWidth="1"/>
    <col min="13073" max="13073" width="8.875" style="45"/>
    <col min="13074" max="13074" width="7.75" style="45" customWidth="1"/>
    <col min="13075" max="13075" width="13.125" style="45" customWidth="1"/>
    <col min="13076" max="13076" width="6.125" style="45" customWidth="1"/>
    <col min="13077" max="13077" width="9.75" style="45" customWidth="1"/>
    <col min="13078" max="13078" width="1.375" style="45" customWidth="1"/>
    <col min="13079" max="13318" width="8.875" style="45"/>
    <col min="13319" max="13319" width="1.375" style="45" customWidth="1"/>
    <col min="13320" max="13320" width="3.5" style="45" customWidth="1"/>
    <col min="13321" max="13321" width="22.125" style="45" customWidth="1"/>
    <col min="13322" max="13322" width="9.75" style="45" customWidth="1"/>
    <col min="13323" max="13323" width="7.375" style="45" customWidth="1"/>
    <col min="13324" max="13324" width="8.875" style="45"/>
    <col min="13325" max="13325" width="9.25" style="45" customWidth="1"/>
    <col min="13326" max="13326" width="3.5" style="45" customWidth="1"/>
    <col min="13327" max="13328" width="12.625" style="45" customWidth="1"/>
    <col min="13329" max="13329" width="8.875" style="45"/>
    <col min="13330" max="13330" width="7.75" style="45" customWidth="1"/>
    <col min="13331" max="13331" width="13.125" style="45" customWidth="1"/>
    <col min="13332" max="13332" width="6.125" style="45" customWidth="1"/>
    <col min="13333" max="13333" width="9.75" style="45" customWidth="1"/>
    <col min="13334" max="13334" width="1.375" style="45" customWidth="1"/>
    <col min="13335" max="13574" width="8.875" style="45"/>
    <col min="13575" max="13575" width="1.375" style="45" customWidth="1"/>
    <col min="13576" max="13576" width="3.5" style="45" customWidth="1"/>
    <col min="13577" max="13577" width="22.125" style="45" customWidth="1"/>
    <col min="13578" max="13578" width="9.75" style="45" customWidth="1"/>
    <col min="13579" max="13579" width="7.375" style="45" customWidth="1"/>
    <col min="13580" max="13580" width="8.875" style="45"/>
    <col min="13581" max="13581" width="9.25" style="45" customWidth="1"/>
    <col min="13582" max="13582" width="3.5" style="45" customWidth="1"/>
    <col min="13583" max="13584" width="12.625" style="45" customWidth="1"/>
    <col min="13585" max="13585" width="8.875" style="45"/>
    <col min="13586" max="13586" width="7.75" style="45" customWidth="1"/>
    <col min="13587" max="13587" width="13.125" style="45" customWidth="1"/>
    <col min="13588" max="13588" width="6.125" style="45" customWidth="1"/>
    <col min="13589" max="13589" width="9.75" style="45" customWidth="1"/>
    <col min="13590" max="13590" width="1.375" style="45" customWidth="1"/>
    <col min="13591" max="13830" width="8.875" style="45"/>
    <col min="13831" max="13831" width="1.375" style="45" customWidth="1"/>
    <col min="13832" max="13832" width="3.5" style="45" customWidth="1"/>
    <col min="13833" max="13833" width="22.125" style="45" customWidth="1"/>
    <col min="13834" max="13834" width="9.75" style="45" customWidth="1"/>
    <col min="13835" max="13835" width="7.375" style="45" customWidth="1"/>
    <col min="13836" max="13836" width="8.875" style="45"/>
    <col min="13837" max="13837" width="9.25" style="45" customWidth="1"/>
    <col min="13838" max="13838" width="3.5" style="45" customWidth="1"/>
    <col min="13839" max="13840" width="12.625" style="45" customWidth="1"/>
    <col min="13841" max="13841" width="8.875" style="45"/>
    <col min="13842" max="13842" width="7.75" style="45" customWidth="1"/>
    <col min="13843" max="13843" width="13.125" style="45" customWidth="1"/>
    <col min="13844" max="13844" width="6.125" style="45" customWidth="1"/>
    <col min="13845" max="13845" width="9.75" style="45" customWidth="1"/>
    <col min="13846" max="13846" width="1.375" style="45" customWidth="1"/>
    <col min="13847" max="14086" width="8.875" style="45"/>
    <col min="14087" max="14087" width="1.375" style="45" customWidth="1"/>
    <col min="14088" max="14088" width="3.5" style="45" customWidth="1"/>
    <col min="14089" max="14089" width="22.125" style="45" customWidth="1"/>
    <col min="14090" max="14090" width="9.75" style="45" customWidth="1"/>
    <col min="14091" max="14091" width="7.375" style="45" customWidth="1"/>
    <col min="14092" max="14092" width="8.875" style="45"/>
    <col min="14093" max="14093" width="9.25" style="45" customWidth="1"/>
    <col min="14094" max="14094" width="3.5" style="45" customWidth="1"/>
    <col min="14095" max="14096" width="12.625" style="45" customWidth="1"/>
    <col min="14097" max="14097" width="8.875" style="45"/>
    <col min="14098" max="14098" width="7.75" style="45" customWidth="1"/>
    <col min="14099" max="14099" width="13.125" style="45" customWidth="1"/>
    <col min="14100" max="14100" width="6.125" style="45" customWidth="1"/>
    <col min="14101" max="14101" width="9.75" style="45" customWidth="1"/>
    <col min="14102" max="14102" width="1.375" style="45" customWidth="1"/>
    <col min="14103" max="14342" width="8.875" style="45"/>
    <col min="14343" max="14343" width="1.375" style="45" customWidth="1"/>
    <col min="14344" max="14344" width="3.5" style="45" customWidth="1"/>
    <col min="14345" max="14345" width="22.125" style="45" customWidth="1"/>
    <col min="14346" max="14346" width="9.75" style="45" customWidth="1"/>
    <col min="14347" max="14347" width="7.375" style="45" customWidth="1"/>
    <col min="14348" max="14348" width="8.875" style="45"/>
    <col min="14349" max="14349" width="9.25" style="45" customWidth="1"/>
    <col min="14350" max="14350" width="3.5" style="45" customWidth="1"/>
    <col min="14351" max="14352" width="12.625" style="45" customWidth="1"/>
    <col min="14353" max="14353" width="8.875" style="45"/>
    <col min="14354" max="14354" width="7.75" style="45" customWidth="1"/>
    <col min="14355" max="14355" width="13.125" style="45" customWidth="1"/>
    <col min="14356" max="14356" width="6.125" style="45" customWidth="1"/>
    <col min="14357" max="14357" width="9.75" style="45" customWidth="1"/>
    <col min="14358" max="14358" width="1.375" style="45" customWidth="1"/>
    <col min="14359" max="14598" width="8.875" style="45"/>
    <col min="14599" max="14599" width="1.375" style="45" customWidth="1"/>
    <col min="14600" max="14600" width="3.5" style="45" customWidth="1"/>
    <col min="14601" max="14601" width="22.125" style="45" customWidth="1"/>
    <col min="14602" max="14602" width="9.75" style="45" customWidth="1"/>
    <col min="14603" max="14603" width="7.375" style="45" customWidth="1"/>
    <col min="14604" max="14604" width="8.875" style="45"/>
    <col min="14605" max="14605" width="9.25" style="45" customWidth="1"/>
    <col min="14606" max="14606" width="3.5" style="45" customWidth="1"/>
    <col min="14607" max="14608" width="12.625" style="45" customWidth="1"/>
    <col min="14609" max="14609" width="8.875" style="45"/>
    <col min="14610" max="14610" width="7.75" style="45" customWidth="1"/>
    <col min="14611" max="14611" width="13.125" style="45" customWidth="1"/>
    <col min="14612" max="14612" width="6.125" style="45" customWidth="1"/>
    <col min="14613" max="14613" width="9.75" style="45" customWidth="1"/>
    <col min="14614" max="14614" width="1.375" style="45" customWidth="1"/>
    <col min="14615" max="14854" width="8.875" style="45"/>
    <col min="14855" max="14855" width="1.375" style="45" customWidth="1"/>
    <col min="14856" max="14856" width="3.5" style="45" customWidth="1"/>
    <col min="14857" max="14857" width="22.125" style="45" customWidth="1"/>
    <col min="14858" max="14858" width="9.75" style="45" customWidth="1"/>
    <col min="14859" max="14859" width="7.375" style="45" customWidth="1"/>
    <col min="14860" max="14860" width="8.875" style="45"/>
    <col min="14861" max="14861" width="9.25" style="45" customWidth="1"/>
    <col min="14862" max="14862" width="3.5" style="45" customWidth="1"/>
    <col min="14863" max="14864" width="12.625" style="45" customWidth="1"/>
    <col min="14865" max="14865" width="8.875" style="45"/>
    <col min="14866" max="14866" width="7.75" style="45" customWidth="1"/>
    <col min="14867" max="14867" width="13.125" style="45" customWidth="1"/>
    <col min="14868" max="14868" width="6.125" style="45" customWidth="1"/>
    <col min="14869" max="14869" width="9.75" style="45" customWidth="1"/>
    <col min="14870" max="14870" width="1.375" style="45" customWidth="1"/>
    <col min="14871" max="15110" width="8.875" style="45"/>
    <col min="15111" max="15111" width="1.375" style="45" customWidth="1"/>
    <col min="15112" max="15112" width="3.5" style="45" customWidth="1"/>
    <col min="15113" max="15113" width="22.125" style="45" customWidth="1"/>
    <col min="15114" max="15114" width="9.75" style="45" customWidth="1"/>
    <col min="15115" max="15115" width="7.375" style="45" customWidth="1"/>
    <col min="15116" max="15116" width="8.875" style="45"/>
    <col min="15117" max="15117" width="9.25" style="45" customWidth="1"/>
    <col min="15118" max="15118" width="3.5" style="45" customWidth="1"/>
    <col min="15119" max="15120" width="12.625" style="45" customWidth="1"/>
    <col min="15121" max="15121" width="8.875" style="45"/>
    <col min="15122" max="15122" width="7.75" style="45" customWidth="1"/>
    <col min="15123" max="15123" width="13.125" style="45" customWidth="1"/>
    <col min="15124" max="15124" width="6.125" style="45" customWidth="1"/>
    <col min="15125" max="15125" width="9.75" style="45" customWidth="1"/>
    <col min="15126" max="15126" width="1.375" style="45" customWidth="1"/>
    <col min="15127" max="15366" width="8.875" style="45"/>
    <col min="15367" max="15367" width="1.375" style="45" customWidth="1"/>
    <col min="15368" max="15368" width="3.5" style="45" customWidth="1"/>
    <col min="15369" max="15369" width="22.125" style="45" customWidth="1"/>
    <col min="15370" max="15370" width="9.75" style="45" customWidth="1"/>
    <col min="15371" max="15371" width="7.375" style="45" customWidth="1"/>
    <col min="15372" max="15372" width="8.875" style="45"/>
    <col min="15373" max="15373" width="9.25" style="45" customWidth="1"/>
    <col min="15374" max="15374" width="3.5" style="45" customWidth="1"/>
    <col min="15375" max="15376" width="12.625" style="45" customWidth="1"/>
    <col min="15377" max="15377" width="8.875" style="45"/>
    <col min="15378" max="15378" width="7.75" style="45" customWidth="1"/>
    <col min="15379" max="15379" width="13.125" style="45" customWidth="1"/>
    <col min="15380" max="15380" width="6.125" style="45" customWidth="1"/>
    <col min="15381" max="15381" width="9.75" style="45" customWidth="1"/>
    <col min="15382" max="15382" width="1.375" style="45" customWidth="1"/>
    <col min="15383" max="15622" width="8.875" style="45"/>
    <col min="15623" max="15623" width="1.375" style="45" customWidth="1"/>
    <col min="15624" max="15624" width="3.5" style="45" customWidth="1"/>
    <col min="15625" max="15625" width="22.125" style="45" customWidth="1"/>
    <col min="15626" max="15626" width="9.75" style="45" customWidth="1"/>
    <col min="15627" max="15627" width="7.375" style="45" customWidth="1"/>
    <col min="15628" max="15628" width="8.875" style="45"/>
    <col min="15629" max="15629" width="9.25" style="45" customWidth="1"/>
    <col min="15630" max="15630" width="3.5" style="45" customWidth="1"/>
    <col min="15631" max="15632" width="12.625" style="45" customWidth="1"/>
    <col min="15633" max="15633" width="8.875" style="45"/>
    <col min="15634" max="15634" width="7.75" style="45" customWidth="1"/>
    <col min="15635" max="15635" width="13.125" style="45" customWidth="1"/>
    <col min="15636" max="15636" width="6.125" style="45" customWidth="1"/>
    <col min="15637" max="15637" width="9.75" style="45" customWidth="1"/>
    <col min="15638" max="15638" width="1.375" style="45" customWidth="1"/>
    <col min="15639" max="15878" width="8.875" style="45"/>
    <col min="15879" max="15879" width="1.375" style="45" customWidth="1"/>
    <col min="15880" max="15880" width="3.5" style="45" customWidth="1"/>
    <col min="15881" max="15881" width="22.125" style="45" customWidth="1"/>
    <col min="15882" max="15882" width="9.75" style="45" customWidth="1"/>
    <col min="15883" max="15883" width="7.375" style="45" customWidth="1"/>
    <col min="15884" max="15884" width="8.875" style="45"/>
    <col min="15885" max="15885" width="9.25" style="45" customWidth="1"/>
    <col min="15886" max="15886" width="3.5" style="45" customWidth="1"/>
    <col min="15887" max="15888" width="12.625" style="45" customWidth="1"/>
    <col min="15889" max="15889" width="8.875" style="45"/>
    <col min="15890" max="15890" width="7.75" style="45" customWidth="1"/>
    <col min="15891" max="15891" width="13.125" style="45" customWidth="1"/>
    <col min="15892" max="15892" width="6.125" style="45" customWidth="1"/>
    <col min="15893" max="15893" width="9.75" style="45" customWidth="1"/>
    <col min="15894" max="15894" width="1.375" style="45" customWidth="1"/>
    <col min="15895" max="16134" width="8.875" style="45"/>
    <col min="16135" max="16135" width="1.375" style="45" customWidth="1"/>
    <col min="16136" max="16136" width="3.5" style="45" customWidth="1"/>
    <col min="16137" max="16137" width="22.125" style="45" customWidth="1"/>
    <col min="16138" max="16138" width="9.75" style="45" customWidth="1"/>
    <col min="16139" max="16139" width="7.375" style="45" customWidth="1"/>
    <col min="16140" max="16140" width="8.875" style="45"/>
    <col min="16141" max="16141" width="9.25" style="45" customWidth="1"/>
    <col min="16142" max="16142" width="3.5" style="45" customWidth="1"/>
    <col min="16143" max="16144" width="12.625" style="45" customWidth="1"/>
    <col min="16145" max="16145" width="8.875" style="45"/>
    <col min="16146" max="16146" width="7.75" style="45" customWidth="1"/>
    <col min="16147" max="16147" width="13.125" style="45" customWidth="1"/>
    <col min="16148" max="16148" width="6.125" style="45" customWidth="1"/>
    <col min="16149" max="16149" width="9.75" style="45" customWidth="1"/>
    <col min="16150" max="16150" width="1.375" style="45" customWidth="1"/>
    <col min="16151" max="16384" width="8.875" style="45"/>
  </cols>
  <sheetData>
    <row r="1" spans="2:23" ht="9.9499999999999993" customHeight="1" x14ac:dyDescent="0.15"/>
    <row r="2" spans="2:23" ht="24.95" customHeight="1" x14ac:dyDescent="0.15">
      <c r="B2" s="1" t="s">
        <v>388</v>
      </c>
      <c r="C2" s="47"/>
      <c r="D2" s="5"/>
      <c r="E2" s="5"/>
      <c r="F2" s="47"/>
      <c r="G2" s="98"/>
      <c r="H2" s="108"/>
      <c r="I2" s="98"/>
      <c r="J2" s="98"/>
      <c r="K2" s="98"/>
      <c r="L2" s="98"/>
      <c r="M2" s="98"/>
      <c r="N2" s="98"/>
      <c r="O2" s="5"/>
    </row>
    <row r="3" spans="2:23" ht="15" customHeight="1" thickBot="1" x14ac:dyDescent="0.2">
      <c r="B3" s="45" t="s">
        <v>222</v>
      </c>
      <c r="I3" s="5" t="s">
        <v>223</v>
      </c>
      <c r="P3" s="45" t="s">
        <v>243</v>
      </c>
    </row>
    <row r="4" spans="2:23" ht="15" customHeight="1" x14ac:dyDescent="0.15">
      <c r="B4" s="242" t="s">
        <v>87</v>
      </c>
      <c r="C4" s="147" t="s">
        <v>178</v>
      </c>
      <c r="D4" s="147" t="s">
        <v>139</v>
      </c>
      <c r="E4" s="147" t="s">
        <v>140</v>
      </c>
      <c r="F4" s="309" t="s">
        <v>23</v>
      </c>
      <c r="G4" s="135" t="s">
        <v>141</v>
      </c>
      <c r="H4" s="148"/>
      <c r="I4" s="1293" t="s">
        <v>87</v>
      </c>
      <c r="J4" s="1291" t="s">
        <v>182</v>
      </c>
      <c r="K4" s="417" t="s">
        <v>179</v>
      </c>
      <c r="L4" s="417" t="s">
        <v>142</v>
      </c>
      <c r="M4" s="1302" t="s">
        <v>23</v>
      </c>
      <c r="N4" s="1304" t="s">
        <v>141</v>
      </c>
      <c r="O4" s="167"/>
      <c r="P4" s="243" t="s">
        <v>185</v>
      </c>
      <c r="Q4" s="244" t="s">
        <v>186</v>
      </c>
      <c r="R4" s="244" t="s">
        <v>187</v>
      </c>
      <c r="S4" s="244" t="s">
        <v>188</v>
      </c>
      <c r="T4" s="1295" t="s">
        <v>189</v>
      </c>
      <c r="U4" s="1136"/>
      <c r="V4" s="245" t="s">
        <v>190</v>
      </c>
    </row>
    <row r="5" spans="2:23" ht="15" customHeight="1" x14ac:dyDescent="0.15">
      <c r="B5" s="1075" t="s">
        <v>174</v>
      </c>
      <c r="C5" s="62"/>
      <c r="D5" s="44"/>
      <c r="E5" s="51"/>
      <c r="F5" s="62"/>
      <c r="G5" s="136"/>
      <c r="H5" s="149"/>
      <c r="I5" s="1330"/>
      <c r="J5" s="1331"/>
      <c r="K5" s="304" t="s">
        <v>143</v>
      </c>
      <c r="L5" s="304" t="s">
        <v>298</v>
      </c>
      <c r="M5" s="1332"/>
      <c r="N5" s="1333"/>
      <c r="O5" s="167"/>
      <c r="P5" s="581" t="s">
        <v>410</v>
      </c>
      <c r="Q5" s="532"/>
      <c r="R5" s="582" t="s">
        <v>100</v>
      </c>
      <c r="S5" s="532"/>
      <c r="T5" s="1296" t="s">
        <v>411</v>
      </c>
      <c r="U5" s="1297"/>
      <c r="V5" s="583">
        <v>5806.666666666667</v>
      </c>
      <c r="W5" s="646" t="s">
        <v>408</v>
      </c>
    </row>
    <row r="6" spans="2:23" ht="15" customHeight="1" x14ac:dyDescent="0.15">
      <c r="B6" s="1076"/>
      <c r="C6" s="44"/>
      <c r="D6" s="44"/>
      <c r="E6" s="51"/>
      <c r="F6" s="44"/>
      <c r="G6" s="137"/>
      <c r="H6" s="149"/>
      <c r="I6" s="1329" t="s">
        <v>181</v>
      </c>
      <c r="J6" s="374" t="s">
        <v>632</v>
      </c>
      <c r="K6" s="427">
        <v>8.36</v>
      </c>
      <c r="L6" s="427">
        <v>13</v>
      </c>
      <c r="M6" s="427">
        <v>84.7</v>
      </c>
      <c r="N6" s="318">
        <f>K6*L6*M6</f>
        <v>9205.1959999999999</v>
      </c>
      <c r="O6" s="167"/>
      <c r="P6" s="246"/>
      <c r="Q6" s="133"/>
      <c r="R6" s="310"/>
      <c r="S6" s="133"/>
      <c r="T6" s="1287"/>
      <c r="U6" s="1288"/>
      <c r="V6" s="156"/>
    </row>
    <row r="7" spans="2:23" ht="15" customHeight="1" thickBot="1" x14ac:dyDescent="0.2">
      <c r="B7" s="1262"/>
      <c r="C7" s="138" t="s">
        <v>144</v>
      </c>
      <c r="D7" s="138"/>
      <c r="E7" s="138"/>
      <c r="F7" s="138"/>
      <c r="G7" s="139">
        <f>SUM(G5:G6)</f>
        <v>0</v>
      </c>
      <c r="H7" s="149"/>
      <c r="I7" s="1299"/>
      <c r="J7" s="374" t="s">
        <v>633</v>
      </c>
      <c r="K7" s="697">
        <v>2.62</v>
      </c>
      <c r="L7" s="427">
        <f>5+6.5</f>
        <v>11.5</v>
      </c>
      <c r="M7" s="427">
        <v>84.7</v>
      </c>
      <c r="N7" s="318">
        <f t="shared" ref="N7:N9" si="0">K7*L7*M7</f>
        <v>2552.0110000000004</v>
      </c>
      <c r="O7" s="167"/>
      <c r="P7" s="246"/>
      <c r="Q7" s="133"/>
      <c r="R7" s="310"/>
      <c r="S7" s="133"/>
      <c r="T7" s="1287"/>
      <c r="U7" s="1288"/>
      <c r="V7" s="156"/>
    </row>
    <row r="8" spans="2:23" ht="15" customHeight="1" thickTop="1" x14ac:dyDescent="0.15">
      <c r="B8" s="1261" t="s">
        <v>172</v>
      </c>
      <c r="C8" s="374" t="s">
        <v>730</v>
      </c>
      <c r="D8" s="44">
        <v>10</v>
      </c>
      <c r="E8" s="51" t="s">
        <v>287</v>
      </c>
      <c r="F8" s="44">
        <v>3840</v>
      </c>
      <c r="G8" s="137">
        <f>D8*F8</f>
        <v>38400</v>
      </c>
      <c r="H8" s="149"/>
      <c r="I8" s="1299"/>
      <c r="J8" s="374" t="s">
        <v>634</v>
      </c>
      <c r="K8" s="427">
        <v>1.2</v>
      </c>
      <c r="L8" s="427">
        <v>3</v>
      </c>
      <c r="M8" s="427">
        <v>84.7</v>
      </c>
      <c r="N8" s="318">
        <f t="shared" si="0"/>
        <v>304.91999999999996</v>
      </c>
      <c r="O8" s="167"/>
      <c r="P8" s="246"/>
      <c r="Q8" s="133"/>
      <c r="R8" s="310"/>
      <c r="S8" s="133"/>
      <c r="T8" s="1287"/>
      <c r="U8" s="1288"/>
      <c r="V8" s="156"/>
    </row>
    <row r="9" spans="2:23" ht="15" customHeight="1" x14ac:dyDescent="0.15">
      <c r="B9" s="1076"/>
      <c r="C9" s="374"/>
      <c r="D9" s="44"/>
      <c r="E9" s="51"/>
      <c r="F9" s="44"/>
      <c r="G9" s="137"/>
      <c r="H9" s="149"/>
      <c r="I9" s="1299"/>
      <c r="J9" s="698" t="s">
        <v>635</v>
      </c>
      <c r="K9" s="699">
        <v>4.2699999999999996</v>
      </c>
      <c r="L9" s="700">
        <v>5</v>
      </c>
      <c r="M9" s="427">
        <v>84.7</v>
      </c>
      <c r="N9" s="701">
        <f t="shared" si="0"/>
        <v>1808.3449999999998</v>
      </c>
      <c r="O9" s="167"/>
      <c r="P9" s="246"/>
      <c r="Q9" s="133"/>
      <c r="R9" s="310"/>
      <c r="S9" s="133"/>
      <c r="T9" s="1287"/>
      <c r="U9" s="1288"/>
      <c r="V9" s="156"/>
    </row>
    <row r="10" spans="2:23" ht="15" customHeight="1" x14ac:dyDescent="0.15">
      <c r="B10" s="1076"/>
      <c r="C10" s="374"/>
      <c r="D10" s="44"/>
      <c r="E10" s="51"/>
      <c r="F10" s="44"/>
      <c r="G10" s="137"/>
      <c r="H10" s="149"/>
      <c r="I10" s="1299"/>
      <c r="J10" s="731" t="s">
        <v>636</v>
      </c>
      <c r="K10" s="732">
        <v>0.62</v>
      </c>
      <c r="L10" s="732">
        <v>3.5</v>
      </c>
      <c r="M10" s="441">
        <v>84.7</v>
      </c>
      <c r="N10" s="733">
        <f>K10*L10*M10</f>
        <v>183.79900000000001</v>
      </c>
      <c r="O10" s="167"/>
      <c r="P10" s="246"/>
      <c r="Q10" s="306"/>
      <c r="R10" s="307"/>
      <c r="S10" s="306"/>
      <c r="T10" s="308"/>
      <c r="U10" s="311"/>
      <c r="V10" s="156"/>
    </row>
    <row r="11" spans="2:23" ht="15" customHeight="1" thickBot="1" x14ac:dyDescent="0.2">
      <c r="B11" s="1262"/>
      <c r="C11" s="140" t="s">
        <v>145</v>
      </c>
      <c r="D11" s="141"/>
      <c r="E11" s="141"/>
      <c r="F11" s="141"/>
      <c r="G11" s="142">
        <f>SUM(G8:G10)</f>
        <v>38400</v>
      </c>
      <c r="H11" s="149"/>
      <c r="I11" s="1299"/>
      <c r="J11" s="630"/>
      <c r="K11" s="630"/>
      <c r="L11" s="630"/>
      <c r="M11" s="630"/>
      <c r="N11" s="237"/>
      <c r="O11" s="167"/>
      <c r="P11" s="246"/>
      <c r="Q11" s="133"/>
      <c r="R11" s="310"/>
      <c r="S11" s="133"/>
      <c r="T11" s="1287"/>
      <c r="U11" s="1288"/>
      <c r="V11" s="156"/>
    </row>
    <row r="12" spans="2:23" ht="15" customHeight="1" thickTop="1" thickBot="1" x14ac:dyDescent="0.2">
      <c r="B12" s="1261" t="s">
        <v>173</v>
      </c>
      <c r="C12" s="374" t="s">
        <v>731</v>
      </c>
      <c r="D12" s="44">
        <v>500</v>
      </c>
      <c r="E12" s="51" t="s">
        <v>290</v>
      </c>
      <c r="F12" s="62">
        <f>3220/20</f>
        <v>161</v>
      </c>
      <c r="G12" s="137">
        <f>D12*F12</f>
        <v>80500</v>
      </c>
      <c r="H12" s="149"/>
      <c r="I12" s="1300"/>
      <c r="J12" s="302" t="s">
        <v>248</v>
      </c>
      <c r="K12" s="303">
        <f>SUM(K6:K9)</f>
        <v>16.45</v>
      </c>
      <c r="L12" s="303">
        <f>SUM(L6:L10)</f>
        <v>36</v>
      </c>
      <c r="M12" s="303"/>
      <c r="N12" s="305">
        <f>SUM(N6:N10)</f>
        <v>14054.271000000001</v>
      </c>
      <c r="O12" s="167"/>
      <c r="P12" s="246"/>
      <c r="Q12" s="133"/>
      <c r="R12" s="310"/>
      <c r="S12" s="133"/>
      <c r="T12" s="1287"/>
      <c r="U12" s="1288"/>
      <c r="V12" s="156"/>
    </row>
    <row r="13" spans="2:23" ht="15" customHeight="1" thickTop="1" x14ac:dyDescent="0.15">
      <c r="B13" s="1076"/>
      <c r="C13" s="374"/>
      <c r="D13" s="44"/>
      <c r="E13" s="51"/>
      <c r="F13" s="44"/>
      <c r="G13" s="137"/>
      <c r="H13" s="149"/>
      <c r="I13" s="1270" t="s">
        <v>46</v>
      </c>
      <c r="J13" s="374" t="s">
        <v>637</v>
      </c>
      <c r="K13" s="427">
        <v>2.78</v>
      </c>
      <c r="L13" s="427">
        <v>3.3</v>
      </c>
      <c r="M13" s="427">
        <v>158.4</v>
      </c>
      <c r="N13" s="318">
        <f>K13*L13*M13</f>
        <v>1453.1615999999999</v>
      </c>
      <c r="O13" s="167"/>
      <c r="P13" s="246"/>
      <c r="Q13" s="133"/>
      <c r="R13" s="310"/>
      <c r="S13" s="133"/>
      <c r="T13" s="1287"/>
      <c r="U13" s="1288"/>
      <c r="V13" s="156"/>
    </row>
    <row r="14" spans="2:23" ht="15" customHeight="1" x14ac:dyDescent="0.15">
      <c r="B14" s="1076"/>
      <c r="C14" s="374"/>
      <c r="D14" s="44"/>
      <c r="E14" s="51"/>
      <c r="F14" s="44"/>
      <c r="G14" s="137"/>
      <c r="H14" s="149"/>
      <c r="I14" s="1271"/>
      <c r="J14" s="374"/>
      <c r="K14" s="427"/>
      <c r="L14" s="427"/>
      <c r="M14" s="427"/>
      <c r="N14" s="318"/>
      <c r="O14" s="167"/>
      <c r="P14" s="246"/>
      <c r="Q14" s="133"/>
      <c r="R14" s="310"/>
      <c r="S14" s="133"/>
      <c r="T14" s="1287"/>
      <c r="U14" s="1288"/>
      <c r="V14" s="156"/>
    </row>
    <row r="15" spans="2:23" ht="15" customHeight="1" x14ac:dyDescent="0.15">
      <c r="B15" s="1076"/>
      <c r="C15" s="374"/>
      <c r="D15" s="44"/>
      <c r="E15" s="44"/>
      <c r="F15" s="44"/>
      <c r="G15" s="137"/>
      <c r="H15" s="149"/>
      <c r="I15" s="1271"/>
      <c r="J15" s="374"/>
      <c r="K15" s="427"/>
      <c r="L15" s="427"/>
      <c r="M15" s="427"/>
      <c r="N15" s="318"/>
      <c r="O15" s="167"/>
      <c r="P15" s="246"/>
      <c r="Q15" s="133"/>
      <c r="R15" s="310"/>
      <c r="S15" s="133"/>
      <c r="T15" s="1287"/>
      <c r="U15" s="1288"/>
      <c r="V15" s="156"/>
    </row>
    <row r="16" spans="2:23" ht="15" customHeight="1" thickBot="1" x14ac:dyDescent="0.2">
      <c r="B16" s="1262"/>
      <c r="C16" s="140" t="s">
        <v>145</v>
      </c>
      <c r="D16" s="141"/>
      <c r="E16" s="141"/>
      <c r="F16" s="141"/>
      <c r="G16" s="142">
        <f>SUM(G12:G15)</f>
        <v>80500</v>
      </c>
      <c r="H16" s="149"/>
      <c r="I16" s="1272"/>
      <c r="J16" s="734" t="s">
        <v>248</v>
      </c>
      <c r="K16" s="735">
        <f>SUM(K13:K15)</f>
        <v>2.78</v>
      </c>
      <c r="L16" s="735">
        <f>SUM(L13:L15)</f>
        <v>3.3</v>
      </c>
      <c r="M16" s="735"/>
      <c r="N16" s="736">
        <f>SUM(N13:N15)</f>
        <v>1453.1615999999999</v>
      </c>
      <c r="O16" s="167"/>
      <c r="P16" s="246"/>
      <c r="Q16" s="133"/>
      <c r="R16" s="310"/>
      <c r="S16" s="133"/>
      <c r="T16" s="1287"/>
      <c r="U16" s="1288"/>
      <c r="V16" s="156"/>
    </row>
    <row r="17" spans="2:22" ht="15" customHeight="1" thickTop="1" x14ac:dyDescent="0.15">
      <c r="B17" s="1261" t="s">
        <v>175</v>
      </c>
      <c r="C17" s="374"/>
      <c r="D17" s="44"/>
      <c r="E17" s="51"/>
      <c r="F17" s="44"/>
      <c r="G17" s="137"/>
      <c r="H17" s="149"/>
      <c r="I17" s="1270" t="s">
        <v>183</v>
      </c>
      <c r="J17" s="374"/>
      <c r="K17" s="427"/>
      <c r="L17" s="427"/>
      <c r="M17" s="427"/>
      <c r="N17" s="318"/>
      <c r="O17" s="167"/>
      <c r="P17" s="246"/>
      <c r="Q17" s="133"/>
      <c r="R17" s="310"/>
      <c r="S17" s="133"/>
      <c r="T17" s="1287"/>
      <c r="U17" s="1288"/>
      <c r="V17" s="156"/>
    </row>
    <row r="18" spans="2:22" ht="15" customHeight="1" x14ac:dyDescent="0.15">
      <c r="B18" s="1076"/>
      <c r="C18" s="374"/>
      <c r="D18" s="44"/>
      <c r="E18" s="51"/>
      <c r="F18" s="44"/>
      <c r="G18" s="137"/>
      <c r="H18" s="149"/>
      <c r="I18" s="1271"/>
      <c r="J18" s="374"/>
      <c r="K18" s="427"/>
      <c r="L18" s="427"/>
      <c r="M18" s="427"/>
      <c r="N18" s="318"/>
      <c r="O18" s="167"/>
      <c r="P18" s="246"/>
      <c r="Q18" s="133"/>
      <c r="R18" s="310"/>
      <c r="S18" s="133"/>
      <c r="T18" s="1287"/>
      <c r="U18" s="1288"/>
      <c r="V18" s="156"/>
    </row>
    <row r="19" spans="2:22" ht="15" customHeight="1" x14ac:dyDescent="0.15">
      <c r="B19" s="1076"/>
      <c r="C19" s="374"/>
      <c r="D19" s="44"/>
      <c r="E19" s="44"/>
      <c r="F19" s="44"/>
      <c r="G19" s="137"/>
      <c r="H19" s="149"/>
      <c r="I19" s="1271"/>
      <c r="J19" s="374"/>
      <c r="K19" s="427"/>
      <c r="L19" s="427"/>
      <c r="M19" s="427"/>
      <c r="N19" s="318"/>
      <c r="O19" s="167"/>
      <c r="P19" s="246"/>
      <c r="Q19" s="133"/>
      <c r="R19" s="310"/>
      <c r="S19" s="133"/>
      <c r="T19" s="1287"/>
      <c r="U19" s="1288"/>
      <c r="V19" s="156"/>
    </row>
    <row r="20" spans="2:22" ht="15" customHeight="1" thickBot="1" x14ac:dyDescent="0.2">
      <c r="B20" s="1262"/>
      <c r="C20" s="140" t="s">
        <v>145</v>
      </c>
      <c r="D20" s="141"/>
      <c r="E20" s="141"/>
      <c r="F20" s="141"/>
      <c r="G20" s="142">
        <f>SUM(G17:G19)</f>
        <v>0</v>
      </c>
      <c r="H20" s="149"/>
      <c r="I20" s="1272"/>
      <c r="J20" s="734" t="s">
        <v>248</v>
      </c>
      <c r="K20" s="735">
        <f>SUM(K17:K19)</f>
        <v>0</v>
      </c>
      <c r="L20" s="737">
        <f>SUM(L17:L19)</f>
        <v>0</v>
      </c>
      <c r="M20" s="738"/>
      <c r="N20" s="736">
        <f>SUM(N17:N19)</f>
        <v>0</v>
      </c>
      <c r="O20" s="167"/>
      <c r="P20" s="246"/>
      <c r="Q20" s="133"/>
      <c r="R20" s="310"/>
      <c r="S20" s="133"/>
      <c r="T20" s="1287"/>
      <c r="U20" s="1288"/>
      <c r="V20" s="156"/>
    </row>
    <row r="21" spans="2:22" ht="15" customHeight="1" thickTop="1" thickBot="1" x14ac:dyDescent="0.2">
      <c r="B21" s="1261" t="s">
        <v>176</v>
      </c>
      <c r="C21" s="374" t="s">
        <v>292</v>
      </c>
      <c r="D21" s="44">
        <f>189*4.3</f>
        <v>812.69999999999993</v>
      </c>
      <c r="E21" s="51" t="s">
        <v>290</v>
      </c>
      <c r="F21" s="44">
        <f>510/20</f>
        <v>25.5</v>
      </c>
      <c r="G21" s="137">
        <f>D21*F21</f>
        <v>20723.849999999999</v>
      </c>
      <c r="H21" s="149"/>
      <c r="I21" s="1270" t="s">
        <v>184</v>
      </c>
      <c r="J21" s="374" t="s">
        <v>638</v>
      </c>
      <c r="K21" s="427">
        <v>28.2</v>
      </c>
      <c r="L21" s="427">
        <v>6.1</v>
      </c>
      <c r="M21" s="427">
        <v>102.1</v>
      </c>
      <c r="N21" s="318">
        <f>K21*L21*M21</f>
        <v>17563.241999999998</v>
      </c>
      <c r="O21" s="167"/>
      <c r="P21" s="157" t="s">
        <v>28</v>
      </c>
      <c r="Q21" s="158"/>
      <c r="R21" s="158"/>
      <c r="S21" s="158"/>
      <c r="T21" s="1306"/>
      <c r="U21" s="1307"/>
      <c r="V21" s="159">
        <f>SUM(V5:V20)</f>
        <v>5806.666666666667</v>
      </c>
    </row>
    <row r="22" spans="2:22" ht="15" customHeight="1" x14ac:dyDescent="0.15">
      <c r="B22" s="1076"/>
      <c r="C22" s="374"/>
      <c r="D22" s="44"/>
      <c r="E22" s="51"/>
      <c r="F22" s="44"/>
      <c r="G22" s="137"/>
      <c r="H22" s="149"/>
      <c r="I22" s="1271"/>
      <c r="J22" s="374"/>
      <c r="K22" s="427"/>
      <c r="L22" s="427"/>
      <c r="M22" s="427"/>
      <c r="N22" s="318"/>
      <c r="O22" s="167"/>
    </row>
    <row r="23" spans="2:22" ht="15" customHeight="1" thickBot="1" x14ac:dyDescent="0.2">
      <c r="B23" s="1076"/>
      <c r="C23" s="374"/>
      <c r="D23" s="44"/>
      <c r="E23" s="51"/>
      <c r="F23" s="44"/>
      <c r="G23" s="137"/>
      <c r="H23" s="149"/>
      <c r="I23" s="1271"/>
      <c r="J23" s="374"/>
      <c r="K23" s="427"/>
      <c r="L23" s="427"/>
      <c r="M23" s="427"/>
      <c r="N23" s="318"/>
      <c r="O23" s="167"/>
      <c r="P23" s="45" t="s">
        <v>244</v>
      </c>
    </row>
    <row r="24" spans="2:22" ht="15" customHeight="1" thickBot="1" x14ac:dyDescent="0.2">
      <c r="B24" s="1077"/>
      <c r="C24" s="143" t="s">
        <v>147</v>
      </c>
      <c r="D24" s="144"/>
      <c r="E24" s="144"/>
      <c r="F24" s="151"/>
      <c r="G24" s="145">
        <f>SUM(G21:G23)</f>
        <v>20723.849999999999</v>
      </c>
      <c r="H24" s="149"/>
      <c r="I24" s="1272"/>
      <c r="J24" s="734" t="s">
        <v>248</v>
      </c>
      <c r="K24" s="735">
        <f>SUM(K21:K23)</f>
        <v>28.2</v>
      </c>
      <c r="L24" s="737">
        <f>SUM(L21:L23)</f>
        <v>6.1</v>
      </c>
      <c r="M24" s="738"/>
      <c r="N24" s="736">
        <f>SUM(N21:N23)</f>
        <v>17563.241999999998</v>
      </c>
      <c r="O24" s="167"/>
      <c r="P24" s="243" t="s">
        <v>192</v>
      </c>
      <c r="Q24" s="244" t="s">
        <v>186</v>
      </c>
      <c r="R24" s="244" t="s">
        <v>187</v>
      </c>
      <c r="S24" s="244" t="s">
        <v>188</v>
      </c>
      <c r="T24" s="244" t="s">
        <v>189</v>
      </c>
      <c r="U24" s="312" t="s">
        <v>193</v>
      </c>
      <c r="V24" s="245" t="s">
        <v>190</v>
      </c>
    </row>
    <row r="25" spans="2:22" ht="15" customHeight="1" thickTop="1" x14ac:dyDescent="0.15">
      <c r="I25" s="1270" t="s">
        <v>268</v>
      </c>
      <c r="J25" s="374"/>
      <c r="K25" s="427"/>
      <c r="L25" s="427"/>
      <c r="M25" s="427"/>
      <c r="N25" s="318"/>
      <c r="O25" s="167"/>
      <c r="P25" s="246" t="s">
        <v>398</v>
      </c>
      <c r="Q25" s="133">
        <v>10</v>
      </c>
      <c r="R25" s="310" t="s">
        <v>247</v>
      </c>
      <c r="S25" s="353">
        <v>500</v>
      </c>
      <c r="T25" s="133">
        <v>2</v>
      </c>
      <c r="U25" s="134">
        <v>30</v>
      </c>
      <c r="V25" s="156">
        <f>Q25*S25/T25/U25</f>
        <v>83.333333333333329</v>
      </c>
    </row>
    <row r="26" spans="2:22" ht="15" customHeight="1" thickBot="1" x14ac:dyDescent="0.2">
      <c r="B26" s="5" t="s">
        <v>252</v>
      </c>
      <c r="C26" s="5"/>
      <c r="D26" s="47"/>
      <c r="E26" s="5"/>
      <c r="F26" s="47"/>
      <c r="G26" s="48"/>
      <c r="H26" s="150"/>
      <c r="I26" s="1271"/>
      <c r="J26" s="374"/>
      <c r="K26" s="427"/>
      <c r="L26" s="427"/>
      <c r="M26" s="427"/>
      <c r="N26" s="318"/>
      <c r="O26" s="167"/>
      <c r="P26" s="246"/>
      <c r="Q26" s="133"/>
      <c r="R26" s="310"/>
      <c r="S26" s="133"/>
      <c r="T26" s="133"/>
      <c r="U26" s="134"/>
      <c r="V26" s="156"/>
    </row>
    <row r="27" spans="2:22" ht="15" customHeight="1" x14ac:dyDescent="0.15">
      <c r="B27" s="242" t="s">
        <v>87</v>
      </c>
      <c r="C27" s="807" t="s">
        <v>138</v>
      </c>
      <c r="D27" s="147" t="s">
        <v>139</v>
      </c>
      <c r="E27" s="147" t="s">
        <v>140</v>
      </c>
      <c r="F27" s="309" t="s">
        <v>23</v>
      </c>
      <c r="G27" s="135" t="s">
        <v>141</v>
      </c>
      <c r="H27" s="148"/>
      <c r="I27" s="1271"/>
      <c r="J27" s="374"/>
      <c r="K27" s="427"/>
      <c r="L27" s="427"/>
      <c r="M27" s="427"/>
      <c r="N27" s="318"/>
      <c r="O27" s="167"/>
      <c r="P27" s="246"/>
      <c r="Q27" s="133"/>
      <c r="R27" s="310"/>
      <c r="S27" s="133"/>
      <c r="T27" s="133"/>
      <c r="U27" s="134"/>
      <c r="V27" s="156"/>
    </row>
    <row r="28" spans="2:22" ht="15" customHeight="1" thickBot="1" x14ac:dyDescent="0.2">
      <c r="B28" s="1075" t="s">
        <v>29</v>
      </c>
      <c r="C28" s="374" t="s">
        <v>732</v>
      </c>
      <c r="D28" s="44">
        <v>300</v>
      </c>
      <c r="E28" s="51" t="s">
        <v>294</v>
      </c>
      <c r="F28" s="44">
        <f>62610/10000</f>
        <v>6.2610000000000001</v>
      </c>
      <c r="G28" s="136">
        <f>D28*F28</f>
        <v>1878.3</v>
      </c>
      <c r="H28" s="149"/>
      <c r="I28" s="1272"/>
      <c r="J28" s="734" t="s">
        <v>248</v>
      </c>
      <c r="K28" s="735">
        <f>SUM(K25:K27)</f>
        <v>0</v>
      </c>
      <c r="L28" s="737">
        <f>SUM(L25:L27)</f>
        <v>0</v>
      </c>
      <c r="M28" s="738"/>
      <c r="N28" s="736">
        <f>SUM(N25:N27)</f>
        <v>0</v>
      </c>
      <c r="O28" s="167"/>
      <c r="P28" s="246"/>
      <c r="Q28" s="133"/>
      <c r="R28" s="310"/>
      <c r="S28" s="133"/>
      <c r="T28" s="133"/>
      <c r="U28" s="134"/>
      <c r="V28" s="156"/>
    </row>
    <row r="29" spans="2:22" ht="15" customHeight="1" thickTop="1" x14ac:dyDescent="0.15">
      <c r="B29" s="1076"/>
      <c r="C29" s="808" t="s">
        <v>733</v>
      </c>
      <c r="D29" s="276">
        <v>180</v>
      </c>
      <c r="E29" s="51" t="s">
        <v>294</v>
      </c>
      <c r="F29" s="276">
        <f>4180/500</f>
        <v>8.36</v>
      </c>
      <c r="G29" s="136">
        <f>D29*F29</f>
        <v>1504.8</v>
      </c>
      <c r="H29" s="149"/>
      <c r="I29" s="1270" t="s">
        <v>180</v>
      </c>
      <c r="J29" s="374" t="s">
        <v>638</v>
      </c>
      <c r="K29" s="427">
        <v>31.4</v>
      </c>
      <c r="L29" s="427">
        <v>3.2</v>
      </c>
      <c r="M29" s="427">
        <v>14</v>
      </c>
      <c r="N29" s="318">
        <f>K29*L29*M29</f>
        <v>1406.72</v>
      </c>
      <c r="O29" s="167"/>
      <c r="P29" s="246"/>
      <c r="Q29" s="133"/>
      <c r="R29" s="310"/>
      <c r="S29" s="133"/>
      <c r="T29" s="133"/>
      <c r="U29" s="275"/>
      <c r="V29" s="156"/>
    </row>
    <row r="30" spans="2:22" ht="15" customHeight="1" x14ac:dyDescent="0.15">
      <c r="B30" s="1076"/>
      <c r="C30" s="374" t="s">
        <v>29</v>
      </c>
      <c r="D30" s="44">
        <v>1000</v>
      </c>
      <c r="E30" s="51" t="s">
        <v>299</v>
      </c>
      <c r="F30" s="44">
        <f>42580/20000</f>
        <v>2.129</v>
      </c>
      <c r="G30" s="136">
        <f>D30*F30</f>
        <v>2129</v>
      </c>
      <c r="H30" s="149"/>
      <c r="I30" s="1271"/>
      <c r="J30" s="374" t="s">
        <v>639</v>
      </c>
      <c r="K30" s="427">
        <v>4</v>
      </c>
      <c r="L30" s="427">
        <v>1.9</v>
      </c>
      <c r="M30" s="427">
        <v>14</v>
      </c>
      <c r="N30" s="318">
        <f t="shared" ref="N30:N31" si="1">K30*L30*M30</f>
        <v>106.39999999999999</v>
      </c>
      <c r="O30" s="46"/>
      <c r="P30" s="246"/>
      <c r="Q30" s="133"/>
      <c r="R30" s="310"/>
      <c r="S30" s="133"/>
      <c r="T30" s="133"/>
      <c r="U30" s="275"/>
      <c r="V30" s="156"/>
    </row>
    <row r="31" spans="2:22" ht="15" customHeight="1" x14ac:dyDescent="0.15">
      <c r="B31" s="1076"/>
      <c r="C31" s="809"/>
      <c r="D31" s="276"/>
      <c r="E31" s="51"/>
      <c r="F31" s="276"/>
      <c r="G31" s="137"/>
      <c r="H31" s="149"/>
      <c r="I31" s="1271"/>
      <c r="J31" s="374" t="s">
        <v>640</v>
      </c>
      <c r="K31" s="427">
        <v>24.5</v>
      </c>
      <c r="L31" s="427">
        <v>6.7</v>
      </c>
      <c r="M31" s="427">
        <v>14</v>
      </c>
      <c r="N31" s="318">
        <f t="shared" si="1"/>
        <v>2298.1</v>
      </c>
      <c r="P31" s="246"/>
      <c r="Q31" s="133"/>
      <c r="R31" s="310"/>
      <c r="S31" s="133"/>
      <c r="T31" s="133"/>
      <c r="U31" s="134"/>
      <c r="V31" s="156"/>
    </row>
    <row r="32" spans="2:22" ht="15" customHeight="1" thickBot="1" x14ac:dyDescent="0.2">
      <c r="B32" s="1076"/>
      <c r="C32" s="374"/>
      <c r="D32" s="276"/>
      <c r="E32" s="51"/>
      <c r="F32" s="276"/>
      <c r="G32" s="137"/>
      <c r="H32" s="149"/>
      <c r="I32" s="1275"/>
      <c r="J32" s="739" t="s">
        <v>248</v>
      </c>
      <c r="K32" s="740">
        <f>SUM(K29:K31)</f>
        <v>59.9</v>
      </c>
      <c r="L32" s="741">
        <f>SUM(L29:L31)</f>
        <v>11.8</v>
      </c>
      <c r="M32" s="742"/>
      <c r="N32" s="743">
        <f>SUM(N29:N31)</f>
        <v>3811.2200000000003</v>
      </c>
      <c r="P32" s="246"/>
      <c r="Q32" s="133"/>
      <c r="R32" s="310"/>
      <c r="S32" s="133"/>
      <c r="T32" s="133"/>
      <c r="U32" s="134"/>
      <c r="V32" s="156"/>
    </row>
    <row r="33" spans="2:22" ht="15" customHeight="1" x14ac:dyDescent="0.15">
      <c r="B33" s="1076"/>
      <c r="C33" s="374"/>
      <c r="D33" s="276"/>
      <c r="E33" s="51"/>
      <c r="F33" s="276"/>
      <c r="G33" s="137"/>
      <c r="H33" s="149"/>
      <c r="I33" s="127"/>
      <c r="J33" s="127"/>
      <c r="K33" s="127"/>
      <c r="L33" s="127"/>
      <c r="M33" s="127"/>
      <c r="N33" s="127"/>
      <c r="P33" s="246"/>
      <c r="Q33" s="133"/>
      <c r="R33" s="310"/>
      <c r="S33" s="133"/>
      <c r="T33" s="133"/>
      <c r="U33" s="134"/>
      <c r="V33" s="156"/>
    </row>
    <row r="34" spans="2:22" ht="15" customHeight="1" thickBot="1" x14ac:dyDescent="0.2">
      <c r="B34" s="1076"/>
      <c r="C34" s="374"/>
      <c r="D34" s="276"/>
      <c r="E34" s="51"/>
      <c r="F34" s="276"/>
      <c r="G34" s="137"/>
      <c r="H34" s="149"/>
      <c r="I34" s="117" t="s">
        <v>242</v>
      </c>
      <c r="J34" s="117"/>
      <c r="K34" s="117"/>
      <c r="L34" s="117"/>
      <c r="M34" s="117"/>
      <c r="P34" s="248" t="s">
        <v>235</v>
      </c>
      <c r="Q34" s="158"/>
      <c r="R34" s="158"/>
      <c r="S34" s="158"/>
      <c r="T34" s="158"/>
      <c r="U34" s="160"/>
      <c r="V34" s="159">
        <f>SUM(V25:V33)</f>
        <v>83.333333333333329</v>
      </c>
    </row>
    <row r="35" spans="2:22" ht="15" customHeight="1" x14ac:dyDescent="0.15">
      <c r="B35" s="1076"/>
      <c r="C35" s="374"/>
      <c r="D35" s="276"/>
      <c r="E35" s="51"/>
      <c r="F35" s="276"/>
      <c r="G35" s="137"/>
      <c r="H35" s="149"/>
      <c r="I35" s="230" t="s">
        <v>230</v>
      </c>
      <c r="J35" s="715" t="s">
        <v>5</v>
      </c>
      <c r="K35" s="1273" t="s">
        <v>231</v>
      </c>
      <c r="L35" s="1274"/>
      <c r="M35" s="749" t="s">
        <v>193</v>
      </c>
      <c r="N35" s="716" t="s">
        <v>254</v>
      </c>
    </row>
    <row r="36" spans="2:22" ht="15" customHeight="1" thickBot="1" x14ac:dyDescent="0.2">
      <c r="B36" s="1076"/>
      <c r="C36" s="374"/>
      <c r="D36" s="276"/>
      <c r="E36" s="51"/>
      <c r="F36" s="276"/>
      <c r="G36" s="137"/>
      <c r="H36" s="149"/>
      <c r="I36" s="1258" t="s">
        <v>2</v>
      </c>
      <c r="J36" s="146" t="s">
        <v>678</v>
      </c>
      <c r="K36" s="1276">
        <v>5940000</v>
      </c>
      <c r="L36" s="1276"/>
      <c r="M36" s="630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36" s="237">
        <f>+K36/M36*0.014*0.3</f>
        <v>831.6</v>
      </c>
      <c r="P36" s="117" t="s">
        <v>236</v>
      </c>
      <c r="Q36" s="117"/>
      <c r="R36" s="117"/>
      <c r="S36" s="117"/>
      <c r="T36" s="117"/>
    </row>
    <row r="37" spans="2:22" ht="15" customHeight="1" x14ac:dyDescent="0.15">
      <c r="B37" s="1076"/>
      <c r="C37" s="374"/>
      <c r="D37" s="276"/>
      <c r="E37" s="51"/>
      <c r="F37" s="276"/>
      <c r="G37" s="137"/>
      <c r="H37" s="149"/>
      <c r="I37" s="1259"/>
      <c r="J37" s="146" t="s">
        <v>679</v>
      </c>
      <c r="K37" s="1276">
        <v>10692000</v>
      </c>
      <c r="L37" s="1276"/>
      <c r="M37" s="630">
        <v>28</v>
      </c>
      <c r="N37" s="237">
        <f>+K37/M37*0.014*0.3</f>
        <v>1603.8</v>
      </c>
      <c r="P37" s="230" t="s">
        <v>229</v>
      </c>
      <c r="Q37" s="1301" t="s">
        <v>237</v>
      </c>
      <c r="R37" s="1301"/>
      <c r="S37" s="631" t="s">
        <v>240</v>
      </c>
      <c r="T37" s="631" t="s">
        <v>239</v>
      </c>
      <c r="U37" s="249" t="s">
        <v>193</v>
      </c>
      <c r="V37" s="250" t="s">
        <v>254</v>
      </c>
    </row>
    <row r="38" spans="2:22" ht="15" customHeight="1" thickBot="1" x14ac:dyDescent="0.2">
      <c r="B38" s="1262"/>
      <c r="C38" s="810" t="s">
        <v>144</v>
      </c>
      <c r="D38" s="138"/>
      <c r="E38" s="138"/>
      <c r="F38" s="138"/>
      <c r="G38" s="139">
        <f>SUM(G28:G37)</f>
        <v>5512.1</v>
      </c>
      <c r="H38" s="149"/>
      <c r="I38" s="1259"/>
      <c r="J38" s="146" t="s">
        <v>677</v>
      </c>
      <c r="K38" s="1276">
        <v>1761750</v>
      </c>
      <c r="L38" s="1276"/>
      <c r="M38" s="334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38" s="237">
        <f>+K38/M38*0.014*0.3</f>
        <v>246.64499999999998</v>
      </c>
      <c r="O38" s="155"/>
      <c r="P38" s="1255" t="s">
        <v>238</v>
      </c>
      <c r="Q38" s="234" t="s">
        <v>228</v>
      </c>
      <c r="R38" s="253"/>
      <c r="S38" s="235">
        <v>3880</v>
      </c>
      <c r="T38" s="254"/>
      <c r="U38" s="235"/>
      <c r="V38" s="237">
        <v>3880</v>
      </c>
    </row>
    <row r="39" spans="2:22" ht="15" customHeight="1" thickTop="1" x14ac:dyDescent="0.15">
      <c r="B39" s="1261" t="s">
        <v>177</v>
      </c>
      <c r="C39" s="811" t="s">
        <v>734</v>
      </c>
      <c r="D39" s="44">
        <v>60</v>
      </c>
      <c r="E39" s="51" t="s">
        <v>299</v>
      </c>
      <c r="F39" s="44">
        <f>1450/500</f>
        <v>2.9</v>
      </c>
      <c r="G39" s="137">
        <f>D39*F39</f>
        <v>174</v>
      </c>
      <c r="H39" s="149"/>
      <c r="I39" s="1259"/>
      <c r="J39" s="146"/>
      <c r="K39" s="1276"/>
      <c r="L39" s="1276"/>
      <c r="M39" s="630"/>
      <c r="N39" s="237"/>
      <c r="O39" s="155"/>
      <c r="P39" s="1256"/>
      <c r="Q39" s="234"/>
      <c r="R39" s="253"/>
      <c r="S39" s="235"/>
      <c r="T39" s="254"/>
      <c r="U39" s="235"/>
      <c r="V39" s="237"/>
    </row>
    <row r="40" spans="2:22" ht="15" customHeight="1" x14ac:dyDescent="0.15">
      <c r="B40" s="1076"/>
      <c r="C40" s="374" t="s">
        <v>314</v>
      </c>
      <c r="D40" s="44">
        <v>1000</v>
      </c>
      <c r="E40" s="51" t="s">
        <v>299</v>
      </c>
      <c r="F40" s="44">
        <f>96020/20000</f>
        <v>4.8010000000000002</v>
      </c>
      <c r="G40" s="137">
        <f>D40*F40</f>
        <v>4801</v>
      </c>
      <c r="H40" s="149"/>
      <c r="I40" s="1259"/>
      <c r="J40" s="146"/>
      <c r="K40" s="1276"/>
      <c r="L40" s="1276"/>
      <c r="M40" s="630"/>
      <c r="N40" s="237"/>
      <c r="O40" s="155"/>
      <c r="P40" s="1256"/>
      <c r="Q40" s="234"/>
      <c r="R40" s="253"/>
      <c r="S40" s="235"/>
      <c r="T40" s="254"/>
      <c r="U40" s="235"/>
      <c r="V40" s="237"/>
    </row>
    <row r="41" spans="2:22" ht="15" customHeight="1" x14ac:dyDescent="0.15">
      <c r="B41" s="1076"/>
      <c r="C41" s="374"/>
      <c r="D41" s="44"/>
      <c r="E41" s="51"/>
      <c r="F41" s="44"/>
      <c r="G41" s="137"/>
      <c r="H41" s="149"/>
      <c r="I41" s="1259"/>
      <c r="J41" s="146"/>
      <c r="K41" s="1276"/>
      <c r="L41" s="1276"/>
      <c r="M41" s="630"/>
      <c r="N41" s="237"/>
      <c r="O41" s="155"/>
      <c r="P41" s="1256"/>
      <c r="Q41" s="234"/>
      <c r="R41" s="253"/>
      <c r="S41" s="235"/>
      <c r="T41" s="254"/>
      <c r="U41" s="235"/>
      <c r="V41" s="237"/>
    </row>
    <row r="42" spans="2:22" ht="15" customHeight="1" thickBot="1" x14ac:dyDescent="0.2">
      <c r="B42" s="1076"/>
      <c r="C42" s="374"/>
      <c r="D42" s="44"/>
      <c r="E42" s="51"/>
      <c r="F42" s="44"/>
      <c r="G42" s="137"/>
      <c r="H42" s="149"/>
      <c r="I42" s="1260"/>
      <c r="J42" s="231" t="s">
        <v>145</v>
      </c>
      <c r="K42" s="1268"/>
      <c r="L42" s="1269"/>
      <c r="M42" s="232"/>
      <c r="N42" s="236">
        <f>SUM(N36:N41)</f>
        <v>2682.0450000000001</v>
      </c>
      <c r="O42" s="155"/>
      <c r="P42" s="1256"/>
      <c r="Q42" s="234"/>
      <c r="R42" s="253"/>
      <c r="S42" s="235"/>
      <c r="T42" s="254"/>
      <c r="U42" s="235"/>
      <c r="V42" s="237"/>
    </row>
    <row r="43" spans="2:22" ht="15" customHeight="1" thickTop="1" x14ac:dyDescent="0.15">
      <c r="B43" s="1076"/>
      <c r="C43" s="374"/>
      <c r="D43" s="44"/>
      <c r="E43" s="51"/>
      <c r="F43" s="44"/>
      <c r="G43" s="137"/>
      <c r="H43" s="149"/>
      <c r="I43" s="1263" t="s">
        <v>232</v>
      </c>
      <c r="J43" s="233" t="s">
        <v>255</v>
      </c>
      <c r="K43" s="1266">
        <v>8200</v>
      </c>
      <c r="L43" s="1266"/>
      <c r="M43" s="632">
        <v>28</v>
      </c>
      <c r="N43" s="252">
        <f>+K43/M43</f>
        <v>292.85714285714283</v>
      </c>
      <c r="O43" s="155"/>
      <c r="P43" s="1256"/>
      <c r="Q43" s="234"/>
      <c r="R43" s="253"/>
      <c r="S43" s="235"/>
      <c r="T43" s="254"/>
      <c r="U43" s="235"/>
      <c r="V43" s="237"/>
    </row>
    <row r="44" spans="2:22" ht="15" customHeight="1" thickBot="1" x14ac:dyDescent="0.2">
      <c r="B44" s="1076"/>
      <c r="C44" s="374"/>
      <c r="D44" s="44"/>
      <c r="E44" s="51"/>
      <c r="F44" s="44"/>
      <c r="G44" s="137"/>
      <c r="H44" s="149"/>
      <c r="I44" s="1264"/>
      <c r="J44" s="613" t="s">
        <v>245</v>
      </c>
      <c r="K44" s="1267">
        <v>4100</v>
      </c>
      <c r="L44" s="1267"/>
      <c r="M44" s="633">
        <v>30</v>
      </c>
      <c r="N44" s="614">
        <f>K44/M44</f>
        <v>136.66666666666666</v>
      </c>
      <c r="O44" s="155"/>
      <c r="P44" s="1257"/>
      <c r="Q44" s="238" t="s">
        <v>241</v>
      </c>
      <c r="R44" s="239"/>
      <c r="S44" s="239"/>
      <c r="T44" s="239"/>
      <c r="U44" s="239"/>
      <c r="V44" s="240">
        <f>SUM(V38:V43)</f>
        <v>3880</v>
      </c>
    </row>
    <row r="45" spans="2:22" ht="15" customHeight="1" thickTop="1" x14ac:dyDescent="0.15">
      <c r="B45" s="1076"/>
      <c r="C45" s="374"/>
      <c r="D45" s="44"/>
      <c r="E45" s="51"/>
      <c r="F45" s="44"/>
      <c r="G45" s="137"/>
      <c r="H45" s="149"/>
      <c r="I45" s="1264"/>
      <c r="J45" s="146"/>
      <c r="K45" s="1276"/>
      <c r="L45" s="1276"/>
      <c r="M45" s="630"/>
      <c r="N45" s="237"/>
      <c r="O45" s="155"/>
      <c r="P45" s="1313" t="s">
        <v>246</v>
      </c>
      <c r="Q45" s="1310" t="s">
        <v>257</v>
      </c>
      <c r="R45" s="255" t="s">
        <v>258</v>
      </c>
      <c r="S45" s="233">
        <v>35750</v>
      </c>
      <c r="T45" s="256">
        <v>1</v>
      </c>
      <c r="U45" s="233">
        <v>28</v>
      </c>
      <c r="V45" s="251">
        <f>+S45*T45/U45</f>
        <v>1276.7857142857142</v>
      </c>
    </row>
    <row r="46" spans="2:22" ht="15" customHeight="1" thickBot="1" x14ac:dyDescent="0.2">
      <c r="B46" s="1076"/>
      <c r="C46" s="374"/>
      <c r="D46" s="44"/>
      <c r="E46" s="51"/>
      <c r="F46" s="44"/>
      <c r="G46" s="137"/>
      <c r="H46" s="149"/>
      <c r="I46" s="1265"/>
      <c r="J46" s="231" t="s">
        <v>145</v>
      </c>
      <c r="K46" s="1268"/>
      <c r="L46" s="1269"/>
      <c r="M46" s="232"/>
      <c r="N46" s="236">
        <f>SUM(N43:N45)</f>
        <v>429.52380952380952</v>
      </c>
      <c r="O46" s="155"/>
      <c r="P46" s="1256"/>
      <c r="Q46" s="1311"/>
      <c r="R46" s="257" t="s">
        <v>245</v>
      </c>
      <c r="S46" s="234">
        <v>15600</v>
      </c>
      <c r="T46" s="254">
        <v>1</v>
      </c>
      <c r="U46" s="234">
        <v>30</v>
      </c>
      <c r="V46" s="237">
        <f>+S46*T46/U46</f>
        <v>520</v>
      </c>
    </row>
    <row r="47" spans="2:22" ht="15" customHeight="1" thickTop="1" x14ac:dyDescent="0.15">
      <c r="B47" s="1076"/>
      <c r="C47" s="374"/>
      <c r="D47" s="44"/>
      <c r="E47" s="51"/>
      <c r="F47" s="44"/>
      <c r="G47" s="137"/>
      <c r="H47" s="149"/>
      <c r="I47" s="1263" t="s">
        <v>233</v>
      </c>
      <c r="J47" s="233" t="s">
        <v>255</v>
      </c>
      <c r="K47" s="1266">
        <v>11500</v>
      </c>
      <c r="L47" s="1266"/>
      <c r="M47" s="632">
        <v>28</v>
      </c>
      <c r="N47" s="251">
        <f>K47/M47</f>
        <v>410.71428571428572</v>
      </c>
      <c r="O47" s="155"/>
      <c r="P47" s="1256"/>
      <c r="Q47" s="1311"/>
      <c r="R47" s="257"/>
      <c r="S47" s="234"/>
      <c r="T47" s="234"/>
      <c r="U47" s="146"/>
      <c r="V47" s="258"/>
    </row>
    <row r="48" spans="2:22" ht="15" customHeight="1" x14ac:dyDescent="0.15">
      <c r="B48" s="1076"/>
      <c r="C48" s="374"/>
      <c r="D48" s="44"/>
      <c r="E48" s="51"/>
      <c r="F48" s="44"/>
      <c r="G48" s="137"/>
      <c r="H48" s="149"/>
      <c r="I48" s="1264"/>
      <c r="J48" s="234"/>
      <c r="K48" s="1276"/>
      <c r="L48" s="1276"/>
      <c r="M48" s="630"/>
      <c r="N48" s="237"/>
      <c r="O48" s="155"/>
      <c r="P48" s="1256"/>
      <c r="Q48" s="1311"/>
      <c r="R48" s="333"/>
      <c r="S48" s="630"/>
      <c r="T48" s="630"/>
      <c r="U48" s="630"/>
      <c r="V48" s="722"/>
    </row>
    <row r="49" spans="2:22" ht="15" customHeight="1" thickBot="1" x14ac:dyDescent="0.2">
      <c r="B49" s="1262"/>
      <c r="C49" s="140" t="s">
        <v>145</v>
      </c>
      <c r="D49" s="141"/>
      <c r="E49" s="141"/>
      <c r="F49" s="141"/>
      <c r="G49" s="142">
        <f>SUM(G39:G48)</f>
        <v>4975</v>
      </c>
      <c r="H49" s="149"/>
      <c r="I49" s="1264"/>
      <c r="J49" s="146"/>
      <c r="K49" s="1276"/>
      <c r="L49" s="1276"/>
      <c r="M49" s="630"/>
      <c r="N49" s="237"/>
      <c r="O49" s="155"/>
      <c r="P49" s="1256"/>
      <c r="Q49" s="1312"/>
      <c r="R49" s="257"/>
      <c r="S49" s="234"/>
      <c r="T49" s="234"/>
      <c r="U49" s="146"/>
      <c r="V49" s="258"/>
    </row>
    <row r="50" spans="2:22" ht="15" customHeight="1" thickTop="1" thickBot="1" x14ac:dyDescent="0.2">
      <c r="B50" s="1261" t="s">
        <v>31</v>
      </c>
      <c r="C50" s="374" t="s">
        <v>735</v>
      </c>
      <c r="D50" s="44">
        <v>10</v>
      </c>
      <c r="E50" s="51" t="s">
        <v>290</v>
      </c>
      <c r="F50" s="44">
        <f>24330/10</f>
        <v>2433</v>
      </c>
      <c r="G50" s="137">
        <f t="shared" ref="G50" si="2">D50*F50</f>
        <v>24330</v>
      </c>
      <c r="H50" s="149"/>
      <c r="I50" s="1265"/>
      <c r="J50" s="231" t="s">
        <v>145</v>
      </c>
      <c r="K50" s="1268"/>
      <c r="L50" s="1269"/>
      <c r="M50" s="232"/>
      <c r="N50" s="236">
        <f>SUM(N47:N49)</f>
        <v>410.71428571428572</v>
      </c>
      <c r="O50" s="155"/>
      <c r="P50" s="1256"/>
      <c r="Q50" s="238" t="s">
        <v>241</v>
      </c>
      <c r="R50" s="239"/>
      <c r="S50" s="239"/>
      <c r="T50" s="239"/>
      <c r="U50" s="239"/>
      <c r="V50" s="240">
        <f>SUM(V45:V49)</f>
        <v>1796.7857142857142</v>
      </c>
    </row>
    <row r="51" spans="2:22" ht="15" customHeight="1" thickTop="1" x14ac:dyDescent="0.15">
      <c r="B51" s="1076"/>
      <c r="C51" s="374"/>
      <c r="D51" s="44"/>
      <c r="E51" s="44"/>
      <c r="F51" s="44"/>
      <c r="G51" s="137"/>
      <c r="H51" s="149"/>
      <c r="I51" s="1263" t="s">
        <v>234</v>
      </c>
      <c r="J51" s="233" t="s">
        <v>52</v>
      </c>
      <c r="K51" s="1277">
        <v>2400</v>
      </c>
      <c r="L51" s="1278"/>
      <c r="M51" s="632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51" s="252">
        <f>+K51/M51</f>
        <v>80</v>
      </c>
      <c r="O51" s="155"/>
      <c r="P51" s="1256"/>
      <c r="Q51" s="1310" t="s">
        <v>259</v>
      </c>
      <c r="R51" s="255" t="s">
        <v>258</v>
      </c>
      <c r="S51" s="233">
        <v>60000</v>
      </c>
      <c r="T51" s="256">
        <v>1</v>
      </c>
      <c r="U51" s="233">
        <v>28</v>
      </c>
      <c r="V51" s="251">
        <f>+S51*T51/U51</f>
        <v>2142.8571428571427</v>
      </c>
    </row>
    <row r="52" spans="2:22" ht="15" customHeight="1" x14ac:dyDescent="0.15">
      <c r="B52" s="1076"/>
      <c r="C52" s="374"/>
      <c r="D52" s="44"/>
      <c r="E52" s="44"/>
      <c r="F52" s="44"/>
      <c r="G52" s="137"/>
      <c r="H52" s="149"/>
      <c r="I52" s="1264"/>
      <c r="J52" s="234" t="s">
        <v>399</v>
      </c>
      <c r="K52" s="1279">
        <v>4800</v>
      </c>
      <c r="L52" s="1280"/>
      <c r="M52" s="241">
        <f>'１　対象経営の概要，２　前提条件'!N7</f>
        <v>28</v>
      </c>
      <c r="N52" s="237">
        <f>+K52/M52*2</f>
        <v>342.85714285714283</v>
      </c>
      <c r="O52" s="155"/>
      <c r="P52" s="1256"/>
      <c r="Q52" s="1311"/>
      <c r="R52" s="257" t="s">
        <v>245</v>
      </c>
      <c r="S52" s="234">
        <v>25000</v>
      </c>
      <c r="T52" s="254">
        <v>1</v>
      </c>
      <c r="U52" s="234">
        <v>30</v>
      </c>
      <c r="V52" s="237">
        <f>+S52*T52/U52</f>
        <v>833.33333333333337</v>
      </c>
    </row>
    <row r="53" spans="2:22" ht="15" customHeight="1" thickBot="1" x14ac:dyDescent="0.2">
      <c r="B53" s="1262"/>
      <c r="C53" s="140" t="s">
        <v>145</v>
      </c>
      <c r="D53" s="141"/>
      <c r="E53" s="141"/>
      <c r="F53" s="141"/>
      <c r="G53" s="142">
        <f>SUM(G50:G52)</f>
        <v>24330</v>
      </c>
      <c r="H53" s="149"/>
      <c r="I53" s="1264"/>
      <c r="J53" s="630" t="s">
        <v>245</v>
      </c>
      <c r="K53" s="1281">
        <v>5000</v>
      </c>
      <c r="L53" s="1282"/>
      <c r="M53" s="334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53" s="237">
        <f t="shared" ref="N53:N54" si="3">+K53/M53</f>
        <v>166.66666666666666</v>
      </c>
      <c r="O53" s="155"/>
      <c r="P53" s="1256"/>
      <c r="Q53" s="1311"/>
      <c r="R53" s="257"/>
      <c r="S53" s="234"/>
      <c r="T53" s="234"/>
      <c r="U53" s="146"/>
      <c r="V53" s="258"/>
    </row>
    <row r="54" spans="2:22" ht="13.9" customHeight="1" thickTop="1" x14ac:dyDescent="0.15">
      <c r="B54" s="1261" t="s">
        <v>312</v>
      </c>
      <c r="C54" s="374" t="s">
        <v>736</v>
      </c>
      <c r="D54" s="313">
        <f>189*50/1000</f>
        <v>9.4499999999999993</v>
      </c>
      <c r="E54" s="51" t="s">
        <v>290</v>
      </c>
      <c r="F54" s="44">
        <f>9650/3</f>
        <v>3216.6666666666665</v>
      </c>
      <c r="G54" s="136">
        <f>D54*F54</f>
        <v>30397.499999999996</v>
      </c>
      <c r="I54" s="1264"/>
      <c r="J54" s="234" t="s">
        <v>400</v>
      </c>
      <c r="K54" s="1283">
        <v>5900</v>
      </c>
      <c r="L54" s="1284"/>
      <c r="M54" s="334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54" s="464">
        <f t="shared" si="3"/>
        <v>196.66666666666666</v>
      </c>
      <c r="O54" s="155"/>
      <c r="P54" s="1256"/>
      <c r="Q54" s="1311"/>
      <c r="R54" s="333"/>
      <c r="S54" s="630"/>
      <c r="T54" s="630"/>
      <c r="U54" s="630"/>
      <c r="V54" s="722"/>
    </row>
    <row r="55" spans="2:22" x14ac:dyDescent="0.15">
      <c r="B55" s="1076"/>
      <c r="C55" s="374" t="s">
        <v>737</v>
      </c>
      <c r="D55" s="44">
        <v>1000</v>
      </c>
      <c r="E55" s="51" t="s">
        <v>294</v>
      </c>
      <c r="F55" s="44">
        <f>68710/10000</f>
        <v>6.8710000000000004</v>
      </c>
      <c r="G55" s="137">
        <f>D55*F55</f>
        <v>6871</v>
      </c>
      <c r="I55" s="1264"/>
      <c r="J55" s="630"/>
      <c r="K55" s="1326"/>
      <c r="L55" s="1327"/>
      <c r="M55" s="630"/>
      <c r="N55" s="237"/>
      <c r="O55" s="155"/>
      <c r="P55" s="1256"/>
      <c r="Q55" s="1312"/>
      <c r="R55" s="257"/>
      <c r="S55" s="234"/>
      <c r="T55" s="234"/>
      <c r="U55" s="146"/>
      <c r="V55" s="258"/>
    </row>
    <row r="56" spans="2:22" x14ac:dyDescent="0.15">
      <c r="B56" s="1076"/>
      <c r="C56" s="44"/>
      <c r="D56" s="44"/>
      <c r="E56" s="51"/>
      <c r="F56" s="44"/>
      <c r="G56" s="137"/>
      <c r="I56" s="1258"/>
      <c r="J56" s="752" t="s">
        <v>145</v>
      </c>
      <c r="K56" s="1324"/>
      <c r="L56" s="1325"/>
      <c r="M56" s="753"/>
      <c r="N56" s="754">
        <f>SUM(N51:N54)</f>
        <v>786.19047619047615</v>
      </c>
      <c r="O56" s="155"/>
      <c r="P56" s="1314"/>
      <c r="Q56" s="744" t="s">
        <v>241</v>
      </c>
      <c r="R56" s="745"/>
      <c r="S56" s="745"/>
      <c r="T56" s="745"/>
      <c r="U56" s="745"/>
      <c r="V56" s="746">
        <f>SUM(V51:V55)</f>
        <v>2976.1904761904761</v>
      </c>
    </row>
    <row r="57" spans="2:22" ht="14.25" thickBot="1" x14ac:dyDescent="0.2">
      <c r="B57" s="1077"/>
      <c r="C57" s="143" t="s">
        <v>147</v>
      </c>
      <c r="D57" s="144"/>
      <c r="E57" s="144"/>
      <c r="F57" s="144"/>
      <c r="G57" s="145">
        <f>SUM(G54:G56)</f>
        <v>37268.5</v>
      </c>
      <c r="I57" s="1318" t="s">
        <v>235</v>
      </c>
      <c r="J57" s="1319"/>
      <c r="K57" s="1320"/>
      <c r="L57" s="1321"/>
      <c r="M57" s="755"/>
      <c r="N57" s="748">
        <f>SUM(N42,N46,N50,N56)</f>
        <v>4308.4735714285716</v>
      </c>
      <c r="O57" s="155"/>
      <c r="P57" s="1322" t="s">
        <v>235</v>
      </c>
      <c r="Q57" s="1323"/>
      <c r="R57" s="747"/>
      <c r="S57" s="747"/>
      <c r="T57" s="747"/>
      <c r="U57" s="747"/>
      <c r="V57" s="748">
        <f>SUM(V44,V50,V56)</f>
        <v>8652.9761904761908</v>
      </c>
    </row>
    <row r="58" spans="2:22" x14ac:dyDescent="0.15">
      <c r="O58" s="155"/>
      <c r="V58" s="45"/>
    </row>
    <row r="59" spans="2:22" x14ac:dyDescent="0.15">
      <c r="I59" s="155"/>
      <c r="J59" s="155"/>
      <c r="K59" s="155"/>
      <c r="L59" s="155"/>
      <c r="M59" s="155"/>
      <c r="N59" s="155"/>
      <c r="O59" s="155"/>
    </row>
    <row r="60" spans="2:22" x14ac:dyDescent="0.15">
      <c r="I60" s="155"/>
      <c r="J60" s="155"/>
      <c r="K60" s="155"/>
      <c r="L60" s="155"/>
      <c r="M60" s="155"/>
      <c r="N60" s="155"/>
      <c r="O60" s="155"/>
    </row>
    <row r="61" spans="2:22" x14ac:dyDescent="0.15">
      <c r="I61" s="155"/>
      <c r="J61" s="155"/>
      <c r="K61" s="155"/>
      <c r="L61" s="155"/>
      <c r="M61" s="155"/>
      <c r="N61" s="155"/>
      <c r="O61" s="155"/>
    </row>
    <row r="62" spans="2:22" x14ac:dyDescent="0.15">
      <c r="I62" s="155"/>
      <c r="J62" s="155"/>
      <c r="K62" s="155"/>
      <c r="L62" s="155"/>
      <c r="M62" s="155"/>
      <c r="N62" s="155"/>
      <c r="O62" s="155"/>
    </row>
    <row r="63" spans="2:22" x14ac:dyDescent="0.15">
      <c r="I63" s="155"/>
      <c r="J63" s="155"/>
      <c r="K63" s="155"/>
      <c r="L63" s="155"/>
      <c r="M63" s="155"/>
      <c r="N63" s="155"/>
      <c r="O63" s="155"/>
    </row>
    <row r="64" spans="2:22" x14ac:dyDescent="0.15">
      <c r="I64" s="155"/>
      <c r="J64" s="155"/>
      <c r="K64" s="155"/>
      <c r="L64" s="155"/>
      <c r="M64" s="155"/>
      <c r="N64" s="155"/>
      <c r="O64" s="155"/>
    </row>
    <row r="65" spans="9:15" x14ac:dyDescent="0.15">
      <c r="I65" s="155"/>
      <c r="J65" s="155"/>
      <c r="K65" s="155"/>
      <c r="L65" s="155"/>
      <c r="M65" s="155"/>
      <c r="N65" s="155"/>
      <c r="O65" s="155"/>
    </row>
    <row r="66" spans="9:15" x14ac:dyDescent="0.15">
      <c r="I66" s="155"/>
      <c r="J66" s="155"/>
      <c r="K66" s="155"/>
      <c r="L66" s="155"/>
      <c r="M66" s="155"/>
      <c r="N66" s="155"/>
      <c r="O66" s="155"/>
    </row>
    <row r="67" spans="9:15" x14ac:dyDescent="0.15">
      <c r="I67" s="155"/>
      <c r="J67" s="155"/>
      <c r="K67" s="155"/>
      <c r="L67" s="155"/>
      <c r="M67" s="155"/>
      <c r="N67" s="155"/>
      <c r="O67" s="155"/>
    </row>
    <row r="68" spans="9:15" x14ac:dyDescent="0.15">
      <c r="I68" s="155"/>
      <c r="J68" s="155"/>
      <c r="K68" s="155"/>
      <c r="L68" s="155"/>
      <c r="M68" s="155"/>
      <c r="N68" s="155"/>
      <c r="O68" s="155"/>
    </row>
    <row r="69" spans="9:15" x14ac:dyDescent="0.15">
      <c r="I69" s="155"/>
      <c r="J69" s="155"/>
      <c r="K69" s="155"/>
      <c r="L69" s="155"/>
      <c r="M69" s="155"/>
      <c r="N69" s="155"/>
      <c r="O69" s="155"/>
    </row>
    <row r="70" spans="9:15" x14ac:dyDescent="0.15">
      <c r="I70" s="155"/>
      <c r="J70" s="155"/>
      <c r="K70" s="155"/>
      <c r="L70" s="155"/>
      <c r="M70" s="155"/>
      <c r="N70" s="155"/>
      <c r="O70" s="155"/>
    </row>
    <row r="71" spans="9:15" x14ac:dyDescent="0.15">
      <c r="I71" s="155"/>
      <c r="J71" s="155"/>
      <c r="K71" s="155"/>
      <c r="L71" s="155"/>
      <c r="M71" s="155"/>
      <c r="N71" s="155"/>
      <c r="O71" s="155"/>
    </row>
    <row r="72" spans="9:15" x14ac:dyDescent="0.15">
      <c r="I72" s="155"/>
      <c r="J72" s="155"/>
      <c r="K72" s="155"/>
      <c r="L72" s="155"/>
      <c r="M72" s="155"/>
      <c r="N72" s="155"/>
      <c r="O72" s="155"/>
    </row>
    <row r="73" spans="9:15" x14ac:dyDescent="0.15">
      <c r="I73" s="155"/>
      <c r="J73" s="155"/>
      <c r="K73" s="155"/>
      <c r="L73" s="155"/>
      <c r="M73" s="155"/>
      <c r="N73" s="155"/>
      <c r="O73" s="155"/>
    </row>
    <row r="74" spans="9:15" x14ac:dyDescent="0.15">
      <c r="I74" s="155"/>
      <c r="J74" s="155"/>
      <c r="K74" s="155"/>
      <c r="L74" s="155"/>
      <c r="M74" s="155"/>
      <c r="N74" s="155"/>
      <c r="O74" s="155"/>
    </row>
    <row r="75" spans="9:15" x14ac:dyDescent="0.15">
      <c r="I75" s="155"/>
      <c r="J75" s="155"/>
      <c r="K75" s="155"/>
      <c r="L75" s="155"/>
      <c r="M75" s="155"/>
      <c r="N75" s="155"/>
      <c r="O75" s="155"/>
    </row>
    <row r="76" spans="9:15" x14ac:dyDescent="0.15">
      <c r="I76" s="155"/>
      <c r="J76" s="155"/>
      <c r="K76" s="155"/>
      <c r="L76" s="155"/>
      <c r="M76" s="155"/>
      <c r="N76" s="155"/>
      <c r="O76" s="155"/>
    </row>
    <row r="77" spans="9:15" x14ac:dyDescent="0.15">
      <c r="I77" s="155"/>
      <c r="J77" s="155"/>
      <c r="K77" s="155"/>
      <c r="L77" s="155"/>
      <c r="M77" s="155"/>
      <c r="N77" s="155"/>
      <c r="O77" s="155"/>
    </row>
    <row r="78" spans="9:15" x14ac:dyDescent="0.15">
      <c r="I78" s="155"/>
      <c r="J78" s="155"/>
      <c r="K78" s="155"/>
      <c r="L78" s="155"/>
      <c r="M78" s="155"/>
      <c r="N78" s="155"/>
      <c r="O78" s="155"/>
    </row>
    <row r="79" spans="9:15" x14ac:dyDescent="0.15">
      <c r="I79" s="155"/>
      <c r="J79" s="155"/>
      <c r="K79" s="155"/>
      <c r="L79" s="155"/>
      <c r="M79" s="155"/>
      <c r="N79" s="155"/>
      <c r="O79" s="155"/>
    </row>
    <row r="80" spans="9:15" x14ac:dyDescent="0.15">
      <c r="I80" s="155"/>
      <c r="J80" s="155"/>
      <c r="K80" s="155"/>
      <c r="L80" s="155"/>
      <c r="M80" s="155"/>
      <c r="N80" s="155"/>
      <c r="O80" s="155"/>
    </row>
    <row r="81" spans="2:15" x14ac:dyDescent="0.15">
      <c r="I81" s="155"/>
      <c r="J81" s="155"/>
      <c r="K81" s="155"/>
      <c r="L81" s="155"/>
      <c r="M81" s="155"/>
      <c r="N81" s="155"/>
      <c r="O81" s="155"/>
    </row>
    <row r="82" spans="2:15" x14ac:dyDescent="0.15">
      <c r="I82" s="155"/>
      <c r="J82" s="155"/>
      <c r="K82" s="155"/>
      <c r="L82" s="155"/>
      <c r="M82" s="155"/>
      <c r="N82" s="155"/>
      <c r="O82" s="155"/>
    </row>
    <row r="83" spans="2:15" x14ac:dyDescent="0.15">
      <c r="B83" s="148"/>
      <c r="C83" s="149"/>
      <c r="D83" s="149"/>
      <c r="E83" s="149"/>
      <c r="F83" s="149"/>
      <c r="I83" s="155"/>
      <c r="J83" s="155"/>
      <c r="K83" s="155"/>
      <c r="L83" s="155"/>
      <c r="M83" s="155"/>
      <c r="N83" s="155"/>
      <c r="O83" s="155"/>
    </row>
    <row r="84" spans="2:15" x14ac:dyDescent="0.15">
      <c r="B84" s="148"/>
      <c r="C84" s="149"/>
      <c r="D84" s="149"/>
      <c r="E84" s="149"/>
      <c r="F84" s="149"/>
      <c r="I84" s="155"/>
      <c r="J84" s="155"/>
      <c r="K84" s="155"/>
      <c r="L84" s="155"/>
      <c r="M84" s="155"/>
      <c r="N84" s="155"/>
      <c r="O84" s="155"/>
    </row>
    <row r="85" spans="2:15" x14ac:dyDescent="0.15">
      <c r="I85" s="155"/>
      <c r="J85" s="155"/>
      <c r="K85" s="155"/>
      <c r="L85" s="155"/>
      <c r="M85" s="155"/>
      <c r="N85" s="155"/>
      <c r="O85" s="155"/>
    </row>
    <row r="86" spans="2:15" x14ac:dyDescent="0.15">
      <c r="I86" s="155"/>
      <c r="J86" s="155"/>
      <c r="K86" s="155"/>
      <c r="L86" s="155"/>
      <c r="M86" s="155"/>
      <c r="N86" s="155"/>
      <c r="O86" s="155"/>
    </row>
    <row r="87" spans="2:15" x14ac:dyDescent="0.15">
      <c r="I87" s="155"/>
      <c r="J87" s="155"/>
      <c r="K87" s="155"/>
      <c r="L87" s="155"/>
      <c r="M87" s="155"/>
      <c r="N87" s="155"/>
      <c r="O87" s="155"/>
    </row>
    <row r="88" spans="2:15" x14ac:dyDescent="0.15">
      <c r="I88" s="155"/>
      <c r="J88" s="155"/>
      <c r="K88" s="155"/>
      <c r="L88" s="155"/>
      <c r="M88" s="155"/>
      <c r="N88" s="155"/>
      <c r="O88" s="155"/>
    </row>
    <row r="89" spans="2:15" x14ac:dyDescent="0.15">
      <c r="I89" s="155"/>
      <c r="J89" s="155"/>
      <c r="K89" s="155"/>
      <c r="L89" s="155"/>
      <c r="M89" s="155"/>
      <c r="N89" s="155"/>
      <c r="O89" s="155"/>
    </row>
    <row r="90" spans="2:15" x14ac:dyDescent="0.15">
      <c r="I90" s="155"/>
      <c r="J90" s="155"/>
      <c r="K90" s="155"/>
      <c r="L90" s="155"/>
      <c r="M90" s="155"/>
      <c r="N90" s="155"/>
      <c r="O90" s="155"/>
    </row>
    <row r="91" spans="2:15" x14ac:dyDescent="0.15">
      <c r="I91" s="155"/>
      <c r="J91" s="155"/>
      <c r="K91" s="155"/>
      <c r="L91" s="155"/>
      <c r="M91" s="155"/>
      <c r="N91" s="155"/>
      <c r="O91" s="155"/>
    </row>
    <row r="92" spans="2:15" x14ac:dyDescent="0.15">
      <c r="I92" s="155"/>
      <c r="J92" s="155"/>
      <c r="K92" s="155"/>
      <c r="L92" s="155"/>
      <c r="M92" s="155"/>
      <c r="N92" s="155"/>
      <c r="O92" s="155"/>
    </row>
    <row r="93" spans="2:15" x14ac:dyDescent="0.15">
      <c r="I93" s="155"/>
      <c r="J93" s="155"/>
      <c r="K93" s="155"/>
      <c r="L93" s="155"/>
      <c r="M93" s="155"/>
      <c r="N93" s="155"/>
      <c r="O93" s="155"/>
    </row>
    <row r="94" spans="2:15" x14ac:dyDescent="0.15">
      <c r="I94" s="155"/>
      <c r="J94" s="155"/>
      <c r="K94" s="155"/>
      <c r="L94" s="155"/>
      <c r="M94" s="155"/>
      <c r="N94" s="155"/>
      <c r="O94" s="155"/>
    </row>
    <row r="95" spans="2:15" x14ac:dyDescent="0.15">
      <c r="I95" s="155"/>
      <c r="J95" s="155"/>
      <c r="K95" s="155"/>
      <c r="L95" s="155"/>
      <c r="M95" s="155"/>
      <c r="N95" s="155"/>
      <c r="O95" s="155"/>
    </row>
    <row r="96" spans="2:15" x14ac:dyDescent="0.15">
      <c r="I96" s="155"/>
      <c r="J96" s="155"/>
      <c r="K96" s="155"/>
      <c r="L96" s="155"/>
      <c r="M96" s="155"/>
      <c r="N96" s="155"/>
      <c r="O96" s="155"/>
    </row>
    <row r="97" spans="9:15" x14ac:dyDescent="0.15">
      <c r="I97" s="155"/>
      <c r="J97" s="155"/>
      <c r="K97" s="155"/>
      <c r="L97" s="155"/>
      <c r="M97" s="155"/>
      <c r="N97" s="155"/>
      <c r="O97" s="155"/>
    </row>
    <row r="98" spans="9:15" x14ac:dyDescent="0.15">
      <c r="I98" s="155"/>
      <c r="J98" s="155"/>
      <c r="K98" s="155"/>
      <c r="L98" s="155"/>
      <c r="M98" s="155"/>
      <c r="N98" s="155"/>
      <c r="O98" s="155"/>
    </row>
    <row r="99" spans="9:15" x14ac:dyDescent="0.15">
      <c r="I99" s="155"/>
      <c r="J99" s="155"/>
      <c r="K99" s="155"/>
      <c r="L99" s="155"/>
      <c r="M99" s="155"/>
      <c r="N99" s="155"/>
      <c r="O99" s="155"/>
    </row>
    <row r="100" spans="9:15" x14ac:dyDescent="0.15">
      <c r="I100" s="155"/>
      <c r="J100" s="155"/>
      <c r="K100" s="155"/>
      <c r="L100" s="155"/>
      <c r="M100" s="155"/>
      <c r="N100" s="155"/>
      <c r="O100" s="155"/>
    </row>
    <row r="101" spans="9:15" x14ac:dyDescent="0.15">
      <c r="I101" s="155"/>
      <c r="J101" s="155"/>
      <c r="K101" s="155"/>
      <c r="L101" s="155"/>
      <c r="M101" s="155"/>
      <c r="N101" s="155"/>
      <c r="O101" s="155"/>
    </row>
    <row r="102" spans="9:15" x14ac:dyDescent="0.15">
      <c r="I102" s="155"/>
      <c r="J102" s="155"/>
      <c r="K102" s="155"/>
      <c r="L102" s="155"/>
      <c r="M102" s="155"/>
      <c r="N102" s="155"/>
      <c r="O102" s="155"/>
    </row>
    <row r="103" spans="9:15" x14ac:dyDescent="0.15">
      <c r="I103" s="155"/>
      <c r="J103" s="155"/>
      <c r="K103" s="155"/>
      <c r="L103" s="155"/>
      <c r="M103" s="155"/>
      <c r="N103" s="155"/>
      <c r="O103" s="155"/>
    </row>
    <row r="104" spans="9:15" x14ac:dyDescent="0.15">
      <c r="I104" s="155"/>
      <c r="J104" s="155"/>
      <c r="K104" s="155"/>
      <c r="L104" s="155"/>
      <c r="M104" s="155"/>
      <c r="N104" s="155"/>
      <c r="O104" s="155"/>
    </row>
    <row r="105" spans="9:15" x14ac:dyDescent="0.15">
      <c r="I105" s="155"/>
      <c r="J105" s="155"/>
      <c r="K105" s="155"/>
      <c r="L105" s="155"/>
      <c r="M105" s="155"/>
      <c r="N105" s="155"/>
      <c r="O105" s="155"/>
    </row>
    <row r="106" spans="9:15" x14ac:dyDescent="0.15">
      <c r="I106" s="155"/>
      <c r="J106" s="155"/>
      <c r="K106" s="155"/>
      <c r="L106" s="155"/>
      <c r="M106" s="155"/>
      <c r="N106" s="155"/>
      <c r="O106" s="155"/>
    </row>
    <row r="107" spans="9:15" x14ac:dyDescent="0.15">
      <c r="I107" s="155"/>
      <c r="J107" s="155"/>
      <c r="K107" s="155"/>
      <c r="L107" s="155"/>
      <c r="M107" s="155"/>
      <c r="N107" s="155"/>
      <c r="O107" s="155"/>
    </row>
    <row r="108" spans="9:15" x14ac:dyDescent="0.15">
      <c r="I108" s="155"/>
      <c r="J108" s="155"/>
      <c r="K108" s="155"/>
      <c r="L108" s="155"/>
      <c r="M108" s="155"/>
      <c r="N108" s="155"/>
      <c r="O108" s="155"/>
    </row>
    <row r="109" spans="9:15" x14ac:dyDescent="0.15">
      <c r="I109" s="155"/>
      <c r="J109" s="155"/>
      <c r="K109" s="155"/>
      <c r="L109" s="155"/>
      <c r="M109" s="155"/>
      <c r="N109" s="155"/>
      <c r="O109" s="155"/>
    </row>
    <row r="110" spans="9:15" x14ac:dyDescent="0.15">
      <c r="I110" s="155"/>
      <c r="J110" s="155"/>
      <c r="K110" s="155"/>
      <c r="L110" s="155"/>
      <c r="M110" s="155"/>
      <c r="N110" s="155"/>
      <c r="O110" s="155"/>
    </row>
    <row r="111" spans="9:15" x14ac:dyDescent="0.15">
      <c r="I111" s="155"/>
      <c r="J111" s="155"/>
      <c r="K111" s="155"/>
      <c r="L111" s="155"/>
      <c r="M111" s="155"/>
      <c r="N111" s="155"/>
      <c r="O111" s="155"/>
    </row>
    <row r="112" spans="9:15" x14ac:dyDescent="0.15">
      <c r="I112" s="155"/>
      <c r="J112" s="155"/>
      <c r="K112" s="155"/>
      <c r="L112" s="155"/>
      <c r="M112" s="155"/>
      <c r="N112" s="155"/>
      <c r="O112" s="155"/>
    </row>
    <row r="113" spans="9:15" x14ac:dyDescent="0.15">
      <c r="I113" s="155"/>
      <c r="J113" s="155"/>
      <c r="K113" s="155"/>
      <c r="L113" s="155"/>
      <c r="M113" s="155"/>
      <c r="N113" s="155"/>
      <c r="O113" s="155"/>
    </row>
    <row r="114" spans="9:15" x14ac:dyDescent="0.15">
      <c r="I114" s="155"/>
      <c r="J114" s="155"/>
      <c r="K114" s="155"/>
      <c r="L114" s="155"/>
      <c r="M114" s="155"/>
      <c r="N114" s="155"/>
      <c r="O114" s="155"/>
    </row>
    <row r="115" spans="9:15" x14ac:dyDescent="0.15">
      <c r="I115" s="155"/>
      <c r="J115" s="155"/>
      <c r="K115" s="155"/>
      <c r="L115" s="155"/>
      <c r="M115" s="155"/>
      <c r="N115" s="155"/>
      <c r="O115" s="155"/>
    </row>
    <row r="116" spans="9:15" x14ac:dyDescent="0.15">
      <c r="I116" s="155"/>
      <c r="J116" s="155"/>
      <c r="K116" s="155"/>
      <c r="L116" s="155"/>
      <c r="M116" s="155"/>
      <c r="N116" s="155"/>
      <c r="O116" s="155"/>
    </row>
    <row r="117" spans="9:15" x14ac:dyDescent="0.15">
      <c r="I117" s="155"/>
      <c r="J117" s="155"/>
      <c r="K117" s="155"/>
      <c r="L117" s="155"/>
      <c r="M117" s="155"/>
      <c r="N117" s="155"/>
      <c r="O117" s="155"/>
    </row>
    <row r="118" spans="9:15" x14ac:dyDescent="0.15">
      <c r="I118" s="155"/>
      <c r="J118" s="155"/>
      <c r="K118" s="155"/>
      <c r="L118" s="155"/>
      <c r="M118" s="155"/>
      <c r="N118" s="155"/>
      <c r="O118" s="155"/>
    </row>
    <row r="119" spans="9:15" x14ac:dyDescent="0.15">
      <c r="I119" s="155"/>
      <c r="J119" s="155"/>
      <c r="K119" s="155"/>
      <c r="L119" s="155"/>
      <c r="M119" s="155"/>
      <c r="N119" s="155"/>
      <c r="O119" s="155"/>
    </row>
    <row r="120" spans="9:15" x14ac:dyDescent="0.15">
      <c r="I120" s="155"/>
      <c r="J120" s="155"/>
      <c r="K120" s="155"/>
      <c r="L120" s="155"/>
      <c r="M120" s="155"/>
      <c r="N120" s="155"/>
      <c r="O120" s="155"/>
    </row>
    <row r="121" spans="9:15" x14ac:dyDescent="0.15">
      <c r="I121" s="155"/>
      <c r="J121" s="155"/>
      <c r="K121" s="155"/>
      <c r="L121" s="155"/>
      <c r="M121" s="155"/>
      <c r="N121" s="155"/>
      <c r="O121" s="155"/>
    </row>
    <row r="122" spans="9:15" x14ac:dyDescent="0.15">
      <c r="I122" s="155"/>
      <c r="J122" s="155"/>
      <c r="K122" s="155"/>
      <c r="L122" s="155"/>
      <c r="M122" s="155"/>
      <c r="N122" s="155"/>
      <c r="O122" s="155"/>
    </row>
    <row r="123" spans="9:15" x14ac:dyDescent="0.15">
      <c r="I123" s="155"/>
      <c r="J123" s="155"/>
      <c r="K123" s="155"/>
      <c r="L123" s="155"/>
      <c r="M123" s="155"/>
      <c r="N123" s="155"/>
      <c r="O123" s="155"/>
    </row>
    <row r="124" spans="9:15" x14ac:dyDescent="0.15">
      <c r="I124" s="155"/>
      <c r="J124" s="155"/>
      <c r="K124" s="155"/>
      <c r="L124" s="155"/>
      <c r="M124" s="155"/>
      <c r="N124" s="155"/>
      <c r="O124" s="155"/>
    </row>
    <row r="125" spans="9:15" x14ac:dyDescent="0.15">
      <c r="I125" s="155"/>
      <c r="J125" s="155"/>
      <c r="K125" s="155"/>
      <c r="L125" s="155"/>
      <c r="M125" s="155"/>
      <c r="N125" s="155"/>
      <c r="O125" s="155"/>
    </row>
    <row r="126" spans="9:15" x14ac:dyDescent="0.15">
      <c r="I126" s="155"/>
      <c r="J126" s="155"/>
      <c r="K126" s="155"/>
      <c r="L126" s="155"/>
      <c r="M126" s="155"/>
      <c r="N126" s="155"/>
      <c r="O126" s="155"/>
    </row>
    <row r="127" spans="9:15" x14ac:dyDescent="0.15">
      <c r="I127" s="155"/>
      <c r="J127" s="155"/>
      <c r="K127" s="155"/>
      <c r="L127" s="155"/>
      <c r="M127" s="155"/>
      <c r="N127" s="155"/>
      <c r="O127" s="155"/>
    </row>
    <row r="128" spans="9:15" x14ac:dyDescent="0.15">
      <c r="I128" s="155"/>
      <c r="J128" s="155"/>
      <c r="K128" s="155"/>
      <c r="L128" s="155"/>
      <c r="M128" s="155"/>
      <c r="N128" s="155"/>
      <c r="O128" s="155"/>
    </row>
    <row r="129" spans="9:15" x14ac:dyDescent="0.15">
      <c r="I129" s="155"/>
      <c r="J129" s="155"/>
      <c r="K129" s="155"/>
      <c r="L129" s="155"/>
      <c r="M129" s="155"/>
      <c r="N129" s="155"/>
      <c r="O129" s="155"/>
    </row>
    <row r="130" spans="9:15" x14ac:dyDescent="0.15">
      <c r="I130" s="155"/>
      <c r="J130" s="155"/>
      <c r="K130" s="155"/>
      <c r="L130" s="155"/>
      <c r="M130" s="155"/>
      <c r="N130" s="155"/>
      <c r="O130" s="155"/>
    </row>
    <row r="131" spans="9:15" x14ac:dyDescent="0.15">
      <c r="I131" s="155"/>
      <c r="J131" s="155"/>
      <c r="K131" s="155"/>
      <c r="L131" s="155"/>
      <c r="M131" s="155"/>
      <c r="N131" s="155"/>
      <c r="O131" s="155"/>
    </row>
    <row r="132" spans="9:15" x14ac:dyDescent="0.15">
      <c r="I132" s="155"/>
      <c r="J132" s="155"/>
      <c r="K132" s="155"/>
      <c r="L132" s="155"/>
      <c r="M132" s="155"/>
      <c r="N132" s="155"/>
      <c r="O132" s="155"/>
    </row>
    <row r="133" spans="9:15" x14ac:dyDescent="0.15">
      <c r="I133" s="155"/>
      <c r="J133" s="155"/>
      <c r="K133" s="155"/>
      <c r="L133" s="155"/>
      <c r="M133" s="155"/>
      <c r="N133" s="155"/>
      <c r="O133" s="155"/>
    </row>
    <row r="134" spans="9:15" x14ac:dyDescent="0.15">
      <c r="I134" s="155"/>
      <c r="J134" s="155"/>
      <c r="K134" s="155"/>
      <c r="L134" s="155"/>
      <c r="M134" s="155"/>
      <c r="N134" s="155"/>
      <c r="O134" s="155"/>
    </row>
    <row r="135" spans="9:15" x14ac:dyDescent="0.15">
      <c r="I135" s="155"/>
      <c r="J135" s="155"/>
      <c r="K135" s="155"/>
      <c r="L135" s="155"/>
      <c r="M135" s="155"/>
      <c r="N135" s="155"/>
      <c r="O135" s="155"/>
    </row>
    <row r="136" spans="9:15" x14ac:dyDescent="0.15">
      <c r="I136" s="155"/>
      <c r="J136" s="155"/>
      <c r="K136" s="155"/>
      <c r="L136" s="155"/>
      <c r="M136" s="155"/>
      <c r="N136" s="155"/>
      <c r="O136" s="155"/>
    </row>
    <row r="137" spans="9:15" x14ac:dyDescent="0.15">
      <c r="I137" s="155"/>
      <c r="J137" s="155"/>
      <c r="K137" s="155"/>
      <c r="L137" s="155"/>
      <c r="M137" s="155"/>
      <c r="N137" s="155"/>
      <c r="O137" s="155"/>
    </row>
    <row r="138" spans="9:15" x14ac:dyDescent="0.15">
      <c r="I138" s="155"/>
      <c r="J138" s="155"/>
      <c r="K138" s="155"/>
      <c r="L138" s="155"/>
      <c r="M138" s="155"/>
      <c r="N138" s="155"/>
      <c r="O138" s="155"/>
    </row>
    <row r="139" spans="9:15" x14ac:dyDescent="0.15">
      <c r="I139" s="155"/>
      <c r="J139" s="155"/>
      <c r="K139" s="155"/>
      <c r="L139" s="155"/>
      <c r="M139" s="155"/>
      <c r="N139" s="155"/>
      <c r="O139" s="155"/>
    </row>
    <row r="140" spans="9:15" x14ac:dyDescent="0.15">
      <c r="I140" s="155"/>
      <c r="J140" s="155"/>
      <c r="K140" s="155"/>
      <c r="L140" s="155"/>
      <c r="M140" s="155"/>
      <c r="N140" s="155"/>
    </row>
    <row r="141" spans="9:15" x14ac:dyDescent="0.15">
      <c r="I141" s="155"/>
      <c r="J141" s="155"/>
      <c r="K141" s="155"/>
      <c r="L141" s="155"/>
      <c r="M141" s="155"/>
      <c r="N141" s="155"/>
    </row>
    <row r="142" spans="9:15" x14ac:dyDescent="0.15">
      <c r="I142" s="155"/>
      <c r="J142" s="155"/>
      <c r="K142" s="155"/>
      <c r="L142" s="155"/>
      <c r="M142" s="155"/>
      <c r="N142" s="155"/>
    </row>
    <row r="143" spans="9:15" x14ac:dyDescent="0.15">
      <c r="I143" s="155"/>
      <c r="J143" s="155"/>
      <c r="K143" s="155"/>
      <c r="L143" s="155"/>
      <c r="M143" s="155"/>
      <c r="N143" s="155"/>
    </row>
    <row r="144" spans="9:15" x14ac:dyDescent="0.15">
      <c r="I144" s="155"/>
      <c r="J144" s="155"/>
      <c r="K144" s="155"/>
      <c r="L144" s="155"/>
      <c r="M144" s="155"/>
      <c r="N144" s="155"/>
    </row>
    <row r="145" spans="9:14" x14ac:dyDescent="0.15">
      <c r="I145" s="155"/>
      <c r="J145" s="155"/>
      <c r="K145" s="155"/>
      <c r="L145" s="155"/>
      <c r="M145" s="155"/>
      <c r="N145" s="155"/>
    </row>
    <row r="146" spans="9:14" x14ac:dyDescent="0.15">
      <c r="I146" s="155"/>
      <c r="J146" s="155"/>
      <c r="K146" s="155"/>
      <c r="L146" s="155"/>
      <c r="M146" s="155"/>
      <c r="N146" s="155"/>
    </row>
    <row r="147" spans="9:14" x14ac:dyDescent="0.15">
      <c r="I147" s="155"/>
      <c r="J147" s="155"/>
      <c r="K147" s="155"/>
      <c r="L147" s="155"/>
      <c r="M147" s="155"/>
      <c r="N147" s="155"/>
    </row>
    <row r="148" spans="9:14" x14ac:dyDescent="0.15">
      <c r="I148" s="155"/>
      <c r="J148" s="155"/>
      <c r="K148" s="155"/>
      <c r="L148" s="155"/>
      <c r="M148" s="155"/>
      <c r="N148" s="155"/>
    </row>
    <row r="149" spans="9:14" x14ac:dyDescent="0.15">
      <c r="I149" s="155"/>
      <c r="J149" s="155"/>
      <c r="K149" s="155"/>
      <c r="L149" s="155"/>
      <c r="M149" s="155"/>
      <c r="N149" s="155"/>
    </row>
    <row r="150" spans="9:14" x14ac:dyDescent="0.15">
      <c r="I150" s="155"/>
      <c r="J150" s="155"/>
      <c r="K150" s="155"/>
      <c r="L150" s="155"/>
      <c r="M150" s="155"/>
      <c r="N150" s="155"/>
    </row>
    <row r="151" spans="9:14" x14ac:dyDescent="0.15">
      <c r="I151" s="155"/>
      <c r="J151" s="155"/>
      <c r="K151" s="155"/>
      <c r="L151" s="155"/>
      <c r="M151" s="155"/>
      <c r="N151" s="155"/>
    </row>
    <row r="152" spans="9:14" x14ac:dyDescent="0.15">
      <c r="I152" s="155"/>
      <c r="J152" s="155"/>
      <c r="K152" s="155"/>
      <c r="L152" s="155"/>
      <c r="M152" s="155"/>
      <c r="N152" s="155"/>
    </row>
    <row r="153" spans="9:14" x14ac:dyDescent="0.15">
      <c r="I153" s="155"/>
      <c r="J153" s="155"/>
      <c r="K153" s="155"/>
      <c r="L153" s="155"/>
      <c r="M153" s="155"/>
      <c r="N153" s="155"/>
    </row>
    <row r="154" spans="9:14" x14ac:dyDescent="0.15">
      <c r="I154" s="155"/>
      <c r="J154" s="155"/>
      <c r="K154" s="155"/>
      <c r="L154" s="155"/>
      <c r="M154" s="155"/>
      <c r="N154" s="155"/>
    </row>
    <row r="155" spans="9:14" x14ac:dyDescent="0.15">
      <c r="J155" s="155"/>
      <c r="K155" s="155"/>
      <c r="L155" s="155"/>
      <c r="M155" s="155"/>
      <c r="N155" s="155"/>
    </row>
    <row r="156" spans="9:14" x14ac:dyDescent="0.15">
      <c r="J156" s="155"/>
      <c r="K156" s="155"/>
      <c r="L156" s="155"/>
      <c r="M156" s="155"/>
      <c r="N156" s="155"/>
    </row>
    <row r="173" spans="15:15" x14ac:dyDescent="0.15">
      <c r="O173" s="155"/>
    </row>
    <row r="174" spans="15:15" x14ac:dyDescent="0.15">
      <c r="O174" s="155"/>
    </row>
    <row r="175" spans="15:15" x14ac:dyDescent="0.15">
      <c r="O175" s="155"/>
    </row>
    <row r="176" spans="15:15" x14ac:dyDescent="0.15">
      <c r="O176" s="155"/>
    </row>
    <row r="177" spans="15:15" x14ac:dyDescent="0.15">
      <c r="O177" s="155"/>
    </row>
    <row r="178" spans="15:15" x14ac:dyDescent="0.15">
      <c r="O178" s="155"/>
    </row>
    <row r="179" spans="15:15" x14ac:dyDescent="0.15">
      <c r="O179" s="155"/>
    </row>
    <row r="180" spans="15:15" x14ac:dyDescent="0.15">
      <c r="O180" s="155"/>
    </row>
    <row r="181" spans="15:15" x14ac:dyDescent="0.15">
      <c r="O181" s="155"/>
    </row>
    <row r="182" spans="15:15" x14ac:dyDescent="0.15">
      <c r="O182" s="155"/>
    </row>
    <row r="183" spans="15:15" x14ac:dyDescent="0.15">
      <c r="O183" s="155"/>
    </row>
    <row r="184" spans="15:15" x14ac:dyDescent="0.15">
      <c r="O184" s="155"/>
    </row>
    <row r="185" spans="15:15" x14ac:dyDescent="0.15">
      <c r="O185" s="155"/>
    </row>
    <row r="186" spans="15:15" x14ac:dyDescent="0.15">
      <c r="O186" s="155"/>
    </row>
    <row r="187" spans="15:15" x14ac:dyDescent="0.15">
      <c r="O187" s="155"/>
    </row>
    <row r="188" spans="15:15" x14ac:dyDescent="0.15">
      <c r="O188" s="155"/>
    </row>
    <row r="189" spans="15:15" x14ac:dyDescent="0.15">
      <c r="O189" s="155"/>
    </row>
    <row r="190" spans="15:15" x14ac:dyDescent="0.15">
      <c r="O190" s="155"/>
    </row>
    <row r="191" spans="15:15" x14ac:dyDescent="0.15">
      <c r="O191" s="155"/>
    </row>
    <row r="192" spans="15:15" x14ac:dyDescent="0.15">
      <c r="O192" s="155"/>
    </row>
  </sheetData>
  <mergeCells count="70">
    <mergeCell ref="T14:U14"/>
    <mergeCell ref="T15:U15"/>
    <mergeCell ref="I25:I28"/>
    <mergeCell ref="B28:B38"/>
    <mergeCell ref="K35:L35"/>
    <mergeCell ref="K36:L36"/>
    <mergeCell ref="K37:L37"/>
    <mergeCell ref="K38:L38"/>
    <mergeCell ref="Q37:R37"/>
    <mergeCell ref="B5:B7"/>
    <mergeCell ref="T5:U5"/>
    <mergeCell ref="I6:I12"/>
    <mergeCell ref="T6:U6"/>
    <mergeCell ref="T7:U7"/>
    <mergeCell ref="I4:I5"/>
    <mergeCell ref="J4:J5"/>
    <mergeCell ref="M4:M5"/>
    <mergeCell ref="N4:N5"/>
    <mergeCell ref="T4:U4"/>
    <mergeCell ref="T8:U8"/>
    <mergeCell ref="T9:U9"/>
    <mergeCell ref="T11:U11"/>
    <mergeCell ref="T12:U12"/>
    <mergeCell ref="B8:B11"/>
    <mergeCell ref="B39:B49"/>
    <mergeCell ref="I36:I42"/>
    <mergeCell ref="T16:U16"/>
    <mergeCell ref="I17:I20"/>
    <mergeCell ref="T17:U17"/>
    <mergeCell ref="B17:B20"/>
    <mergeCell ref="T18:U18"/>
    <mergeCell ref="T19:U19"/>
    <mergeCell ref="T20:U20"/>
    <mergeCell ref="I21:I24"/>
    <mergeCell ref="T21:U21"/>
    <mergeCell ref="B21:B24"/>
    <mergeCell ref="B12:B16"/>
    <mergeCell ref="I13:I16"/>
    <mergeCell ref="T13:U13"/>
    <mergeCell ref="I29:I32"/>
    <mergeCell ref="K43:L43"/>
    <mergeCell ref="K44:L44"/>
    <mergeCell ref="K45:L45"/>
    <mergeCell ref="P45:P56"/>
    <mergeCell ref="K46:L46"/>
    <mergeCell ref="K49:L49"/>
    <mergeCell ref="K56:L56"/>
    <mergeCell ref="P38:P44"/>
    <mergeCell ref="K39:L39"/>
    <mergeCell ref="K40:L40"/>
    <mergeCell ref="K41:L41"/>
    <mergeCell ref="K42:L42"/>
    <mergeCell ref="K48:L48"/>
    <mergeCell ref="K55:L55"/>
    <mergeCell ref="Q45:Q49"/>
    <mergeCell ref="I57:J57"/>
    <mergeCell ref="K57:L57"/>
    <mergeCell ref="P57:Q57"/>
    <mergeCell ref="B50:B53"/>
    <mergeCell ref="K50:L50"/>
    <mergeCell ref="I51:I56"/>
    <mergeCell ref="K51:L51"/>
    <mergeCell ref="Q51:Q55"/>
    <mergeCell ref="K52:L52"/>
    <mergeCell ref="K53:L53"/>
    <mergeCell ref="B54:B57"/>
    <mergeCell ref="K54:L54"/>
    <mergeCell ref="I47:I50"/>
    <mergeCell ref="K47:L47"/>
    <mergeCell ref="I43:I46"/>
  </mergeCells>
  <phoneticPr fontId="4"/>
  <pageMargins left="0.78740157480314965" right="0.78740157480314965" top="0.78740157480314965" bottom="0.78740157480314965" header="0.39370078740157483" footer="0.39370078740157483"/>
  <pageSetup paperSize="9" scale="60" orientation="landscape" r:id="rId1"/>
  <headerFooter alignWithMargins="0">
    <oddHeader>&amp;R&amp;F</oddHeader>
    <oddFooter>&amp;R&amp;A</oddFooter>
  </headerFooter>
  <ignoredErrors>
    <ignoredError sqref="G38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V191"/>
  <sheetViews>
    <sheetView showZeros="0" zoomScale="75" zoomScaleNormal="75" zoomScaleSheetLayoutView="80" workbookViewId="0"/>
  </sheetViews>
  <sheetFormatPr defaultRowHeight="13.5" x14ac:dyDescent="0.15"/>
  <cols>
    <col min="1" max="1" width="1.625" style="45" customWidth="1"/>
    <col min="2" max="2" width="3.625" style="45" customWidth="1"/>
    <col min="3" max="3" width="27.25" style="45" customWidth="1"/>
    <col min="4" max="7" width="8.625" style="45" customWidth="1"/>
    <col min="8" max="8" width="1.625" style="155" customWidth="1"/>
    <col min="9" max="9" width="3.625" style="45" customWidth="1"/>
    <col min="10" max="10" width="15.625" style="45" customWidth="1"/>
    <col min="11" max="14" width="8.625" style="45" customWidth="1"/>
    <col min="15" max="15" width="3.5" style="45" customWidth="1"/>
    <col min="16" max="16" width="15.625" style="126" customWidth="1"/>
    <col min="17" max="17" width="8.625" style="45" customWidth="1"/>
    <col min="18" max="18" width="8.625" style="46" customWidth="1"/>
    <col min="19" max="21" width="8.625" style="45" customWidth="1"/>
    <col min="22" max="22" width="10.625" style="46" customWidth="1"/>
    <col min="23" max="262" width="9" style="45"/>
    <col min="263" max="263" width="1.375" style="45" customWidth="1"/>
    <col min="264" max="264" width="3.5" style="45" customWidth="1"/>
    <col min="265" max="265" width="22.125" style="45" customWidth="1"/>
    <col min="266" max="266" width="9.75" style="45" customWidth="1"/>
    <col min="267" max="267" width="7.375" style="45" customWidth="1"/>
    <col min="268" max="268" width="9" style="45"/>
    <col min="269" max="269" width="9.25" style="45" customWidth="1"/>
    <col min="270" max="270" width="3.5" style="45" customWidth="1"/>
    <col min="271" max="272" width="12.625" style="45" customWidth="1"/>
    <col min="273" max="273" width="9" style="45"/>
    <col min="274" max="274" width="7.75" style="45" customWidth="1"/>
    <col min="275" max="275" width="13.125" style="45" customWidth="1"/>
    <col min="276" max="276" width="6.125" style="45" customWidth="1"/>
    <col min="277" max="277" width="9.75" style="45" customWidth="1"/>
    <col min="278" max="278" width="1.375" style="45" customWidth="1"/>
    <col min="279" max="518" width="9" style="45"/>
    <col min="519" max="519" width="1.375" style="45" customWidth="1"/>
    <col min="520" max="520" width="3.5" style="45" customWidth="1"/>
    <col min="521" max="521" width="22.125" style="45" customWidth="1"/>
    <col min="522" max="522" width="9.75" style="45" customWidth="1"/>
    <col min="523" max="523" width="7.375" style="45" customWidth="1"/>
    <col min="524" max="524" width="9" style="45"/>
    <col min="525" max="525" width="9.25" style="45" customWidth="1"/>
    <col min="526" max="526" width="3.5" style="45" customWidth="1"/>
    <col min="527" max="528" width="12.625" style="45" customWidth="1"/>
    <col min="529" max="529" width="9" style="45"/>
    <col min="530" max="530" width="7.75" style="45" customWidth="1"/>
    <col min="531" max="531" width="13.125" style="45" customWidth="1"/>
    <col min="532" max="532" width="6.125" style="45" customWidth="1"/>
    <col min="533" max="533" width="9.75" style="45" customWidth="1"/>
    <col min="534" max="534" width="1.375" style="45" customWidth="1"/>
    <col min="535" max="774" width="9" style="45"/>
    <col min="775" max="775" width="1.375" style="45" customWidth="1"/>
    <col min="776" max="776" width="3.5" style="45" customWidth="1"/>
    <col min="777" max="777" width="22.125" style="45" customWidth="1"/>
    <col min="778" max="778" width="9.75" style="45" customWidth="1"/>
    <col min="779" max="779" width="7.375" style="45" customWidth="1"/>
    <col min="780" max="780" width="9" style="45"/>
    <col min="781" max="781" width="9.25" style="45" customWidth="1"/>
    <col min="782" max="782" width="3.5" style="45" customWidth="1"/>
    <col min="783" max="784" width="12.625" style="45" customWidth="1"/>
    <col min="785" max="785" width="9" style="45"/>
    <col min="786" max="786" width="7.75" style="45" customWidth="1"/>
    <col min="787" max="787" width="13.125" style="45" customWidth="1"/>
    <col min="788" max="788" width="6.125" style="45" customWidth="1"/>
    <col min="789" max="789" width="9.75" style="45" customWidth="1"/>
    <col min="790" max="790" width="1.375" style="45" customWidth="1"/>
    <col min="791" max="1030" width="9" style="45"/>
    <col min="1031" max="1031" width="1.375" style="45" customWidth="1"/>
    <col min="1032" max="1032" width="3.5" style="45" customWidth="1"/>
    <col min="1033" max="1033" width="22.125" style="45" customWidth="1"/>
    <col min="1034" max="1034" width="9.75" style="45" customWidth="1"/>
    <col min="1035" max="1035" width="7.375" style="45" customWidth="1"/>
    <col min="1036" max="1036" width="9" style="45"/>
    <col min="1037" max="1037" width="9.25" style="45" customWidth="1"/>
    <col min="1038" max="1038" width="3.5" style="45" customWidth="1"/>
    <col min="1039" max="1040" width="12.625" style="45" customWidth="1"/>
    <col min="1041" max="1041" width="9" style="45"/>
    <col min="1042" max="1042" width="7.75" style="45" customWidth="1"/>
    <col min="1043" max="1043" width="13.125" style="45" customWidth="1"/>
    <col min="1044" max="1044" width="6.125" style="45" customWidth="1"/>
    <col min="1045" max="1045" width="9.75" style="45" customWidth="1"/>
    <col min="1046" max="1046" width="1.375" style="45" customWidth="1"/>
    <col min="1047" max="1286" width="9" style="45"/>
    <col min="1287" max="1287" width="1.375" style="45" customWidth="1"/>
    <col min="1288" max="1288" width="3.5" style="45" customWidth="1"/>
    <col min="1289" max="1289" width="22.125" style="45" customWidth="1"/>
    <col min="1290" max="1290" width="9.75" style="45" customWidth="1"/>
    <col min="1291" max="1291" width="7.375" style="45" customWidth="1"/>
    <col min="1292" max="1292" width="9" style="45"/>
    <col min="1293" max="1293" width="9.25" style="45" customWidth="1"/>
    <col min="1294" max="1294" width="3.5" style="45" customWidth="1"/>
    <col min="1295" max="1296" width="12.625" style="45" customWidth="1"/>
    <col min="1297" max="1297" width="9" style="45"/>
    <col min="1298" max="1298" width="7.75" style="45" customWidth="1"/>
    <col min="1299" max="1299" width="13.125" style="45" customWidth="1"/>
    <col min="1300" max="1300" width="6.125" style="45" customWidth="1"/>
    <col min="1301" max="1301" width="9.75" style="45" customWidth="1"/>
    <col min="1302" max="1302" width="1.375" style="45" customWidth="1"/>
    <col min="1303" max="1542" width="9" style="45"/>
    <col min="1543" max="1543" width="1.375" style="45" customWidth="1"/>
    <col min="1544" max="1544" width="3.5" style="45" customWidth="1"/>
    <col min="1545" max="1545" width="22.125" style="45" customWidth="1"/>
    <col min="1546" max="1546" width="9.75" style="45" customWidth="1"/>
    <col min="1547" max="1547" width="7.375" style="45" customWidth="1"/>
    <col min="1548" max="1548" width="9" style="45"/>
    <col min="1549" max="1549" width="9.25" style="45" customWidth="1"/>
    <col min="1550" max="1550" width="3.5" style="45" customWidth="1"/>
    <col min="1551" max="1552" width="12.625" style="45" customWidth="1"/>
    <col min="1553" max="1553" width="9" style="45"/>
    <col min="1554" max="1554" width="7.75" style="45" customWidth="1"/>
    <col min="1555" max="1555" width="13.125" style="45" customWidth="1"/>
    <col min="1556" max="1556" width="6.125" style="45" customWidth="1"/>
    <col min="1557" max="1557" width="9.75" style="45" customWidth="1"/>
    <col min="1558" max="1558" width="1.375" style="45" customWidth="1"/>
    <col min="1559" max="1798" width="9" style="45"/>
    <col min="1799" max="1799" width="1.375" style="45" customWidth="1"/>
    <col min="1800" max="1800" width="3.5" style="45" customWidth="1"/>
    <col min="1801" max="1801" width="22.125" style="45" customWidth="1"/>
    <col min="1802" max="1802" width="9.75" style="45" customWidth="1"/>
    <col min="1803" max="1803" width="7.375" style="45" customWidth="1"/>
    <col min="1804" max="1804" width="9" style="45"/>
    <col min="1805" max="1805" width="9.25" style="45" customWidth="1"/>
    <col min="1806" max="1806" width="3.5" style="45" customWidth="1"/>
    <col min="1807" max="1808" width="12.625" style="45" customWidth="1"/>
    <col min="1809" max="1809" width="9" style="45"/>
    <col min="1810" max="1810" width="7.75" style="45" customWidth="1"/>
    <col min="1811" max="1811" width="13.125" style="45" customWidth="1"/>
    <col min="1812" max="1812" width="6.125" style="45" customWidth="1"/>
    <col min="1813" max="1813" width="9.75" style="45" customWidth="1"/>
    <col min="1814" max="1814" width="1.375" style="45" customWidth="1"/>
    <col min="1815" max="2054" width="9" style="45"/>
    <col min="2055" max="2055" width="1.375" style="45" customWidth="1"/>
    <col min="2056" max="2056" width="3.5" style="45" customWidth="1"/>
    <col min="2057" max="2057" width="22.125" style="45" customWidth="1"/>
    <col min="2058" max="2058" width="9.75" style="45" customWidth="1"/>
    <col min="2059" max="2059" width="7.375" style="45" customWidth="1"/>
    <col min="2060" max="2060" width="9" style="45"/>
    <col min="2061" max="2061" width="9.25" style="45" customWidth="1"/>
    <col min="2062" max="2062" width="3.5" style="45" customWidth="1"/>
    <col min="2063" max="2064" width="12.625" style="45" customWidth="1"/>
    <col min="2065" max="2065" width="9" style="45"/>
    <col min="2066" max="2066" width="7.75" style="45" customWidth="1"/>
    <col min="2067" max="2067" width="13.125" style="45" customWidth="1"/>
    <col min="2068" max="2068" width="6.125" style="45" customWidth="1"/>
    <col min="2069" max="2069" width="9.75" style="45" customWidth="1"/>
    <col min="2070" max="2070" width="1.375" style="45" customWidth="1"/>
    <col min="2071" max="2310" width="9" style="45"/>
    <col min="2311" max="2311" width="1.375" style="45" customWidth="1"/>
    <col min="2312" max="2312" width="3.5" style="45" customWidth="1"/>
    <col min="2313" max="2313" width="22.125" style="45" customWidth="1"/>
    <col min="2314" max="2314" width="9.75" style="45" customWidth="1"/>
    <col min="2315" max="2315" width="7.375" style="45" customWidth="1"/>
    <col min="2316" max="2316" width="9" style="45"/>
    <col min="2317" max="2317" width="9.25" style="45" customWidth="1"/>
    <col min="2318" max="2318" width="3.5" style="45" customWidth="1"/>
    <col min="2319" max="2320" width="12.625" style="45" customWidth="1"/>
    <col min="2321" max="2321" width="9" style="45"/>
    <col min="2322" max="2322" width="7.75" style="45" customWidth="1"/>
    <col min="2323" max="2323" width="13.125" style="45" customWidth="1"/>
    <col min="2324" max="2324" width="6.125" style="45" customWidth="1"/>
    <col min="2325" max="2325" width="9.75" style="45" customWidth="1"/>
    <col min="2326" max="2326" width="1.375" style="45" customWidth="1"/>
    <col min="2327" max="2566" width="9" style="45"/>
    <col min="2567" max="2567" width="1.375" style="45" customWidth="1"/>
    <col min="2568" max="2568" width="3.5" style="45" customWidth="1"/>
    <col min="2569" max="2569" width="22.125" style="45" customWidth="1"/>
    <col min="2570" max="2570" width="9.75" style="45" customWidth="1"/>
    <col min="2571" max="2571" width="7.375" style="45" customWidth="1"/>
    <col min="2572" max="2572" width="9" style="45"/>
    <col min="2573" max="2573" width="9.25" style="45" customWidth="1"/>
    <col min="2574" max="2574" width="3.5" style="45" customWidth="1"/>
    <col min="2575" max="2576" width="12.625" style="45" customWidth="1"/>
    <col min="2577" max="2577" width="9" style="45"/>
    <col min="2578" max="2578" width="7.75" style="45" customWidth="1"/>
    <col min="2579" max="2579" width="13.125" style="45" customWidth="1"/>
    <col min="2580" max="2580" width="6.125" style="45" customWidth="1"/>
    <col min="2581" max="2581" width="9.75" style="45" customWidth="1"/>
    <col min="2582" max="2582" width="1.375" style="45" customWidth="1"/>
    <col min="2583" max="2822" width="9" style="45"/>
    <col min="2823" max="2823" width="1.375" style="45" customWidth="1"/>
    <col min="2824" max="2824" width="3.5" style="45" customWidth="1"/>
    <col min="2825" max="2825" width="22.125" style="45" customWidth="1"/>
    <col min="2826" max="2826" width="9.75" style="45" customWidth="1"/>
    <col min="2827" max="2827" width="7.375" style="45" customWidth="1"/>
    <col min="2828" max="2828" width="9" style="45"/>
    <col min="2829" max="2829" width="9.25" style="45" customWidth="1"/>
    <col min="2830" max="2830" width="3.5" style="45" customWidth="1"/>
    <col min="2831" max="2832" width="12.625" style="45" customWidth="1"/>
    <col min="2833" max="2833" width="9" style="45"/>
    <col min="2834" max="2834" width="7.75" style="45" customWidth="1"/>
    <col min="2835" max="2835" width="13.125" style="45" customWidth="1"/>
    <col min="2836" max="2836" width="6.125" style="45" customWidth="1"/>
    <col min="2837" max="2837" width="9.75" style="45" customWidth="1"/>
    <col min="2838" max="2838" width="1.375" style="45" customWidth="1"/>
    <col min="2839" max="3078" width="9" style="45"/>
    <col min="3079" max="3079" width="1.375" style="45" customWidth="1"/>
    <col min="3080" max="3080" width="3.5" style="45" customWidth="1"/>
    <col min="3081" max="3081" width="22.125" style="45" customWidth="1"/>
    <col min="3082" max="3082" width="9.75" style="45" customWidth="1"/>
    <col min="3083" max="3083" width="7.375" style="45" customWidth="1"/>
    <col min="3084" max="3084" width="9" style="45"/>
    <col min="3085" max="3085" width="9.25" style="45" customWidth="1"/>
    <col min="3086" max="3086" width="3.5" style="45" customWidth="1"/>
    <col min="3087" max="3088" width="12.625" style="45" customWidth="1"/>
    <col min="3089" max="3089" width="9" style="45"/>
    <col min="3090" max="3090" width="7.75" style="45" customWidth="1"/>
    <col min="3091" max="3091" width="13.125" style="45" customWidth="1"/>
    <col min="3092" max="3092" width="6.125" style="45" customWidth="1"/>
    <col min="3093" max="3093" width="9.75" style="45" customWidth="1"/>
    <col min="3094" max="3094" width="1.375" style="45" customWidth="1"/>
    <col min="3095" max="3334" width="9" style="45"/>
    <col min="3335" max="3335" width="1.375" style="45" customWidth="1"/>
    <col min="3336" max="3336" width="3.5" style="45" customWidth="1"/>
    <col min="3337" max="3337" width="22.125" style="45" customWidth="1"/>
    <col min="3338" max="3338" width="9.75" style="45" customWidth="1"/>
    <col min="3339" max="3339" width="7.375" style="45" customWidth="1"/>
    <col min="3340" max="3340" width="9" style="45"/>
    <col min="3341" max="3341" width="9.25" style="45" customWidth="1"/>
    <col min="3342" max="3342" width="3.5" style="45" customWidth="1"/>
    <col min="3343" max="3344" width="12.625" style="45" customWidth="1"/>
    <col min="3345" max="3345" width="9" style="45"/>
    <col min="3346" max="3346" width="7.75" style="45" customWidth="1"/>
    <col min="3347" max="3347" width="13.125" style="45" customWidth="1"/>
    <col min="3348" max="3348" width="6.125" style="45" customWidth="1"/>
    <col min="3349" max="3349" width="9.75" style="45" customWidth="1"/>
    <col min="3350" max="3350" width="1.375" style="45" customWidth="1"/>
    <col min="3351" max="3590" width="9" style="45"/>
    <col min="3591" max="3591" width="1.375" style="45" customWidth="1"/>
    <col min="3592" max="3592" width="3.5" style="45" customWidth="1"/>
    <col min="3593" max="3593" width="22.125" style="45" customWidth="1"/>
    <col min="3594" max="3594" width="9.75" style="45" customWidth="1"/>
    <col min="3595" max="3595" width="7.375" style="45" customWidth="1"/>
    <col min="3596" max="3596" width="9" style="45"/>
    <col min="3597" max="3597" width="9.25" style="45" customWidth="1"/>
    <col min="3598" max="3598" width="3.5" style="45" customWidth="1"/>
    <col min="3599" max="3600" width="12.625" style="45" customWidth="1"/>
    <col min="3601" max="3601" width="9" style="45"/>
    <col min="3602" max="3602" width="7.75" style="45" customWidth="1"/>
    <col min="3603" max="3603" width="13.125" style="45" customWidth="1"/>
    <col min="3604" max="3604" width="6.125" style="45" customWidth="1"/>
    <col min="3605" max="3605" width="9.75" style="45" customWidth="1"/>
    <col min="3606" max="3606" width="1.375" style="45" customWidth="1"/>
    <col min="3607" max="3846" width="9" style="45"/>
    <col min="3847" max="3847" width="1.375" style="45" customWidth="1"/>
    <col min="3848" max="3848" width="3.5" style="45" customWidth="1"/>
    <col min="3849" max="3849" width="22.125" style="45" customWidth="1"/>
    <col min="3850" max="3850" width="9.75" style="45" customWidth="1"/>
    <col min="3851" max="3851" width="7.375" style="45" customWidth="1"/>
    <col min="3852" max="3852" width="9" style="45"/>
    <col min="3853" max="3853" width="9.25" style="45" customWidth="1"/>
    <col min="3854" max="3854" width="3.5" style="45" customWidth="1"/>
    <col min="3855" max="3856" width="12.625" style="45" customWidth="1"/>
    <col min="3857" max="3857" width="9" style="45"/>
    <col min="3858" max="3858" width="7.75" style="45" customWidth="1"/>
    <col min="3859" max="3859" width="13.125" style="45" customWidth="1"/>
    <col min="3860" max="3860" width="6.125" style="45" customWidth="1"/>
    <col min="3861" max="3861" width="9.75" style="45" customWidth="1"/>
    <col min="3862" max="3862" width="1.375" style="45" customWidth="1"/>
    <col min="3863" max="4102" width="9" style="45"/>
    <col min="4103" max="4103" width="1.375" style="45" customWidth="1"/>
    <col min="4104" max="4104" width="3.5" style="45" customWidth="1"/>
    <col min="4105" max="4105" width="22.125" style="45" customWidth="1"/>
    <col min="4106" max="4106" width="9.75" style="45" customWidth="1"/>
    <col min="4107" max="4107" width="7.375" style="45" customWidth="1"/>
    <col min="4108" max="4108" width="9" style="45"/>
    <col min="4109" max="4109" width="9.25" style="45" customWidth="1"/>
    <col min="4110" max="4110" width="3.5" style="45" customWidth="1"/>
    <col min="4111" max="4112" width="12.625" style="45" customWidth="1"/>
    <col min="4113" max="4113" width="9" style="45"/>
    <col min="4114" max="4114" width="7.75" style="45" customWidth="1"/>
    <col min="4115" max="4115" width="13.125" style="45" customWidth="1"/>
    <col min="4116" max="4116" width="6.125" style="45" customWidth="1"/>
    <col min="4117" max="4117" width="9.75" style="45" customWidth="1"/>
    <col min="4118" max="4118" width="1.375" style="45" customWidth="1"/>
    <col min="4119" max="4358" width="9" style="45"/>
    <col min="4359" max="4359" width="1.375" style="45" customWidth="1"/>
    <col min="4360" max="4360" width="3.5" style="45" customWidth="1"/>
    <col min="4361" max="4361" width="22.125" style="45" customWidth="1"/>
    <col min="4362" max="4362" width="9.75" style="45" customWidth="1"/>
    <col min="4363" max="4363" width="7.375" style="45" customWidth="1"/>
    <col min="4364" max="4364" width="9" style="45"/>
    <col min="4365" max="4365" width="9.25" style="45" customWidth="1"/>
    <col min="4366" max="4366" width="3.5" style="45" customWidth="1"/>
    <col min="4367" max="4368" width="12.625" style="45" customWidth="1"/>
    <col min="4369" max="4369" width="9" style="45"/>
    <col min="4370" max="4370" width="7.75" style="45" customWidth="1"/>
    <col min="4371" max="4371" width="13.125" style="45" customWidth="1"/>
    <col min="4372" max="4372" width="6.125" style="45" customWidth="1"/>
    <col min="4373" max="4373" width="9.75" style="45" customWidth="1"/>
    <col min="4374" max="4374" width="1.375" style="45" customWidth="1"/>
    <col min="4375" max="4614" width="9" style="45"/>
    <col min="4615" max="4615" width="1.375" style="45" customWidth="1"/>
    <col min="4616" max="4616" width="3.5" style="45" customWidth="1"/>
    <col min="4617" max="4617" width="22.125" style="45" customWidth="1"/>
    <col min="4618" max="4618" width="9.75" style="45" customWidth="1"/>
    <col min="4619" max="4619" width="7.375" style="45" customWidth="1"/>
    <col min="4620" max="4620" width="9" style="45"/>
    <col min="4621" max="4621" width="9.25" style="45" customWidth="1"/>
    <col min="4622" max="4622" width="3.5" style="45" customWidth="1"/>
    <col min="4623" max="4624" width="12.625" style="45" customWidth="1"/>
    <col min="4625" max="4625" width="9" style="45"/>
    <col min="4626" max="4626" width="7.75" style="45" customWidth="1"/>
    <col min="4627" max="4627" width="13.125" style="45" customWidth="1"/>
    <col min="4628" max="4628" width="6.125" style="45" customWidth="1"/>
    <col min="4629" max="4629" width="9.75" style="45" customWidth="1"/>
    <col min="4630" max="4630" width="1.375" style="45" customWidth="1"/>
    <col min="4631" max="4870" width="9" style="45"/>
    <col min="4871" max="4871" width="1.375" style="45" customWidth="1"/>
    <col min="4872" max="4872" width="3.5" style="45" customWidth="1"/>
    <col min="4873" max="4873" width="22.125" style="45" customWidth="1"/>
    <col min="4874" max="4874" width="9.75" style="45" customWidth="1"/>
    <col min="4875" max="4875" width="7.375" style="45" customWidth="1"/>
    <col min="4876" max="4876" width="9" style="45"/>
    <col min="4877" max="4877" width="9.25" style="45" customWidth="1"/>
    <col min="4878" max="4878" width="3.5" style="45" customWidth="1"/>
    <col min="4879" max="4880" width="12.625" style="45" customWidth="1"/>
    <col min="4881" max="4881" width="9" style="45"/>
    <col min="4882" max="4882" width="7.75" style="45" customWidth="1"/>
    <col min="4883" max="4883" width="13.125" style="45" customWidth="1"/>
    <col min="4884" max="4884" width="6.125" style="45" customWidth="1"/>
    <col min="4885" max="4885" width="9.75" style="45" customWidth="1"/>
    <col min="4886" max="4886" width="1.375" style="45" customWidth="1"/>
    <col min="4887" max="5126" width="9" style="45"/>
    <col min="5127" max="5127" width="1.375" style="45" customWidth="1"/>
    <col min="5128" max="5128" width="3.5" style="45" customWidth="1"/>
    <col min="5129" max="5129" width="22.125" style="45" customWidth="1"/>
    <col min="5130" max="5130" width="9.75" style="45" customWidth="1"/>
    <col min="5131" max="5131" width="7.375" style="45" customWidth="1"/>
    <col min="5132" max="5132" width="9" style="45"/>
    <col min="5133" max="5133" width="9.25" style="45" customWidth="1"/>
    <col min="5134" max="5134" width="3.5" style="45" customWidth="1"/>
    <col min="5135" max="5136" width="12.625" style="45" customWidth="1"/>
    <col min="5137" max="5137" width="9" style="45"/>
    <col min="5138" max="5138" width="7.75" style="45" customWidth="1"/>
    <col min="5139" max="5139" width="13.125" style="45" customWidth="1"/>
    <col min="5140" max="5140" width="6.125" style="45" customWidth="1"/>
    <col min="5141" max="5141" width="9.75" style="45" customWidth="1"/>
    <col min="5142" max="5142" width="1.375" style="45" customWidth="1"/>
    <col min="5143" max="5382" width="9" style="45"/>
    <col min="5383" max="5383" width="1.375" style="45" customWidth="1"/>
    <col min="5384" max="5384" width="3.5" style="45" customWidth="1"/>
    <col min="5385" max="5385" width="22.125" style="45" customWidth="1"/>
    <col min="5386" max="5386" width="9.75" style="45" customWidth="1"/>
    <col min="5387" max="5387" width="7.375" style="45" customWidth="1"/>
    <col min="5388" max="5388" width="9" style="45"/>
    <col min="5389" max="5389" width="9.25" style="45" customWidth="1"/>
    <col min="5390" max="5390" width="3.5" style="45" customWidth="1"/>
    <col min="5391" max="5392" width="12.625" style="45" customWidth="1"/>
    <col min="5393" max="5393" width="9" style="45"/>
    <col min="5394" max="5394" width="7.75" style="45" customWidth="1"/>
    <col min="5395" max="5395" width="13.125" style="45" customWidth="1"/>
    <col min="5396" max="5396" width="6.125" style="45" customWidth="1"/>
    <col min="5397" max="5397" width="9.75" style="45" customWidth="1"/>
    <col min="5398" max="5398" width="1.375" style="45" customWidth="1"/>
    <col min="5399" max="5638" width="9" style="45"/>
    <col min="5639" max="5639" width="1.375" style="45" customWidth="1"/>
    <col min="5640" max="5640" width="3.5" style="45" customWidth="1"/>
    <col min="5641" max="5641" width="22.125" style="45" customWidth="1"/>
    <col min="5642" max="5642" width="9.75" style="45" customWidth="1"/>
    <col min="5643" max="5643" width="7.375" style="45" customWidth="1"/>
    <col min="5644" max="5644" width="9" style="45"/>
    <col min="5645" max="5645" width="9.25" style="45" customWidth="1"/>
    <col min="5646" max="5646" width="3.5" style="45" customWidth="1"/>
    <col min="5647" max="5648" width="12.625" style="45" customWidth="1"/>
    <col min="5649" max="5649" width="9" style="45"/>
    <col min="5650" max="5650" width="7.75" style="45" customWidth="1"/>
    <col min="5651" max="5651" width="13.125" style="45" customWidth="1"/>
    <col min="5652" max="5652" width="6.125" style="45" customWidth="1"/>
    <col min="5653" max="5653" width="9.75" style="45" customWidth="1"/>
    <col min="5654" max="5654" width="1.375" style="45" customWidth="1"/>
    <col min="5655" max="5894" width="9" style="45"/>
    <col min="5895" max="5895" width="1.375" style="45" customWidth="1"/>
    <col min="5896" max="5896" width="3.5" style="45" customWidth="1"/>
    <col min="5897" max="5897" width="22.125" style="45" customWidth="1"/>
    <col min="5898" max="5898" width="9.75" style="45" customWidth="1"/>
    <col min="5899" max="5899" width="7.375" style="45" customWidth="1"/>
    <col min="5900" max="5900" width="9" style="45"/>
    <col min="5901" max="5901" width="9.25" style="45" customWidth="1"/>
    <col min="5902" max="5902" width="3.5" style="45" customWidth="1"/>
    <col min="5903" max="5904" width="12.625" style="45" customWidth="1"/>
    <col min="5905" max="5905" width="9" style="45"/>
    <col min="5906" max="5906" width="7.75" style="45" customWidth="1"/>
    <col min="5907" max="5907" width="13.125" style="45" customWidth="1"/>
    <col min="5908" max="5908" width="6.125" style="45" customWidth="1"/>
    <col min="5909" max="5909" width="9.75" style="45" customWidth="1"/>
    <col min="5910" max="5910" width="1.375" style="45" customWidth="1"/>
    <col min="5911" max="6150" width="9" style="45"/>
    <col min="6151" max="6151" width="1.375" style="45" customWidth="1"/>
    <col min="6152" max="6152" width="3.5" style="45" customWidth="1"/>
    <col min="6153" max="6153" width="22.125" style="45" customWidth="1"/>
    <col min="6154" max="6154" width="9.75" style="45" customWidth="1"/>
    <col min="6155" max="6155" width="7.375" style="45" customWidth="1"/>
    <col min="6156" max="6156" width="9" style="45"/>
    <col min="6157" max="6157" width="9.25" style="45" customWidth="1"/>
    <col min="6158" max="6158" width="3.5" style="45" customWidth="1"/>
    <col min="6159" max="6160" width="12.625" style="45" customWidth="1"/>
    <col min="6161" max="6161" width="9" style="45"/>
    <col min="6162" max="6162" width="7.75" style="45" customWidth="1"/>
    <col min="6163" max="6163" width="13.125" style="45" customWidth="1"/>
    <col min="6164" max="6164" width="6.125" style="45" customWidth="1"/>
    <col min="6165" max="6165" width="9.75" style="45" customWidth="1"/>
    <col min="6166" max="6166" width="1.375" style="45" customWidth="1"/>
    <col min="6167" max="6406" width="9" style="45"/>
    <col min="6407" max="6407" width="1.375" style="45" customWidth="1"/>
    <col min="6408" max="6408" width="3.5" style="45" customWidth="1"/>
    <col min="6409" max="6409" width="22.125" style="45" customWidth="1"/>
    <col min="6410" max="6410" width="9.75" style="45" customWidth="1"/>
    <col min="6411" max="6411" width="7.375" style="45" customWidth="1"/>
    <col min="6412" max="6412" width="9" style="45"/>
    <col min="6413" max="6413" width="9.25" style="45" customWidth="1"/>
    <col min="6414" max="6414" width="3.5" style="45" customWidth="1"/>
    <col min="6415" max="6416" width="12.625" style="45" customWidth="1"/>
    <col min="6417" max="6417" width="9" style="45"/>
    <col min="6418" max="6418" width="7.75" style="45" customWidth="1"/>
    <col min="6419" max="6419" width="13.125" style="45" customWidth="1"/>
    <col min="6420" max="6420" width="6.125" style="45" customWidth="1"/>
    <col min="6421" max="6421" width="9.75" style="45" customWidth="1"/>
    <col min="6422" max="6422" width="1.375" style="45" customWidth="1"/>
    <col min="6423" max="6662" width="9" style="45"/>
    <col min="6663" max="6663" width="1.375" style="45" customWidth="1"/>
    <col min="6664" max="6664" width="3.5" style="45" customWidth="1"/>
    <col min="6665" max="6665" width="22.125" style="45" customWidth="1"/>
    <col min="6666" max="6666" width="9.75" style="45" customWidth="1"/>
    <col min="6667" max="6667" width="7.375" style="45" customWidth="1"/>
    <col min="6668" max="6668" width="9" style="45"/>
    <col min="6669" max="6669" width="9.25" style="45" customWidth="1"/>
    <col min="6670" max="6670" width="3.5" style="45" customWidth="1"/>
    <col min="6671" max="6672" width="12.625" style="45" customWidth="1"/>
    <col min="6673" max="6673" width="9" style="45"/>
    <col min="6674" max="6674" width="7.75" style="45" customWidth="1"/>
    <col min="6675" max="6675" width="13.125" style="45" customWidth="1"/>
    <col min="6676" max="6676" width="6.125" style="45" customWidth="1"/>
    <col min="6677" max="6677" width="9.75" style="45" customWidth="1"/>
    <col min="6678" max="6678" width="1.375" style="45" customWidth="1"/>
    <col min="6679" max="6918" width="9" style="45"/>
    <col min="6919" max="6919" width="1.375" style="45" customWidth="1"/>
    <col min="6920" max="6920" width="3.5" style="45" customWidth="1"/>
    <col min="6921" max="6921" width="22.125" style="45" customWidth="1"/>
    <col min="6922" max="6922" width="9.75" style="45" customWidth="1"/>
    <col min="6923" max="6923" width="7.375" style="45" customWidth="1"/>
    <col min="6924" max="6924" width="9" style="45"/>
    <col min="6925" max="6925" width="9.25" style="45" customWidth="1"/>
    <col min="6926" max="6926" width="3.5" style="45" customWidth="1"/>
    <col min="6927" max="6928" width="12.625" style="45" customWidth="1"/>
    <col min="6929" max="6929" width="9" style="45"/>
    <col min="6930" max="6930" width="7.75" style="45" customWidth="1"/>
    <col min="6931" max="6931" width="13.125" style="45" customWidth="1"/>
    <col min="6932" max="6932" width="6.125" style="45" customWidth="1"/>
    <col min="6933" max="6933" width="9.75" style="45" customWidth="1"/>
    <col min="6934" max="6934" width="1.375" style="45" customWidth="1"/>
    <col min="6935" max="7174" width="9" style="45"/>
    <col min="7175" max="7175" width="1.375" style="45" customWidth="1"/>
    <col min="7176" max="7176" width="3.5" style="45" customWidth="1"/>
    <col min="7177" max="7177" width="22.125" style="45" customWidth="1"/>
    <col min="7178" max="7178" width="9.75" style="45" customWidth="1"/>
    <col min="7179" max="7179" width="7.375" style="45" customWidth="1"/>
    <col min="7180" max="7180" width="9" style="45"/>
    <col min="7181" max="7181" width="9.25" style="45" customWidth="1"/>
    <col min="7182" max="7182" width="3.5" style="45" customWidth="1"/>
    <col min="7183" max="7184" width="12.625" style="45" customWidth="1"/>
    <col min="7185" max="7185" width="9" style="45"/>
    <col min="7186" max="7186" width="7.75" style="45" customWidth="1"/>
    <col min="7187" max="7187" width="13.125" style="45" customWidth="1"/>
    <col min="7188" max="7188" width="6.125" style="45" customWidth="1"/>
    <col min="7189" max="7189" width="9.75" style="45" customWidth="1"/>
    <col min="7190" max="7190" width="1.375" style="45" customWidth="1"/>
    <col min="7191" max="7430" width="9" style="45"/>
    <col min="7431" max="7431" width="1.375" style="45" customWidth="1"/>
    <col min="7432" max="7432" width="3.5" style="45" customWidth="1"/>
    <col min="7433" max="7433" width="22.125" style="45" customWidth="1"/>
    <col min="7434" max="7434" width="9.75" style="45" customWidth="1"/>
    <col min="7435" max="7435" width="7.375" style="45" customWidth="1"/>
    <col min="7436" max="7436" width="9" style="45"/>
    <col min="7437" max="7437" width="9.25" style="45" customWidth="1"/>
    <col min="7438" max="7438" width="3.5" style="45" customWidth="1"/>
    <col min="7439" max="7440" width="12.625" style="45" customWidth="1"/>
    <col min="7441" max="7441" width="9" style="45"/>
    <col min="7442" max="7442" width="7.75" style="45" customWidth="1"/>
    <col min="7443" max="7443" width="13.125" style="45" customWidth="1"/>
    <col min="7444" max="7444" width="6.125" style="45" customWidth="1"/>
    <col min="7445" max="7445" width="9.75" style="45" customWidth="1"/>
    <col min="7446" max="7446" width="1.375" style="45" customWidth="1"/>
    <col min="7447" max="7686" width="9" style="45"/>
    <col min="7687" max="7687" width="1.375" style="45" customWidth="1"/>
    <col min="7688" max="7688" width="3.5" style="45" customWidth="1"/>
    <col min="7689" max="7689" width="22.125" style="45" customWidth="1"/>
    <col min="7690" max="7690" width="9.75" style="45" customWidth="1"/>
    <col min="7691" max="7691" width="7.375" style="45" customWidth="1"/>
    <col min="7692" max="7692" width="9" style="45"/>
    <col min="7693" max="7693" width="9.25" style="45" customWidth="1"/>
    <col min="7694" max="7694" width="3.5" style="45" customWidth="1"/>
    <col min="7695" max="7696" width="12.625" style="45" customWidth="1"/>
    <col min="7697" max="7697" width="9" style="45"/>
    <col min="7698" max="7698" width="7.75" style="45" customWidth="1"/>
    <col min="7699" max="7699" width="13.125" style="45" customWidth="1"/>
    <col min="7700" max="7700" width="6.125" style="45" customWidth="1"/>
    <col min="7701" max="7701" width="9.75" style="45" customWidth="1"/>
    <col min="7702" max="7702" width="1.375" style="45" customWidth="1"/>
    <col min="7703" max="7942" width="9" style="45"/>
    <col min="7943" max="7943" width="1.375" style="45" customWidth="1"/>
    <col min="7944" max="7944" width="3.5" style="45" customWidth="1"/>
    <col min="7945" max="7945" width="22.125" style="45" customWidth="1"/>
    <col min="7946" max="7946" width="9.75" style="45" customWidth="1"/>
    <col min="7947" max="7947" width="7.375" style="45" customWidth="1"/>
    <col min="7948" max="7948" width="9" style="45"/>
    <col min="7949" max="7949" width="9.25" style="45" customWidth="1"/>
    <col min="7950" max="7950" width="3.5" style="45" customWidth="1"/>
    <col min="7951" max="7952" width="12.625" style="45" customWidth="1"/>
    <col min="7953" max="7953" width="9" style="45"/>
    <col min="7954" max="7954" width="7.75" style="45" customWidth="1"/>
    <col min="7955" max="7955" width="13.125" style="45" customWidth="1"/>
    <col min="7956" max="7956" width="6.125" style="45" customWidth="1"/>
    <col min="7957" max="7957" width="9.75" style="45" customWidth="1"/>
    <col min="7958" max="7958" width="1.375" style="45" customWidth="1"/>
    <col min="7959" max="8198" width="9" style="45"/>
    <col min="8199" max="8199" width="1.375" style="45" customWidth="1"/>
    <col min="8200" max="8200" width="3.5" style="45" customWidth="1"/>
    <col min="8201" max="8201" width="22.125" style="45" customWidth="1"/>
    <col min="8202" max="8202" width="9.75" style="45" customWidth="1"/>
    <col min="8203" max="8203" width="7.375" style="45" customWidth="1"/>
    <col min="8204" max="8204" width="9" style="45"/>
    <col min="8205" max="8205" width="9.25" style="45" customWidth="1"/>
    <col min="8206" max="8206" width="3.5" style="45" customWidth="1"/>
    <col min="8207" max="8208" width="12.625" style="45" customWidth="1"/>
    <col min="8209" max="8209" width="9" style="45"/>
    <col min="8210" max="8210" width="7.75" style="45" customWidth="1"/>
    <col min="8211" max="8211" width="13.125" style="45" customWidth="1"/>
    <col min="8212" max="8212" width="6.125" style="45" customWidth="1"/>
    <col min="8213" max="8213" width="9.75" style="45" customWidth="1"/>
    <col min="8214" max="8214" width="1.375" style="45" customWidth="1"/>
    <col min="8215" max="8454" width="9" style="45"/>
    <col min="8455" max="8455" width="1.375" style="45" customWidth="1"/>
    <col min="8456" max="8456" width="3.5" style="45" customWidth="1"/>
    <col min="8457" max="8457" width="22.125" style="45" customWidth="1"/>
    <col min="8458" max="8458" width="9.75" style="45" customWidth="1"/>
    <col min="8459" max="8459" width="7.375" style="45" customWidth="1"/>
    <col min="8460" max="8460" width="9" style="45"/>
    <col min="8461" max="8461" width="9.25" style="45" customWidth="1"/>
    <col min="8462" max="8462" width="3.5" style="45" customWidth="1"/>
    <col min="8463" max="8464" width="12.625" style="45" customWidth="1"/>
    <col min="8465" max="8465" width="9" style="45"/>
    <col min="8466" max="8466" width="7.75" style="45" customWidth="1"/>
    <col min="8467" max="8467" width="13.125" style="45" customWidth="1"/>
    <col min="8468" max="8468" width="6.125" style="45" customWidth="1"/>
    <col min="8469" max="8469" width="9.75" style="45" customWidth="1"/>
    <col min="8470" max="8470" width="1.375" style="45" customWidth="1"/>
    <col min="8471" max="8710" width="9" style="45"/>
    <col min="8711" max="8711" width="1.375" style="45" customWidth="1"/>
    <col min="8712" max="8712" width="3.5" style="45" customWidth="1"/>
    <col min="8713" max="8713" width="22.125" style="45" customWidth="1"/>
    <col min="8714" max="8714" width="9.75" style="45" customWidth="1"/>
    <col min="8715" max="8715" width="7.375" style="45" customWidth="1"/>
    <col min="8716" max="8716" width="9" style="45"/>
    <col min="8717" max="8717" width="9.25" style="45" customWidth="1"/>
    <col min="8718" max="8718" width="3.5" style="45" customWidth="1"/>
    <col min="8719" max="8720" width="12.625" style="45" customWidth="1"/>
    <col min="8721" max="8721" width="9" style="45"/>
    <col min="8722" max="8722" width="7.75" style="45" customWidth="1"/>
    <col min="8723" max="8723" width="13.125" style="45" customWidth="1"/>
    <col min="8724" max="8724" width="6.125" style="45" customWidth="1"/>
    <col min="8725" max="8725" width="9.75" style="45" customWidth="1"/>
    <col min="8726" max="8726" width="1.375" style="45" customWidth="1"/>
    <col min="8727" max="8966" width="9" style="45"/>
    <col min="8967" max="8967" width="1.375" style="45" customWidth="1"/>
    <col min="8968" max="8968" width="3.5" style="45" customWidth="1"/>
    <col min="8969" max="8969" width="22.125" style="45" customWidth="1"/>
    <col min="8970" max="8970" width="9.75" style="45" customWidth="1"/>
    <col min="8971" max="8971" width="7.375" style="45" customWidth="1"/>
    <col min="8972" max="8972" width="9" style="45"/>
    <col min="8973" max="8973" width="9.25" style="45" customWidth="1"/>
    <col min="8974" max="8974" width="3.5" style="45" customWidth="1"/>
    <col min="8975" max="8976" width="12.625" style="45" customWidth="1"/>
    <col min="8977" max="8977" width="9" style="45"/>
    <col min="8978" max="8978" width="7.75" style="45" customWidth="1"/>
    <col min="8979" max="8979" width="13.125" style="45" customWidth="1"/>
    <col min="8980" max="8980" width="6.125" style="45" customWidth="1"/>
    <col min="8981" max="8981" width="9.75" style="45" customWidth="1"/>
    <col min="8982" max="8982" width="1.375" style="45" customWidth="1"/>
    <col min="8983" max="9222" width="9" style="45"/>
    <col min="9223" max="9223" width="1.375" style="45" customWidth="1"/>
    <col min="9224" max="9224" width="3.5" style="45" customWidth="1"/>
    <col min="9225" max="9225" width="22.125" style="45" customWidth="1"/>
    <col min="9226" max="9226" width="9.75" style="45" customWidth="1"/>
    <col min="9227" max="9227" width="7.375" style="45" customWidth="1"/>
    <col min="9228" max="9228" width="9" style="45"/>
    <col min="9229" max="9229" width="9.25" style="45" customWidth="1"/>
    <col min="9230" max="9230" width="3.5" style="45" customWidth="1"/>
    <col min="9231" max="9232" width="12.625" style="45" customWidth="1"/>
    <col min="9233" max="9233" width="9" style="45"/>
    <col min="9234" max="9234" width="7.75" style="45" customWidth="1"/>
    <col min="9235" max="9235" width="13.125" style="45" customWidth="1"/>
    <col min="9236" max="9236" width="6.125" style="45" customWidth="1"/>
    <col min="9237" max="9237" width="9.75" style="45" customWidth="1"/>
    <col min="9238" max="9238" width="1.375" style="45" customWidth="1"/>
    <col min="9239" max="9478" width="9" style="45"/>
    <col min="9479" max="9479" width="1.375" style="45" customWidth="1"/>
    <col min="9480" max="9480" width="3.5" style="45" customWidth="1"/>
    <col min="9481" max="9481" width="22.125" style="45" customWidth="1"/>
    <col min="9482" max="9482" width="9.75" style="45" customWidth="1"/>
    <col min="9483" max="9483" width="7.375" style="45" customWidth="1"/>
    <col min="9484" max="9484" width="9" style="45"/>
    <col min="9485" max="9485" width="9.25" style="45" customWidth="1"/>
    <col min="9486" max="9486" width="3.5" style="45" customWidth="1"/>
    <col min="9487" max="9488" width="12.625" style="45" customWidth="1"/>
    <col min="9489" max="9489" width="9" style="45"/>
    <col min="9490" max="9490" width="7.75" style="45" customWidth="1"/>
    <col min="9491" max="9491" width="13.125" style="45" customWidth="1"/>
    <col min="9492" max="9492" width="6.125" style="45" customWidth="1"/>
    <col min="9493" max="9493" width="9.75" style="45" customWidth="1"/>
    <col min="9494" max="9494" width="1.375" style="45" customWidth="1"/>
    <col min="9495" max="9734" width="9" style="45"/>
    <col min="9735" max="9735" width="1.375" style="45" customWidth="1"/>
    <col min="9736" max="9736" width="3.5" style="45" customWidth="1"/>
    <col min="9737" max="9737" width="22.125" style="45" customWidth="1"/>
    <col min="9738" max="9738" width="9.75" style="45" customWidth="1"/>
    <col min="9739" max="9739" width="7.375" style="45" customWidth="1"/>
    <col min="9740" max="9740" width="9" style="45"/>
    <col min="9741" max="9741" width="9.25" style="45" customWidth="1"/>
    <col min="9742" max="9742" width="3.5" style="45" customWidth="1"/>
    <col min="9743" max="9744" width="12.625" style="45" customWidth="1"/>
    <col min="9745" max="9745" width="9" style="45"/>
    <col min="9746" max="9746" width="7.75" style="45" customWidth="1"/>
    <col min="9747" max="9747" width="13.125" style="45" customWidth="1"/>
    <col min="9748" max="9748" width="6.125" style="45" customWidth="1"/>
    <col min="9749" max="9749" width="9.75" style="45" customWidth="1"/>
    <col min="9750" max="9750" width="1.375" style="45" customWidth="1"/>
    <col min="9751" max="9990" width="9" style="45"/>
    <col min="9991" max="9991" width="1.375" style="45" customWidth="1"/>
    <col min="9992" max="9992" width="3.5" style="45" customWidth="1"/>
    <col min="9993" max="9993" width="22.125" style="45" customWidth="1"/>
    <col min="9994" max="9994" width="9.75" style="45" customWidth="1"/>
    <col min="9995" max="9995" width="7.375" style="45" customWidth="1"/>
    <col min="9996" max="9996" width="9" style="45"/>
    <col min="9997" max="9997" width="9.25" style="45" customWidth="1"/>
    <col min="9998" max="9998" width="3.5" style="45" customWidth="1"/>
    <col min="9999" max="10000" width="12.625" style="45" customWidth="1"/>
    <col min="10001" max="10001" width="9" style="45"/>
    <col min="10002" max="10002" width="7.75" style="45" customWidth="1"/>
    <col min="10003" max="10003" width="13.125" style="45" customWidth="1"/>
    <col min="10004" max="10004" width="6.125" style="45" customWidth="1"/>
    <col min="10005" max="10005" width="9.75" style="45" customWidth="1"/>
    <col min="10006" max="10006" width="1.375" style="45" customWidth="1"/>
    <col min="10007" max="10246" width="9" style="45"/>
    <col min="10247" max="10247" width="1.375" style="45" customWidth="1"/>
    <col min="10248" max="10248" width="3.5" style="45" customWidth="1"/>
    <col min="10249" max="10249" width="22.125" style="45" customWidth="1"/>
    <col min="10250" max="10250" width="9.75" style="45" customWidth="1"/>
    <col min="10251" max="10251" width="7.375" style="45" customWidth="1"/>
    <col min="10252" max="10252" width="9" style="45"/>
    <col min="10253" max="10253" width="9.25" style="45" customWidth="1"/>
    <col min="10254" max="10254" width="3.5" style="45" customWidth="1"/>
    <col min="10255" max="10256" width="12.625" style="45" customWidth="1"/>
    <col min="10257" max="10257" width="9" style="45"/>
    <col min="10258" max="10258" width="7.75" style="45" customWidth="1"/>
    <col min="10259" max="10259" width="13.125" style="45" customWidth="1"/>
    <col min="10260" max="10260" width="6.125" style="45" customWidth="1"/>
    <col min="10261" max="10261" width="9.75" style="45" customWidth="1"/>
    <col min="10262" max="10262" width="1.375" style="45" customWidth="1"/>
    <col min="10263" max="10502" width="9" style="45"/>
    <col min="10503" max="10503" width="1.375" style="45" customWidth="1"/>
    <col min="10504" max="10504" width="3.5" style="45" customWidth="1"/>
    <col min="10505" max="10505" width="22.125" style="45" customWidth="1"/>
    <col min="10506" max="10506" width="9.75" style="45" customWidth="1"/>
    <col min="10507" max="10507" width="7.375" style="45" customWidth="1"/>
    <col min="10508" max="10508" width="9" style="45"/>
    <col min="10509" max="10509" width="9.25" style="45" customWidth="1"/>
    <col min="10510" max="10510" width="3.5" style="45" customWidth="1"/>
    <col min="10511" max="10512" width="12.625" style="45" customWidth="1"/>
    <col min="10513" max="10513" width="9" style="45"/>
    <col min="10514" max="10514" width="7.75" style="45" customWidth="1"/>
    <col min="10515" max="10515" width="13.125" style="45" customWidth="1"/>
    <col min="10516" max="10516" width="6.125" style="45" customWidth="1"/>
    <col min="10517" max="10517" width="9.75" style="45" customWidth="1"/>
    <col min="10518" max="10518" width="1.375" style="45" customWidth="1"/>
    <col min="10519" max="10758" width="9" style="45"/>
    <col min="10759" max="10759" width="1.375" style="45" customWidth="1"/>
    <col min="10760" max="10760" width="3.5" style="45" customWidth="1"/>
    <col min="10761" max="10761" width="22.125" style="45" customWidth="1"/>
    <col min="10762" max="10762" width="9.75" style="45" customWidth="1"/>
    <col min="10763" max="10763" width="7.375" style="45" customWidth="1"/>
    <col min="10764" max="10764" width="9" style="45"/>
    <col min="10765" max="10765" width="9.25" style="45" customWidth="1"/>
    <col min="10766" max="10766" width="3.5" style="45" customWidth="1"/>
    <col min="10767" max="10768" width="12.625" style="45" customWidth="1"/>
    <col min="10769" max="10769" width="9" style="45"/>
    <col min="10770" max="10770" width="7.75" style="45" customWidth="1"/>
    <col min="10771" max="10771" width="13.125" style="45" customWidth="1"/>
    <col min="10772" max="10772" width="6.125" style="45" customWidth="1"/>
    <col min="10773" max="10773" width="9.75" style="45" customWidth="1"/>
    <col min="10774" max="10774" width="1.375" style="45" customWidth="1"/>
    <col min="10775" max="11014" width="9" style="45"/>
    <col min="11015" max="11015" width="1.375" style="45" customWidth="1"/>
    <col min="11016" max="11016" width="3.5" style="45" customWidth="1"/>
    <col min="11017" max="11017" width="22.125" style="45" customWidth="1"/>
    <col min="11018" max="11018" width="9.75" style="45" customWidth="1"/>
    <col min="11019" max="11019" width="7.375" style="45" customWidth="1"/>
    <col min="11020" max="11020" width="9" style="45"/>
    <col min="11021" max="11021" width="9.25" style="45" customWidth="1"/>
    <col min="11022" max="11022" width="3.5" style="45" customWidth="1"/>
    <col min="11023" max="11024" width="12.625" style="45" customWidth="1"/>
    <col min="11025" max="11025" width="9" style="45"/>
    <col min="11026" max="11026" width="7.75" style="45" customWidth="1"/>
    <col min="11027" max="11027" width="13.125" style="45" customWidth="1"/>
    <col min="11028" max="11028" width="6.125" style="45" customWidth="1"/>
    <col min="11029" max="11029" width="9.75" style="45" customWidth="1"/>
    <col min="11030" max="11030" width="1.375" style="45" customWidth="1"/>
    <col min="11031" max="11270" width="9" style="45"/>
    <col min="11271" max="11271" width="1.375" style="45" customWidth="1"/>
    <col min="11272" max="11272" width="3.5" style="45" customWidth="1"/>
    <col min="11273" max="11273" width="22.125" style="45" customWidth="1"/>
    <col min="11274" max="11274" width="9.75" style="45" customWidth="1"/>
    <col min="11275" max="11275" width="7.375" style="45" customWidth="1"/>
    <col min="11276" max="11276" width="9" style="45"/>
    <col min="11277" max="11277" width="9.25" style="45" customWidth="1"/>
    <col min="11278" max="11278" width="3.5" style="45" customWidth="1"/>
    <col min="11279" max="11280" width="12.625" style="45" customWidth="1"/>
    <col min="11281" max="11281" width="9" style="45"/>
    <col min="11282" max="11282" width="7.75" style="45" customWidth="1"/>
    <col min="11283" max="11283" width="13.125" style="45" customWidth="1"/>
    <col min="11284" max="11284" width="6.125" style="45" customWidth="1"/>
    <col min="11285" max="11285" width="9.75" style="45" customWidth="1"/>
    <col min="11286" max="11286" width="1.375" style="45" customWidth="1"/>
    <col min="11287" max="11526" width="9" style="45"/>
    <col min="11527" max="11527" width="1.375" style="45" customWidth="1"/>
    <col min="11528" max="11528" width="3.5" style="45" customWidth="1"/>
    <col min="11529" max="11529" width="22.125" style="45" customWidth="1"/>
    <col min="11530" max="11530" width="9.75" style="45" customWidth="1"/>
    <col min="11531" max="11531" width="7.375" style="45" customWidth="1"/>
    <col min="11532" max="11532" width="9" style="45"/>
    <col min="11533" max="11533" width="9.25" style="45" customWidth="1"/>
    <col min="11534" max="11534" width="3.5" style="45" customWidth="1"/>
    <col min="11535" max="11536" width="12.625" style="45" customWidth="1"/>
    <col min="11537" max="11537" width="9" style="45"/>
    <col min="11538" max="11538" width="7.75" style="45" customWidth="1"/>
    <col min="11539" max="11539" width="13.125" style="45" customWidth="1"/>
    <col min="11540" max="11540" width="6.125" style="45" customWidth="1"/>
    <col min="11541" max="11541" width="9.75" style="45" customWidth="1"/>
    <col min="11542" max="11542" width="1.375" style="45" customWidth="1"/>
    <col min="11543" max="11782" width="9" style="45"/>
    <col min="11783" max="11783" width="1.375" style="45" customWidth="1"/>
    <col min="11784" max="11784" width="3.5" style="45" customWidth="1"/>
    <col min="11785" max="11785" width="22.125" style="45" customWidth="1"/>
    <col min="11786" max="11786" width="9.75" style="45" customWidth="1"/>
    <col min="11787" max="11787" width="7.375" style="45" customWidth="1"/>
    <col min="11788" max="11788" width="9" style="45"/>
    <col min="11789" max="11789" width="9.25" style="45" customWidth="1"/>
    <col min="11790" max="11790" width="3.5" style="45" customWidth="1"/>
    <col min="11791" max="11792" width="12.625" style="45" customWidth="1"/>
    <col min="11793" max="11793" width="9" style="45"/>
    <col min="11794" max="11794" width="7.75" style="45" customWidth="1"/>
    <col min="11795" max="11795" width="13.125" style="45" customWidth="1"/>
    <col min="11796" max="11796" width="6.125" style="45" customWidth="1"/>
    <col min="11797" max="11797" width="9.75" style="45" customWidth="1"/>
    <col min="11798" max="11798" width="1.375" style="45" customWidth="1"/>
    <col min="11799" max="12038" width="9" style="45"/>
    <col min="12039" max="12039" width="1.375" style="45" customWidth="1"/>
    <col min="12040" max="12040" width="3.5" style="45" customWidth="1"/>
    <col min="12041" max="12041" width="22.125" style="45" customWidth="1"/>
    <col min="12042" max="12042" width="9.75" style="45" customWidth="1"/>
    <col min="12043" max="12043" width="7.375" style="45" customWidth="1"/>
    <col min="12044" max="12044" width="9" style="45"/>
    <col min="12045" max="12045" width="9.25" style="45" customWidth="1"/>
    <col min="12046" max="12046" width="3.5" style="45" customWidth="1"/>
    <col min="12047" max="12048" width="12.625" style="45" customWidth="1"/>
    <col min="12049" max="12049" width="9" style="45"/>
    <col min="12050" max="12050" width="7.75" style="45" customWidth="1"/>
    <col min="12051" max="12051" width="13.125" style="45" customWidth="1"/>
    <col min="12052" max="12052" width="6.125" style="45" customWidth="1"/>
    <col min="12053" max="12053" width="9.75" style="45" customWidth="1"/>
    <col min="12054" max="12054" width="1.375" style="45" customWidth="1"/>
    <col min="12055" max="12294" width="9" style="45"/>
    <col min="12295" max="12295" width="1.375" style="45" customWidth="1"/>
    <col min="12296" max="12296" width="3.5" style="45" customWidth="1"/>
    <col min="12297" max="12297" width="22.125" style="45" customWidth="1"/>
    <col min="12298" max="12298" width="9.75" style="45" customWidth="1"/>
    <col min="12299" max="12299" width="7.375" style="45" customWidth="1"/>
    <col min="12300" max="12300" width="9" style="45"/>
    <col min="12301" max="12301" width="9.25" style="45" customWidth="1"/>
    <col min="12302" max="12302" width="3.5" style="45" customWidth="1"/>
    <col min="12303" max="12304" width="12.625" style="45" customWidth="1"/>
    <col min="12305" max="12305" width="9" style="45"/>
    <col min="12306" max="12306" width="7.75" style="45" customWidth="1"/>
    <col min="12307" max="12307" width="13.125" style="45" customWidth="1"/>
    <col min="12308" max="12308" width="6.125" style="45" customWidth="1"/>
    <col min="12309" max="12309" width="9.75" style="45" customWidth="1"/>
    <col min="12310" max="12310" width="1.375" style="45" customWidth="1"/>
    <col min="12311" max="12550" width="9" style="45"/>
    <col min="12551" max="12551" width="1.375" style="45" customWidth="1"/>
    <col min="12552" max="12552" width="3.5" style="45" customWidth="1"/>
    <col min="12553" max="12553" width="22.125" style="45" customWidth="1"/>
    <col min="12554" max="12554" width="9.75" style="45" customWidth="1"/>
    <col min="12555" max="12555" width="7.375" style="45" customWidth="1"/>
    <col min="12556" max="12556" width="9" style="45"/>
    <col min="12557" max="12557" width="9.25" style="45" customWidth="1"/>
    <col min="12558" max="12558" width="3.5" style="45" customWidth="1"/>
    <col min="12559" max="12560" width="12.625" style="45" customWidth="1"/>
    <col min="12561" max="12561" width="9" style="45"/>
    <col min="12562" max="12562" width="7.75" style="45" customWidth="1"/>
    <col min="12563" max="12563" width="13.125" style="45" customWidth="1"/>
    <col min="12564" max="12564" width="6.125" style="45" customWidth="1"/>
    <col min="12565" max="12565" width="9.75" style="45" customWidth="1"/>
    <col min="12566" max="12566" width="1.375" style="45" customWidth="1"/>
    <col min="12567" max="12806" width="9" style="45"/>
    <col min="12807" max="12807" width="1.375" style="45" customWidth="1"/>
    <col min="12808" max="12808" width="3.5" style="45" customWidth="1"/>
    <col min="12809" max="12809" width="22.125" style="45" customWidth="1"/>
    <col min="12810" max="12810" width="9.75" style="45" customWidth="1"/>
    <col min="12811" max="12811" width="7.375" style="45" customWidth="1"/>
    <col min="12812" max="12812" width="9" style="45"/>
    <col min="12813" max="12813" width="9.25" style="45" customWidth="1"/>
    <col min="12814" max="12814" width="3.5" style="45" customWidth="1"/>
    <col min="12815" max="12816" width="12.625" style="45" customWidth="1"/>
    <col min="12817" max="12817" width="9" style="45"/>
    <col min="12818" max="12818" width="7.75" style="45" customWidth="1"/>
    <col min="12819" max="12819" width="13.125" style="45" customWidth="1"/>
    <col min="12820" max="12820" width="6.125" style="45" customWidth="1"/>
    <col min="12821" max="12821" width="9.75" style="45" customWidth="1"/>
    <col min="12822" max="12822" width="1.375" style="45" customWidth="1"/>
    <col min="12823" max="13062" width="9" style="45"/>
    <col min="13063" max="13063" width="1.375" style="45" customWidth="1"/>
    <col min="13064" max="13064" width="3.5" style="45" customWidth="1"/>
    <col min="13065" max="13065" width="22.125" style="45" customWidth="1"/>
    <col min="13066" max="13066" width="9.75" style="45" customWidth="1"/>
    <col min="13067" max="13067" width="7.375" style="45" customWidth="1"/>
    <col min="13068" max="13068" width="9" style="45"/>
    <col min="13069" max="13069" width="9.25" style="45" customWidth="1"/>
    <col min="13070" max="13070" width="3.5" style="45" customWidth="1"/>
    <col min="13071" max="13072" width="12.625" style="45" customWidth="1"/>
    <col min="13073" max="13073" width="9" style="45"/>
    <col min="13074" max="13074" width="7.75" style="45" customWidth="1"/>
    <col min="13075" max="13075" width="13.125" style="45" customWidth="1"/>
    <col min="13076" max="13076" width="6.125" style="45" customWidth="1"/>
    <col min="13077" max="13077" width="9.75" style="45" customWidth="1"/>
    <col min="13078" max="13078" width="1.375" style="45" customWidth="1"/>
    <col min="13079" max="13318" width="9" style="45"/>
    <col min="13319" max="13319" width="1.375" style="45" customWidth="1"/>
    <col min="13320" max="13320" width="3.5" style="45" customWidth="1"/>
    <col min="13321" max="13321" width="22.125" style="45" customWidth="1"/>
    <col min="13322" max="13322" width="9.75" style="45" customWidth="1"/>
    <col min="13323" max="13323" width="7.375" style="45" customWidth="1"/>
    <col min="13324" max="13324" width="9" style="45"/>
    <col min="13325" max="13325" width="9.25" style="45" customWidth="1"/>
    <col min="13326" max="13326" width="3.5" style="45" customWidth="1"/>
    <col min="13327" max="13328" width="12.625" style="45" customWidth="1"/>
    <col min="13329" max="13329" width="9" style="45"/>
    <col min="13330" max="13330" width="7.75" style="45" customWidth="1"/>
    <col min="13331" max="13331" width="13.125" style="45" customWidth="1"/>
    <col min="13332" max="13332" width="6.125" style="45" customWidth="1"/>
    <col min="13333" max="13333" width="9.75" style="45" customWidth="1"/>
    <col min="13334" max="13334" width="1.375" style="45" customWidth="1"/>
    <col min="13335" max="13574" width="9" style="45"/>
    <col min="13575" max="13575" width="1.375" style="45" customWidth="1"/>
    <col min="13576" max="13576" width="3.5" style="45" customWidth="1"/>
    <col min="13577" max="13577" width="22.125" style="45" customWidth="1"/>
    <col min="13578" max="13578" width="9.75" style="45" customWidth="1"/>
    <col min="13579" max="13579" width="7.375" style="45" customWidth="1"/>
    <col min="13580" max="13580" width="9" style="45"/>
    <col min="13581" max="13581" width="9.25" style="45" customWidth="1"/>
    <col min="13582" max="13582" width="3.5" style="45" customWidth="1"/>
    <col min="13583" max="13584" width="12.625" style="45" customWidth="1"/>
    <col min="13585" max="13585" width="9" style="45"/>
    <col min="13586" max="13586" width="7.75" style="45" customWidth="1"/>
    <col min="13587" max="13587" width="13.125" style="45" customWidth="1"/>
    <col min="13588" max="13588" width="6.125" style="45" customWidth="1"/>
    <col min="13589" max="13589" width="9.75" style="45" customWidth="1"/>
    <col min="13590" max="13590" width="1.375" style="45" customWidth="1"/>
    <col min="13591" max="13830" width="9" style="45"/>
    <col min="13831" max="13831" width="1.375" style="45" customWidth="1"/>
    <col min="13832" max="13832" width="3.5" style="45" customWidth="1"/>
    <col min="13833" max="13833" width="22.125" style="45" customWidth="1"/>
    <col min="13834" max="13834" width="9.75" style="45" customWidth="1"/>
    <col min="13835" max="13835" width="7.375" style="45" customWidth="1"/>
    <col min="13836" max="13836" width="9" style="45"/>
    <col min="13837" max="13837" width="9.25" style="45" customWidth="1"/>
    <col min="13838" max="13838" width="3.5" style="45" customWidth="1"/>
    <col min="13839" max="13840" width="12.625" style="45" customWidth="1"/>
    <col min="13841" max="13841" width="9" style="45"/>
    <col min="13842" max="13842" width="7.75" style="45" customWidth="1"/>
    <col min="13843" max="13843" width="13.125" style="45" customWidth="1"/>
    <col min="13844" max="13844" width="6.125" style="45" customWidth="1"/>
    <col min="13845" max="13845" width="9.75" style="45" customWidth="1"/>
    <col min="13846" max="13846" width="1.375" style="45" customWidth="1"/>
    <col min="13847" max="14086" width="9" style="45"/>
    <col min="14087" max="14087" width="1.375" style="45" customWidth="1"/>
    <col min="14088" max="14088" width="3.5" style="45" customWidth="1"/>
    <col min="14089" max="14089" width="22.125" style="45" customWidth="1"/>
    <col min="14090" max="14090" width="9.75" style="45" customWidth="1"/>
    <col min="14091" max="14091" width="7.375" style="45" customWidth="1"/>
    <col min="14092" max="14092" width="9" style="45"/>
    <col min="14093" max="14093" width="9.25" style="45" customWidth="1"/>
    <col min="14094" max="14094" width="3.5" style="45" customWidth="1"/>
    <col min="14095" max="14096" width="12.625" style="45" customWidth="1"/>
    <col min="14097" max="14097" width="9" style="45"/>
    <col min="14098" max="14098" width="7.75" style="45" customWidth="1"/>
    <col min="14099" max="14099" width="13.125" style="45" customWidth="1"/>
    <col min="14100" max="14100" width="6.125" style="45" customWidth="1"/>
    <col min="14101" max="14101" width="9.75" style="45" customWidth="1"/>
    <col min="14102" max="14102" width="1.375" style="45" customWidth="1"/>
    <col min="14103" max="14342" width="9" style="45"/>
    <col min="14343" max="14343" width="1.375" style="45" customWidth="1"/>
    <col min="14344" max="14344" width="3.5" style="45" customWidth="1"/>
    <col min="14345" max="14345" width="22.125" style="45" customWidth="1"/>
    <col min="14346" max="14346" width="9.75" style="45" customWidth="1"/>
    <col min="14347" max="14347" width="7.375" style="45" customWidth="1"/>
    <col min="14348" max="14348" width="9" style="45"/>
    <col min="14349" max="14349" width="9.25" style="45" customWidth="1"/>
    <col min="14350" max="14350" width="3.5" style="45" customWidth="1"/>
    <col min="14351" max="14352" width="12.625" style="45" customWidth="1"/>
    <col min="14353" max="14353" width="9" style="45"/>
    <col min="14354" max="14354" width="7.75" style="45" customWidth="1"/>
    <col min="14355" max="14355" width="13.125" style="45" customWidth="1"/>
    <col min="14356" max="14356" width="6.125" style="45" customWidth="1"/>
    <col min="14357" max="14357" width="9.75" style="45" customWidth="1"/>
    <col min="14358" max="14358" width="1.375" style="45" customWidth="1"/>
    <col min="14359" max="14598" width="9" style="45"/>
    <col min="14599" max="14599" width="1.375" style="45" customWidth="1"/>
    <col min="14600" max="14600" width="3.5" style="45" customWidth="1"/>
    <col min="14601" max="14601" width="22.125" style="45" customWidth="1"/>
    <col min="14602" max="14602" width="9.75" style="45" customWidth="1"/>
    <col min="14603" max="14603" width="7.375" style="45" customWidth="1"/>
    <col min="14604" max="14604" width="9" style="45"/>
    <col min="14605" max="14605" width="9.25" style="45" customWidth="1"/>
    <col min="14606" max="14606" width="3.5" style="45" customWidth="1"/>
    <col min="14607" max="14608" width="12.625" style="45" customWidth="1"/>
    <col min="14609" max="14609" width="9" style="45"/>
    <col min="14610" max="14610" width="7.75" style="45" customWidth="1"/>
    <col min="14611" max="14611" width="13.125" style="45" customWidth="1"/>
    <col min="14612" max="14612" width="6.125" style="45" customWidth="1"/>
    <col min="14613" max="14613" width="9.75" style="45" customWidth="1"/>
    <col min="14614" max="14614" width="1.375" style="45" customWidth="1"/>
    <col min="14615" max="14854" width="9" style="45"/>
    <col min="14855" max="14855" width="1.375" style="45" customWidth="1"/>
    <col min="14856" max="14856" width="3.5" style="45" customWidth="1"/>
    <col min="14857" max="14857" width="22.125" style="45" customWidth="1"/>
    <col min="14858" max="14858" width="9.75" style="45" customWidth="1"/>
    <col min="14859" max="14859" width="7.375" style="45" customWidth="1"/>
    <col min="14860" max="14860" width="9" style="45"/>
    <col min="14861" max="14861" width="9.25" style="45" customWidth="1"/>
    <col min="14862" max="14862" width="3.5" style="45" customWidth="1"/>
    <col min="14863" max="14864" width="12.625" style="45" customWidth="1"/>
    <col min="14865" max="14865" width="9" style="45"/>
    <col min="14866" max="14866" width="7.75" style="45" customWidth="1"/>
    <col min="14867" max="14867" width="13.125" style="45" customWidth="1"/>
    <col min="14868" max="14868" width="6.125" style="45" customWidth="1"/>
    <col min="14869" max="14869" width="9.75" style="45" customWidth="1"/>
    <col min="14870" max="14870" width="1.375" style="45" customWidth="1"/>
    <col min="14871" max="15110" width="9" style="45"/>
    <col min="15111" max="15111" width="1.375" style="45" customWidth="1"/>
    <col min="15112" max="15112" width="3.5" style="45" customWidth="1"/>
    <col min="15113" max="15113" width="22.125" style="45" customWidth="1"/>
    <col min="15114" max="15114" width="9.75" style="45" customWidth="1"/>
    <col min="15115" max="15115" width="7.375" style="45" customWidth="1"/>
    <col min="15116" max="15116" width="9" style="45"/>
    <col min="15117" max="15117" width="9.25" style="45" customWidth="1"/>
    <col min="15118" max="15118" width="3.5" style="45" customWidth="1"/>
    <col min="15119" max="15120" width="12.625" style="45" customWidth="1"/>
    <col min="15121" max="15121" width="9" style="45"/>
    <col min="15122" max="15122" width="7.75" style="45" customWidth="1"/>
    <col min="15123" max="15123" width="13.125" style="45" customWidth="1"/>
    <col min="15124" max="15124" width="6.125" style="45" customWidth="1"/>
    <col min="15125" max="15125" width="9.75" style="45" customWidth="1"/>
    <col min="15126" max="15126" width="1.375" style="45" customWidth="1"/>
    <col min="15127" max="15366" width="9" style="45"/>
    <col min="15367" max="15367" width="1.375" style="45" customWidth="1"/>
    <col min="15368" max="15368" width="3.5" style="45" customWidth="1"/>
    <col min="15369" max="15369" width="22.125" style="45" customWidth="1"/>
    <col min="15370" max="15370" width="9.75" style="45" customWidth="1"/>
    <col min="15371" max="15371" width="7.375" style="45" customWidth="1"/>
    <col min="15372" max="15372" width="9" style="45"/>
    <col min="15373" max="15373" width="9.25" style="45" customWidth="1"/>
    <col min="15374" max="15374" width="3.5" style="45" customWidth="1"/>
    <col min="15375" max="15376" width="12.625" style="45" customWidth="1"/>
    <col min="15377" max="15377" width="9" style="45"/>
    <col min="15378" max="15378" width="7.75" style="45" customWidth="1"/>
    <col min="15379" max="15379" width="13.125" style="45" customWidth="1"/>
    <col min="15380" max="15380" width="6.125" style="45" customWidth="1"/>
    <col min="15381" max="15381" width="9.75" style="45" customWidth="1"/>
    <col min="15382" max="15382" width="1.375" style="45" customWidth="1"/>
    <col min="15383" max="15622" width="9" style="45"/>
    <col min="15623" max="15623" width="1.375" style="45" customWidth="1"/>
    <col min="15624" max="15624" width="3.5" style="45" customWidth="1"/>
    <col min="15625" max="15625" width="22.125" style="45" customWidth="1"/>
    <col min="15626" max="15626" width="9.75" style="45" customWidth="1"/>
    <col min="15627" max="15627" width="7.375" style="45" customWidth="1"/>
    <col min="15628" max="15628" width="9" style="45"/>
    <col min="15629" max="15629" width="9.25" style="45" customWidth="1"/>
    <col min="15630" max="15630" width="3.5" style="45" customWidth="1"/>
    <col min="15631" max="15632" width="12.625" style="45" customWidth="1"/>
    <col min="15633" max="15633" width="9" style="45"/>
    <col min="15634" max="15634" width="7.75" style="45" customWidth="1"/>
    <col min="15635" max="15635" width="13.125" style="45" customWidth="1"/>
    <col min="15636" max="15636" width="6.125" style="45" customWidth="1"/>
    <col min="15637" max="15637" width="9.75" style="45" customWidth="1"/>
    <col min="15638" max="15638" width="1.375" style="45" customWidth="1"/>
    <col min="15639" max="15878" width="9" style="45"/>
    <col min="15879" max="15879" width="1.375" style="45" customWidth="1"/>
    <col min="15880" max="15880" width="3.5" style="45" customWidth="1"/>
    <col min="15881" max="15881" width="22.125" style="45" customWidth="1"/>
    <col min="15882" max="15882" width="9.75" style="45" customWidth="1"/>
    <col min="15883" max="15883" width="7.375" style="45" customWidth="1"/>
    <col min="15884" max="15884" width="9" style="45"/>
    <col min="15885" max="15885" width="9.25" style="45" customWidth="1"/>
    <col min="15886" max="15886" width="3.5" style="45" customWidth="1"/>
    <col min="15887" max="15888" width="12.625" style="45" customWidth="1"/>
    <col min="15889" max="15889" width="9" style="45"/>
    <col min="15890" max="15890" width="7.75" style="45" customWidth="1"/>
    <col min="15891" max="15891" width="13.125" style="45" customWidth="1"/>
    <col min="15892" max="15892" width="6.125" style="45" customWidth="1"/>
    <col min="15893" max="15893" width="9.75" style="45" customWidth="1"/>
    <col min="15894" max="15894" width="1.375" style="45" customWidth="1"/>
    <col min="15895" max="16134" width="9" style="45"/>
    <col min="16135" max="16135" width="1.375" style="45" customWidth="1"/>
    <col min="16136" max="16136" width="3.5" style="45" customWidth="1"/>
    <col min="16137" max="16137" width="22.125" style="45" customWidth="1"/>
    <col min="16138" max="16138" width="9.75" style="45" customWidth="1"/>
    <col min="16139" max="16139" width="7.375" style="45" customWidth="1"/>
    <col min="16140" max="16140" width="9" style="45"/>
    <col min="16141" max="16141" width="9.25" style="45" customWidth="1"/>
    <col min="16142" max="16142" width="3.5" style="45" customWidth="1"/>
    <col min="16143" max="16144" width="12.625" style="45" customWidth="1"/>
    <col min="16145" max="16145" width="9" style="45"/>
    <col min="16146" max="16146" width="7.75" style="45" customWidth="1"/>
    <col min="16147" max="16147" width="13.125" style="45" customWidth="1"/>
    <col min="16148" max="16148" width="6.125" style="45" customWidth="1"/>
    <col min="16149" max="16149" width="9.75" style="45" customWidth="1"/>
    <col min="16150" max="16150" width="1.375" style="45" customWidth="1"/>
    <col min="16151" max="16384" width="9" style="45"/>
  </cols>
  <sheetData>
    <row r="1" spans="2:22" ht="9.9499999999999993" customHeight="1" x14ac:dyDescent="0.15"/>
    <row r="2" spans="2:22" ht="24.95" customHeight="1" x14ac:dyDescent="0.15">
      <c r="B2" s="1" t="s">
        <v>738</v>
      </c>
      <c r="C2" s="519"/>
      <c r="D2" s="5"/>
      <c r="E2" s="5"/>
      <c r="F2" s="519"/>
      <c r="G2" s="98"/>
      <c r="H2" s="108"/>
      <c r="I2" s="98"/>
      <c r="J2" s="98"/>
      <c r="K2" s="98"/>
      <c r="L2" s="98"/>
      <c r="M2" s="98"/>
      <c r="N2" s="98"/>
      <c r="O2" s="5"/>
    </row>
    <row r="3" spans="2:22" ht="15" customHeight="1" thickBot="1" x14ac:dyDescent="0.2">
      <c r="B3" s="45" t="s">
        <v>222</v>
      </c>
      <c r="I3" s="5" t="s">
        <v>223</v>
      </c>
      <c r="P3" s="45" t="s">
        <v>243</v>
      </c>
    </row>
    <row r="4" spans="2:22" ht="15" customHeight="1" x14ac:dyDescent="0.15">
      <c r="B4" s="242" t="s">
        <v>87</v>
      </c>
      <c r="C4" s="147" t="s">
        <v>178</v>
      </c>
      <c r="D4" s="147" t="s">
        <v>139</v>
      </c>
      <c r="E4" s="147" t="s">
        <v>140</v>
      </c>
      <c r="F4" s="147" t="s">
        <v>23</v>
      </c>
      <c r="G4" s="279" t="s">
        <v>141</v>
      </c>
      <c r="H4" s="148"/>
      <c r="I4" s="1337" t="s">
        <v>87</v>
      </c>
      <c r="J4" s="1291" t="s">
        <v>182</v>
      </c>
      <c r="K4" s="417" t="s">
        <v>179</v>
      </c>
      <c r="L4" s="417" t="s">
        <v>142</v>
      </c>
      <c r="M4" s="1291" t="s">
        <v>23</v>
      </c>
      <c r="N4" s="1304" t="s">
        <v>141</v>
      </c>
      <c r="O4" s="167"/>
      <c r="P4" s="418" t="s">
        <v>185</v>
      </c>
      <c r="Q4" s="419" t="s">
        <v>186</v>
      </c>
      <c r="R4" s="419" t="s">
        <v>187</v>
      </c>
      <c r="S4" s="419" t="s">
        <v>495</v>
      </c>
      <c r="T4" s="1338" t="s">
        <v>189</v>
      </c>
      <c r="U4" s="1136"/>
      <c r="V4" s="420" t="s">
        <v>190</v>
      </c>
    </row>
    <row r="5" spans="2:22" ht="15.75" customHeight="1" x14ac:dyDescent="0.15">
      <c r="B5" s="1075" t="s">
        <v>174</v>
      </c>
      <c r="C5" s="374" t="s">
        <v>739</v>
      </c>
      <c r="D5" s="374">
        <v>20</v>
      </c>
      <c r="E5" s="421" t="s">
        <v>496</v>
      </c>
      <c r="F5" s="422">
        <v>4200</v>
      </c>
      <c r="G5" s="136">
        <f t="shared" ref="G5:G6" si="0">D5*F5</f>
        <v>84000</v>
      </c>
      <c r="H5" s="149"/>
      <c r="I5" s="1330"/>
      <c r="J5" s="1331"/>
      <c r="K5" s="304" t="s">
        <v>143</v>
      </c>
      <c r="L5" s="580" t="s">
        <v>298</v>
      </c>
      <c r="M5" s="1331"/>
      <c r="N5" s="1333"/>
      <c r="O5" s="167"/>
      <c r="P5" s="423" t="s">
        <v>497</v>
      </c>
      <c r="Q5" s="424">
        <f>100*10</f>
        <v>1000</v>
      </c>
      <c r="R5" s="425" t="s">
        <v>191</v>
      </c>
      <c r="S5" s="424">
        <v>55</v>
      </c>
      <c r="T5" s="1334">
        <v>5</v>
      </c>
      <c r="U5" s="1288"/>
      <c r="V5" s="156">
        <f>Q5*S5/T5</f>
        <v>11000</v>
      </c>
    </row>
    <row r="6" spans="2:22" ht="23.25" customHeight="1" x14ac:dyDescent="0.15">
      <c r="B6" s="1076"/>
      <c r="C6" s="374"/>
      <c r="D6" s="374"/>
      <c r="E6" s="421"/>
      <c r="F6" s="374"/>
      <c r="G6" s="352">
        <f t="shared" si="0"/>
        <v>0</v>
      </c>
      <c r="H6" s="149"/>
      <c r="I6" s="1335" t="s">
        <v>181</v>
      </c>
      <c r="J6" s="426" t="s">
        <v>498</v>
      </c>
      <c r="K6" s="427">
        <f>3.3*10*0.8</f>
        <v>26.400000000000002</v>
      </c>
      <c r="L6" s="427">
        <v>8</v>
      </c>
      <c r="M6" s="427">
        <v>84.7</v>
      </c>
      <c r="N6" s="352">
        <f>K6*L6*M6</f>
        <v>17888.640000000003</v>
      </c>
      <c r="O6" s="167"/>
      <c r="P6" s="428"/>
      <c r="Q6" s="538"/>
      <c r="R6" s="429"/>
      <c r="S6" s="538"/>
      <c r="T6" s="1336"/>
      <c r="U6" s="1336"/>
      <c r="V6" s="156"/>
    </row>
    <row r="7" spans="2:22" ht="15" customHeight="1" thickBot="1" x14ac:dyDescent="0.2">
      <c r="B7" s="1262"/>
      <c r="C7" s="138" t="s">
        <v>144</v>
      </c>
      <c r="D7" s="138"/>
      <c r="E7" s="138"/>
      <c r="F7" s="138"/>
      <c r="G7" s="139">
        <f>SUM(G5:G6)</f>
        <v>84000</v>
      </c>
      <c r="H7" s="149"/>
      <c r="I7" s="1076"/>
      <c r="J7" s="435" t="s">
        <v>573</v>
      </c>
      <c r="K7" s="427">
        <v>17.2</v>
      </c>
      <c r="L7" s="427">
        <v>1.75</v>
      </c>
      <c r="M7" s="427">
        <v>84.7</v>
      </c>
      <c r="N7" s="352">
        <f t="shared" ref="N7:N8" si="1">K7*L7*M7</f>
        <v>2549.4699999999998</v>
      </c>
      <c r="O7" s="167"/>
      <c r="P7" s="430"/>
      <c r="Q7" s="431"/>
      <c r="R7" s="432"/>
      <c r="S7" s="431"/>
      <c r="V7" s="433"/>
    </row>
    <row r="8" spans="2:22" ht="15" customHeight="1" thickTop="1" x14ac:dyDescent="0.15">
      <c r="B8" s="1261" t="s">
        <v>172</v>
      </c>
      <c r="C8" s="374"/>
      <c r="D8" s="374"/>
      <c r="E8" s="421"/>
      <c r="F8" s="374"/>
      <c r="G8" s="352">
        <f>D8*F8</f>
        <v>0</v>
      </c>
      <c r="H8" s="149"/>
      <c r="I8" s="1076"/>
      <c r="J8" s="435" t="s">
        <v>574</v>
      </c>
      <c r="K8" s="427">
        <v>17.2</v>
      </c>
      <c r="L8" s="427">
        <v>1.75</v>
      </c>
      <c r="M8" s="427">
        <v>84.7</v>
      </c>
      <c r="N8" s="352">
        <f t="shared" si="1"/>
        <v>2549.4699999999998</v>
      </c>
      <c r="O8" s="167"/>
      <c r="P8" s="246"/>
      <c r="Q8" s="306"/>
      <c r="R8" s="534"/>
      <c r="S8" s="306"/>
      <c r="T8" s="1334"/>
      <c r="U8" s="1288"/>
      <c r="V8" s="156"/>
    </row>
    <row r="9" spans="2:22" ht="15" customHeight="1" x14ac:dyDescent="0.15">
      <c r="B9" s="1076"/>
      <c r="C9" s="374"/>
      <c r="D9" s="374"/>
      <c r="E9" s="421"/>
      <c r="F9" s="374"/>
      <c r="G9" s="352">
        <f>D9*F9</f>
        <v>0</v>
      </c>
      <c r="H9" s="149"/>
      <c r="I9" s="1076"/>
      <c r="J9" s="374"/>
      <c r="K9" s="427"/>
      <c r="L9" s="427"/>
      <c r="M9" s="427"/>
      <c r="N9" s="352">
        <f t="shared" ref="N9" si="2">K9*L9*M9</f>
        <v>0</v>
      </c>
      <c r="O9" s="167"/>
      <c r="P9" s="246"/>
      <c r="Q9" s="306"/>
      <c r="R9" s="534"/>
      <c r="S9" s="306"/>
      <c r="T9" s="1334"/>
      <c r="U9" s="1288"/>
      <c r="V9" s="156"/>
    </row>
    <row r="10" spans="2:22" ht="15" customHeight="1" thickBot="1" x14ac:dyDescent="0.2">
      <c r="B10" s="1076"/>
      <c r="C10" s="374"/>
      <c r="D10" s="374"/>
      <c r="E10" s="421"/>
      <c r="F10" s="374"/>
      <c r="G10" s="352">
        <f>D10*F10</f>
        <v>0</v>
      </c>
      <c r="H10" s="149"/>
      <c r="I10" s="1262"/>
      <c r="J10" s="247" t="s">
        <v>499</v>
      </c>
      <c r="K10" s="152">
        <f t="shared" ref="K10:L10" si="3">SUM(K6:K9)</f>
        <v>60.8</v>
      </c>
      <c r="L10" s="152">
        <f t="shared" si="3"/>
        <v>11.5</v>
      </c>
      <c r="M10" s="152"/>
      <c r="N10" s="434">
        <f>SUM(N6:N9)</f>
        <v>22987.580000000005</v>
      </c>
      <c r="O10" s="167"/>
      <c r="P10" s="246"/>
      <c r="Q10" s="306"/>
      <c r="R10" s="534"/>
      <c r="S10" s="306"/>
      <c r="T10" s="1334"/>
      <c r="U10" s="1288"/>
      <c r="V10" s="156"/>
    </row>
    <row r="11" spans="2:22" ht="15" customHeight="1" thickTop="1" thickBot="1" x14ac:dyDescent="0.2">
      <c r="B11" s="1262"/>
      <c r="C11" s="140" t="s">
        <v>145</v>
      </c>
      <c r="D11" s="141"/>
      <c r="E11" s="141"/>
      <c r="F11" s="141"/>
      <c r="G11" s="142">
        <f>SUM(G8:G10)</f>
        <v>0</v>
      </c>
      <c r="H11" s="149"/>
      <c r="I11" s="1261" t="s">
        <v>489</v>
      </c>
      <c r="J11" s="435" t="s">
        <v>500</v>
      </c>
      <c r="K11" s="427">
        <f>2*10</f>
        <v>20</v>
      </c>
      <c r="L11" s="427">
        <v>1</v>
      </c>
      <c r="M11" s="427">
        <v>158.4</v>
      </c>
      <c r="N11" s="352">
        <f>K11*L11*M11</f>
        <v>3168</v>
      </c>
      <c r="O11" s="167"/>
      <c r="P11" s="246"/>
      <c r="Q11" s="306"/>
      <c r="R11" s="534"/>
      <c r="S11" s="306"/>
      <c r="T11" s="1334"/>
      <c r="U11" s="1288"/>
      <c r="V11" s="156"/>
    </row>
    <row r="12" spans="2:22" ht="15" customHeight="1" thickTop="1" x14ac:dyDescent="0.15">
      <c r="B12" s="1339" t="s">
        <v>173</v>
      </c>
      <c r="C12" s="436" t="s">
        <v>720</v>
      </c>
      <c r="D12" s="437">
        <f>1.5*50*10</f>
        <v>750</v>
      </c>
      <c r="E12" s="421" t="s">
        <v>501</v>
      </c>
      <c r="F12" s="422">
        <v>3600</v>
      </c>
      <c r="G12" s="352">
        <f>D12*F12/20</f>
        <v>135000</v>
      </c>
      <c r="H12" s="149"/>
      <c r="I12" s="1076"/>
      <c r="J12" s="435" t="s">
        <v>502</v>
      </c>
      <c r="K12" s="441">
        <f>6*10</f>
        <v>60</v>
      </c>
      <c r="L12" s="441">
        <v>1</v>
      </c>
      <c r="M12" s="441">
        <v>158.4</v>
      </c>
      <c r="N12" s="352">
        <f t="shared" ref="N12:N13" si="4">K12*L12*M12</f>
        <v>9504</v>
      </c>
      <c r="O12" s="167"/>
      <c r="P12" s="246"/>
      <c r="Q12" s="306"/>
      <c r="R12" s="534"/>
      <c r="S12" s="306"/>
      <c r="T12" s="1334"/>
      <c r="U12" s="1288"/>
      <c r="V12" s="156"/>
    </row>
    <row r="13" spans="2:22" ht="15" customHeight="1" x14ac:dyDescent="0.15">
      <c r="B13" s="1340"/>
      <c r="C13" s="335" t="s">
        <v>721</v>
      </c>
      <c r="D13" s="438">
        <f>2*50*10</f>
        <v>1000</v>
      </c>
      <c r="E13" s="421" t="s">
        <v>501</v>
      </c>
      <c r="F13" s="422">
        <v>3600</v>
      </c>
      <c r="G13" s="352">
        <f>D13*F13/20</f>
        <v>180000</v>
      </c>
      <c r="H13" s="149"/>
      <c r="I13" s="1076"/>
      <c r="J13" s="584" t="s">
        <v>503</v>
      </c>
      <c r="K13" s="333">
        <f>6*10</f>
        <v>60</v>
      </c>
      <c r="L13" s="333">
        <v>2</v>
      </c>
      <c r="M13" s="333">
        <v>158.4</v>
      </c>
      <c r="N13" s="585">
        <f t="shared" si="4"/>
        <v>19008</v>
      </c>
      <c r="O13" s="167"/>
      <c r="P13" s="246"/>
      <c r="Q13" s="306"/>
      <c r="R13" s="534"/>
      <c r="S13" s="306"/>
      <c r="T13" s="1334"/>
      <c r="U13" s="1288"/>
      <c r="V13" s="156"/>
    </row>
    <row r="14" spans="2:22" ht="15" customHeight="1" x14ac:dyDescent="0.15">
      <c r="B14" s="1340"/>
      <c r="C14" s="439"/>
      <c r="D14" s="440"/>
      <c r="E14" s="421"/>
      <c r="F14" s="422"/>
      <c r="G14" s="352"/>
      <c r="H14" s="149"/>
      <c r="I14" s="1076"/>
      <c r="J14" s="435"/>
      <c r="K14" s="441"/>
      <c r="L14" s="441"/>
      <c r="M14" s="441"/>
      <c r="N14" s="352">
        <f t="shared" ref="N14:N15" si="5">K14*L14*M14</f>
        <v>0</v>
      </c>
      <c r="O14" s="167"/>
      <c r="P14" s="246"/>
      <c r="Q14" s="306"/>
      <c r="R14" s="534"/>
      <c r="S14" s="306"/>
      <c r="T14" s="1334"/>
      <c r="U14" s="1288"/>
      <c r="V14" s="156"/>
    </row>
    <row r="15" spans="2:22" ht="15" customHeight="1" x14ac:dyDescent="0.15">
      <c r="B15" s="1076"/>
      <c r="C15" s="374"/>
      <c r="D15" s="374"/>
      <c r="E15" s="374"/>
      <c r="F15" s="374"/>
      <c r="G15" s="352">
        <f t="shared" ref="G15" si="6">D15*F15</f>
        <v>0</v>
      </c>
      <c r="H15" s="149"/>
      <c r="I15" s="1076"/>
      <c r="K15" s="333"/>
      <c r="L15" s="333"/>
      <c r="M15" s="333"/>
      <c r="N15" s="585">
        <f t="shared" si="5"/>
        <v>0</v>
      </c>
      <c r="O15" s="167"/>
      <c r="P15" s="246"/>
      <c r="Q15" s="306"/>
      <c r="R15" s="534"/>
      <c r="S15" s="306"/>
      <c r="T15" s="1334"/>
      <c r="U15" s="1288"/>
      <c r="V15" s="156"/>
    </row>
    <row r="16" spans="2:22" ht="15" customHeight="1" thickBot="1" x14ac:dyDescent="0.2">
      <c r="B16" s="1262"/>
      <c r="C16" s="140" t="s">
        <v>145</v>
      </c>
      <c r="D16" s="141"/>
      <c r="E16" s="141"/>
      <c r="F16" s="141"/>
      <c r="G16" s="142">
        <f>SUM(G12:G15)</f>
        <v>315000</v>
      </c>
      <c r="H16" s="149"/>
      <c r="I16" s="1262"/>
      <c r="J16" s="442" t="s">
        <v>499</v>
      </c>
      <c r="K16" s="303">
        <f>SUM(K11:K15)</f>
        <v>140</v>
      </c>
      <c r="L16" s="303">
        <f>SUM(L11:L15)</f>
        <v>4</v>
      </c>
      <c r="M16" s="303"/>
      <c r="N16" s="434">
        <f>SUM(N11:N15)</f>
        <v>31680</v>
      </c>
      <c r="O16" s="167"/>
      <c r="P16" s="246"/>
      <c r="Q16" s="306"/>
      <c r="R16" s="534"/>
      <c r="S16" s="306"/>
      <c r="T16" s="1334"/>
      <c r="U16" s="1288"/>
      <c r="V16" s="156"/>
    </row>
    <row r="17" spans="2:22" ht="15" customHeight="1" thickTop="1" x14ac:dyDescent="0.15">
      <c r="B17" s="1261" t="s">
        <v>175</v>
      </c>
      <c r="C17" s="374"/>
      <c r="D17" s="374"/>
      <c r="E17" s="421"/>
      <c r="F17" s="374"/>
      <c r="G17" s="352">
        <f t="shared" ref="G17" si="7">D17*F17</f>
        <v>0</v>
      </c>
      <c r="H17" s="149"/>
      <c r="I17" s="1261" t="s">
        <v>183</v>
      </c>
      <c r="J17" s="374"/>
      <c r="K17" s="427"/>
      <c r="L17" s="427"/>
      <c r="M17" s="427"/>
      <c r="N17" s="352">
        <f t="shared" ref="N17:N18" si="8">K17*L17*M17</f>
        <v>0</v>
      </c>
      <c r="O17" s="167"/>
      <c r="P17" s="246"/>
      <c r="Q17" s="306"/>
      <c r="R17" s="534"/>
      <c r="S17" s="306"/>
      <c r="T17" s="1334"/>
      <c r="U17" s="1288"/>
      <c r="V17" s="156"/>
    </row>
    <row r="18" spans="2:22" ht="15" customHeight="1" x14ac:dyDescent="0.15">
      <c r="B18" s="1076"/>
      <c r="C18" s="374"/>
      <c r="D18" s="374"/>
      <c r="E18" s="421"/>
      <c r="F18" s="374"/>
      <c r="G18" s="352">
        <f>D18*F18</f>
        <v>0</v>
      </c>
      <c r="H18" s="149"/>
      <c r="I18" s="1076"/>
      <c r="J18" s="374"/>
      <c r="K18" s="427"/>
      <c r="L18" s="427"/>
      <c r="M18" s="427"/>
      <c r="N18" s="352">
        <f t="shared" si="8"/>
        <v>0</v>
      </c>
      <c r="O18" s="167"/>
      <c r="P18" s="246"/>
      <c r="Q18" s="306"/>
      <c r="R18" s="534"/>
      <c r="S18" s="306"/>
      <c r="T18" s="1334"/>
      <c r="U18" s="1288"/>
      <c r="V18" s="156"/>
    </row>
    <row r="19" spans="2:22" ht="15" customHeight="1" thickBot="1" x14ac:dyDescent="0.2">
      <c r="B19" s="1076"/>
      <c r="C19" s="374"/>
      <c r="D19" s="374"/>
      <c r="E19" s="374"/>
      <c r="F19" s="374"/>
      <c r="G19" s="352">
        <f t="shared" ref="G19" si="9">D19*F19</f>
        <v>0</v>
      </c>
      <c r="H19" s="149"/>
      <c r="I19" s="1262"/>
      <c r="J19" s="247" t="s">
        <v>504</v>
      </c>
      <c r="K19" s="152">
        <f>SUM(K17:K18)</f>
        <v>0</v>
      </c>
      <c r="L19" s="153">
        <f>SUM(L17:L18)</f>
        <v>0</v>
      </c>
      <c r="M19" s="154"/>
      <c r="N19" s="434">
        <f>SUM(N17:N18)</f>
        <v>0</v>
      </c>
      <c r="O19" s="167"/>
      <c r="P19" s="246"/>
      <c r="Q19" s="306"/>
      <c r="R19" s="534"/>
      <c r="S19" s="306"/>
      <c r="T19" s="1334"/>
      <c r="U19" s="1288"/>
      <c r="V19" s="156"/>
    </row>
    <row r="20" spans="2:22" ht="15" customHeight="1" thickTop="1" thickBot="1" x14ac:dyDescent="0.2">
      <c r="B20" s="1262"/>
      <c r="C20" s="140" t="s">
        <v>145</v>
      </c>
      <c r="D20" s="141"/>
      <c r="E20" s="141"/>
      <c r="F20" s="141"/>
      <c r="G20" s="142">
        <f>SUM(G17:G19)</f>
        <v>0</v>
      </c>
      <c r="H20" s="149"/>
      <c r="I20" s="1261" t="s">
        <v>184</v>
      </c>
      <c r="J20" s="374"/>
      <c r="K20" s="427"/>
      <c r="L20" s="427"/>
      <c r="M20" s="427"/>
      <c r="N20" s="352">
        <f>K20*L20*M20</f>
        <v>0</v>
      </c>
      <c r="O20" s="167"/>
      <c r="P20" s="443" t="s">
        <v>28</v>
      </c>
      <c r="Q20" s="259"/>
      <c r="R20" s="259"/>
      <c r="S20" s="259"/>
      <c r="T20" s="1306"/>
      <c r="U20" s="1307"/>
      <c r="V20" s="444">
        <f>SUM(V5:V19)</f>
        <v>11000</v>
      </c>
    </row>
    <row r="21" spans="2:22" ht="15" customHeight="1" thickTop="1" x14ac:dyDescent="0.15">
      <c r="B21" s="1261" t="s">
        <v>176</v>
      </c>
      <c r="C21" s="374"/>
      <c r="D21" s="374"/>
      <c r="E21" s="421"/>
      <c r="F21" s="374"/>
      <c r="G21" s="352">
        <f>D21*F21</f>
        <v>0</v>
      </c>
      <c r="H21" s="149"/>
      <c r="I21" s="1076"/>
      <c r="J21" s="374"/>
      <c r="K21" s="427"/>
      <c r="L21" s="427"/>
      <c r="M21" s="427"/>
      <c r="N21" s="352">
        <f t="shared" ref="N21:N22" si="10">K21*L21*M21</f>
        <v>0</v>
      </c>
      <c r="O21" s="167"/>
    </row>
    <row r="22" spans="2:22" ht="15" customHeight="1" thickBot="1" x14ac:dyDescent="0.2">
      <c r="B22" s="1076"/>
      <c r="C22" s="374"/>
      <c r="D22" s="374"/>
      <c r="E22" s="421"/>
      <c r="F22" s="374"/>
      <c r="G22" s="352">
        <f>D22*F22</f>
        <v>0</v>
      </c>
      <c r="H22" s="149"/>
      <c r="I22" s="1076"/>
      <c r="J22" s="374"/>
      <c r="K22" s="427"/>
      <c r="L22" s="427"/>
      <c r="M22" s="427"/>
      <c r="N22" s="352">
        <f t="shared" si="10"/>
        <v>0</v>
      </c>
      <c r="O22" s="167"/>
      <c r="P22" s="45" t="s">
        <v>244</v>
      </c>
    </row>
    <row r="23" spans="2:22" ht="15" customHeight="1" thickBot="1" x14ac:dyDescent="0.2">
      <c r="B23" s="1076"/>
      <c r="C23" s="374"/>
      <c r="D23" s="374"/>
      <c r="E23" s="421"/>
      <c r="F23" s="374"/>
      <c r="G23" s="352">
        <f>D23*F23</f>
        <v>0</v>
      </c>
      <c r="H23" s="149"/>
      <c r="I23" s="1262"/>
      <c r="J23" s="247" t="s">
        <v>505</v>
      </c>
      <c r="K23" s="152">
        <f>SUM(K20:K22)</f>
        <v>0</v>
      </c>
      <c r="L23" s="153">
        <f>SUM(L20:L22)</f>
        <v>0</v>
      </c>
      <c r="M23" s="154"/>
      <c r="N23" s="434">
        <f>SUM(N20:N22)</f>
        <v>0</v>
      </c>
      <c r="O23" s="167"/>
      <c r="P23" s="243" t="s">
        <v>192</v>
      </c>
      <c r="Q23" s="244" t="s">
        <v>186</v>
      </c>
      <c r="R23" s="244" t="s">
        <v>187</v>
      </c>
      <c r="S23" s="244" t="s">
        <v>495</v>
      </c>
      <c r="T23" s="244" t="s">
        <v>189</v>
      </c>
      <c r="U23" s="540" t="s">
        <v>193</v>
      </c>
      <c r="V23" s="420" t="s">
        <v>190</v>
      </c>
    </row>
    <row r="24" spans="2:22" ht="15" customHeight="1" thickTop="1" thickBot="1" x14ac:dyDescent="0.2">
      <c r="B24" s="1077"/>
      <c r="C24" s="143" t="s">
        <v>147</v>
      </c>
      <c r="D24" s="144"/>
      <c r="E24" s="144"/>
      <c r="F24" s="151"/>
      <c r="G24" s="145">
        <f>SUM(G21:G23)</f>
        <v>0</v>
      </c>
      <c r="I24" s="1261" t="s">
        <v>268</v>
      </c>
      <c r="J24" s="374"/>
      <c r="K24" s="427"/>
      <c r="L24" s="427"/>
      <c r="M24" s="427"/>
      <c r="N24" s="352">
        <f>K24*L24*M24</f>
        <v>0</v>
      </c>
      <c r="O24" s="167"/>
      <c r="P24" s="246" t="s">
        <v>506</v>
      </c>
      <c r="Q24" s="306">
        <f>1*10</f>
        <v>10</v>
      </c>
      <c r="R24" s="534" t="s">
        <v>146</v>
      </c>
      <c r="S24" s="306">
        <v>2500</v>
      </c>
      <c r="T24" s="306">
        <v>10</v>
      </c>
      <c r="U24" s="275">
        <v>100</v>
      </c>
      <c r="V24" s="156">
        <f>Q24*S24/T24/U24*10</f>
        <v>250</v>
      </c>
    </row>
    <row r="25" spans="2:22" ht="15" customHeight="1" x14ac:dyDescent="0.15">
      <c r="H25" s="150"/>
      <c r="I25" s="1076"/>
      <c r="J25" s="374"/>
      <c r="K25" s="427"/>
      <c r="L25" s="427"/>
      <c r="M25" s="427"/>
      <c r="N25" s="352">
        <f t="shared" ref="N25:N26" si="11">K25*L25*M25</f>
        <v>0</v>
      </c>
      <c r="O25" s="167"/>
      <c r="P25" s="246" t="s">
        <v>507</v>
      </c>
      <c r="Q25" s="306">
        <f>1*10</f>
        <v>10</v>
      </c>
      <c r="R25" s="534" t="s">
        <v>146</v>
      </c>
      <c r="S25" s="306">
        <v>1000</v>
      </c>
      <c r="T25" s="306">
        <v>5</v>
      </c>
      <c r="U25" s="275">
        <v>100</v>
      </c>
      <c r="V25" s="156">
        <f t="shared" ref="V25" si="12">Q25*S25/T25/U25*10</f>
        <v>200</v>
      </c>
    </row>
    <row r="26" spans="2:22" ht="15" customHeight="1" thickBot="1" x14ac:dyDescent="0.2">
      <c r="B26" s="5" t="s">
        <v>508</v>
      </c>
      <c r="C26" s="5"/>
      <c r="D26" s="519"/>
      <c r="E26" s="5"/>
      <c r="F26" s="519"/>
      <c r="G26" s="48"/>
      <c r="H26" s="148"/>
      <c r="I26" s="1076"/>
      <c r="J26" s="374"/>
      <c r="K26" s="427"/>
      <c r="L26" s="427"/>
      <c r="M26" s="427"/>
      <c r="N26" s="352">
        <f t="shared" si="11"/>
        <v>0</v>
      </c>
      <c r="O26" s="167"/>
      <c r="P26" s="246"/>
      <c r="Q26" s="306"/>
      <c r="R26" s="534"/>
      <c r="S26" s="306"/>
      <c r="T26" s="306"/>
      <c r="U26" s="275"/>
      <c r="V26" s="156"/>
    </row>
    <row r="27" spans="2:22" ht="15" customHeight="1" thickBot="1" x14ac:dyDescent="0.2">
      <c r="B27" s="242" t="s">
        <v>87</v>
      </c>
      <c r="C27" s="147" t="s">
        <v>138</v>
      </c>
      <c r="D27" s="147" t="s">
        <v>139</v>
      </c>
      <c r="E27" s="147" t="s">
        <v>140</v>
      </c>
      <c r="F27" s="147" t="s">
        <v>23</v>
      </c>
      <c r="G27" s="279" t="s">
        <v>141</v>
      </c>
      <c r="H27" s="149"/>
      <c r="I27" s="1262"/>
      <c r="J27" s="247" t="s">
        <v>509</v>
      </c>
      <c r="K27" s="152">
        <f>SUM(K24:K26)</f>
        <v>0</v>
      </c>
      <c r="L27" s="153">
        <f>SUM(L24:L26)</f>
        <v>0</v>
      </c>
      <c r="M27" s="154"/>
      <c r="N27" s="434">
        <f>SUM(N24:N26)</f>
        <v>0</v>
      </c>
      <c r="O27" s="167"/>
      <c r="P27" s="246"/>
      <c r="Q27" s="306"/>
      <c r="R27" s="534"/>
      <c r="S27" s="306"/>
      <c r="T27" s="306"/>
      <c r="U27" s="275"/>
      <c r="V27" s="156"/>
    </row>
    <row r="28" spans="2:22" ht="15" customHeight="1" thickTop="1" x14ac:dyDescent="0.15">
      <c r="B28" s="1075" t="s">
        <v>29</v>
      </c>
      <c r="C28" s="374" t="s">
        <v>723</v>
      </c>
      <c r="D28" s="374">
        <f>12*10</f>
        <v>120</v>
      </c>
      <c r="E28" s="421" t="s">
        <v>510</v>
      </c>
      <c r="F28" s="374">
        <v>2321</v>
      </c>
      <c r="G28" s="136">
        <f>D28*F28/3</f>
        <v>92840</v>
      </c>
      <c r="H28" s="149"/>
      <c r="I28" s="1261" t="s">
        <v>180</v>
      </c>
      <c r="J28" s="374" t="s">
        <v>511</v>
      </c>
      <c r="K28" s="427">
        <f>33*10</f>
        <v>330</v>
      </c>
      <c r="L28" s="427">
        <v>1.5</v>
      </c>
      <c r="M28" s="427">
        <v>14</v>
      </c>
      <c r="N28" s="352">
        <f>K28*L28*M28</f>
        <v>6930</v>
      </c>
      <c r="O28" s="167"/>
      <c r="P28" s="246"/>
      <c r="Q28" s="306"/>
      <c r="R28" s="534"/>
      <c r="S28" s="306"/>
      <c r="T28" s="306"/>
      <c r="U28" s="275"/>
      <c r="V28" s="156"/>
    </row>
    <row r="29" spans="2:22" ht="15" customHeight="1" x14ac:dyDescent="0.15">
      <c r="B29" s="1076"/>
      <c r="C29" s="374" t="s">
        <v>725</v>
      </c>
      <c r="D29" s="374">
        <f>200*10</f>
        <v>2000</v>
      </c>
      <c r="E29" s="421" t="s">
        <v>512</v>
      </c>
      <c r="F29" s="374">
        <v>1629</v>
      </c>
      <c r="G29" s="352">
        <f>F29*(D29/500)</f>
        <v>6516</v>
      </c>
      <c r="H29" s="149"/>
      <c r="I29" s="1076"/>
      <c r="J29" s="374"/>
      <c r="K29" s="427"/>
      <c r="L29" s="427"/>
      <c r="M29" s="427"/>
      <c r="N29" s="352">
        <f t="shared" ref="N29:N30" si="13">K29*L29*M29</f>
        <v>0</v>
      </c>
      <c r="O29" s="46"/>
      <c r="P29" s="246"/>
      <c r="Q29" s="306"/>
      <c r="R29" s="534"/>
      <c r="S29" s="306"/>
      <c r="T29" s="306"/>
      <c r="U29" s="275"/>
      <c r="V29" s="156"/>
    </row>
    <row r="30" spans="2:22" ht="15" customHeight="1" x14ac:dyDescent="0.15">
      <c r="B30" s="1076"/>
      <c r="C30" s="445" t="s">
        <v>727</v>
      </c>
      <c r="D30" s="374">
        <f>500*10</f>
        <v>5000</v>
      </c>
      <c r="E30" s="421" t="s">
        <v>512</v>
      </c>
      <c r="F30" s="374">
        <v>679</v>
      </c>
      <c r="G30" s="352">
        <f>D30*F30/500</f>
        <v>6790</v>
      </c>
      <c r="H30" s="149"/>
      <c r="I30" s="1076"/>
      <c r="J30" s="374"/>
      <c r="K30" s="427"/>
      <c r="L30" s="427"/>
      <c r="M30" s="427"/>
      <c r="N30" s="352">
        <f t="shared" si="13"/>
        <v>0</v>
      </c>
      <c r="P30" s="246"/>
      <c r="Q30" s="306"/>
      <c r="R30" s="534"/>
      <c r="S30" s="306"/>
      <c r="T30" s="306"/>
      <c r="U30" s="275"/>
      <c r="V30" s="156"/>
    </row>
    <row r="31" spans="2:22" ht="15" customHeight="1" thickBot="1" x14ac:dyDescent="0.2">
      <c r="B31" s="1076"/>
      <c r="C31" s="538" t="s">
        <v>729</v>
      </c>
      <c r="D31" s="374">
        <v>80</v>
      </c>
      <c r="E31" s="421" t="s">
        <v>513</v>
      </c>
      <c r="F31" s="374">
        <v>2480</v>
      </c>
      <c r="G31" s="352">
        <f>D31*F31/3</f>
        <v>66133.333333333328</v>
      </c>
      <c r="H31" s="149"/>
      <c r="I31" s="1077"/>
      <c r="J31" s="446" t="s">
        <v>514</v>
      </c>
      <c r="K31" s="447">
        <f>SUM(K28:K30)</f>
        <v>330</v>
      </c>
      <c r="L31" s="448">
        <f>SUM(L28:L30)</f>
        <v>1.5</v>
      </c>
      <c r="M31" s="449"/>
      <c r="N31" s="450">
        <f>SUM(N28:N30)</f>
        <v>6930</v>
      </c>
      <c r="P31" s="246"/>
      <c r="Q31" s="306"/>
      <c r="R31" s="534"/>
      <c r="S31" s="306"/>
      <c r="T31" s="306"/>
      <c r="U31" s="275"/>
      <c r="V31" s="156"/>
    </row>
    <row r="32" spans="2:22" ht="15" customHeight="1" x14ac:dyDescent="0.15">
      <c r="B32" s="1076"/>
      <c r="C32" s="374"/>
      <c r="D32" s="374"/>
      <c r="E32" s="421"/>
      <c r="F32" s="374"/>
      <c r="G32" s="352">
        <f>D32*F32</f>
        <v>0</v>
      </c>
      <c r="H32" s="149"/>
      <c r="I32" s="127"/>
      <c r="J32" s="127"/>
      <c r="K32" s="127"/>
      <c r="L32" s="127"/>
      <c r="M32" s="127"/>
      <c r="N32" s="127"/>
      <c r="P32" s="246"/>
      <c r="Q32" s="306"/>
      <c r="R32" s="534"/>
      <c r="S32" s="306"/>
      <c r="T32" s="306"/>
      <c r="U32" s="275"/>
      <c r="V32" s="156"/>
    </row>
    <row r="33" spans="2:22" ht="15" customHeight="1" thickBot="1" x14ac:dyDescent="0.2">
      <c r="B33" s="1076"/>
      <c r="C33" s="374"/>
      <c r="D33" s="374"/>
      <c r="E33" s="421"/>
      <c r="F33" s="374"/>
      <c r="G33" s="352">
        <f t="shared" ref="G33:G37" si="14">D33*F33</f>
        <v>0</v>
      </c>
      <c r="H33" s="149"/>
      <c r="I33" s="117" t="s">
        <v>242</v>
      </c>
      <c r="J33" s="117"/>
      <c r="K33" s="117"/>
      <c r="L33" s="117"/>
      <c r="M33" s="117"/>
      <c r="P33" s="246"/>
      <c r="Q33" s="306"/>
      <c r="R33" s="534"/>
      <c r="S33" s="306"/>
      <c r="T33" s="306"/>
      <c r="U33" s="275"/>
      <c r="V33" s="156"/>
    </row>
    <row r="34" spans="2:22" ht="15" customHeight="1" thickBot="1" x14ac:dyDescent="0.2">
      <c r="B34" s="1076"/>
      <c r="C34" s="374"/>
      <c r="D34" s="374"/>
      <c r="E34" s="421"/>
      <c r="F34" s="374"/>
      <c r="G34" s="352">
        <f t="shared" si="14"/>
        <v>0</v>
      </c>
      <c r="H34" s="149"/>
      <c r="I34" s="230" t="s">
        <v>230</v>
      </c>
      <c r="J34" s="451" t="s">
        <v>5</v>
      </c>
      <c r="K34" s="1273" t="s">
        <v>231</v>
      </c>
      <c r="L34" s="1274"/>
      <c r="M34" s="452" t="s">
        <v>193</v>
      </c>
      <c r="N34" s="453" t="s">
        <v>515</v>
      </c>
      <c r="P34" s="537" t="s">
        <v>235</v>
      </c>
      <c r="Q34" s="259"/>
      <c r="R34" s="259"/>
      <c r="S34" s="259"/>
      <c r="T34" s="259"/>
      <c r="U34" s="160"/>
      <c r="V34" s="444">
        <f>SUM(V24:V33)</f>
        <v>450</v>
      </c>
    </row>
    <row r="35" spans="2:22" ht="15" customHeight="1" x14ac:dyDescent="0.15">
      <c r="B35" s="1076"/>
      <c r="C35" s="374"/>
      <c r="D35" s="374"/>
      <c r="E35" s="421"/>
      <c r="F35" s="374"/>
      <c r="G35" s="352">
        <f t="shared" si="14"/>
        <v>0</v>
      </c>
      <c r="H35" s="149"/>
      <c r="I35" s="1258" t="s">
        <v>2</v>
      </c>
      <c r="J35" s="146" t="s">
        <v>537</v>
      </c>
      <c r="K35" s="1276">
        <v>5940000</v>
      </c>
      <c r="L35" s="1276"/>
      <c r="M35" s="333">
        <v>2</v>
      </c>
      <c r="N35" s="237">
        <f>(+K35*2/30)/M35*0.014*0.3</f>
        <v>831.6</v>
      </c>
    </row>
    <row r="36" spans="2:22" ht="15" customHeight="1" thickBot="1" x14ac:dyDescent="0.2">
      <c r="B36" s="1076"/>
      <c r="C36" s="374"/>
      <c r="D36" s="374"/>
      <c r="E36" s="421"/>
      <c r="F36" s="374"/>
      <c r="G36" s="352">
        <f t="shared" si="14"/>
        <v>0</v>
      </c>
      <c r="H36" s="149"/>
      <c r="I36" s="1341"/>
      <c r="J36" s="146" t="s">
        <v>285</v>
      </c>
      <c r="K36" s="1276">
        <v>1761750</v>
      </c>
      <c r="L36" s="1276"/>
      <c r="M36" s="333">
        <v>2</v>
      </c>
      <c r="N36" s="237">
        <f>+K36*2/30/M36*0.014*0.3</f>
        <v>246.64499999999998</v>
      </c>
      <c r="P36" s="117" t="s">
        <v>236</v>
      </c>
      <c r="Q36" s="117"/>
      <c r="R36" s="117"/>
      <c r="S36" s="117"/>
      <c r="T36" s="117"/>
    </row>
    <row r="37" spans="2:22" ht="15" customHeight="1" x14ac:dyDescent="0.15">
      <c r="B37" s="1076"/>
      <c r="C37" s="374"/>
      <c r="D37" s="374"/>
      <c r="E37" s="421"/>
      <c r="F37" s="374"/>
      <c r="G37" s="352">
        <f t="shared" si="14"/>
        <v>0</v>
      </c>
      <c r="H37" s="149"/>
      <c r="I37" s="1341"/>
      <c r="J37" s="146"/>
      <c r="K37" s="1276"/>
      <c r="L37" s="1276"/>
      <c r="M37" s="333"/>
      <c r="N37" s="237"/>
      <c r="O37" s="155"/>
      <c r="P37" s="230" t="s">
        <v>229</v>
      </c>
      <c r="Q37" s="1301" t="s">
        <v>237</v>
      </c>
      <c r="R37" s="1301"/>
      <c r="S37" s="539" t="s">
        <v>240</v>
      </c>
      <c r="T37" s="539" t="s">
        <v>239</v>
      </c>
      <c r="U37" s="249" t="s">
        <v>193</v>
      </c>
      <c r="V37" s="250" t="s">
        <v>516</v>
      </c>
    </row>
    <row r="38" spans="2:22" ht="15" customHeight="1" thickBot="1" x14ac:dyDescent="0.2">
      <c r="B38" s="1262"/>
      <c r="C38" s="138" t="s">
        <v>144</v>
      </c>
      <c r="D38" s="138"/>
      <c r="E38" s="138"/>
      <c r="F38" s="138"/>
      <c r="G38" s="139">
        <f>SUM(G28:G37)</f>
        <v>172279.33333333331</v>
      </c>
      <c r="H38" s="149"/>
      <c r="I38" s="1341"/>
      <c r="J38" s="146"/>
      <c r="K38" s="1276"/>
      <c r="L38" s="1276"/>
      <c r="M38" s="333"/>
      <c r="N38" s="237"/>
      <c r="O38" s="155"/>
      <c r="P38" s="1255" t="s">
        <v>238</v>
      </c>
      <c r="Q38" s="234" t="s">
        <v>517</v>
      </c>
      <c r="R38" s="253" t="s">
        <v>518</v>
      </c>
      <c r="S38" s="235">
        <f>25000*0.2</f>
        <v>5000</v>
      </c>
      <c r="T38" s="254">
        <v>1</v>
      </c>
      <c r="U38" s="586">
        <v>2</v>
      </c>
      <c r="V38" s="237">
        <f>S38*T38/U38/10</f>
        <v>250</v>
      </c>
    </row>
    <row r="39" spans="2:22" ht="15" customHeight="1" thickTop="1" x14ac:dyDescent="0.15">
      <c r="B39" s="1261" t="s">
        <v>177</v>
      </c>
      <c r="C39" s="454" t="s">
        <v>722</v>
      </c>
      <c r="D39" s="374">
        <f>250*10</f>
        <v>2500</v>
      </c>
      <c r="E39" s="421" t="s">
        <v>519</v>
      </c>
      <c r="F39" s="374">
        <v>2936</v>
      </c>
      <c r="G39" s="352">
        <f>D39*F39/200</f>
        <v>36700</v>
      </c>
      <c r="H39" s="149"/>
      <c r="I39" s="1341"/>
      <c r="J39" s="146"/>
      <c r="K39" s="1276"/>
      <c r="L39" s="1276"/>
      <c r="M39" s="333"/>
      <c r="N39" s="237"/>
      <c r="O39" s="155"/>
      <c r="P39" s="1256"/>
      <c r="Q39" s="234"/>
      <c r="R39" s="253"/>
      <c r="S39" s="235"/>
      <c r="T39" s="254"/>
      <c r="U39" s="235"/>
      <c r="V39" s="237"/>
    </row>
    <row r="40" spans="2:22" ht="15" customHeight="1" x14ac:dyDescent="0.15">
      <c r="B40" s="1076"/>
      <c r="C40" s="374" t="s">
        <v>724</v>
      </c>
      <c r="D40" s="374">
        <v>40</v>
      </c>
      <c r="E40" s="421" t="s">
        <v>520</v>
      </c>
      <c r="F40" s="374">
        <v>1577</v>
      </c>
      <c r="G40" s="352">
        <f>D40*F40/3</f>
        <v>21026.666666666668</v>
      </c>
      <c r="H40" s="149"/>
      <c r="I40" s="1341"/>
      <c r="J40" s="146"/>
      <c r="K40" s="1276"/>
      <c r="L40" s="1276"/>
      <c r="M40" s="333"/>
      <c r="N40" s="237"/>
      <c r="O40" s="155"/>
      <c r="P40" s="1256"/>
      <c r="Q40" s="234"/>
      <c r="R40" s="253"/>
      <c r="S40" s="235"/>
      <c r="T40" s="254"/>
      <c r="U40" s="235"/>
      <c r="V40" s="237"/>
    </row>
    <row r="41" spans="2:22" ht="15" customHeight="1" x14ac:dyDescent="0.15">
      <c r="B41" s="1076"/>
      <c r="C41" s="374" t="s">
        <v>726</v>
      </c>
      <c r="D41" s="374">
        <f>6*10</f>
        <v>60</v>
      </c>
      <c r="E41" s="421" t="s">
        <v>520</v>
      </c>
      <c r="F41" s="374">
        <v>3082</v>
      </c>
      <c r="G41" s="352">
        <f>D41*F41/3</f>
        <v>61640</v>
      </c>
      <c r="H41" s="149"/>
      <c r="I41" s="1341"/>
      <c r="J41" s="146"/>
      <c r="K41" s="1276"/>
      <c r="L41" s="1276"/>
      <c r="M41" s="333"/>
      <c r="N41" s="237"/>
      <c r="O41" s="155"/>
      <c r="P41" s="1256"/>
      <c r="Q41" s="234"/>
      <c r="R41" s="253"/>
      <c r="S41" s="235"/>
      <c r="T41" s="254"/>
      <c r="U41" s="235"/>
      <c r="V41" s="237"/>
    </row>
    <row r="42" spans="2:22" ht="15" customHeight="1" thickBot="1" x14ac:dyDescent="0.2">
      <c r="B42" s="1076"/>
      <c r="C42" s="374" t="s">
        <v>728</v>
      </c>
      <c r="D42" s="374">
        <f>6*10</f>
        <v>60</v>
      </c>
      <c r="E42" s="421" t="s">
        <v>520</v>
      </c>
      <c r="F42" s="374">
        <v>3076</v>
      </c>
      <c r="G42" s="352">
        <f>D42*F42/3</f>
        <v>61520</v>
      </c>
      <c r="H42" s="149"/>
      <c r="I42" s="1342"/>
      <c r="J42" s="231" t="s">
        <v>145</v>
      </c>
      <c r="K42" s="1268"/>
      <c r="L42" s="1269"/>
      <c r="M42" s="455"/>
      <c r="N42" s="236">
        <f>SUM(N35:N41)</f>
        <v>1078.2449999999999</v>
      </c>
      <c r="O42" s="155"/>
      <c r="P42" s="1256"/>
      <c r="Q42" s="234"/>
      <c r="R42" s="253"/>
      <c r="S42" s="235"/>
      <c r="T42" s="254"/>
      <c r="U42" s="235"/>
      <c r="V42" s="237"/>
    </row>
    <row r="43" spans="2:22" ht="15" customHeight="1" thickTop="1" x14ac:dyDescent="0.15">
      <c r="B43" s="1076"/>
      <c r="C43" s="374"/>
      <c r="D43" s="374"/>
      <c r="E43" s="421"/>
      <c r="F43" s="374"/>
      <c r="G43" s="352">
        <f>D43*F43/3</f>
        <v>0</v>
      </c>
      <c r="H43" s="149"/>
      <c r="I43" s="1263" t="s">
        <v>232</v>
      </c>
      <c r="J43" s="233" t="s">
        <v>245</v>
      </c>
      <c r="K43" s="1266">
        <v>4100</v>
      </c>
      <c r="L43" s="1266"/>
      <c r="M43" s="456">
        <v>2</v>
      </c>
      <c r="N43" s="251">
        <f>K43*2/30/M43*10</f>
        <v>1366.6666666666665</v>
      </c>
      <c r="O43" s="155"/>
      <c r="P43" s="1256"/>
      <c r="Q43" s="234"/>
      <c r="R43" s="253"/>
      <c r="S43" s="235"/>
      <c r="T43" s="254"/>
      <c r="U43" s="235"/>
      <c r="V43" s="237"/>
    </row>
    <row r="44" spans="2:22" ht="15" customHeight="1" thickBot="1" x14ac:dyDescent="0.2">
      <c r="B44" s="1076"/>
      <c r="C44" s="374"/>
      <c r="D44" s="374"/>
      <c r="E44" s="421"/>
      <c r="F44" s="374"/>
      <c r="G44" s="352"/>
      <c r="H44" s="149"/>
      <c r="I44" s="1264"/>
      <c r="J44" s="234"/>
      <c r="K44" s="1276"/>
      <c r="L44" s="1276"/>
      <c r="M44" s="333"/>
      <c r="N44" s="237"/>
      <c r="O44" s="155"/>
      <c r="P44" s="1257"/>
      <c r="Q44" s="238" t="s">
        <v>241</v>
      </c>
      <c r="R44" s="239"/>
      <c r="S44" s="239"/>
      <c r="T44" s="239"/>
      <c r="U44" s="239"/>
      <c r="V44" s="240">
        <f>SUM(V38:V43)</f>
        <v>250</v>
      </c>
    </row>
    <row r="45" spans="2:22" ht="15" customHeight="1" thickTop="1" x14ac:dyDescent="0.15">
      <c r="B45" s="1076"/>
      <c r="C45" s="374"/>
      <c r="D45" s="374"/>
      <c r="E45" s="421"/>
      <c r="F45" s="374"/>
      <c r="G45" s="352">
        <f t="shared" ref="G45:G52" si="15">D45*F45</f>
        <v>0</v>
      </c>
      <c r="H45" s="149"/>
      <c r="I45" s="1264"/>
      <c r="J45" s="146"/>
      <c r="K45" s="1276"/>
      <c r="L45" s="1276"/>
      <c r="M45" s="333"/>
      <c r="N45" s="237"/>
      <c r="O45" s="155"/>
      <c r="P45" s="1313" t="s">
        <v>246</v>
      </c>
      <c r="Q45" s="1310" t="s">
        <v>257</v>
      </c>
      <c r="R45" s="257" t="s">
        <v>245</v>
      </c>
      <c r="S45" s="234">
        <v>15600</v>
      </c>
      <c r="T45" s="254">
        <v>1</v>
      </c>
      <c r="U45" s="457">
        <v>30</v>
      </c>
      <c r="V45" s="237">
        <f>+S45*T45/U45</f>
        <v>520</v>
      </c>
    </row>
    <row r="46" spans="2:22" ht="15" customHeight="1" thickBot="1" x14ac:dyDescent="0.2">
      <c r="B46" s="1076"/>
      <c r="C46" s="374"/>
      <c r="D46" s="374"/>
      <c r="E46" s="374"/>
      <c r="F46" s="374"/>
      <c r="G46" s="352">
        <f t="shared" si="15"/>
        <v>0</v>
      </c>
      <c r="H46" s="149"/>
      <c r="I46" s="1265"/>
      <c r="J46" s="231" t="s">
        <v>145</v>
      </c>
      <c r="K46" s="1268"/>
      <c r="L46" s="1269"/>
      <c r="M46" s="455"/>
      <c r="N46" s="236">
        <f>SUM(N43:N45)</f>
        <v>1366.6666666666665</v>
      </c>
      <c r="O46" s="155"/>
      <c r="P46" s="1256"/>
      <c r="Q46" s="1311"/>
      <c r="R46" s="257"/>
      <c r="S46" s="234"/>
      <c r="T46" s="254"/>
      <c r="U46" s="457"/>
      <c r="V46" s="237"/>
    </row>
    <row r="47" spans="2:22" ht="15" customHeight="1" thickTop="1" x14ac:dyDescent="0.15">
      <c r="B47" s="1076"/>
      <c r="C47" s="374"/>
      <c r="D47" s="374"/>
      <c r="E47" s="374"/>
      <c r="F47" s="374"/>
      <c r="G47" s="352">
        <f t="shared" si="15"/>
        <v>0</v>
      </c>
      <c r="H47" s="149"/>
      <c r="I47" s="1263" t="s">
        <v>233</v>
      </c>
      <c r="J47" s="233"/>
      <c r="K47" s="1266"/>
      <c r="L47" s="1266"/>
      <c r="M47" s="456"/>
      <c r="N47" s="251"/>
      <c r="O47" s="155"/>
      <c r="P47" s="1256"/>
      <c r="Q47" s="1311"/>
      <c r="R47" s="257"/>
      <c r="S47" s="234"/>
      <c r="T47" s="234"/>
      <c r="U47" s="458"/>
      <c r="V47" s="237"/>
    </row>
    <row r="48" spans="2:22" ht="15" customHeight="1" x14ac:dyDescent="0.15">
      <c r="B48" s="1076"/>
      <c r="C48" s="374"/>
      <c r="D48" s="374"/>
      <c r="E48" s="374"/>
      <c r="F48" s="374"/>
      <c r="G48" s="352">
        <f t="shared" si="15"/>
        <v>0</v>
      </c>
      <c r="H48" s="149"/>
      <c r="I48" s="1264"/>
      <c r="J48" s="234"/>
      <c r="K48" s="1276"/>
      <c r="L48" s="1276"/>
      <c r="M48" s="333"/>
      <c r="N48" s="237"/>
      <c r="O48" s="155"/>
      <c r="P48" s="1256"/>
      <c r="Q48" s="1311"/>
      <c r="S48" s="538"/>
      <c r="T48" s="538"/>
      <c r="U48" s="509"/>
      <c r="V48" s="237"/>
    </row>
    <row r="49" spans="2:22" ht="15" customHeight="1" thickBot="1" x14ac:dyDescent="0.2">
      <c r="B49" s="1262"/>
      <c r="C49" s="140" t="s">
        <v>145</v>
      </c>
      <c r="D49" s="141"/>
      <c r="E49" s="141"/>
      <c r="F49" s="141"/>
      <c r="G49" s="142">
        <f>SUM(G39:G48)</f>
        <v>180886.66666666669</v>
      </c>
      <c r="H49" s="149"/>
      <c r="I49" s="1264"/>
      <c r="J49" s="146"/>
      <c r="K49" s="1276"/>
      <c r="L49" s="1276"/>
      <c r="M49" s="333"/>
      <c r="N49" s="237"/>
      <c r="O49" s="155"/>
      <c r="P49" s="1256"/>
      <c r="Q49" s="1317"/>
      <c r="R49" s="257"/>
      <c r="S49" s="234"/>
      <c r="T49" s="234"/>
      <c r="U49" s="458"/>
      <c r="V49" s="237"/>
    </row>
    <row r="50" spans="2:22" ht="15" customHeight="1" thickTop="1" thickBot="1" x14ac:dyDescent="0.2">
      <c r="B50" s="1261" t="s">
        <v>31</v>
      </c>
      <c r="C50" s="146" t="s">
        <v>723</v>
      </c>
      <c r="D50" s="374">
        <v>2000</v>
      </c>
      <c r="E50" s="421" t="s">
        <v>521</v>
      </c>
      <c r="F50" s="374">
        <v>2217</v>
      </c>
      <c r="G50" s="352">
        <f>D50*F50/500</f>
        <v>8868</v>
      </c>
      <c r="H50" s="149"/>
      <c r="I50" s="1265"/>
      <c r="J50" s="231" t="s">
        <v>145</v>
      </c>
      <c r="K50" s="1268"/>
      <c r="L50" s="1269"/>
      <c r="M50" s="455"/>
      <c r="N50" s="236"/>
      <c r="O50" s="155"/>
      <c r="P50" s="1256"/>
      <c r="Q50" s="238" t="s">
        <v>241</v>
      </c>
      <c r="R50" s="239"/>
      <c r="S50" s="239"/>
      <c r="T50" s="239"/>
      <c r="U50" s="459"/>
      <c r="V50" s="240">
        <f>SUM(V45:V49)</f>
        <v>520</v>
      </c>
    </row>
    <row r="51" spans="2:22" ht="15" customHeight="1" thickTop="1" x14ac:dyDescent="0.15">
      <c r="B51" s="1076"/>
      <c r="C51" s="460" t="s">
        <v>725</v>
      </c>
      <c r="D51" s="374">
        <v>4000</v>
      </c>
      <c r="E51" s="421" t="s">
        <v>521</v>
      </c>
      <c r="F51" s="374">
        <v>2199</v>
      </c>
      <c r="G51" s="352">
        <f>D51*F51/500</f>
        <v>17592</v>
      </c>
      <c r="H51" s="149"/>
      <c r="I51" s="1263" t="s">
        <v>234</v>
      </c>
      <c r="J51" s="233"/>
      <c r="K51" s="1277"/>
      <c r="L51" s="1278"/>
      <c r="M51" s="587"/>
      <c r="N51" s="252"/>
      <c r="O51" s="155"/>
      <c r="P51" s="1256"/>
      <c r="Q51" s="1310" t="s">
        <v>259</v>
      </c>
      <c r="R51" s="257" t="s">
        <v>245</v>
      </c>
      <c r="S51" s="234">
        <v>25000</v>
      </c>
      <c r="T51" s="254">
        <v>1</v>
      </c>
      <c r="U51" s="457">
        <v>30</v>
      </c>
      <c r="V51" s="237">
        <f>+S51*T51/U51</f>
        <v>833.33333333333337</v>
      </c>
    </row>
    <row r="52" spans="2:22" ht="15" customHeight="1" x14ac:dyDescent="0.15">
      <c r="B52" s="1076"/>
      <c r="C52" s="461"/>
      <c r="D52" s="374"/>
      <c r="E52" s="374"/>
      <c r="F52" s="374"/>
      <c r="G52" s="352">
        <f t="shared" si="15"/>
        <v>0</v>
      </c>
      <c r="H52" s="149"/>
      <c r="I52" s="1264"/>
      <c r="J52" s="538" t="s">
        <v>535</v>
      </c>
      <c r="K52" s="1350">
        <v>2400</v>
      </c>
      <c r="L52" s="1351"/>
      <c r="M52" s="588">
        <v>2</v>
      </c>
      <c r="N52" s="237">
        <f>K52/(M52*100)*10</f>
        <v>120</v>
      </c>
      <c r="O52" s="155"/>
      <c r="P52" s="1256"/>
      <c r="Q52" s="1311"/>
      <c r="R52" s="257"/>
      <c r="S52" s="234"/>
      <c r="T52" s="254"/>
      <c r="U52" s="234"/>
      <c r="V52" s="237"/>
    </row>
    <row r="53" spans="2:22" ht="14.25" thickBot="1" x14ac:dyDescent="0.2">
      <c r="B53" s="1262"/>
      <c r="C53" s="140" t="s">
        <v>145</v>
      </c>
      <c r="D53" s="141"/>
      <c r="E53" s="141"/>
      <c r="F53" s="141"/>
      <c r="G53" s="142">
        <f>SUM(G50:G52)</f>
        <v>26460</v>
      </c>
      <c r="I53" s="1264"/>
      <c r="J53" s="538" t="s">
        <v>245</v>
      </c>
      <c r="K53" s="1350">
        <v>5000</v>
      </c>
      <c r="L53" s="1351"/>
      <c r="M53" s="588">
        <v>2</v>
      </c>
      <c r="N53" s="237">
        <f>+K53/30/10</f>
        <v>16.666666666666664</v>
      </c>
      <c r="O53" s="155"/>
      <c r="P53" s="1256"/>
      <c r="Q53" s="1311"/>
      <c r="R53" s="257"/>
      <c r="S53" s="234"/>
      <c r="T53" s="234"/>
      <c r="U53" s="146"/>
      <c r="V53" s="258"/>
    </row>
    <row r="54" spans="2:22" ht="14.25" thickTop="1" x14ac:dyDescent="0.15">
      <c r="B54" s="1261" t="s">
        <v>522</v>
      </c>
      <c r="C54" s="374" t="s">
        <v>723</v>
      </c>
      <c r="D54" s="364">
        <f>10*10</f>
        <v>100</v>
      </c>
      <c r="E54" s="421" t="s">
        <v>521</v>
      </c>
      <c r="F54" s="374">
        <v>600</v>
      </c>
      <c r="G54" s="352">
        <f>D54*F54/500</f>
        <v>120</v>
      </c>
      <c r="I54" s="1264"/>
      <c r="J54" s="45" t="s">
        <v>536</v>
      </c>
      <c r="K54" s="1352">
        <v>5900</v>
      </c>
      <c r="L54" s="1353"/>
      <c r="M54" s="333">
        <v>2</v>
      </c>
      <c r="N54" s="237">
        <f>K54/30/10</f>
        <v>19.666666666666664</v>
      </c>
      <c r="O54" s="155"/>
      <c r="P54" s="1256"/>
      <c r="Q54" s="1311"/>
      <c r="S54" s="538"/>
      <c r="T54" s="538"/>
      <c r="U54" s="538"/>
      <c r="V54" s="462"/>
    </row>
    <row r="55" spans="2:22" x14ac:dyDescent="0.15">
      <c r="B55" s="1076"/>
      <c r="C55" s="374"/>
      <c r="D55" s="374"/>
      <c r="E55" s="421"/>
      <c r="F55" s="374"/>
      <c r="G55" s="352">
        <f>D55*F55</f>
        <v>0</v>
      </c>
      <c r="I55" s="1264"/>
      <c r="J55" s="234"/>
      <c r="K55" s="1354"/>
      <c r="L55" s="1355"/>
      <c r="M55" s="463"/>
      <c r="N55" s="464"/>
      <c r="O55" s="155"/>
      <c r="P55" s="1256"/>
      <c r="Q55" s="1312"/>
      <c r="R55" s="257"/>
      <c r="S55" s="234"/>
      <c r="T55" s="234"/>
      <c r="U55" s="146"/>
      <c r="V55" s="258"/>
    </row>
    <row r="56" spans="2:22" x14ac:dyDescent="0.15">
      <c r="B56" s="1076"/>
      <c r="C56" s="374"/>
      <c r="D56" s="374"/>
      <c r="E56" s="421"/>
      <c r="F56" s="374"/>
      <c r="G56" s="352">
        <f>D56*F56</f>
        <v>0</v>
      </c>
      <c r="I56" s="1258"/>
      <c r="J56" s="465" t="s">
        <v>145</v>
      </c>
      <c r="K56" s="1343"/>
      <c r="L56" s="1344"/>
      <c r="M56" s="466"/>
      <c r="N56" s="467">
        <f>SUM(N51:N55)</f>
        <v>156.33333333333331</v>
      </c>
      <c r="O56" s="155"/>
      <c r="P56" s="1314"/>
      <c r="Q56" s="261" t="s">
        <v>241</v>
      </c>
      <c r="R56" s="262"/>
      <c r="S56" s="262"/>
      <c r="T56" s="262"/>
      <c r="U56" s="262"/>
      <c r="V56" s="263">
        <f>SUM(V51:V55)</f>
        <v>833.33333333333337</v>
      </c>
    </row>
    <row r="57" spans="2:22" ht="14.25" thickBot="1" x14ac:dyDescent="0.2">
      <c r="B57" s="1077"/>
      <c r="C57" s="143" t="s">
        <v>147</v>
      </c>
      <c r="D57" s="144"/>
      <c r="E57" s="144"/>
      <c r="F57" s="144"/>
      <c r="G57" s="145">
        <f>SUM(G54:G56)</f>
        <v>120</v>
      </c>
      <c r="I57" s="1345" t="s">
        <v>235</v>
      </c>
      <c r="J57" s="1307"/>
      <c r="K57" s="1346"/>
      <c r="L57" s="1347"/>
      <c r="M57" s="160"/>
      <c r="N57" s="260">
        <f>SUM(N42,N46,N50,N56)</f>
        <v>2601.2449999999999</v>
      </c>
      <c r="O57" s="155"/>
      <c r="P57" s="1348" t="s">
        <v>235</v>
      </c>
      <c r="Q57" s="1349"/>
      <c r="R57" s="259"/>
      <c r="S57" s="259"/>
      <c r="T57" s="259"/>
      <c r="U57" s="259"/>
      <c r="V57" s="468">
        <f>SUM(V44,V50,V56)</f>
        <v>1603.3333333333335</v>
      </c>
    </row>
    <row r="58" spans="2:22" x14ac:dyDescent="0.15">
      <c r="O58" s="155"/>
      <c r="V58" s="45"/>
    </row>
    <row r="59" spans="2:22" x14ac:dyDescent="0.15">
      <c r="I59" s="155"/>
      <c r="J59" s="155"/>
      <c r="K59" s="155"/>
      <c r="L59" s="155"/>
      <c r="M59" s="155"/>
      <c r="N59" s="155"/>
      <c r="O59" s="155"/>
    </row>
    <row r="60" spans="2:22" x14ac:dyDescent="0.15">
      <c r="I60" s="155"/>
      <c r="J60" s="155"/>
      <c r="K60" s="155"/>
      <c r="L60" s="155"/>
      <c r="M60" s="155"/>
      <c r="N60" s="155"/>
      <c r="O60" s="155"/>
    </row>
    <row r="61" spans="2:22" x14ac:dyDescent="0.15">
      <c r="I61" s="155"/>
      <c r="J61" s="155"/>
      <c r="K61" s="155"/>
      <c r="L61" s="155"/>
      <c r="M61" s="155"/>
      <c r="N61" s="155"/>
      <c r="O61" s="155"/>
    </row>
    <row r="62" spans="2:22" x14ac:dyDescent="0.15">
      <c r="I62" s="155"/>
      <c r="J62" s="155"/>
      <c r="K62" s="155"/>
      <c r="L62" s="155"/>
      <c r="M62" s="155"/>
      <c r="N62" s="155"/>
      <c r="O62" s="155"/>
    </row>
    <row r="63" spans="2:22" x14ac:dyDescent="0.15">
      <c r="I63" s="155"/>
      <c r="J63" s="155"/>
      <c r="K63" s="155"/>
      <c r="L63" s="155"/>
      <c r="M63" s="155"/>
      <c r="N63" s="155"/>
      <c r="O63" s="155"/>
    </row>
    <row r="64" spans="2:22" x14ac:dyDescent="0.15">
      <c r="I64" s="155"/>
      <c r="J64" s="155"/>
      <c r="K64" s="155"/>
      <c r="L64" s="155"/>
      <c r="M64" s="155"/>
      <c r="N64" s="155"/>
      <c r="O64" s="155"/>
    </row>
    <row r="65" spans="9:15" x14ac:dyDescent="0.15">
      <c r="I65" s="155"/>
      <c r="J65" s="155"/>
      <c r="K65" s="155"/>
      <c r="L65" s="155"/>
      <c r="M65" s="155"/>
      <c r="N65" s="155"/>
      <c r="O65" s="155"/>
    </row>
    <row r="66" spans="9:15" x14ac:dyDescent="0.15">
      <c r="I66" s="155"/>
      <c r="J66" s="155"/>
      <c r="K66" s="155"/>
      <c r="L66" s="155"/>
      <c r="M66" s="155"/>
      <c r="N66" s="155"/>
      <c r="O66" s="155"/>
    </row>
    <row r="67" spans="9:15" x14ac:dyDescent="0.15">
      <c r="I67" s="155"/>
      <c r="J67" s="155"/>
      <c r="K67" s="155"/>
      <c r="L67" s="155"/>
      <c r="M67" s="155"/>
      <c r="N67" s="155"/>
      <c r="O67" s="155"/>
    </row>
    <row r="68" spans="9:15" x14ac:dyDescent="0.15">
      <c r="I68" s="155"/>
      <c r="J68" s="155"/>
      <c r="K68" s="155"/>
      <c r="L68" s="155"/>
      <c r="M68" s="155"/>
      <c r="N68" s="155"/>
      <c r="O68" s="155"/>
    </row>
    <row r="69" spans="9:15" x14ac:dyDescent="0.15">
      <c r="I69" s="155"/>
      <c r="J69" s="155"/>
      <c r="K69" s="155"/>
      <c r="L69" s="155"/>
      <c r="M69" s="155"/>
      <c r="N69" s="155"/>
      <c r="O69" s="155"/>
    </row>
    <row r="70" spans="9:15" x14ac:dyDescent="0.15">
      <c r="I70" s="155"/>
      <c r="J70" s="155"/>
      <c r="K70" s="155"/>
      <c r="L70" s="155"/>
      <c r="M70" s="155"/>
      <c r="N70" s="155"/>
      <c r="O70" s="155"/>
    </row>
    <row r="71" spans="9:15" x14ac:dyDescent="0.15">
      <c r="I71" s="155"/>
      <c r="J71" s="155"/>
      <c r="K71" s="155"/>
      <c r="L71" s="155"/>
      <c r="M71" s="155"/>
      <c r="N71" s="155"/>
      <c r="O71" s="155"/>
    </row>
    <row r="72" spans="9:15" x14ac:dyDescent="0.15">
      <c r="I72" s="155"/>
      <c r="J72" s="155"/>
      <c r="K72" s="155"/>
      <c r="L72" s="155"/>
      <c r="M72" s="155"/>
      <c r="N72" s="155"/>
      <c r="O72" s="155"/>
    </row>
    <row r="73" spans="9:15" x14ac:dyDescent="0.15">
      <c r="I73" s="155"/>
      <c r="J73" s="155"/>
      <c r="K73" s="155"/>
      <c r="L73" s="155"/>
      <c r="M73" s="155"/>
      <c r="N73" s="155"/>
      <c r="O73" s="155"/>
    </row>
    <row r="74" spans="9:15" x14ac:dyDescent="0.15">
      <c r="I74" s="155"/>
      <c r="J74" s="155"/>
      <c r="K74" s="155"/>
      <c r="L74" s="155"/>
      <c r="M74" s="155"/>
      <c r="N74" s="155"/>
      <c r="O74" s="155"/>
    </row>
    <row r="75" spans="9:15" x14ac:dyDescent="0.15">
      <c r="I75" s="155"/>
      <c r="J75" s="155"/>
      <c r="K75" s="155"/>
      <c r="L75" s="155"/>
      <c r="M75" s="155"/>
      <c r="N75" s="155"/>
      <c r="O75" s="155"/>
    </row>
    <row r="76" spans="9:15" x14ac:dyDescent="0.15">
      <c r="I76" s="155"/>
      <c r="J76" s="155"/>
      <c r="K76" s="155"/>
      <c r="L76" s="155"/>
      <c r="M76" s="155"/>
      <c r="N76" s="155"/>
      <c r="O76" s="155"/>
    </row>
    <row r="77" spans="9:15" x14ac:dyDescent="0.15">
      <c r="I77" s="155"/>
      <c r="J77" s="155"/>
      <c r="K77" s="155"/>
      <c r="L77" s="155"/>
      <c r="M77" s="155"/>
      <c r="N77" s="155"/>
      <c r="O77" s="155"/>
    </row>
    <row r="78" spans="9:15" x14ac:dyDescent="0.15">
      <c r="I78" s="155"/>
      <c r="J78" s="155"/>
      <c r="K78" s="155"/>
      <c r="L78" s="155"/>
      <c r="M78" s="155"/>
      <c r="N78" s="155"/>
      <c r="O78" s="155"/>
    </row>
    <row r="79" spans="9:15" x14ac:dyDescent="0.15">
      <c r="I79" s="155"/>
      <c r="J79" s="155"/>
      <c r="K79" s="155"/>
      <c r="L79" s="155"/>
      <c r="M79" s="155"/>
      <c r="N79" s="155"/>
      <c r="O79" s="155"/>
    </row>
    <row r="80" spans="9:15" x14ac:dyDescent="0.15">
      <c r="I80" s="155"/>
      <c r="J80" s="155"/>
      <c r="K80" s="155"/>
      <c r="L80" s="155"/>
      <c r="M80" s="155"/>
      <c r="N80" s="155"/>
      <c r="O80" s="155"/>
    </row>
    <row r="81" spans="2:15" x14ac:dyDescent="0.15">
      <c r="I81" s="155"/>
      <c r="J81" s="155"/>
      <c r="K81" s="155"/>
      <c r="L81" s="155"/>
      <c r="M81" s="155"/>
      <c r="N81" s="155"/>
      <c r="O81" s="155"/>
    </row>
    <row r="82" spans="2:15" x14ac:dyDescent="0.15">
      <c r="I82" s="155"/>
      <c r="J82" s="155"/>
      <c r="K82" s="155"/>
      <c r="L82" s="155"/>
      <c r="M82" s="155"/>
      <c r="N82" s="155"/>
      <c r="O82" s="155"/>
    </row>
    <row r="83" spans="2:15" x14ac:dyDescent="0.15">
      <c r="B83" s="148"/>
      <c r="C83" s="149"/>
      <c r="D83" s="149"/>
      <c r="E83" s="149"/>
      <c r="F83" s="149"/>
      <c r="I83" s="155"/>
      <c r="J83" s="155"/>
      <c r="K83" s="155"/>
      <c r="L83" s="155"/>
      <c r="M83" s="155"/>
      <c r="N83" s="155"/>
      <c r="O83" s="155"/>
    </row>
    <row r="84" spans="2:15" x14ac:dyDescent="0.15">
      <c r="B84" s="148"/>
      <c r="C84" s="149"/>
      <c r="D84" s="149"/>
      <c r="E84" s="149"/>
      <c r="F84" s="149"/>
      <c r="I84" s="155"/>
      <c r="J84" s="155"/>
      <c r="K84" s="155"/>
      <c r="L84" s="155"/>
      <c r="M84" s="155"/>
      <c r="N84" s="155"/>
      <c r="O84" s="155"/>
    </row>
    <row r="85" spans="2:15" x14ac:dyDescent="0.15">
      <c r="I85" s="155"/>
      <c r="J85" s="155"/>
      <c r="K85" s="155"/>
      <c r="L85" s="155"/>
      <c r="M85" s="155"/>
      <c r="N85" s="155"/>
      <c r="O85" s="155"/>
    </row>
    <row r="86" spans="2:15" x14ac:dyDescent="0.15">
      <c r="I86" s="155"/>
      <c r="J86" s="155"/>
      <c r="K86" s="155"/>
      <c r="L86" s="155"/>
      <c r="M86" s="155"/>
      <c r="N86" s="155"/>
      <c r="O86" s="155"/>
    </row>
    <row r="87" spans="2:15" x14ac:dyDescent="0.15">
      <c r="I87" s="155"/>
      <c r="J87" s="155"/>
      <c r="K87" s="155"/>
      <c r="L87" s="155"/>
      <c r="M87" s="155"/>
      <c r="N87" s="155"/>
      <c r="O87" s="155"/>
    </row>
    <row r="88" spans="2:15" x14ac:dyDescent="0.15">
      <c r="I88" s="155"/>
      <c r="J88" s="155"/>
      <c r="K88" s="155"/>
      <c r="L88" s="155"/>
      <c r="M88" s="155"/>
      <c r="N88" s="155"/>
      <c r="O88" s="155"/>
    </row>
    <row r="89" spans="2:15" x14ac:dyDescent="0.15">
      <c r="I89" s="155"/>
      <c r="J89" s="155"/>
      <c r="K89" s="155"/>
      <c r="L89" s="155"/>
      <c r="M89" s="155"/>
      <c r="N89" s="155"/>
      <c r="O89" s="155"/>
    </row>
    <row r="90" spans="2:15" x14ac:dyDescent="0.15">
      <c r="I90" s="155"/>
      <c r="J90" s="155"/>
      <c r="K90" s="155"/>
      <c r="L90" s="155"/>
      <c r="M90" s="155"/>
      <c r="N90" s="155"/>
      <c r="O90" s="155"/>
    </row>
    <row r="91" spans="2:15" x14ac:dyDescent="0.15">
      <c r="I91" s="155"/>
      <c r="J91" s="155"/>
      <c r="K91" s="155"/>
      <c r="L91" s="155"/>
      <c r="M91" s="155"/>
      <c r="N91" s="155"/>
      <c r="O91" s="155"/>
    </row>
    <row r="92" spans="2:15" x14ac:dyDescent="0.15">
      <c r="I92" s="155"/>
      <c r="J92" s="155"/>
      <c r="K92" s="155"/>
      <c r="L92" s="155"/>
      <c r="M92" s="155"/>
      <c r="N92" s="155"/>
      <c r="O92" s="155"/>
    </row>
    <row r="93" spans="2:15" x14ac:dyDescent="0.15">
      <c r="I93" s="155"/>
      <c r="J93" s="155"/>
      <c r="K93" s="155"/>
      <c r="L93" s="155"/>
      <c r="M93" s="155"/>
      <c r="N93" s="155"/>
      <c r="O93" s="155"/>
    </row>
    <row r="94" spans="2:15" x14ac:dyDescent="0.15">
      <c r="I94" s="155"/>
      <c r="J94" s="155"/>
      <c r="K94" s="155"/>
      <c r="L94" s="155"/>
      <c r="M94" s="155"/>
      <c r="N94" s="155"/>
      <c r="O94" s="155"/>
    </row>
    <row r="95" spans="2:15" x14ac:dyDescent="0.15">
      <c r="I95" s="155"/>
      <c r="J95" s="155"/>
      <c r="K95" s="155"/>
      <c r="L95" s="155"/>
      <c r="M95" s="155"/>
      <c r="N95" s="155"/>
      <c r="O95" s="155"/>
    </row>
    <row r="96" spans="2:15" x14ac:dyDescent="0.15">
      <c r="I96" s="155"/>
      <c r="J96" s="155"/>
      <c r="K96" s="155"/>
      <c r="L96" s="155"/>
      <c r="M96" s="155"/>
      <c r="N96" s="155"/>
      <c r="O96" s="155"/>
    </row>
    <row r="97" spans="9:15" x14ac:dyDescent="0.15">
      <c r="I97" s="155"/>
      <c r="J97" s="155"/>
      <c r="K97" s="155"/>
      <c r="L97" s="155"/>
      <c r="M97" s="155"/>
      <c r="N97" s="155"/>
      <c r="O97" s="155"/>
    </row>
    <row r="98" spans="9:15" x14ac:dyDescent="0.15">
      <c r="I98" s="155"/>
      <c r="J98" s="155"/>
      <c r="K98" s="155"/>
      <c r="L98" s="155"/>
      <c r="M98" s="155"/>
      <c r="N98" s="155"/>
      <c r="O98" s="155"/>
    </row>
    <row r="99" spans="9:15" x14ac:dyDescent="0.15">
      <c r="I99" s="155"/>
      <c r="J99" s="155"/>
      <c r="K99" s="155"/>
      <c r="L99" s="155"/>
      <c r="M99" s="155"/>
      <c r="N99" s="155"/>
      <c r="O99" s="155"/>
    </row>
    <row r="100" spans="9:15" x14ac:dyDescent="0.15">
      <c r="I100" s="155"/>
      <c r="J100" s="155"/>
      <c r="K100" s="155"/>
      <c r="L100" s="155"/>
      <c r="M100" s="155"/>
      <c r="N100" s="155"/>
      <c r="O100" s="155"/>
    </row>
    <row r="101" spans="9:15" x14ac:dyDescent="0.15">
      <c r="I101" s="155"/>
      <c r="J101" s="155"/>
      <c r="K101" s="155"/>
      <c r="L101" s="155"/>
      <c r="M101" s="155"/>
      <c r="N101" s="155"/>
      <c r="O101" s="155"/>
    </row>
    <row r="102" spans="9:15" x14ac:dyDescent="0.15">
      <c r="I102" s="155"/>
      <c r="J102" s="155"/>
      <c r="K102" s="155"/>
      <c r="L102" s="155"/>
      <c r="M102" s="155"/>
      <c r="N102" s="155"/>
      <c r="O102" s="155"/>
    </row>
    <row r="103" spans="9:15" x14ac:dyDescent="0.15">
      <c r="I103" s="155"/>
      <c r="J103" s="155"/>
      <c r="K103" s="155"/>
      <c r="L103" s="155"/>
      <c r="M103" s="155"/>
      <c r="N103" s="155"/>
      <c r="O103" s="155"/>
    </row>
    <row r="104" spans="9:15" x14ac:dyDescent="0.15">
      <c r="I104" s="155"/>
      <c r="J104" s="155"/>
      <c r="K104" s="155"/>
      <c r="L104" s="155"/>
      <c r="M104" s="155"/>
      <c r="N104" s="155"/>
      <c r="O104" s="155"/>
    </row>
    <row r="105" spans="9:15" x14ac:dyDescent="0.15">
      <c r="I105" s="155"/>
      <c r="J105" s="155"/>
      <c r="K105" s="155"/>
      <c r="L105" s="155"/>
      <c r="M105" s="155"/>
      <c r="N105" s="155"/>
      <c r="O105" s="155"/>
    </row>
    <row r="106" spans="9:15" x14ac:dyDescent="0.15">
      <c r="I106" s="155"/>
      <c r="J106" s="155"/>
      <c r="K106" s="155"/>
      <c r="L106" s="155"/>
      <c r="M106" s="155"/>
      <c r="N106" s="155"/>
      <c r="O106" s="155"/>
    </row>
    <row r="107" spans="9:15" x14ac:dyDescent="0.15">
      <c r="I107" s="155"/>
      <c r="J107" s="155"/>
      <c r="K107" s="155"/>
      <c r="L107" s="155"/>
      <c r="M107" s="155"/>
      <c r="N107" s="155"/>
      <c r="O107" s="155"/>
    </row>
    <row r="108" spans="9:15" x14ac:dyDescent="0.15">
      <c r="I108" s="155"/>
      <c r="J108" s="155"/>
      <c r="K108" s="155"/>
      <c r="L108" s="155"/>
      <c r="M108" s="155"/>
      <c r="N108" s="155"/>
      <c r="O108" s="155"/>
    </row>
    <row r="109" spans="9:15" x14ac:dyDescent="0.15">
      <c r="I109" s="155"/>
      <c r="J109" s="155"/>
      <c r="K109" s="155"/>
      <c r="L109" s="155"/>
      <c r="M109" s="155"/>
      <c r="N109" s="155"/>
      <c r="O109" s="155"/>
    </row>
    <row r="110" spans="9:15" x14ac:dyDescent="0.15">
      <c r="I110" s="155"/>
      <c r="J110" s="155"/>
      <c r="K110" s="155"/>
      <c r="L110" s="155"/>
      <c r="M110" s="155"/>
      <c r="N110" s="155"/>
      <c r="O110" s="155"/>
    </row>
    <row r="111" spans="9:15" x14ac:dyDescent="0.15">
      <c r="I111" s="155"/>
      <c r="J111" s="155"/>
      <c r="K111" s="155"/>
      <c r="L111" s="155"/>
      <c r="M111" s="155"/>
      <c r="N111" s="155"/>
      <c r="O111" s="155"/>
    </row>
    <row r="112" spans="9:15" x14ac:dyDescent="0.15">
      <c r="I112" s="155"/>
      <c r="J112" s="155"/>
      <c r="K112" s="155"/>
      <c r="L112" s="155"/>
      <c r="M112" s="155"/>
      <c r="N112" s="155"/>
      <c r="O112" s="155"/>
    </row>
    <row r="113" spans="9:15" x14ac:dyDescent="0.15">
      <c r="I113" s="155"/>
      <c r="J113" s="155"/>
      <c r="K113" s="155"/>
      <c r="L113" s="155"/>
      <c r="M113" s="155"/>
      <c r="N113" s="155"/>
      <c r="O113" s="155"/>
    </row>
    <row r="114" spans="9:15" x14ac:dyDescent="0.15">
      <c r="I114" s="155"/>
      <c r="J114" s="155"/>
      <c r="K114" s="155"/>
      <c r="L114" s="155"/>
      <c r="M114" s="155"/>
      <c r="N114" s="155"/>
      <c r="O114" s="155"/>
    </row>
    <row r="115" spans="9:15" x14ac:dyDescent="0.15">
      <c r="I115" s="155"/>
      <c r="J115" s="155"/>
      <c r="K115" s="155"/>
      <c r="L115" s="155"/>
      <c r="M115" s="155"/>
      <c r="N115" s="155"/>
      <c r="O115" s="155"/>
    </row>
    <row r="116" spans="9:15" x14ac:dyDescent="0.15">
      <c r="I116" s="155"/>
      <c r="J116" s="155"/>
      <c r="K116" s="155"/>
      <c r="L116" s="155"/>
      <c r="M116" s="155"/>
      <c r="N116" s="155"/>
      <c r="O116" s="155"/>
    </row>
    <row r="117" spans="9:15" x14ac:dyDescent="0.15">
      <c r="I117" s="155"/>
      <c r="J117" s="155"/>
      <c r="K117" s="155"/>
      <c r="L117" s="155"/>
      <c r="M117" s="155"/>
      <c r="N117" s="155"/>
      <c r="O117" s="155"/>
    </row>
    <row r="118" spans="9:15" x14ac:dyDescent="0.15">
      <c r="I118" s="155"/>
      <c r="J118" s="155"/>
      <c r="K118" s="155"/>
      <c r="L118" s="155"/>
      <c r="M118" s="155"/>
      <c r="N118" s="155"/>
      <c r="O118" s="155"/>
    </row>
    <row r="119" spans="9:15" x14ac:dyDescent="0.15">
      <c r="I119" s="155"/>
      <c r="J119" s="155"/>
      <c r="K119" s="155"/>
      <c r="L119" s="155"/>
      <c r="M119" s="155"/>
      <c r="N119" s="155"/>
      <c r="O119" s="155"/>
    </row>
    <row r="120" spans="9:15" x14ac:dyDescent="0.15">
      <c r="I120" s="155"/>
      <c r="J120" s="155"/>
      <c r="K120" s="155"/>
      <c r="L120" s="155"/>
      <c r="M120" s="155"/>
      <c r="N120" s="155"/>
      <c r="O120" s="155"/>
    </row>
    <row r="121" spans="9:15" x14ac:dyDescent="0.15">
      <c r="I121" s="155"/>
      <c r="J121" s="155"/>
      <c r="K121" s="155"/>
      <c r="L121" s="155"/>
      <c r="M121" s="155"/>
      <c r="N121" s="155"/>
      <c r="O121" s="155"/>
    </row>
    <row r="122" spans="9:15" x14ac:dyDescent="0.15">
      <c r="I122" s="155"/>
      <c r="J122" s="155"/>
      <c r="K122" s="155"/>
      <c r="L122" s="155"/>
      <c r="M122" s="155"/>
      <c r="N122" s="155"/>
      <c r="O122" s="155"/>
    </row>
    <row r="123" spans="9:15" x14ac:dyDescent="0.15">
      <c r="I123" s="155"/>
      <c r="J123" s="155"/>
      <c r="K123" s="155"/>
      <c r="L123" s="155"/>
      <c r="M123" s="155"/>
      <c r="N123" s="155"/>
      <c r="O123" s="155"/>
    </row>
    <row r="124" spans="9:15" x14ac:dyDescent="0.15">
      <c r="I124" s="155"/>
      <c r="J124" s="155"/>
      <c r="K124" s="155"/>
      <c r="L124" s="155"/>
      <c r="M124" s="155"/>
      <c r="N124" s="155"/>
      <c r="O124" s="155"/>
    </row>
    <row r="125" spans="9:15" x14ac:dyDescent="0.15">
      <c r="I125" s="155"/>
      <c r="J125" s="155"/>
      <c r="K125" s="155"/>
      <c r="L125" s="155"/>
      <c r="M125" s="155"/>
      <c r="N125" s="155"/>
      <c r="O125" s="155"/>
    </row>
    <row r="126" spans="9:15" x14ac:dyDescent="0.15">
      <c r="I126" s="155"/>
      <c r="J126" s="155"/>
      <c r="K126" s="155"/>
      <c r="L126" s="155"/>
      <c r="M126" s="155"/>
      <c r="N126" s="155"/>
      <c r="O126" s="155"/>
    </row>
    <row r="127" spans="9:15" x14ac:dyDescent="0.15">
      <c r="I127" s="155"/>
      <c r="J127" s="155"/>
      <c r="K127" s="155"/>
      <c r="L127" s="155"/>
      <c r="M127" s="155"/>
      <c r="N127" s="155"/>
      <c r="O127" s="155"/>
    </row>
    <row r="128" spans="9:15" x14ac:dyDescent="0.15">
      <c r="I128" s="155"/>
      <c r="J128" s="155"/>
      <c r="K128" s="155"/>
      <c r="L128" s="155"/>
      <c r="M128" s="155"/>
      <c r="N128" s="155"/>
      <c r="O128" s="155"/>
    </row>
    <row r="129" spans="9:15" x14ac:dyDescent="0.15">
      <c r="I129" s="155"/>
      <c r="J129" s="155"/>
      <c r="K129" s="155"/>
      <c r="L129" s="155"/>
      <c r="M129" s="155"/>
      <c r="N129" s="155"/>
      <c r="O129" s="155"/>
    </row>
    <row r="130" spans="9:15" x14ac:dyDescent="0.15">
      <c r="I130" s="155"/>
      <c r="J130" s="155"/>
      <c r="K130" s="155"/>
      <c r="L130" s="155"/>
      <c r="M130" s="155"/>
      <c r="N130" s="155"/>
      <c r="O130" s="155"/>
    </row>
    <row r="131" spans="9:15" x14ac:dyDescent="0.15">
      <c r="I131" s="155"/>
      <c r="J131" s="155"/>
      <c r="K131" s="155"/>
      <c r="L131" s="155"/>
      <c r="M131" s="155"/>
      <c r="N131" s="155"/>
      <c r="O131" s="155"/>
    </row>
    <row r="132" spans="9:15" x14ac:dyDescent="0.15">
      <c r="I132" s="155"/>
      <c r="J132" s="155"/>
      <c r="K132" s="155"/>
      <c r="L132" s="155"/>
      <c r="M132" s="155"/>
      <c r="N132" s="155"/>
      <c r="O132" s="155"/>
    </row>
    <row r="133" spans="9:15" x14ac:dyDescent="0.15">
      <c r="I133" s="155"/>
      <c r="J133" s="155"/>
      <c r="K133" s="155"/>
      <c r="L133" s="155"/>
      <c r="M133" s="155"/>
      <c r="N133" s="155"/>
      <c r="O133" s="155"/>
    </row>
    <row r="134" spans="9:15" x14ac:dyDescent="0.15">
      <c r="I134" s="155"/>
      <c r="J134" s="155"/>
      <c r="K134" s="155"/>
      <c r="L134" s="155"/>
      <c r="M134" s="155"/>
      <c r="N134" s="155"/>
      <c r="O134" s="155"/>
    </row>
    <row r="135" spans="9:15" x14ac:dyDescent="0.15">
      <c r="I135" s="155"/>
      <c r="J135" s="155"/>
      <c r="K135" s="155"/>
      <c r="L135" s="155"/>
      <c r="M135" s="155"/>
      <c r="N135" s="155"/>
      <c r="O135" s="155"/>
    </row>
    <row r="136" spans="9:15" x14ac:dyDescent="0.15">
      <c r="I136" s="155"/>
      <c r="J136" s="155"/>
      <c r="K136" s="155"/>
      <c r="L136" s="155"/>
      <c r="M136" s="155"/>
      <c r="N136" s="155"/>
      <c r="O136" s="155"/>
    </row>
    <row r="137" spans="9:15" x14ac:dyDescent="0.15">
      <c r="I137" s="155"/>
      <c r="J137" s="155"/>
      <c r="K137" s="155"/>
      <c r="L137" s="155"/>
      <c r="M137" s="155"/>
      <c r="N137" s="155"/>
      <c r="O137" s="155"/>
    </row>
    <row r="138" spans="9:15" x14ac:dyDescent="0.15">
      <c r="I138" s="155"/>
      <c r="J138" s="155"/>
      <c r="K138" s="155"/>
      <c r="L138" s="155"/>
      <c r="M138" s="155"/>
      <c r="N138" s="155"/>
      <c r="O138" s="155"/>
    </row>
    <row r="139" spans="9:15" x14ac:dyDescent="0.15">
      <c r="I139" s="155"/>
      <c r="J139" s="155"/>
      <c r="K139" s="155"/>
      <c r="L139" s="155"/>
      <c r="M139" s="155"/>
      <c r="N139" s="155"/>
    </row>
    <row r="140" spans="9:15" x14ac:dyDescent="0.15">
      <c r="I140" s="155"/>
      <c r="J140" s="155"/>
      <c r="K140" s="155"/>
      <c r="L140" s="155"/>
      <c r="M140" s="155"/>
      <c r="N140" s="155"/>
    </row>
    <row r="141" spans="9:15" x14ac:dyDescent="0.15">
      <c r="I141" s="155"/>
      <c r="J141" s="155"/>
      <c r="K141" s="155"/>
      <c r="L141" s="155"/>
      <c r="M141" s="155"/>
      <c r="N141" s="155"/>
    </row>
    <row r="142" spans="9:15" x14ac:dyDescent="0.15">
      <c r="I142" s="155"/>
      <c r="J142" s="155"/>
      <c r="K142" s="155"/>
      <c r="L142" s="155"/>
      <c r="M142" s="155"/>
      <c r="N142" s="155"/>
    </row>
    <row r="143" spans="9:15" x14ac:dyDescent="0.15">
      <c r="I143" s="155"/>
      <c r="J143" s="155"/>
      <c r="K143" s="155"/>
      <c r="L143" s="155"/>
      <c r="M143" s="155"/>
      <c r="N143" s="155"/>
    </row>
    <row r="144" spans="9:15" x14ac:dyDescent="0.15">
      <c r="I144" s="155"/>
      <c r="J144" s="155"/>
      <c r="K144" s="155"/>
      <c r="L144" s="155"/>
      <c r="M144" s="155"/>
      <c r="N144" s="155"/>
    </row>
    <row r="145" spans="9:14" x14ac:dyDescent="0.15">
      <c r="I145" s="155"/>
      <c r="J145" s="155"/>
      <c r="K145" s="155"/>
      <c r="L145" s="155"/>
      <c r="M145" s="155"/>
      <c r="N145" s="155"/>
    </row>
    <row r="146" spans="9:14" x14ac:dyDescent="0.15">
      <c r="I146" s="155"/>
      <c r="J146" s="155"/>
      <c r="K146" s="155"/>
      <c r="L146" s="155"/>
      <c r="M146" s="155"/>
      <c r="N146" s="155"/>
    </row>
    <row r="147" spans="9:14" x14ac:dyDescent="0.15">
      <c r="I147" s="155"/>
      <c r="J147" s="155"/>
      <c r="K147" s="155"/>
      <c r="L147" s="155"/>
      <c r="M147" s="155"/>
      <c r="N147" s="155"/>
    </row>
    <row r="148" spans="9:14" x14ac:dyDescent="0.15">
      <c r="I148" s="155"/>
      <c r="J148" s="155"/>
      <c r="K148" s="155"/>
      <c r="L148" s="155"/>
      <c r="M148" s="155"/>
      <c r="N148" s="155"/>
    </row>
    <row r="149" spans="9:14" x14ac:dyDescent="0.15">
      <c r="I149" s="155"/>
      <c r="J149" s="155"/>
      <c r="K149" s="155"/>
      <c r="L149" s="155"/>
      <c r="M149" s="155"/>
      <c r="N149" s="155"/>
    </row>
    <row r="150" spans="9:14" x14ac:dyDescent="0.15">
      <c r="I150" s="155"/>
      <c r="J150" s="155"/>
      <c r="K150" s="155"/>
      <c r="L150" s="155"/>
      <c r="M150" s="155"/>
      <c r="N150" s="155"/>
    </row>
    <row r="151" spans="9:14" x14ac:dyDescent="0.15">
      <c r="I151" s="155"/>
      <c r="J151" s="155"/>
      <c r="K151" s="155"/>
      <c r="L151" s="155"/>
      <c r="M151" s="155"/>
      <c r="N151" s="155"/>
    </row>
    <row r="152" spans="9:14" x14ac:dyDescent="0.15">
      <c r="I152" s="155"/>
      <c r="J152" s="155"/>
      <c r="K152" s="155"/>
      <c r="L152" s="155"/>
      <c r="M152" s="155"/>
      <c r="N152" s="155"/>
    </row>
    <row r="153" spans="9:14" x14ac:dyDescent="0.15">
      <c r="I153" s="155"/>
      <c r="J153" s="155"/>
      <c r="K153" s="155"/>
      <c r="L153" s="155"/>
      <c r="M153" s="155"/>
      <c r="N153" s="155"/>
    </row>
    <row r="154" spans="9:14" x14ac:dyDescent="0.15">
      <c r="I154" s="155"/>
      <c r="J154" s="155"/>
      <c r="K154" s="155"/>
      <c r="L154" s="155"/>
      <c r="M154" s="155"/>
      <c r="N154" s="155"/>
    </row>
    <row r="155" spans="9:14" x14ac:dyDescent="0.15">
      <c r="J155" s="155"/>
      <c r="K155" s="155"/>
      <c r="L155" s="155"/>
      <c r="M155" s="155"/>
      <c r="N155" s="155"/>
    </row>
    <row r="156" spans="9:14" x14ac:dyDescent="0.15">
      <c r="J156" s="155"/>
      <c r="K156" s="155"/>
      <c r="L156" s="155"/>
      <c r="M156" s="155"/>
      <c r="N156" s="155"/>
    </row>
    <row r="172" spans="15:15" x14ac:dyDescent="0.15">
      <c r="O172" s="155"/>
    </row>
    <row r="173" spans="15:15" x14ac:dyDescent="0.15">
      <c r="O173" s="155"/>
    </row>
    <row r="174" spans="15:15" x14ac:dyDescent="0.15">
      <c r="O174" s="155"/>
    </row>
    <row r="175" spans="15:15" x14ac:dyDescent="0.15">
      <c r="O175" s="155"/>
    </row>
    <row r="176" spans="15:15" x14ac:dyDescent="0.15">
      <c r="O176" s="155"/>
    </row>
    <row r="177" spans="15:15" x14ac:dyDescent="0.15">
      <c r="O177" s="155"/>
    </row>
    <row r="178" spans="15:15" x14ac:dyDescent="0.15">
      <c r="O178" s="155"/>
    </row>
    <row r="179" spans="15:15" x14ac:dyDescent="0.15">
      <c r="O179" s="155"/>
    </row>
    <row r="180" spans="15:15" x14ac:dyDescent="0.15">
      <c r="O180" s="155"/>
    </row>
    <row r="181" spans="15:15" x14ac:dyDescent="0.15">
      <c r="O181" s="155"/>
    </row>
    <row r="182" spans="15:15" x14ac:dyDescent="0.15">
      <c r="O182" s="155"/>
    </row>
    <row r="183" spans="15:15" x14ac:dyDescent="0.15">
      <c r="O183" s="155"/>
    </row>
    <row r="184" spans="15:15" x14ac:dyDescent="0.15">
      <c r="O184" s="155"/>
    </row>
    <row r="185" spans="15:15" x14ac:dyDescent="0.15">
      <c r="O185" s="155"/>
    </row>
    <row r="186" spans="15:15" x14ac:dyDescent="0.15">
      <c r="O186" s="155"/>
    </row>
    <row r="187" spans="15:15" x14ac:dyDescent="0.15">
      <c r="O187" s="155"/>
    </row>
    <row r="188" spans="15:15" x14ac:dyDescent="0.15">
      <c r="O188" s="155"/>
    </row>
    <row r="189" spans="15:15" x14ac:dyDescent="0.15">
      <c r="O189" s="155"/>
    </row>
    <row r="190" spans="15:15" x14ac:dyDescent="0.15">
      <c r="O190" s="155"/>
    </row>
    <row r="191" spans="15:15" x14ac:dyDescent="0.15">
      <c r="O191" s="155"/>
    </row>
  </sheetData>
  <mergeCells count="70">
    <mergeCell ref="I57:J57"/>
    <mergeCell ref="K57:L57"/>
    <mergeCell ref="P57:Q57"/>
    <mergeCell ref="B50:B53"/>
    <mergeCell ref="K50:L50"/>
    <mergeCell ref="I51:I56"/>
    <mergeCell ref="K51:L51"/>
    <mergeCell ref="Q51:Q55"/>
    <mergeCell ref="K52:L52"/>
    <mergeCell ref="K53:L53"/>
    <mergeCell ref="B54:B57"/>
    <mergeCell ref="K54:L54"/>
    <mergeCell ref="K55:L55"/>
    <mergeCell ref="I47:I50"/>
    <mergeCell ref="K44:L44"/>
    <mergeCell ref="K45:L45"/>
    <mergeCell ref="P45:P56"/>
    <mergeCell ref="Q45:Q49"/>
    <mergeCell ref="K46:L46"/>
    <mergeCell ref="K47:L47"/>
    <mergeCell ref="K48:L48"/>
    <mergeCell ref="K49:L49"/>
    <mergeCell ref="K56:L56"/>
    <mergeCell ref="B12:B16"/>
    <mergeCell ref="Q37:R37"/>
    <mergeCell ref="K38:L38"/>
    <mergeCell ref="P38:P44"/>
    <mergeCell ref="B39:B49"/>
    <mergeCell ref="K39:L39"/>
    <mergeCell ref="K40:L40"/>
    <mergeCell ref="K41:L41"/>
    <mergeCell ref="K42:L42"/>
    <mergeCell ref="I43:I46"/>
    <mergeCell ref="K43:L43"/>
    <mergeCell ref="B28:B38"/>
    <mergeCell ref="I28:I31"/>
    <mergeCell ref="K34:L34"/>
    <mergeCell ref="I35:I42"/>
    <mergeCell ref="K35:L35"/>
    <mergeCell ref="B17:B20"/>
    <mergeCell ref="I17:I19"/>
    <mergeCell ref="T17:U17"/>
    <mergeCell ref="T18:U18"/>
    <mergeCell ref="T19:U19"/>
    <mergeCell ref="I20:I23"/>
    <mergeCell ref="T20:U20"/>
    <mergeCell ref="B21:B24"/>
    <mergeCell ref="I24:I27"/>
    <mergeCell ref="T13:U13"/>
    <mergeCell ref="T14:U14"/>
    <mergeCell ref="T15:U15"/>
    <mergeCell ref="K37:L37"/>
    <mergeCell ref="T16:U16"/>
    <mergeCell ref="K36:L36"/>
    <mergeCell ref="B5:B7"/>
    <mergeCell ref="T5:U5"/>
    <mergeCell ref="I6:I10"/>
    <mergeCell ref="T6:U6"/>
    <mergeCell ref="B8:B11"/>
    <mergeCell ref="I4:I5"/>
    <mergeCell ref="J4:J5"/>
    <mergeCell ref="M4:M5"/>
    <mergeCell ref="N4:N5"/>
    <mergeCell ref="T4:U4"/>
    <mergeCell ref="T8:U8"/>
    <mergeCell ref="T9:U9"/>
    <mergeCell ref="T10:U10"/>
    <mergeCell ref="I11:I16"/>
    <mergeCell ref="T11:U11"/>
    <mergeCell ref="T12:U12"/>
  </mergeCells>
  <phoneticPr fontId="4"/>
  <pageMargins left="0.78740157480314965" right="0.78740157480314965" top="0.78740157480314965" bottom="0.78740157480314965" header="0.39370078740157483" footer="0.39370078740157483"/>
  <pageSetup paperSize="9" scale="60" orientation="landscape" horizontalDpi="4294967293" verticalDpi="300" r:id="rId1"/>
  <headerFooter alignWithMargins="0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2"/>
  <sheetViews>
    <sheetView zoomScale="75" zoomScaleNormal="75" workbookViewId="0"/>
  </sheetViews>
  <sheetFormatPr defaultColWidth="9" defaultRowHeight="13.5" x14ac:dyDescent="0.15"/>
  <cols>
    <col min="1" max="1" width="1.625" style="45" customWidth="1"/>
    <col min="2" max="2" width="18" style="45" customWidth="1"/>
    <col min="3" max="15" width="6.125" style="45" customWidth="1"/>
    <col min="16" max="16384" width="9" style="45"/>
  </cols>
  <sheetData>
    <row r="1" spans="2:15" ht="9.9499999999999993" customHeight="1" x14ac:dyDescent="0.15"/>
    <row r="2" spans="2:15" ht="24.95" customHeight="1" x14ac:dyDescent="0.15">
      <c r="B2" s="45" t="s">
        <v>282</v>
      </c>
    </row>
    <row r="3" spans="2:15" ht="20.100000000000001" customHeight="1" x14ac:dyDescent="0.15">
      <c r="D3" s="99" t="s">
        <v>261</v>
      </c>
      <c r="E3" s="1356" t="s">
        <v>389</v>
      </c>
      <c r="F3" s="1356"/>
      <c r="G3" s="99" t="s">
        <v>262</v>
      </c>
      <c r="H3" s="98" t="s">
        <v>263</v>
      </c>
      <c r="I3" s="98"/>
    </row>
    <row r="4" spans="2:15" ht="20.100000000000001" customHeight="1" thickBot="1" x14ac:dyDescent="0.2">
      <c r="B4" s="5" t="s">
        <v>276</v>
      </c>
      <c r="C4" s="5" t="s">
        <v>277</v>
      </c>
      <c r="D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 ht="20.100000000000001" customHeight="1" thickBot="1" x14ac:dyDescent="0.2">
      <c r="B5" s="297" t="s">
        <v>347</v>
      </c>
      <c r="C5" s="298">
        <v>1</v>
      </c>
      <c r="D5" s="298">
        <v>2</v>
      </c>
      <c r="E5" s="298">
        <v>3</v>
      </c>
      <c r="F5" s="298">
        <v>4</v>
      </c>
      <c r="G5" s="298">
        <v>5</v>
      </c>
      <c r="H5" s="298">
        <v>6</v>
      </c>
      <c r="I5" s="298">
        <v>7</v>
      </c>
      <c r="J5" s="298">
        <v>8</v>
      </c>
      <c r="K5" s="298">
        <v>9</v>
      </c>
      <c r="L5" s="298">
        <v>10</v>
      </c>
      <c r="M5" s="298">
        <v>11</v>
      </c>
      <c r="N5" s="298">
        <v>12</v>
      </c>
      <c r="O5" s="299" t="s">
        <v>279</v>
      </c>
    </row>
    <row r="6" spans="2:15" ht="20.100000000000001" customHeight="1" x14ac:dyDescent="0.15">
      <c r="B6" s="317" t="s">
        <v>342</v>
      </c>
      <c r="C6" s="323"/>
      <c r="D6" s="323"/>
      <c r="E6" s="323"/>
      <c r="F6" s="323"/>
      <c r="G6" s="323"/>
      <c r="H6" s="323"/>
      <c r="I6" s="323"/>
      <c r="J6" s="323"/>
      <c r="K6" s="323"/>
      <c r="L6" s="323"/>
      <c r="M6" s="323"/>
      <c r="N6" s="323"/>
      <c r="O6" s="318">
        <v>180</v>
      </c>
    </row>
    <row r="7" spans="2:15" ht="20.100000000000001" customHeight="1" x14ac:dyDescent="0.15">
      <c r="B7" s="317" t="s">
        <v>343</v>
      </c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19">
        <v>180</v>
      </c>
    </row>
    <row r="8" spans="2:15" ht="20.100000000000001" customHeight="1" x14ac:dyDescent="0.15">
      <c r="B8" s="317" t="s">
        <v>345</v>
      </c>
      <c r="C8" s="300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00"/>
      <c r="O8" s="319">
        <v>180</v>
      </c>
    </row>
    <row r="9" spans="2:15" ht="20.100000000000001" customHeight="1" x14ac:dyDescent="0.15">
      <c r="B9" s="317"/>
      <c r="C9" s="300"/>
      <c r="D9" s="300"/>
      <c r="E9" s="300"/>
      <c r="F9" s="300"/>
      <c r="G9" s="300"/>
      <c r="H9" s="300"/>
      <c r="I9" s="300"/>
      <c r="J9" s="300"/>
      <c r="K9" s="300"/>
      <c r="L9" s="300"/>
      <c r="M9" s="300"/>
      <c r="N9" s="300"/>
      <c r="O9" s="319"/>
    </row>
    <row r="10" spans="2:15" ht="20.100000000000001" customHeight="1" x14ac:dyDescent="0.15">
      <c r="B10" s="317"/>
      <c r="C10" s="300"/>
      <c r="D10" s="300"/>
      <c r="E10" s="300"/>
      <c r="F10" s="300"/>
      <c r="G10" s="300"/>
      <c r="H10" s="300"/>
      <c r="I10" s="300"/>
      <c r="J10" s="300"/>
      <c r="K10" s="300"/>
      <c r="L10" s="300"/>
      <c r="M10" s="300"/>
      <c r="N10" s="300"/>
      <c r="O10" s="319"/>
    </row>
    <row r="11" spans="2:15" ht="20.100000000000001" customHeight="1" thickBot="1" x14ac:dyDescent="0.2">
      <c r="B11" s="320" t="s">
        <v>280</v>
      </c>
      <c r="C11" s="321" t="e">
        <f>AVERAGE(C6:C10)</f>
        <v>#DIV/0!</v>
      </c>
      <c r="D11" s="321" t="e">
        <f t="shared" ref="D11:O11" si="0">AVERAGE(D6:D10)</f>
        <v>#DIV/0!</v>
      </c>
      <c r="E11" s="321" t="e">
        <f t="shared" si="0"/>
        <v>#DIV/0!</v>
      </c>
      <c r="F11" s="321" t="e">
        <f t="shared" si="0"/>
        <v>#DIV/0!</v>
      </c>
      <c r="G11" s="321" t="e">
        <f t="shared" si="0"/>
        <v>#DIV/0!</v>
      </c>
      <c r="H11" s="321" t="e">
        <f t="shared" si="0"/>
        <v>#DIV/0!</v>
      </c>
      <c r="I11" s="321" t="e">
        <f t="shared" si="0"/>
        <v>#DIV/0!</v>
      </c>
      <c r="J11" s="321" t="e">
        <f t="shared" si="0"/>
        <v>#DIV/0!</v>
      </c>
      <c r="K11" s="321" t="e">
        <f t="shared" si="0"/>
        <v>#DIV/0!</v>
      </c>
      <c r="L11" s="321" t="e">
        <f t="shared" si="0"/>
        <v>#DIV/0!</v>
      </c>
      <c r="M11" s="321" t="e">
        <f t="shared" si="0"/>
        <v>#DIV/0!</v>
      </c>
      <c r="N11" s="321" t="e">
        <f t="shared" si="0"/>
        <v>#DIV/0!</v>
      </c>
      <c r="O11" s="806">
        <f t="shared" si="0"/>
        <v>180</v>
      </c>
    </row>
    <row r="12" spans="2:15" ht="20.100000000000001" customHeight="1" x14ac:dyDescent="0.15"/>
  </sheetData>
  <mergeCells count="1">
    <mergeCell ref="E3:F3"/>
  </mergeCells>
  <phoneticPr fontId="4"/>
  <pageMargins left="0.78740157480314965" right="0.78740157480314965" top="0.78740157480314965" bottom="0.78740157480314965" header="0.39370078740157483" footer="0.39370078740157483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2"/>
  <sheetViews>
    <sheetView zoomScale="75" zoomScaleNormal="75" workbookViewId="0"/>
  </sheetViews>
  <sheetFormatPr defaultColWidth="9" defaultRowHeight="13.5" x14ac:dyDescent="0.15"/>
  <cols>
    <col min="1" max="1" width="1.625" style="45" customWidth="1"/>
    <col min="2" max="2" width="18" style="45" customWidth="1"/>
    <col min="3" max="15" width="6.125" style="45" customWidth="1"/>
    <col min="16" max="16384" width="9" style="45"/>
  </cols>
  <sheetData>
    <row r="1" spans="2:15" ht="9.9499999999999993" customHeight="1" x14ac:dyDescent="0.15"/>
    <row r="2" spans="2:15" ht="24.95" customHeight="1" x14ac:dyDescent="0.15">
      <c r="B2" s="45" t="s">
        <v>390</v>
      </c>
    </row>
    <row r="3" spans="2:15" ht="20.100000000000001" customHeight="1" x14ac:dyDescent="0.15">
      <c r="D3" s="99" t="s">
        <v>261</v>
      </c>
      <c r="E3" s="1356" t="s">
        <v>391</v>
      </c>
      <c r="F3" s="1356"/>
      <c r="G3" s="99" t="s">
        <v>262</v>
      </c>
      <c r="H3" s="98" t="s">
        <v>263</v>
      </c>
      <c r="I3" s="98"/>
    </row>
    <row r="4" spans="2:15" ht="20.100000000000001" customHeight="1" thickBot="1" x14ac:dyDescent="0.2">
      <c r="B4" s="5" t="s">
        <v>276</v>
      </c>
      <c r="C4" s="5" t="s">
        <v>277</v>
      </c>
      <c r="D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 ht="20.100000000000001" customHeight="1" x14ac:dyDescent="0.15">
      <c r="B5" s="277" t="s">
        <v>278</v>
      </c>
      <c r="C5" s="278">
        <v>1</v>
      </c>
      <c r="D5" s="278">
        <v>2</v>
      </c>
      <c r="E5" s="278">
        <v>3</v>
      </c>
      <c r="F5" s="278">
        <v>4</v>
      </c>
      <c r="G5" s="278">
        <v>5</v>
      </c>
      <c r="H5" s="278">
        <v>6</v>
      </c>
      <c r="I5" s="278">
        <v>7</v>
      </c>
      <c r="J5" s="278">
        <v>8</v>
      </c>
      <c r="K5" s="278">
        <v>9</v>
      </c>
      <c r="L5" s="278">
        <v>10</v>
      </c>
      <c r="M5" s="278">
        <v>11</v>
      </c>
      <c r="N5" s="278">
        <v>12</v>
      </c>
      <c r="O5" s="279" t="s">
        <v>279</v>
      </c>
    </row>
    <row r="6" spans="2:15" ht="20.100000000000001" customHeight="1" x14ac:dyDescent="0.15">
      <c r="B6" s="317" t="s">
        <v>346</v>
      </c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136">
        <f>4300/30</f>
        <v>143.33333333333334</v>
      </c>
    </row>
    <row r="7" spans="2:15" ht="20.100000000000001" customHeight="1" x14ac:dyDescent="0.15">
      <c r="B7" s="317" t="s">
        <v>344</v>
      </c>
      <c r="C7" s="280"/>
      <c r="D7" s="280"/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136">
        <f>4300/30</f>
        <v>143.33333333333334</v>
      </c>
    </row>
    <row r="8" spans="2:15" ht="20.100000000000001" customHeight="1" x14ac:dyDescent="0.15">
      <c r="B8" s="317"/>
      <c r="C8" s="280"/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136"/>
    </row>
    <row r="9" spans="2:15" ht="20.100000000000001" customHeight="1" x14ac:dyDescent="0.15">
      <c r="B9" s="317"/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136"/>
    </row>
    <row r="10" spans="2:15" ht="20.100000000000001" customHeight="1" x14ac:dyDescent="0.15">
      <c r="B10" s="317"/>
      <c r="C10" s="280"/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136"/>
    </row>
    <row r="11" spans="2:15" ht="20.100000000000001" customHeight="1" thickBot="1" x14ac:dyDescent="0.2">
      <c r="B11" s="281" t="s">
        <v>280</v>
      </c>
      <c r="C11" s="282" t="e">
        <f>AVERAGE(C6:C10)</f>
        <v>#DIV/0!</v>
      </c>
      <c r="D11" s="282" t="e">
        <f t="shared" ref="D11:O11" si="0">AVERAGE(D6:D10)</f>
        <v>#DIV/0!</v>
      </c>
      <c r="E11" s="282" t="e">
        <f t="shared" si="0"/>
        <v>#DIV/0!</v>
      </c>
      <c r="F11" s="282" t="e">
        <f t="shared" si="0"/>
        <v>#DIV/0!</v>
      </c>
      <c r="G11" s="282" t="e">
        <f t="shared" si="0"/>
        <v>#DIV/0!</v>
      </c>
      <c r="H11" s="282" t="e">
        <f t="shared" si="0"/>
        <v>#DIV/0!</v>
      </c>
      <c r="I11" s="282" t="e">
        <f t="shared" si="0"/>
        <v>#DIV/0!</v>
      </c>
      <c r="J11" s="282" t="e">
        <f t="shared" si="0"/>
        <v>#DIV/0!</v>
      </c>
      <c r="K11" s="282" t="e">
        <f t="shared" si="0"/>
        <v>#DIV/0!</v>
      </c>
      <c r="L11" s="282" t="e">
        <f t="shared" si="0"/>
        <v>#DIV/0!</v>
      </c>
      <c r="M11" s="282" t="e">
        <f t="shared" si="0"/>
        <v>#DIV/0!</v>
      </c>
      <c r="N11" s="282" t="e">
        <f t="shared" si="0"/>
        <v>#DIV/0!</v>
      </c>
      <c r="O11" s="292">
        <f t="shared" si="0"/>
        <v>143.33333333333334</v>
      </c>
    </row>
    <row r="12" spans="2:15" ht="20.100000000000001" customHeight="1" x14ac:dyDescent="0.15"/>
  </sheetData>
  <mergeCells count="1">
    <mergeCell ref="E3:F3"/>
  </mergeCells>
  <phoneticPr fontId="4"/>
  <pageMargins left="0.78740157480314965" right="0.78740157480314965" top="0.78740157480314965" bottom="0.78740157480314965" header="0.39370078740157483" footer="0.3937007874015748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2"/>
  <sheetViews>
    <sheetView zoomScale="75" zoomScaleNormal="75" workbookViewId="0"/>
  </sheetViews>
  <sheetFormatPr defaultColWidth="9" defaultRowHeight="13.5" x14ac:dyDescent="0.15"/>
  <cols>
    <col min="1" max="1" width="1.625" style="90" customWidth="1"/>
    <col min="2" max="2" width="7.625" style="90" customWidth="1"/>
    <col min="3" max="3" width="25.625" style="90" customWidth="1"/>
    <col min="4" max="12" width="20.625" style="90" customWidth="1"/>
    <col min="13" max="16384" width="9" style="90"/>
  </cols>
  <sheetData>
    <row r="1" spans="2:12" ht="9.9499999999999993" customHeight="1" x14ac:dyDescent="0.15"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2:12" ht="24.95" customHeight="1" thickBot="1" x14ac:dyDescent="0.2">
      <c r="B2" s="90" t="s">
        <v>103</v>
      </c>
      <c r="F2" s="270" t="s">
        <v>261</v>
      </c>
      <c r="G2" s="269" t="s">
        <v>379</v>
      </c>
      <c r="I2" s="270" t="s">
        <v>262</v>
      </c>
      <c r="J2" s="269" t="s">
        <v>351</v>
      </c>
    </row>
    <row r="3" spans="2:12" ht="20.100000000000001" customHeight="1" x14ac:dyDescent="0.15">
      <c r="B3" s="964" t="s">
        <v>110</v>
      </c>
      <c r="C3" s="965"/>
      <c r="D3" s="589" t="s">
        <v>352</v>
      </c>
      <c r="E3" s="589" t="s">
        <v>353</v>
      </c>
      <c r="F3" s="589" t="s">
        <v>303</v>
      </c>
      <c r="G3" s="589" t="s">
        <v>364</v>
      </c>
      <c r="H3" s="589" t="s">
        <v>63</v>
      </c>
      <c r="I3" s="589" t="s">
        <v>306</v>
      </c>
      <c r="J3" s="589" t="s">
        <v>354</v>
      </c>
      <c r="K3" s="589" t="s">
        <v>355</v>
      </c>
      <c r="L3" s="590" t="s">
        <v>365</v>
      </c>
    </row>
    <row r="4" spans="2:12" ht="150" customHeight="1" x14ac:dyDescent="0.15">
      <c r="B4" s="963" t="s">
        <v>104</v>
      </c>
      <c r="C4" s="591" t="s">
        <v>105</v>
      </c>
      <c r="D4" s="794" t="s">
        <v>680</v>
      </c>
      <c r="E4" s="794" t="s">
        <v>681</v>
      </c>
      <c r="F4" s="794" t="s">
        <v>682</v>
      </c>
      <c r="G4" s="794" t="s">
        <v>683</v>
      </c>
      <c r="H4" s="794" t="s">
        <v>684</v>
      </c>
      <c r="I4" s="794" t="s">
        <v>685</v>
      </c>
      <c r="J4" s="794" t="s">
        <v>686</v>
      </c>
      <c r="K4" s="794" t="s">
        <v>687</v>
      </c>
      <c r="L4" s="795"/>
    </row>
    <row r="5" spans="2:12" ht="20.100000000000001" customHeight="1" x14ac:dyDescent="0.15">
      <c r="B5" s="963"/>
      <c r="C5" s="591" t="s">
        <v>106</v>
      </c>
      <c r="D5" s="593" t="s">
        <v>366</v>
      </c>
      <c r="E5" s="593" t="s">
        <v>358</v>
      </c>
      <c r="F5" s="593" t="s">
        <v>359</v>
      </c>
      <c r="G5" s="594"/>
      <c r="H5" s="593" t="s">
        <v>360</v>
      </c>
      <c r="I5" s="593" t="s">
        <v>367</v>
      </c>
      <c r="J5" s="593" t="s">
        <v>361</v>
      </c>
      <c r="K5" s="593" t="s">
        <v>362</v>
      </c>
      <c r="L5" s="347"/>
    </row>
    <row r="6" spans="2:12" ht="150" customHeight="1" x14ac:dyDescent="0.15">
      <c r="B6" s="963"/>
      <c r="C6" s="591" t="s">
        <v>109</v>
      </c>
      <c r="D6" s="595" t="s">
        <v>291</v>
      </c>
      <c r="E6" s="595" t="s">
        <v>363</v>
      </c>
      <c r="F6" s="595" t="s">
        <v>395</v>
      </c>
      <c r="G6" s="595" t="s">
        <v>289</v>
      </c>
      <c r="H6" s="592"/>
      <c r="I6" s="592" t="s">
        <v>289</v>
      </c>
      <c r="J6" s="592" t="s">
        <v>356</v>
      </c>
      <c r="K6" s="596" t="s">
        <v>409</v>
      </c>
      <c r="L6" s="346"/>
    </row>
    <row r="7" spans="2:12" ht="20.100000000000001" customHeight="1" x14ac:dyDescent="0.15">
      <c r="B7" s="963"/>
      <c r="C7" s="597" t="s">
        <v>393</v>
      </c>
      <c r="D7" s="598"/>
      <c r="E7" s="598">
        <v>16</v>
      </c>
      <c r="F7" s="598">
        <v>6</v>
      </c>
      <c r="G7" s="599">
        <v>-1</v>
      </c>
      <c r="H7" s="600"/>
      <c r="I7" s="600">
        <v>2</v>
      </c>
      <c r="J7" s="600">
        <v>6.9</v>
      </c>
      <c r="K7" s="600">
        <v>12.1</v>
      </c>
      <c r="L7" s="349"/>
    </row>
    <row r="8" spans="2:12" ht="20.100000000000001" customHeight="1" x14ac:dyDescent="0.15">
      <c r="B8" s="963"/>
      <c r="C8" s="601" t="s">
        <v>394</v>
      </c>
      <c r="D8" s="598">
        <v>17.2</v>
      </c>
      <c r="E8" s="598"/>
      <c r="F8" s="598">
        <v>18</v>
      </c>
      <c r="G8" s="599">
        <v>-1</v>
      </c>
      <c r="H8" s="600"/>
      <c r="I8" s="600">
        <v>5.0999999999999996</v>
      </c>
      <c r="J8" s="600">
        <v>23.3</v>
      </c>
      <c r="K8" s="600">
        <v>3.7</v>
      </c>
      <c r="L8" s="349">
        <v>2</v>
      </c>
    </row>
    <row r="9" spans="2:12" ht="20.100000000000001" customHeight="1" x14ac:dyDescent="0.15">
      <c r="B9" s="963"/>
      <c r="C9" s="591" t="s">
        <v>108</v>
      </c>
      <c r="D9" s="600">
        <v>6</v>
      </c>
      <c r="E9" s="600"/>
      <c r="F9" s="600">
        <v>3</v>
      </c>
      <c r="G9" s="600"/>
      <c r="H9" s="600"/>
      <c r="I9" s="600">
        <v>3</v>
      </c>
      <c r="J9" s="600">
        <v>3</v>
      </c>
      <c r="K9" s="600">
        <v>2</v>
      </c>
      <c r="L9" s="349"/>
    </row>
    <row r="10" spans="2:12" ht="150" customHeight="1" x14ac:dyDescent="0.15">
      <c r="B10" s="968" t="s">
        <v>396</v>
      </c>
      <c r="C10" s="969"/>
      <c r="D10" s="602" t="s">
        <v>402</v>
      </c>
      <c r="E10" s="602"/>
      <c r="F10" s="602" t="s">
        <v>611</v>
      </c>
      <c r="G10" s="603" t="s">
        <v>403</v>
      </c>
      <c r="H10" s="604"/>
      <c r="I10" s="603" t="s">
        <v>404</v>
      </c>
      <c r="J10" s="603" t="s">
        <v>335</v>
      </c>
      <c r="K10" s="605" t="s">
        <v>401</v>
      </c>
      <c r="L10" s="350"/>
    </row>
    <row r="11" spans="2:12" ht="150" customHeight="1" thickBot="1" x14ac:dyDescent="0.2">
      <c r="B11" s="966" t="s">
        <v>107</v>
      </c>
      <c r="C11" s="967"/>
      <c r="D11" s="797" t="s">
        <v>707</v>
      </c>
      <c r="E11" s="797" t="s">
        <v>708</v>
      </c>
      <c r="F11" s="797" t="s">
        <v>709</v>
      </c>
      <c r="G11" s="798" t="s">
        <v>710</v>
      </c>
      <c r="H11" s="798" t="s">
        <v>711</v>
      </c>
      <c r="I11" s="798" t="s">
        <v>712</v>
      </c>
      <c r="J11" s="798" t="s">
        <v>713</v>
      </c>
      <c r="K11" s="798" t="s">
        <v>714</v>
      </c>
      <c r="L11" s="799"/>
    </row>
    <row r="12" spans="2:12" ht="9.75" customHeight="1" x14ac:dyDescent="0.15">
      <c r="B12" s="91"/>
    </row>
  </sheetData>
  <mergeCells count="4">
    <mergeCell ref="B4:B9"/>
    <mergeCell ref="B3:C3"/>
    <mergeCell ref="B11:C11"/>
    <mergeCell ref="B10:C10"/>
  </mergeCells>
  <phoneticPr fontId="2"/>
  <pageMargins left="0.78740157480314965" right="0.78740157480314965" top="0.78740157480314965" bottom="0.78740157480314965" header="0.39370078740157483" footer="0.39370078740157483"/>
  <pageSetup paperSize="9" scale="59" orientation="landscape" r:id="rId1"/>
  <headerFooter alignWithMargins="0">
    <oddHeader>&amp;R&amp;F</oddHeader>
    <oddFooter>&amp;R&amp;A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2"/>
  <sheetViews>
    <sheetView zoomScale="75" zoomScaleNormal="75" workbookViewId="0"/>
  </sheetViews>
  <sheetFormatPr defaultColWidth="9" defaultRowHeight="13.5" x14ac:dyDescent="0.15"/>
  <cols>
    <col min="1" max="1" width="1.625" style="45" customWidth="1"/>
    <col min="2" max="2" width="18" style="45" customWidth="1"/>
    <col min="3" max="15" width="6.125" style="45" customWidth="1"/>
    <col min="16" max="16384" width="9" style="45"/>
  </cols>
  <sheetData>
    <row r="1" spans="2:15" ht="9.9499999999999993" customHeight="1" x14ac:dyDescent="0.15"/>
    <row r="2" spans="2:15" ht="24.95" customHeight="1" x14ac:dyDescent="0.15">
      <c r="B2" s="45" t="s">
        <v>282</v>
      </c>
    </row>
    <row r="3" spans="2:15" ht="20.100000000000001" customHeight="1" x14ac:dyDescent="0.15">
      <c r="D3" s="99" t="s">
        <v>261</v>
      </c>
      <c r="E3" s="98" t="s">
        <v>54</v>
      </c>
      <c r="F3" s="98"/>
      <c r="G3" s="99" t="s">
        <v>262</v>
      </c>
      <c r="H3" s="98" t="s">
        <v>310</v>
      </c>
      <c r="I3" s="98"/>
    </row>
    <row r="4" spans="2:15" ht="20.100000000000001" customHeight="1" thickBot="1" x14ac:dyDescent="0.2">
      <c r="B4" s="5" t="s">
        <v>276</v>
      </c>
      <c r="C4" s="5" t="s">
        <v>277</v>
      </c>
      <c r="D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 ht="20.100000000000001" customHeight="1" x14ac:dyDescent="0.15">
      <c r="B5" s="314" t="s">
        <v>278</v>
      </c>
      <c r="C5" s="315">
        <v>1</v>
      </c>
      <c r="D5" s="315">
        <v>2</v>
      </c>
      <c r="E5" s="315">
        <v>3</v>
      </c>
      <c r="F5" s="315">
        <v>4</v>
      </c>
      <c r="G5" s="315">
        <v>5</v>
      </c>
      <c r="H5" s="315">
        <v>6</v>
      </c>
      <c r="I5" s="315">
        <v>7</v>
      </c>
      <c r="J5" s="315">
        <v>8</v>
      </c>
      <c r="K5" s="315">
        <v>9</v>
      </c>
      <c r="L5" s="315">
        <v>10</v>
      </c>
      <c r="M5" s="315">
        <v>11</v>
      </c>
      <c r="N5" s="315">
        <v>12</v>
      </c>
      <c r="O5" s="316" t="s">
        <v>279</v>
      </c>
    </row>
    <row r="6" spans="2:15" ht="20.100000000000001" customHeight="1" x14ac:dyDescent="0.15">
      <c r="B6" s="317" t="s">
        <v>348</v>
      </c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18">
        <f>4000/30</f>
        <v>133.33333333333334</v>
      </c>
    </row>
    <row r="7" spans="2:15" ht="20.100000000000001" customHeight="1" x14ac:dyDescent="0.15">
      <c r="B7" s="317"/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19"/>
    </row>
    <row r="8" spans="2:15" ht="20.100000000000001" customHeight="1" x14ac:dyDescent="0.15">
      <c r="B8" s="317"/>
      <c r="C8" s="300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00"/>
      <c r="O8" s="319"/>
    </row>
    <row r="9" spans="2:15" ht="20.100000000000001" customHeight="1" x14ac:dyDescent="0.15">
      <c r="B9" s="317"/>
      <c r="C9" s="300"/>
      <c r="D9" s="300"/>
      <c r="E9" s="300"/>
      <c r="F9" s="300"/>
      <c r="G9" s="300"/>
      <c r="H9" s="300"/>
      <c r="I9" s="300"/>
      <c r="J9" s="300"/>
      <c r="K9" s="300"/>
      <c r="L9" s="300"/>
      <c r="M9" s="300"/>
      <c r="N9" s="300"/>
      <c r="O9" s="319"/>
    </row>
    <row r="10" spans="2:15" ht="20.100000000000001" customHeight="1" x14ac:dyDescent="0.15">
      <c r="B10" s="317"/>
      <c r="C10" s="300"/>
      <c r="D10" s="300"/>
      <c r="E10" s="300"/>
      <c r="F10" s="300"/>
      <c r="G10" s="300"/>
      <c r="H10" s="300"/>
      <c r="I10" s="300"/>
      <c r="J10" s="300"/>
      <c r="K10" s="300"/>
      <c r="L10" s="300"/>
      <c r="M10" s="300"/>
      <c r="N10" s="300"/>
      <c r="O10" s="319"/>
    </row>
    <row r="11" spans="2:15" ht="20.100000000000001" customHeight="1" thickBot="1" x14ac:dyDescent="0.2">
      <c r="B11" s="320" t="s">
        <v>280</v>
      </c>
      <c r="C11" s="321" t="e">
        <f>AVERAGE(C6:C10)</f>
        <v>#DIV/0!</v>
      </c>
      <c r="D11" s="321" t="e">
        <f t="shared" ref="D11:O11" si="0">AVERAGE(D6:D10)</f>
        <v>#DIV/0!</v>
      </c>
      <c r="E11" s="321" t="e">
        <f t="shared" si="0"/>
        <v>#DIV/0!</v>
      </c>
      <c r="F11" s="321" t="e">
        <f t="shared" si="0"/>
        <v>#DIV/0!</v>
      </c>
      <c r="G11" s="321" t="e">
        <f t="shared" si="0"/>
        <v>#DIV/0!</v>
      </c>
      <c r="H11" s="321" t="e">
        <f t="shared" si="0"/>
        <v>#DIV/0!</v>
      </c>
      <c r="I11" s="321" t="e">
        <f t="shared" si="0"/>
        <v>#DIV/0!</v>
      </c>
      <c r="J11" s="321" t="e">
        <f t="shared" si="0"/>
        <v>#DIV/0!</v>
      </c>
      <c r="K11" s="321" t="e">
        <f t="shared" si="0"/>
        <v>#DIV/0!</v>
      </c>
      <c r="L11" s="321" t="e">
        <f t="shared" si="0"/>
        <v>#DIV/0!</v>
      </c>
      <c r="M11" s="321" t="e">
        <f t="shared" si="0"/>
        <v>#DIV/0!</v>
      </c>
      <c r="N11" s="321" t="e">
        <f t="shared" si="0"/>
        <v>#DIV/0!</v>
      </c>
      <c r="O11" s="322">
        <f t="shared" si="0"/>
        <v>133.33333333333334</v>
      </c>
    </row>
    <row r="12" spans="2:15" ht="20.100000000000001" customHeight="1" x14ac:dyDescent="0.15"/>
  </sheetData>
  <phoneticPr fontId="4"/>
  <pageMargins left="0.78740157480314965" right="0.78740157480314965" top="0.78740157480314965" bottom="0.78740157480314965" header="0.39370078740157483" footer="0.39370078740157483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0"/>
  <sheetViews>
    <sheetView zoomScale="75" zoomScaleNormal="75" zoomScaleSheetLayoutView="80" workbookViewId="0"/>
  </sheetViews>
  <sheetFormatPr defaultRowHeight="13.5" x14ac:dyDescent="0.15"/>
  <cols>
    <col min="1" max="1" width="1.625" style="45" customWidth="1"/>
    <col min="2" max="2" width="18" style="45" customWidth="1"/>
    <col min="3" max="15" width="6.125" style="45" customWidth="1"/>
    <col min="16" max="16384" width="9" style="45"/>
  </cols>
  <sheetData>
    <row r="1" spans="2:15" ht="9.9499999999999993" customHeight="1" x14ac:dyDescent="0.15"/>
    <row r="2" spans="2:15" ht="24.95" customHeight="1" x14ac:dyDescent="0.15">
      <c r="B2" s="45" t="s">
        <v>523</v>
      </c>
    </row>
    <row r="3" spans="2:15" ht="20.100000000000001" customHeight="1" x14ac:dyDescent="0.15">
      <c r="D3" s="99" t="s">
        <v>261</v>
      </c>
      <c r="E3" s="98" t="s">
        <v>413</v>
      </c>
      <c r="F3" s="98"/>
      <c r="G3" s="99" t="s">
        <v>262</v>
      </c>
      <c r="H3" s="98" t="s">
        <v>588</v>
      </c>
      <c r="I3" s="98"/>
    </row>
    <row r="4" spans="2:15" ht="20.100000000000001" customHeight="1" thickBot="1" x14ac:dyDescent="0.2">
      <c r="B4" s="5" t="s">
        <v>276</v>
      </c>
      <c r="C4" s="5" t="s">
        <v>524</v>
      </c>
      <c r="D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 ht="20.100000000000001" customHeight="1" x14ac:dyDescent="0.15">
      <c r="B5" s="277" t="s">
        <v>278</v>
      </c>
      <c r="C5" s="278">
        <v>1</v>
      </c>
      <c r="D5" s="278">
        <v>2</v>
      </c>
      <c r="E5" s="278">
        <v>3</v>
      </c>
      <c r="F5" s="278">
        <v>4</v>
      </c>
      <c r="G5" s="278">
        <v>5</v>
      </c>
      <c r="H5" s="278">
        <v>6</v>
      </c>
      <c r="I5" s="278">
        <v>7</v>
      </c>
      <c r="J5" s="278">
        <v>8</v>
      </c>
      <c r="K5" s="278">
        <v>9</v>
      </c>
      <c r="L5" s="278">
        <v>10</v>
      </c>
      <c r="M5" s="278">
        <v>11</v>
      </c>
      <c r="N5" s="278">
        <v>12</v>
      </c>
      <c r="O5" s="279" t="s">
        <v>279</v>
      </c>
    </row>
    <row r="6" spans="2:15" ht="20.100000000000001" customHeight="1" x14ac:dyDescent="0.15">
      <c r="B6" s="469" t="s">
        <v>525</v>
      </c>
      <c r="C6" s="300">
        <v>344</v>
      </c>
      <c r="D6" s="300">
        <v>243</v>
      </c>
      <c r="E6" s="300">
        <v>234</v>
      </c>
      <c r="F6" s="300">
        <v>238</v>
      </c>
      <c r="G6" s="300">
        <v>358</v>
      </c>
      <c r="H6" s="300">
        <v>361</v>
      </c>
      <c r="I6" s="300">
        <v>328</v>
      </c>
      <c r="J6" s="300">
        <v>350</v>
      </c>
      <c r="K6" s="300">
        <v>290</v>
      </c>
      <c r="L6" s="300">
        <v>322</v>
      </c>
      <c r="M6" s="300">
        <v>339</v>
      </c>
      <c r="N6" s="300">
        <v>329</v>
      </c>
      <c r="O6" s="136">
        <v>337</v>
      </c>
    </row>
    <row r="7" spans="2:15" ht="20.100000000000001" customHeight="1" x14ac:dyDescent="0.15">
      <c r="B7" s="469" t="s">
        <v>526</v>
      </c>
      <c r="C7" s="300">
        <v>341</v>
      </c>
      <c r="D7" s="300">
        <v>322</v>
      </c>
      <c r="E7" s="300">
        <v>323</v>
      </c>
      <c r="F7" s="300">
        <v>352</v>
      </c>
      <c r="G7" s="300">
        <v>365</v>
      </c>
      <c r="H7" s="300">
        <v>356</v>
      </c>
      <c r="I7" s="300">
        <v>347</v>
      </c>
      <c r="J7" s="300">
        <v>317</v>
      </c>
      <c r="K7" s="300">
        <v>374</v>
      </c>
      <c r="L7" s="300">
        <v>402</v>
      </c>
      <c r="M7" s="300">
        <v>414</v>
      </c>
      <c r="N7" s="300">
        <v>350</v>
      </c>
      <c r="O7" s="136">
        <v>285</v>
      </c>
    </row>
    <row r="8" spans="2:15" ht="20.100000000000001" customHeight="1" x14ac:dyDescent="0.15">
      <c r="B8" s="469" t="s">
        <v>527</v>
      </c>
      <c r="C8" s="300">
        <v>393</v>
      </c>
      <c r="D8" s="300">
        <v>364</v>
      </c>
      <c r="E8" s="300">
        <v>269</v>
      </c>
      <c r="F8" s="300">
        <v>257</v>
      </c>
      <c r="G8" s="300">
        <v>304</v>
      </c>
      <c r="H8" s="300">
        <v>342</v>
      </c>
      <c r="I8" s="300">
        <v>269</v>
      </c>
      <c r="J8" s="300">
        <v>288</v>
      </c>
      <c r="K8" s="300">
        <v>319</v>
      </c>
      <c r="L8" s="300">
        <v>273</v>
      </c>
      <c r="M8" s="300">
        <v>242</v>
      </c>
      <c r="N8" s="300">
        <v>293</v>
      </c>
      <c r="O8" s="136">
        <v>321</v>
      </c>
    </row>
    <row r="9" spans="2:15" ht="20.100000000000001" customHeight="1" x14ac:dyDescent="0.15">
      <c r="B9" s="469" t="s">
        <v>528</v>
      </c>
      <c r="C9" s="300">
        <v>331</v>
      </c>
      <c r="D9" s="300">
        <v>381</v>
      </c>
      <c r="E9" s="300">
        <v>323</v>
      </c>
      <c r="F9" s="300">
        <v>282</v>
      </c>
      <c r="G9" s="300">
        <v>330</v>
      </c>
      <c r="H9" s="300">
        <v>353</v>
      </c>
      <c r="I9" s="300">
        <v>343</v>
      </c>
      <c r="J9" s="300">
        <v>306</v>
      </c>
      <c r="K9" s="300">
        <v>301</v>
      </c>
      <c r="L9" s="300">
        <v>321</v>
      </c>
      <c r="M9" s="300">
        <v>344</v>
      </c>
      <c r="N9" s="300">
        <v>354</v>
      </c>
      <c r="O9" s="136">
        <v>311</v>
      </c>
    </row>
    <row r="10" spans="2:15" ht="20.100000000000001" customHeight="1" x14ac:dyDescent="0.15">
      <c r="B10" s="469" t="s">
        <v>529</v>
      </c>
      <c r="C10" s="300">
        <v>324</v>
      </c>
      <c r="D10" s="300">
        <v>286</v>
      </c>
      <c r="E10" s="300">
        <v>228</v>
      </c>
      <c r="F10" s="300">
        <v>264</v>
      </c>
      <c r="G10" s="300">
        <v>334</v>
      </c>
      <c r="H10" s="300">
        <v>368</v>
      </c>
      <c r="I10" s="300">
        <v>366</v>
      </c>
      <c r="J10" s="300">
        <v>378</v>
      </c>
      <c r="K10" s="300">
        <v>388</v>
      </c>
      <c r="L10" s="300">
        <v>347</v>
      </c>
      <c r="M10" s="300">
        <v>389</v>
      </c>
      <c r="N10" s="300">
        <v>392</v>
      </c>
      <c r="O10" s="136">
        <v>288</v>
      </c>
    </row>
    <row r="11" spans="2:15" ht="20.100000000000001" customHeight="1" thickBot="1" x14ac:dyDescent="0.2">
      <c r="B11" s="281" t="s">
        <v>280</v>
      </c>
      <c r="C11" s="282">
        <f>AVERAGE(C6:C10)</f>
        <v>346.6</v>
      </c>
      <c r="D11" s="282">
        <f t="shared" ref="D11:O11" si="0">AVERAGE(D6:D10)</f>
        <v>319.2</v>
      </c>
      <c r="E11" s="282">
        <f t="shared" si="0"/>
        <v>275.39999999999998</v>
      </c>
      <c r="F11" s="282">
        <f t="shared" si="0"/>
        <v>278.60000000000002</v>
      </c>
      <c r="G11" s="282">
        <f t="shared" si="0"/>
        <v>338.2</v>
      </c>
      <c r="H11" s="282">
        <f t="shared" si="0"/>
        <v>356</v>
      </c>
      <c r="I11" s="282">
        <f t="shared" si="0"/>
        <v>330.6</v>
      </c>
      <c r="J11" s="282">
        <f t="shared" si="0"/>
        <v>327.8</v>
      </c>
      <c r="K11" s="282">
        <f t="shared" si="0"/>
        <v>334.4</v>
      </c>
      <c r="L11" s="282">
        <f t="shared" si="0"/>
        <v>333</v>
      </c>
      <c r="M11" s="282">
        <f t="shared" si="0"/>
        <v>345.6</v>
      </c>
      <c r="N11" s="282">
        <f t="shared" si="0"/>
        <v>343.6</v>
      </c>
      <c r="O11" s="283">
        <f t="shared" si="0"/>
        <v>308.39999999999998</v>
      </c>
    </row>
    <row r="12" spans="2:15" ht="20.100000000000001" customHeight="1" x14ac:dyDescent="0.15"/>
    <row r="13" spans="2:15" ht="20.100000000000001" customHeight="1" thickBot="1" x14ac:dyDescent="0.2">
      <c r="B13" s="5" t="s">
        <v>276</v>
      </c>
      <c r="C13" s="5" t="s">
        <v>281</v>
      </c>
      <c r="D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2:15" ht="20.100000000000001" customHeight="1" x14ac:dyDescent="0.15">
      <c r="B14" s="277" t="s">
        <v>278</v>
      </c>
      <c r="C14" s="278">
        <v>1</v>
      </c>
      <c r="D14" s="278">
        <v>2</v>
      </c>
      <c r="E14" s="278">
        <v>3</v>
      </c>
      <c r="F14" s="278">
        <v>4</v>
      </c>
      <c r="G14" s="278">
        <v>5</v>
      </c>
      <c r="H14" s="278">
        <v>6</v>
      </c>
      <c r="I14" s="278">
        <v>7</v>
      </c>
      <c r="J14" s="278">
        <v>8</v>
      </c>
      <c r="K14" s="278">
        <v>9</v>
      </c>
      <c r="L14" s="278">
        <v>10</v>
      </c>
      <c r="M14" s="278">
        <v>11</v>
      </c>
      <c r="N14" s="278">
        <v>12</v>
      </c>
      <c r="O14" s="279" t="s">
        <v>279</v>
      </c>
    </row>
    <row r="15" spans="2:15" ht="20.100000000000001" customHeight="1" x14ac:dyDescent="0.15">
      <c r="B15" s="469" t="s">
        <v>530</v>
      </c>
      <c r="C15" s="470">
        <v>274</v>
      </c>
      <c r="D15" s="470">
        <v>178</v>
      </c>
      <c r="E15" s="470">
        <v>186</v>
      </c>
      <c r="F15" s="375">
        <v>174</v>
      </c>
      <c r="G15" s="375">
        <v>630</v>
      </c>
      <c r="H15" s="375">
        <v>587</v>
      </c>
      <c r="I15" s="375">
        <v>303</v>
      </c>
      <c r="J15" s="470">
        <v>309</v>
      </c>
      <c r="K15" s="470">
        <v>216</v>
      </c>
      <c r="L15" s="470">
        <v>212</v>
      </c>
      <c r="M15" s="470">
        <v>268</v>
      </c>
      <c r="N15" s="471">
        <v>307</v>
      </c>
      <c r="O15" s="472">
        <v>302.25</v>
      </c>
    </row>
    <row r="16" spans="2:15" ht="20.100000000000001" customHeight="1" x14ac:dyDescent="0.15">
      <c r="B16" s="469" t="s">
        <v>526</v>
      </c>
      <c r="C16" s="470">
        <v>289</v>
      </c>
      <c r="D16" s="470">
        <v>275</v>
      </c>
      <c r="E16" s="470">
        <v>220</v>
      </c>
      <c r="F16" s="375">
        <v>340</v>
      </c>
      <c r="G16" s="375"/>
      <c r="H16" s="375"/>
      <c r="I16" s="375"/>
      <c r="J16" s="470">
        <v>208</v>
      </c>
      <c r="K16" s="470"/>
      <c r="L16" s="470">
        <v>451</v>
      </c>
      <c r="M16" s="470">
        <v>401</v>
      </c>
      <c r="N16" s="471">
        <v>326</v>
      </c>
      <c r="O16" s="472">
        <v>308.91666666666669</v>
      </c>
    </row>
    <row r="17" spans="2:15" ht="20.100000000000001" customHeight="1" x14ac:dyDescent="0.15">
      <c r="B17" s="469" t="s">
        <v>527</v>
      </c>
      <c r="C17" s="470">
        <v>345</v>
      </c>
      <c r="D17" s="470">
        <v>315</v>
      </c>
      <c r="E17" s="470">
        <v>236</v>
      </c>
      <c r="F17" s="375">
        <v>324</v>
      </c>
      <c r="G17" s="375"/>
      <c r="H17" s="375">
        <v>434</v>
      </c>
      <c r="I17" s="375">
        <v>141</v>
      </c>
      <c r="J17" s="470">
        <v>352</v>
      </c>
      <c r="K17" s="470">
        <v>387</v>
      </c>
      <c r="L17" s="470">
        <v>342</v>
      </c>
      <c r="M17" s="470">
        <v>287</v>
      </c>
      <c r="N17" s="471">
        <v>312</v>
      </c>
      <c r="O17" s="472">
        <v>322.5</v>
      </c>
    </row>
    <row r="18" spans="2:15" ht="20.100000000000001" customHeight="1" x14ac:dyDescent="0.15">
      <c r="B18" s="469" t="s">
        <v>528</v>
      </c>
      <c r="C18" s="470">
        <v>292</v>
      </c>
      <c r="D18" s="470">
        <v>363</v>
      </c>
      <c r="E18" s="470">
        <v>327</v>
      </c>
      <c r="F18" s="375">
        <v>253</v>
      </c>
      <c r="G18" s="375">
        <v>245</v>
      </c>
      <c r="H18" s="375"/>
      <c r="I18" s="375">
        <v>334</v>
      </c>
      <c r="J18" s="470">
        <v>309</v>
      </c>
      <c r="K18" s="470">
        <v>340</v>
      </c>
      <c r="L18" s="470">
        <v>342</v>
      </c>
      <c r="M18" s="470">
        <v>345</v>
      </c>
      <c r="N18" s="471">
        <v>338</v>
      </c>
      <c r="O18" s="472">
        <v>316.25</v>
      </c>
    </row>
    <row r="19" spans="2:15" ht="20.100000000000001" customHeight="1" x14ac:dyDescent="0.15">
      <c r="B19" s="469" t="s">
        <v>529</v>
      </c>
      <c r="C19" s="470">
        <v>280</v>
      </c>
      <c r="D19" s="470">
        <v>243</v>
      </c>
      <c r="E19" s="473">
        <v>149</v>
      </c>
      <c r="F19" s="375">
        <v>105</v>
      </c>
      <c r="G19" s="375"/>
      <c r="H19" s="375">
        <v>455</v>
      </c>
      <c r="I19" s="375">
        <v>315</v>
      </c>
      <c r="J19" s="474">
        <v>377</v>
      </c>
      <c r="K19" s="470">
        <v>457</v>
      </c>
      <c r="L19" s="470">
        <v>359</v>
      </c>
      <c r="M19" s="470">
        <v>377</v>
      </c>
      <c r="N19" s="470">
        <v>383</v>
      </c>
      <c r="O19" s="472">
        <v>360.41666666666669</v>
      </c>
    </row>
    <row r="20" spans="2:15" ht="20.100000000000001" customHeight="1" thickBot="1" x14ac:dyDescent="0.2">
      <c r="B20" s="281" t="s">
        <v>280</v>
      </c>
      <c r="C20" s="282">
        <f>AVERAGE(C15:C19)</f>
        <v>296</v>
      </c>
      <c r="D20" s="282">
        <f t="shared" ref="D20:O20" si="1">AVERAGE(D15:D19)</f>
        <v>274.8</v>
      </c>
      <c r="E20" s="282">
        <f t="shared" si="1"/>
        <v>223.6</v>
      </c>
      <c r="F20" s="282">
        <f t="shared" si="1"/>
        <v>239.2</v>
      </c>
      <c r="G20" s="282">
        <f t="shared" si="1"/>
        <v>437.5</v>
      </c>
      <c r="H20" s="282">
        <f t="shared" si="1"/>
        <v>492</v>
      </c>
      <c r="I20" s="282">
        <f>AVERAGE(I15:I19)</f>
        <v>273.25</v>
      </c>
      <c r="J20" s="282">
        <f t="shared" si="1"/>
        <v>311</v>
      </c>
      <c r="K20" s="282">
        <f>AVERAGE(K15:K19)</f>
        <v>350</v>
      </c>
      <c r="L20" s="282">
        <f t="shared" si="1"/>
        <v>341.2</v>
      </c>
      <c r="M20" s="282">
        <f t="shared" si="1"/>
        <v>335.6</v>
      </c>
      <c r="N20" s="282">
        <f t="shared" si="1"/>
        <v>333.2</v>
      </c>
      <c r="O20" s="283">
        <f t="shared" si="1"/>
        <v>322.06666666666672</v>
      </c>
    </row>
  </sheetData>
  <phoneticPr fontId="4"/>
  <pageMargins left="0.78740157480314965" right="0.78740157480314965" top="0.78740157480314965" bottom="0.78740157480314965" header="0.39370078740157483" footer="0.39370078740157483"/>
  <pageSetup paperSize="9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2"/>
  <sheetViews>
    <sheetView zoomScale="75" zoomScaleNormal="75" workbookViewId="0"/>
  </sheetViews>
  <sheetFormatPr defaultColWidth="9" defaultRowHeight="13.5" x14ac:dyDescent="0.15"/>
  <cols>
    <col min="1" max="1" width="1.625" style="90" customWidth="1"/>
    <col min="2" max="2" width="7.625" style="90" customWidth="1"/>
    <col min="3" max="3" width="25.625" style="90" customWidth="1"/>
    <col min="4" max="12" width="20.5" style="90" customWidth="1"/>
    <col min="13" max="16384" width="9" style="90"/>
  </cols>
  <sheetData>
    <row r="1" spans="2:12" ht="9.9499999999999993" customHeight="1" x14ac:dyDescent="0.15"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2:12" ht="24.95" customHeight="1" thickBot="1" x14ac:dyDescent="0.2">
      <c r="B2" s="269" t="s">
        <v>380</v>
      </c>
      <c r="F2" s="270" t="s">
        <v>261</v>
      </c>
      <c r="G2" s="269" t="s">
        <v>357</v>
      </c>
      <c r="I2" s="270" t="s">
        <v>262</v>
      </c>
      <c r="J2" s="90" t="s">
        <v>263</v>
      </c>
    </row>
    <row r="3" spans="2:12" ht="20.100000000000001" customHeight="1" x14ac:dyDescent="0.15">
      <c r="B3" s="964" t="s">
        <v>110</v>
      </c>
      <c r="C3" s="965"/>
      <c r="D3" s="589" t="s">
        <v>352</v>
      </c>
      <c r="E3" s="589" t="s">
        <v>353</v>
      </c>
      <c r="F3" s="589" t="s">
        <v>303</v>
      </c>
      <c r="G3" s="589" t="s">
        <v>304</v>
      </c>
      <c r="H3" s="589" t="s">
        <v>63</v>
      </c>
      <c r="I3" s="589" t="s">
        <v>306</v>
      </c>
      <c r="J3" s="589" t="s">
        <v>354</v>
      </c>
      <c r="K3" s="589" t="s">
        <v>355</v>
      </c>
      <c r="L3" s="590" t="s">
        <v>365</v>
      </c>
    </row>
    <row r="4" spans="2:12" ht="150.75" customHeight="1" x14ac:dyDescent="0.15">
      <c r="B4" s="963" t="s">
        <v>104</v>
      </c>
      <c r="C4" s="591" t="s">
        <v>105</v>
      </c>
      <c r="D4" s="796" t="s">
        <v>680</v>
      </c>
      <c r="E4" s="796" t="s">
        <v>688</v>
      </c>
      <c r="F4" s="796" t="s">
        <v>682</v>
      </c>
      <c r="G4" s="796" t="s">
        <v>683</v>
      </c>
      <c r="H4" s="796" t="s">
        <v>684</v>
      </c>
      <c r="I4" s="796" t="s">
        <v>685</v>
      </c>
      <c r="J4" s="796" t="s">
        <v>686</v>
      </c>
      <c r="K4" s="796" t="s">
        <v>687</v>
      </c>
      <c r="L4" s="795"/>
    </row>
    <row r="5" spans="2:12" ht="20.100000000000001" customHeight="1" x14ac:dyDescent="0.15">
      <c r="B5" s="963"/>
      <c r="C5" s="591" t="s">
        <v>106</v>
      </c>
      <c r="D5" s="606" t="s">
        <v>368</v>
      </c>
      <c r="E5" s="606" t="s">
        <v>358</v>
      </c>
      <c r="F5" s="606" t="s">
        <v>369</v>
      </c>
      <c r="G5" s="607"/>
      <c r="H5" s="606" t="s">
        <v>360</v>
      </c>
      <c r="I5" s="606" t="s">
        <v>370</v>
      </c>
      <c r="J5" s="606" t="s">
        <v>371</v>
      </c>
      <c r="K5" s="606" t="s">
        <v>362</v>
      </c>
      <c r="L5" s="349"/>
    </row>
    <row r="6" spans="2:12" ht="150" customHeight="1" x14ac:dyDescent="0.15">
      <c r="B6" s="963"/>
      <c r="C6" s="591" t="s">
        <v>109</v>
      </c>
      <c r="D6" s="608" t="s">
        <v>291</v>
      </c>
      <c r="E6" s="608" t="s">
        <v>288</v>
      </c>
      <c r="F6" s="608" t="s">
        <v>395</v>
      </c>
      <c r="G6" s="608" t="s">
        <v>289</v>
      </c>
      <c r="H6" s="596"/>
      <c r="I6" s="596" t="s">
        <v>289</v>
      </c>
      <c r="J6" s="596" t="s">
        <v>356</v>
      </c>
      <c r="K6" s="596" t="s">
        <v>407</v>
      </c>
      <c r="L6" s="346"/>
    </row>
    <row r="7" spans="2:12" ht="20.100000000000001" customHeight="1" x14ac:dyDescent="0.15">
      <c r="B7" s="963"/>
      <c r="C7" s="597" t="s">
        <v>393</v>
      </c>
      <c r="D7" s="609"/>
      <c r="E7" s="609">
        <v>16</v>
      </c>
      <c r="F7" s="609">
        <v>6</v>
      </c>
      <c r="G7" s="610">
        <v>-1</v>
      </c>
      <c r="H7" s="591"/>
      <c r="I7" s="591">
        <v>2</v>
      </c>
      <c r="J7" s="591">
        <v>6.9</v>
      </c>
      <c r="K7" s="591">
        <v>12.1</v>
      </c>
      <c r="L7" s="349"/>
    </row>
    <row r="8" spans="2:12" ht="20.100000000000001" customHeight="1" x14ac:dyDescent="0.15">
      <c r="B8" s="963"/>
      <c r="C8" s="601" t="s">
        <v>394</v>
      </c>
      <c r="D8" s="609">
        <v>17.2</v>
      </c>
      <c r="E8" s="609"/>
      <c r="F8" s="609">
        <v>18</v>
      </c>
      <c r="G8" s="610">
        <v>-1</v>
      </c>
      <c r="H8" s="591"/>
      <c r="I8" s="591">
        <v>5.0999999999999996</v>
      </c>
      <c r="J8" s="591">
        <v>23.3</v>
      </c>
      <c r="K8" s="591">
        <v>3.7</v>
      </c>
      <c r="L8" s="349">
        <v>2</v>
      </c>
    </row>
    <row r="9" spans="2:12" ht="20.100000000000001" customHeight="1" x14ac:dyDescent="0.15">
      <c r="B9" s="963"/>
      <c r="C9" s="591" t="s">
        <v>108</v>
      </c>
      <c r="D9" s="591"/>
      <c r="E9" s="591"/>
      <c r="F9" s="591"/>
      <c r="G9" s="591"/>
      <c r="H9" s="591"/>
      <c r="I9" s="591"/>
      <c r="J9" s="591"/>
      <c r="K9" s="591"/>
      <c r="L9" s="349"/>
    </row>
    <row r="10" spans="2:12" ht="150" customHeight="1" x14ac:dyDescent="0.15">
      <c r="B10" s="968" t="s">
        <v>396</v>
      </c>
      <c r="C10" s="969"/>
      <c r="D10" s="611" t="s">
        <v>405</v>
      </c>
      <c r="E10" s="611"/>
      <c r="F10" s="611" t="s">
        <v>612</v>
      </c>
      <c r="G10" s="605" t="s">
        <v>403</v>
      </c>
      <c r="H10" s="612"/>
      <c r="I10" s="605" t="s">
        <v>406</v>
      </c>
      <c r="J10" s="605" t="s">
        <v>335</v>
      </c>
      <c r="K10" s="605" t="s">
        <v>401</v>
      </c>
      <c r="L10" s="351"/>
    </row>
    <row r="11" spans="2:12" ht="150" customHeight="1" thickBot="1" x14ac:dyDescent="0.2">
      <c r="B11" s="966" t="s">
        <v>107</v>
      </c>
      <c r="C11" s="967"/>
      <c r="D11" s="797" t="s">
        <v>707</v>
      </c>
      <c r="E11" s="797" t="s">
        <v>708</v>
      </c>
      <c r="F11" s="797" t="s">
        <v>709</v>
      </c>
      <c r="G11" s="798" t="s">
        <v>710</v>
      </c>
      <c r="H11" s="798" t="s">
        <v>711</v>
      </c>
      <c r="I11" s="798" t="s">
        <v>712</v>
      </c>
      <c r="J11" s="798" t="s">
        <v>713</v>
      </c>
      <c r="K11" s="798" t="s">
        <v>714</v>
      </c>
      <c r="L11" s="800"/>
    </row>
    <row r="12" spans="2:12" ht="9.75" customHeight="1" x14ac:dyDescent="0.15">
      <c r="B12" s="91"/>
    </row>
  </sheetData>
  <mergeCells count="4">
    <mergeCell ref="B3:C3"/>
    <mergeCell ref="B4:B9"/>
    <mergeCell ref="B10:C10"/>
    <mergeCell ref="B11:C11"/>
  </mergeCells>
  <phoneticPr fontId="4"/>
  <pageMargins left="0.78740157480314965" right="0.78740157480314965" top="0.78740157480314965" bottom="0.78740157480314965" header="0.39370078740157483" footer="0.39370078740157483"/>
  <pageSetup paperSize="9" scale="68" orientation="landscape" r:id="rId1"/>
  <headerFooter alignWithMargins="0">
    <oddHeader>&amp;R&amp;F</oddHeader>
    <oddFooter>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3"/>
  <sheetViews>
    <sheetView zoomScale="75" zoomScaleNormal="75" zoomScaleSheetLayoutView="80" workbookViewId="0"/>
  </sheetViews>
  <sheetFormatPr defaultRowHeight="13.5" x14ac:dyDescent="0.15"/>
  <cols>
    <col min="1" max="1" width="1.625" style="90" customWidth="1"/>
    <col min="2" max="2" width="7.625" style="90" customWidth="1"/>
    <col min="3" max="3" width="25.625" style="90" customWidth="1"/>
    <col min="4" max="13" width="18.25" style="90" customWidth="1"/>
    <col min="14" max="16384" width="9" style="90"/>
  </cols>
  <sheetData>
    <row r="2" spans="2:13" ht="24.95" customHeight="1" thickBot="1" x14ac:dyDescent="0.2">
      <c r="B2" s="269" t="s">
        <v>717</v>
      </c>
      <c r="F2" s="270" t="s">
        <v>261</v>
      </c>
      <c r="G2" s="90" t="s">
        <v>413</v>
      </c>
      <c r="I2" s="270" t="s">
        <v>262</v>
      </c>
      <c r="J2" s="269" t="s">
        <v>592</v>
      </c>
    </row>
    <row r="3" spans="2:13" ht="20.100000000000001" customHeight="1" x14ac:dyDescent="0.15">
      <c r="B3" s="981" t="s">
        <v>110</v>
      </c>
      <c r="C3" s="982"/>
      <c r="D3" s="481" t="s">
        <v>301</v>
      </c>
      <c r="E3" s="482" t="s">
        <v>414</v>
      </c>
      <c r="F3" s="483" t="s">
        <v>415</v>
      </c>
      <c r="G3" s="483" t="s">
        <v>304</v>
      </c>
      <c r="H3" s="484" t="s">
        <v>416</v>
      </c>
      <c r="I3" s="483" t="s">
        <v>417</v>
      </c>
      <c r="J3" s="483" t="s">
        <v>418</v>
      </c>
      <c r="K3" s="483" t="s">
        <v>419</v>
      </c>
      <c r="L3" s="483" t="s">
        <v>373</v>
      </c>
      <c r="M3" s="483" t="s">
        <v>420</v>
      </c>
    </row>
    <row r="4" spans="2:13" ht="184.5" customHeight="1" x14ac:dyDescent="0.15">
      <c r="B4" s="983" t="s">
        <v>104</v>
      </c>
      <c r="C4" s="485" t="s">
        <v>105</v>
      </c>
      <c r="D4" s="636" t="s">
        <v>689</v>
      </c>
      <c r="E4" s="637" t="s">
        <v>690</v>
      </c>
      <c r="F4" s="638" t="s">
        <v>691</v>
      </c>
      <c r="G4" s="638" t="s">
        <v>692</v>
      </c>
      <c r="H4" s="639" t="s">
        <v>693</v>
      </c>
      <c r="I4" s="638" t="s">
        <v>694</v>
      </c>
      <c r="J4" s="638" t="s">
        <v>695</v>
      </c>
      <c r="K4" s="638" t="s">
        <v>696</v>
      </c>
      <c r="L4" s="638" t="s">
        <v>697</v>
      </c>
      <c r="M4" s="638" t="s">
        <v>698</v>
      </c>
    </row>
    <row r="5" spans="2:13" ht="24" customHeight="1" x14ac:dyDescent="0.15">
      <c r="B5" s="983"/>
      <c r="C5" s="984" t="s">
        <v>547</v>
      </c>
      <c r="D5" s="990" t="s">
        <v>548</v>
      </c>
      <c r="E5" s="992" t="s">
        <v>549</v>
      </c>
      <c r="F5" s="972" t="s">
        <v>550</v>
      </c>
      <c r="G5" s="986"/>
      <c r="H5" s="988"/>
      <c r="I5" s="970" t="s">
        <v>551</v>
      </c>
      <c r="J5" s="972" t="s">
        <v>552</v>
      </c>
      <c r="K5" s="972" t="s">
        <v>553</v>
      </c>
      <c r="L5" s="348" t="s">
        <v>426</v>
      </c>
      <c r="M5" s="348" t="s">
        <v>426</v>
      </c>
    </row>
    <row r="6" spans="2:13" ht="23.25" customHeight="1" x14ac:dyDescent="0.15">
      <c r="B6" s="983"/>
      <c r="C6" s="985"/>
      <c r="D6" s="991"/>
      <c r="E6" s="993"/>
      <c r="F6" s="973"/>
      <c r="G6" s="987"/>
      <c r="H6" s="989"/>
      <c r="I6" s="971"/>
      <c r="J6" s="973"/>
      <c r="K6" s="973"/>
      <c r="L6" s="348" t="s">
        <v>421</v>
      </c>
      <c r="M6" s="348" t="s">
        <v>421</v>
      </c>
    </row>
    <row r="7" spans="2:13" ht="105.75" customHeight="1" x14ac:dyDescent="0.15">
      <c r="B7" s="983"/>
      <c r="C7" s="348" t="s">
        <v>109</v>
      </c>
      <c r="D7" s="640" t="s">
        <v>285</v>
      </c>
      <c r="E7" s="640" t="s">
        <v>613</v>
      </c>
      <c r="F7" s="640" t="s">
        <v>614</v>
      </c>
      <c r="G7" s="640" t="s">
        <v>289</v>
      </c>
      <c r="H7" s="641" t="s">
        <v>289</v>
      </c>
      <c r="I7" s="640" t="s">
        <v>615</v>
      </c>
      <c r="J7" s="640" t="s">
        <v>616</v>
      </c>
      <c r="K7" s="640" t="s">
        <v>616</v>
      </c>
      <c r="L7" s="640" t="s">
        <v>454</v>
      </c>
      <c r="M7" s="640" t="s">
        <v>617</v>
      </c>
    </row>
    <row r="8" spans="2:13" ht="20.100000000000001" customHeight="1" x14ac:dyDescent="0.15">
      <c r="B8" s="983"/>
      <c r="C8" s="487" t="s">
        <v>422</v>
      </c>
      <c r="D8" s="348"/>
      <c r="E8" s="348">
        <v>2.6</v>
      </c>
      <c r="F8" s="348">
        <v>2</v>
      </c>
      <c r="G8" s="978" t="s">
        <v>584</v>
      </c>
      <c r="H8" s="939"/>
      <c r="I8" s="93"/>
      <c r="J8" s="348">
        <v>4</v>
      </c>
      <c r="K8" s="348">
        <v>2</v>
      </c>
      <c r="L8" s="348">
        <v>10</v>
      </c>
      <c r="M8" s="972">
        <v>320</v>
      </c>
    </row>
    <row r="9" spans="2:13" ht="33" customHeight="1" x14ac:dyDescent="0.15">
      <c r="B9" s="983"/>
      <c r="C9" s="348" t="s">
        <v>423</v>
      </c>
      <c r="D9" s="348">
        <v>24</v>
      </c>
      <c r="E9" s="348">
        <v>2.6</v>
      </c>
      <c r="F9" s="348">
        <v>4</v>
      </c>
      <c r="G9" s="979" t="s">
        <v>581</v>
      </c>
      <c r="H9" s="940"/>
      <c r="I9" s="623" t="s">
        <v>618</v>
      </c>
      <c r="J9" s="348">
        <v>4</v>
      </c>
      <c r="K9" s="348">
        <v>2</v>
      </c>
      <c r="L9" s="348">
        <v>20</v>
      </c>
      <c r="M9" s="973"/>
    </row>
    <row r="10" spans="2:13" ht="20.100000000000001" customHeight="1" x14ac:dyDescent="0.15">
      <c r="B10" s="983"/>
      <c r="C10" s="348" t="s">
        <v>108</v>
      </c>
      <c r="D10" s="348"/>
      <c r="E10" s="348">
        <v>1</v>
      </c>
      <c r="F10" s="348">
        <v>2</v>
      </c>
      <c r="G10" s="980">
        <v>1</v>
      </c>
      <c r="H10" s="890"/>
      <c r="I10" s="93">
        <v>1</v>
      </c>
      <c r="J10" s="348">
        <v>1</v>
      </c>
      <c r="K10" s="348">
        <v>1</v>
      </c>
      <c r="L10" s="348">
        <v>2</v>
      </c>
      <c r="M10" s="348" t="s">
        <v>424</v>
      </c>
    </row>
    <row r="11" spans="2:13" ht="108" customHeight="1" x14ac:dyDescent="0.15">
      <c r="B11" s="974" t="s">
        <v>425</v>
      </c>
      <c r="C11" s="975"/>
      <c r="D11" s="486"/>
      <c r="E11" s="638" t="s">
        <v>619</v>
      </c>
      <c r="F11" s="642" t="s">
        <v>620</v>
      </c>
      <c r="G11" s="513"/>
      <c r="H11" s="643" t="s">
        <v>621</v>
      </c>
      <c r="I11" s="643" t="s">
        <v>622</v>
      </c>
      <c r="J11" s="643" t="s">
        <v>622</v>
      </c>
      <c r="K11" s="642" t="s">
        <v>623</v>
      </c>
      <c r="L11" s="642" t="s">
        <v>624</v>
      </c>
      <c r="M11" s="642" t="s">
        <v>625</v>
      </c>
    </row>
    <row r="12" spans="2:13" ht="216" customHeight="1" thickBot="1" x14ac:dyDescent="0.2">
      <c r="B12" s="976" t="s">
        <v>107</v>
      </c>
      <c r="C12" s="977"/>
      <c r="D12" s="644" t="s">
        <v>699</v>
      </c>
      <c r="E12" s="644" t="s">
        <v>700</v>
      </c>
      <c r="F12" s="645" t="s">
        <v>701</v>
      </c>
      <c r="G12" s="645" t="s">
        <v>702</v>
      </c>
      <c r="H12" s="359"/>
      <c r="I12" s="645" t="s">
        <v>703</v>
      </c>
      <c r="J12" s="645" t="s">
        <v>704</v>
      </c>
      <c r="K12" s="645" t="s">
        <v>705</v>
      </c>
      <c r="L12" s="488"/>
      <c r="M12" s="645" t="s">
        <v>706</v>
      </c>
    </row>
    <row r="13" spans="2:13" ht="9.75" customHeight="1" x14ac:dyDescent="0.15">
      <c r="B13" s="91"/>
    </row>
  </sheetData>
  <mergeCells count="17">
    <mergeCell ref="B3:C3"/>
    <mergeCell ref="B4:B10"/>
    <mergeCell ref="C5:C6"/>
    <mergeCell ref="G5:G6"/>
    <mergeCell ref="H5:H6"/>
    <mergeCell ref="D5:D6"/>
    <mergeCell ref="E5:E6"/>
    <mergeCell ref="F5:F6"/>
    <mergeCell ref="I5:I6"/>
    <mergeCell ref="J5:J6"/>
    <mergeCell ref="M8:M9"/>
    <mergeCell ref="B11:C11"/>
    <mergeCell ref="B12:C12"/>
    <mergeCell ref="K5:K6"/>
    <mergeCell ref="G8:H8"/>
    <mergeCell ref="G9:H9"/>
    <mergeCell ref="G10:H10"/>
  </mergeCells>
  <phoneticPr fontId="4"/>
  <pageMargins left="0.78740157480314965" right="0.78740157480314965" top="0.78740157480314965" bottom="0.78740157480314965" header="0.39370078740157483" footer="0.39370078740157483"/>
  <pageSetup paperSize="9" scale="59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9"/>
  <sheetViews>
    <sheetView zoomScale="75" zoomScaleNormal="75" workbookViewId="0">
      <pane xSplit="5" ySplit="3" topLeftCell="F4" activePane="bottomRight" state="frozen"/>
      <selection pane="topRight"/>
      <selection pane="bottomLeft"/>
      <selection pane="bottomRight"/>
    </sheetView>
  </sheetViews>
  <sheetFormatPr defaultColWidth="9" defaultRowHeight="13.5" x14ac:dyDescent="0.15"/>
  <cols>
    <col min="1" max="1" width="1.625" style="8" customWidth="1"/>
    <col min="2" max="2" width="7.625" style="8" customWidth="1"/>
    <col min="3" max="3" width="15.625" style="8" customWidth="1"/>
    <col min="4" max="9" width="20.625" style="8" customWidth="1"/>
    <col min="10" max="10" width="59.875" style="8" customWidth="1"/>
    <col min="11" max="11" width="9.25" style="8" bestFit="1" customWidth="1"/>
    <col min="12" max="16384" width="9" style="8"/>
  </cols>
  <sheetData>
    <row r="1" spans="2:10" ht="24.95" customHeight="1" thickBot="1" x14ac:dyDescent="0.2">
      <c r="B1" s="9" t="s">
        <v>101</v>
      </c>
      <c r="C1" s="10"/>
      <c r="D1" s="10"/>
      <c r="J1" s="11"/>
    </row>
    <row r="2" spans="2:10" ht="20.100000000000001" customHeight="1" x14ac:dyDescent="0.15">
      <c r="B2" s="1008" t="s">
        <v>274</v>
      </c>
      <c r="C2" s="1009"/>
      <c r="D2" s="1009"/>
      <c r="E2" s="1009"/>
      <c r="F2" s="12" t="s">
        <v>275</v>
      </c>
      <c r="G2" s="12" t="s">
        <v>325</v>
      </c>
      <c r="H2" s="294" t="s">
        <v>326</v>
      </c>
      <c r="I2" s="294" t="s">
        <v>453</v>
      </c>
      <c r="J2" s="1012" t="s">
        <v>273</v>
      </c>
    </row>
    <row r="3" spans="2:10" ht="20.100000000000001" customHeight="1" thickBot="1" x14ac:dyDescent="0.2">
      <c r="B3" s="1010"/>
      <c r="C3" s="1011"/>
      <c r="D3" s="1011"/>
      <c r="E3" s="1011"/>
      <c r="F3" s="325"/>
      <c r="G3" s="325">
        <f>'１　対象経営の概要，２　前提条件'!F13</f>
        <v>20</v>
      </c>
      <c r="H3" s="325">
        <f>'１　対象経営の概要，２　前提条件'!F14</f>
        <v>8</v>
      </c>
      <c r="I3" s="325">
        <f>'１　対象経営の概要，２　前提条件'!F15+'１　対象経営の概要，２　前提条件'!F16</f>
        <v>2</v>
      </c>
      <c r="J3" s="1013"/>
    </row>
    <row r="4" spans="2:10" ht="20.100000000000001" customHeight="1" x14ac:dyDescent="0.15">
      <c r="B4" s="998" t="s">
        <v>88</v>
      </c>
      <c r="C4" s="1015" t="s">
        <v>55</v>
      </c>
      <c r="D4" s="13" t="s">
        <v>219</v>
      </c>
      <c r="E4" s="14"/>
      <c r="F4" s="15">
        <f>SUM(G4:I4)</f>
        <v>40820880</v>
      </c>
      <c r="G4" s="268">
        <f>'７－１　水稲部門（倒伏しやすい品種）収支'!F4*('１　対象経営の概要，２　前提条件'!$AB$26+'１　対象経営の概要，２　前提条件'!$AM$26+'１　対象経営の概要，２　前提条件'!$AB$28)+'７－２　水稲部門（倒伏しにくい品種）収支 '!F4*('１　対象経営の概要，２　前提条件'!$AB$27+'１　対象経営の概要，２　前提条件'!$AM$27)</f>
        <v>18070000</v>
      </c>
      <c r="H4" s="268">
        <f>'７－３　水稲部門（加工用）収支'!F4*'１　対象経営の概要，２　前提条件'!$AM$28</f>
        <v>6400000</v>
      </c>
      <c r="I4" s="478">
        <f>'７－４　白ねぎ部門収支（11月） '!F4*'１　対象経営の概要，２　前提条件'!F15+'７－５白ねぎ部門収支（12～1月）'!F4*'１　対象経営の概要，２　前提条件'!F16</f>
        <v>16350880</v>
      </c>
      <c r="J4" s="16"/>
    </row>
    <row r="5" spans="2:10" ht="20.100000000000001" customHeight="1" x14ac:dyDescent="0.15">
      <c r="B5" s="999"/>
      <c r="C5" s="1016"/>
      <c r="D5" s="17" t="s">
        <v>89</v>
      </c>
      <c r="E5" s="18"/>
      <c r="F5" s="19">
        <f>SUM(G5:H5)</f>
        <v>0</v>
      </c>
      <c r="G5" s="23">
        <f>'７－１　水稲部門（倒伏しやすい品種）収支'!F5*('１　対象経営の概要，２　前提条件'!$AB$26+'１　対象経営の概要，２　前提条件'!$AM$26+'１　対象経営の概要，２　前提条件'!$AB$28)+'７－２　水稲部門（倒伏しにくい品種）収支 '!F5*('１　対象経営の概要，２　前提条件'!$AB$27+'１　対象経営の概要，２　前提条件'!$AM$27)</f>
        <v>0</v>
      </c>
      <c r="H5" s="23">
        <f>'７－３　水稲部門（加工用）収支'!F5*'１　対象経営の概要，２　前提条件'!$AM$28</f>
        <v>0</v>
      </c>
      <c r="I5" s="635">
        <f>'１　対象経営の概要，２　前提条件'!F15*10*'７－４　白ねぎ部門収支（11月） '!F5+'１　対象経営の概要，２　前提条件'!F16*10*'７－５白ねぎ部門収支（12～1月）'!F5</f>
        <v>0</v>
      </c>
      <c r="J5" s="20"/>
    </row>
    <row r="6" spans="2:10" ht="20.100000000000001" customHeight="1" x14ac:dyDescent="0.15">
      <c r="B6" s="999"/>
      <c r="C6" s="1017"/>
      <c r="D6" s="1018" t="s">
        <v>207</v>
      </c>
      <c r="E6" s="1019"/>
      <c r="F6" s="21">
        <f>SUM(F4:F5)</f>
        <v>40820880</v>
      </c>
      <c r="G6" s="22">
        <f>G4+G5</f>
        <v>18070000</v>
      </c>
      <c r="H6" s="22">
        <f>SUM(H4:H5)</f>
        <v>6400000</v>
      </c>
      <c r="I6" s="22">
        <f>SUM(I4:I5)</f>
        <v>16350880</v>
      </c>
      <c r="J6" s="20"/>
    </row>
    <row r="7" spans="2:10" ht="20.100000000000001" customHeight="1" x14ac:dyDescent="0.15">
      <c r="B7" s="999"/>
      <c r="C7" s="1020" t="s">
        <v>210</v>
      </c>
      <c r="D7" s="17" t="s">
        <v>56</v>
      </c>
      <c r="E7" s="18"/>
      <c r="F7" s="19">
        <f>SUM(G7:I7)</f>
        <v>1770000</v>
      </c>
      <c r="G7" s="23">
        <f>'７－１　水稲部門（倒伏しやすい品種）収支'!F6*('１　対象経営の概要，２　前提条件'!$AB$26+'１　対象経営の概要，２　前提条件'!$AM$26+'１　対象経営の概要，２　前提条件'!$AB$28)+'７－２　水稲部門（倒伏しにくい品種）収支 '!F6*('１　対象経営の概要，２　前提条件'!$AB$27+'１　対象経営の概要，２　前提条件'!$AM$27)</f>
        <v>232000</v>
      </c>
      <c r="H7" s="23">
        <f>'７－３　水稲部門（加工用）収支'!F6*'１　対象経営の概要，２　前提条件'!$AM$28</f>
        <v>88000</v>
      </c>
      <c r="I7" s="23">
        <f>'１　対象経営の概要，２　前提条件'!F15*'７－４　白ねぎ部門収支（11月） '!F6+'１　対象経営の概要，２　前提条件'!F16*'７－５白ねぎ部門収支（12～1月）'!F6</f>
        <v>1450000</v>
      </c>
      <c r="J7" s="20"/>
    </row>
    <row r="8" spans="2:10" ht="20.100000000000001" customHeight="1" x14ac:dyDescent="0.15">
      <c r="B8" s="999"/>
      <c r="C8" s="1021"/>
      <c r="D8" s="17" t="s">
        <v>57</v>
      </c>
      <c r="E8" s="18"/>
      <c r="F8" s="19">
        <f t="shared" ref="F8:F27" si="0">SUM(G8:I8)</f>
        <v>4055648.8</v>
      </c>
      <c r="G8" s="23">
        <f>'７－１　水稲部門（倒伏しやすい品種）収支'!F7*('１　対象経営の概要，２　前提条件'!$AB$26+'１　対象経営の概要，２　前提条件'!$AM$26+'１　対象経営の概要，２　前提条件'!$AB$28)+'７－２　水稲部門（倒伏しにくい品種）収支 '!F7*('１　対象経営の概要，２　前提条件'!$AB$27+'１　対象経営の概要，２　前提条件'!$AM$27)</f>
        <v>2410658</v>
      </c>
      <c r="H8" s="23">
        <f>'７－３　水稲部門（加工用）収支'!F7*'１　対象経営の概要，２　前提条件'!$AM$28</f>
        <v>1116990.8</v>
      </c>
      <c r="I8" s="23">
        <f>'１　対象経営の概要，２　前提条件'!F15*'７－４　白ねぎ部門収支（11月） '!F7+'１　対象経営の概要，２　前提条件'!F16*'７－５白ねぎ部門収支（12～1月）'!F7</f>
        <v>528000</v>
      </c>
      <c r="J8" s="20"/>
    </row>
    <row r="9" spans="2:10" ht="20.100000000000001" customHeight="1" x14ac:dyDescent="0.15">
      <c r="B9" s="999"/>
      <c r="C9" s="1021"/>
      <c r="D9" s="17" t="s">
        <v>58</v>
      </c>
      <c r="E9" s="18"/>
      <c r="F9" s="19">
        <f t="shared" si="0"/>
        <v>2591322.1333333333</v>
      </c>
      <c r="G9" s="23">
        <f>'７－１　水稲部門（倒伏しやすい品種）収支'!F8*('１　対象経営の概要，２　前提条件'!$AB$26+'１　対象経営の概要，２　前提条件'!$AM$26+'１　対象経営の概要，２　前提条件'!$AB$28)+'７－２　水稲部門（倒伏しにくい品種）収支 '!F8*('１　対象経営の概要，２　前提条件'!$AB$27+'１　対象経営の概要，２　前提条件'!$AM$27)</f>
        <v>1255145.3333333333</v>
      </c>
      <c r="H9" s="23">
        <f>'７－３　水稲部門（加工用）収支'!F8*'１　対象経営の概要，２　前提条件'!$AM$28</f>
        <v>576684.80000000005</v>
      </c>
      <c r="I9" s="23">
        <f>'１　対象経営の概要，２　前提条件'!F15*'７－４　白ねぎ部門収支（11月） '!F8+'１　対象経営の概要，２　前提条件'!F16*'７－５白ねぎ部門収支（12～1月）'!F8</f>
        <v>759492</v>
      </c>
      <c r="J9" s="20"/>
    </row>
    <row r="10" spans="2:10" ht="20.100000000000001" customHeight="1" x14ac:dyDescent="0.15">
      <c r="B10" s="999"/>
      <c r="C10" s="1021"/>
      <c r="D10" s="17" t="s">
        <v>90</v>
      </c>
      <c r="E10" s="18"/>
      <c r="F10" s="19">
        <f t="shared" si="0"/>
        <v>1318951.1906400002</v>
      </c>
      <c r="G10" s="23">
        <f>'７－１　水稲部門（倒伏しやすい品種）収支'!F9*('１　対象経営の概要，２　前提条件'!$AB$26+'１　対象経営の概要，２　前提条件'!$AM$26+'１　対象経営の概要，２　前提条件'!$AB$28)+'７－２　水稲部門（倒伏しにくい品種）収支 '!F9*('１　対象経営の概要，２　前提条件'!$AB$27+'１　対象経営の概要，２　前提条件'!$AM$27)</f>
        <v>830682.48759999999</v>
      </c>
      <c r="H10" s="23">
        <f>'７－３　水稲部門（加工用）収支'!F9*'１　対象経営の概要，２　前提条件'!$AM$28</f>
        <v>332272.99504000001</v>
      </c>
      <c r="I10" s="23">
        <f>'１　対象経営の概要，２　前提条件'!F15*'７－４　白ねぎ部門収支（11月） '!F9+'１　対象経営の概要，２　前提条件'!F16*'７－５白ねぎ部門収支（12～1月）'!F9</f>
        <v>155995.70800000001</v>
      </c>
      <c r="J10" s="20"/>
    </row>
    <row r="11" spans="2:10" ht="20.100000000000001" customHeight="1" x14ac:dyDescent="0.15">
      <c r="B11" s="999"/>
      <c r="C11" s="1021"/>
      <c r="D11" s="17" t="s">
        <v>59</v>
      </c>
      <c r="E11" s="18"/>
      <c r="F11" s="19">
        <f t="shared" si="0"/>
        <v>184586.66666666669</v>
      </c>
      <c r="G11" s="23">
        <f>'７－１　水稲部門（倒伏しやすい品種）収支'!F10*('１　対象経営の概要，２　前提条件'!$AB$26+'１　対象経営の概要，２　前提条件'!$AM$26+'１　対象経営の概要，２　前提条件'!$AB$28)+'７－２　水稲部門（倒伏しにくい品種）収支 '!F10*('１　対象経営の概要，２　前提条件'!$AB$27+'１　対象経営の概要，２　前提条件'!$AM$27)</f>
        <v>116133.33333333334</v>
      </c>
      <c r="H11" s="23">
        <f>'７－３　水稲部門（加工用）収支'!F10*'１　対象経営の概要，２　前提条件'!$AM$28</f>
        <v>46453.333333333336</v>
      </c>
      <c r="I11" s="23">
        <f>'１　対象経営の概要，２　前提条件'!F15*'７－４　白ねぎ部門収支（11月） '!F10+'１　対象経営の概要，２　前提条件'!F16*'７－５白ねぎ部門収支（12～1月）'!F10</f>
        <v>22000</v>
      </c>
      <c r="J11" s="20"/>
    </row>
    <row r="12" spans="2:10" ht="20.100000000000001" customHeight="1" x14ac:dyDescent="0.15">
      <c r="B12" s="999"/>
      <c r="C12" s="1021"/>
      <c r="D12" s="17" t="s">
        <v>6</v>
      </c>
      <c r="E12" s="18"/>
      <c r="F12" s="19">
        <f t="shared" si="0"/>
        <v>3233.333333333333</v>
      </c>
      <c r="G12" s="23">
        <f>'７－１　水稲部門（倒伏しやすい品種）収支'!F11*('１　対象経営の概要，２　前提条件'!$AB$26+'１　対象経営の概要，２　前提条件'!$AM$26+'１　対象経営の概要，２　前提条件'!$AB$28)+'７－２　水稲部門（倒伏しにくい品種）収支 '!F11*('１　対象経営の概要，２　前提条件'!$AB$27+'１　対象経営の概要，２　前提条件'!$AM$27)</f>
        <v>1666.6666666666665</v>
      </c>
      <c r="H12" s="23">
        <f>'７－３　水稲部門（加工用）収支'!F11*'１　対象経営の概要，２　前提条件'!$AM$28</f>
        <v>666.66666666666663</v>
      </c>
      <c r="I12" s="23">
        <f>'１　対象経営の概要，２　前提条件'!F15*'７－４　白ねぎ部門収支（11月） '!F11+'１　対象経営の概要，２　前提条件'!F16*'７－５白ねぎ部門収支（12～1月）'!F11</f>
        <v>900</v>
      </c>
      <c r="J12" s="20"/>
    </row>
    <row r="13" spans="2:10" ht="20.100000000000001" customHeight="1" x14ac:dyDescent="0.15">
      <c r="B13" s="999"/>
      <c r="C13" s="1021"/>
      <c r="D13" s="17" t="s">
        <v>7</v>
      </c>
      <c r="E13" s="18"/>
      <c r="F13" s="19">
        <f t="shared" si="0"/>
        <v>0</v>
      </c>
      <c r="G13" s="23">
        <f>'７－１　水稲部門（倒伏しやすい品種）収支'!F12*('１　対象経営の概要，２　前提条件'!$AB$26+'１　対象経営の概要，２　前提条件'!$AM$26+'１　対象経営の概要，２　前提条件'!$AB$28)+'７－２　水稲部門（倒伏しにくい品種）収支 '!F12*('１　対象経営の概要，２　前提条件'!$AB$27+'１　対象経営の概要，２　前提条件'!$AM$27)</f>
        <v>0</v>
      </c>
      <c r="H13" s="23">
        <f>'７－３　水稲部門（加工用）収支'!F12*'１　対象経営の概要，２　前提条件'!$AM$28</f>
        <v>0</v>
      </c>
      <c r="I13" s="23">
        <f>'１　対象経営の概要，２　前提条件'!F15*'７－４　白ねぎ部門収支（11月） '!F12+'１　対象経営の概要，２　前提条件'!F16*'７－５白ねぎ部門収支（12～1月）'!F12</f>
        <v>0</v>
      </c>
      <c r="J13" s="20"/>
    </row>
    <row r="14" spans="2:10" ht="20.100000000000001" customHeight="1" x14ac:dyDescent="0.15">
      <c r="B14" s="999"/>
      <c r="C14" s="1021"/>
      <c r="D14" s="1023" t="s">
        <v>60</v>
      </c>
      <c r="E14" s="24" t="s">
        <v>194</v>
      </c>
      <c r="F14" s="19">
        <f t="shared" si="0"/>
        <v>183937.5</v>
      </c>
      <c r="G14" s="23">
        <f>'７－１　水稲部門（倒伏しやすい品種）収支'!F13*('１　対象経営の概要，２　前提条件'!$AB$26+'１　対象経営の概要，２　前提条件'!$AM$26+'１　対象経営の概要，２　前提条件'!$AB$28)+'７－２　水稲部門（倒伏しにくい品種）収支 '!F13*('１　対象経営の概要，２　前提条件'!$AB$27+'１　対象経営の概要，２　前提条件'!$AM$27)</f>
        <v>127716.42857142857</v>
      </c>
      <c r="H14" s="23">
        <f>'７－３　水稲部門（加工用）収支'!F13*'１　対象経営の概要，２　前提条件'!$AM$28</f>
        <v>51086.571428571428</v>
      </c>
      <c r="I14" s="23">
        <f>'１　対象経営の概要，２　前提条件'!F15*'７－４　白ねぎ部門収支（11月） '!F13+'１　対象経営の概要，２　前提条件'!F16*'７－５白ねぎ部門収支（12～1月）'!F13</f>
        <v>5134.5</v>
      </c>
      <c r="J14" s="20"/>
    </row>
    <row r="15" spans="2:10" ht="20.100000000000001" customHeight="1" x14ac:dyDescent="0.15">
      <c r="B15" s="999"/>
      <c r="C15" s="1021"/>
      <c r="D15" s="1024"/>
      <c r="E15" s="24" t="s">
        <v>195</v>
      </c>
      <c r="F15" s="19">
        <f t="shared" si="0"/>
        <v>2794669.95</v>
      </c>
      <c r="G15" s="23">
        <f>'７－１　水稲部門（倒伏しやすい品種）収支'!F14*('１　対象経営の概要，２　前提条件'!$AB$26+'１　対象経営の概要，２　前提条件'!$AM$26+'１　対象経営の概要，２　前提条件'!$AB$28)+'７－２　水稲部門（倒伏しにくい品種）収支 '!F14*('１　対象経営の概要，２　前提条件'!$AB$27+'１　対象経営の概要，２　前提条件'!$AM$27)</f>
        <v>1801205.9761904762</v>
      </c>
      <c r="H15" s="23">
        <f>'７－３　水稲部門（加工用）収支'!F14*'１　対象経営の概要，２　前提条件'!$AM$28</f>
        <v>720482.39047619049</v>
      </c>
      <c r="I15" s="23">
        <f>'１　対象経営の概要，２　前提条件'!F15*'７－４　白ねぎ部門収支（11月） '!F14+'１　対象経営の概要，２　前提条件'!F16*'７－５白ねぎ部門収支（12～1月）'!F14</f>
        <v>272981.58333333331</v>
      </c>
      <c r="J15" s="20"/>
    </row>
    <row r="16" spans="2:10" ht="20.100000000000001" customHeight="1" x14ac:dyDescent="0.15">
      <c r="B16" s="999"/>
      <c r="C16" s="1021"/>
      <c r="D16" s="1025" t="s">
        <v>91</v>
      </c>
      <c r="E16" s="24" t="s">
        <v>194</v>
      </c>
      <c r="F16" s="19">
        <f t="shared" si="0"/>
        <v>869175</v>
      </c>
      <c r="G16" s="23">
        <f>'７－１　水稲部門（倒伏しやすい品種）収支'!F15*('１　対象経営の概要，２　前提条件'!$AB$26+'１　対象経営の概要，２　前提条件'!$AM$26+'１　対象経営の概要，２　前提条件'!$AB$28)+'７－２　水稲部門（倒伏しにくい品種）収支 '!F15*('１　対象経営の概要，２　前提条件'!$AB$27+'１　対象経営の概要，２　前提条件'!$AM$27)</f>
        <v>600664.28571428568</v>
      </c>
      <c r="H16" s="23">
        <f>'７－３　水稲部門（加工用）収支'!F15*'１　対象経営の概要，２　前提条件'!$AM$28</f>
        <v>240265.71428571426</v>
      </c>
      <c r="I16" s="23">
        <f>'１　対象経営の概要，２　前提条件'!F15*'７－４　白ねぎ部門収支（11月） '!F15+'１　対象経営の概要，２　前提条件'!F16*'７－５白ねぎ部門収支（12～1月）'!F15</f>
        <v>28245</v>
      </c>
      <c r="J16" s="20"/>
    </row>
    <row r="17" spans="2:10" ht="20.100000000000001" customHeight="1" x14ac:dyDescent="0.15">
      <c r="B17" s="999"/>
      <c r="C17" s="1021"/>
      <c r="D17" s="1026"/>
      <c r="E17" s="24" t="s">
        <v>195</v>
      </c>
      <c r="F17" s="19">
        <f t="shared" si="0"/>
        <v>8797628.428571431</v>
      </c>
      <c r="G17" s="23">
        <f>'７－１　水稲部門（倒伏しやすい品種）収支'!F16*('１　対象経営の概要，２　前提条件'!$AB$26+'１　対象経営の概要，２　前提条件'!$AM$26+'１　対象経営の概要，２　前提条件'!$AB$28)+'７－２　水稲部門（倒伏しにくい品種）収支 '!F16*('１　対象経営の概要，２　前提条件'!$AB$27+'１　対象経営の概要，２　前提条件'!$AM$27)</f>
        <v>5713717.7551020421</v>
      </c>
      <c r="H17" s="23">
        <f>'７－３　水稲部門（加工用）収支'!F16*'１　対象経営の概要，２　前提条件'!$AM$28</f>
        <v>2285487.102040817</v>
      </c>
      <c r="I17" s="23">
        <f>'１　対象経営の概要，２　前提条件'!F15*'７－４　白ねぎ部門収支（11月） '!F16+'１　対象経営の概要，２　前提条件'!F16*'７－５白ねぎ部門収支（12～1月）'!F16</f>
        <v>798423.57142857148</v>
      </c>
      <c r="J17" s="20"/>
    </row>
    <row r="18" spans="2:10" ht="20.100000000000001" customHeight="1" x14ac:dyDescent="0.15">
      <c r="B18" s="999"/>
      <c r="C18" s="1021"/>
      <c r="D18" s="1024"/>
      <c r="E18" s="27" t="s">
        <v>61</v>
      </c>
      <c r="F18" s="19">
        <f t="shared" si="0"/>
        <v>0</v>
      </c>
      <c r="G18" s="23">
        <f>'７－１　水稲部門（倒伏しやすい品種）収支'!F17*('１　対象経営の概要，２　前提条件'!$AB$26+'１　対象経営の概要，２　前提条件'!$AM$26+'１　対象経営の概要，２　前提条件'!$AB$28)+'７－２　水稲部門（倒伏しにくい品種）収支 '!F17*('１　対象経営の概要，２　前提条件'!$AB$27+'１　対象経営の概要，２　前提条件'!$AM$27)</f>
        <v>0</v>
      </c>
      <c r="H18" s="23">
        <f>'７－３　水稲部門（加工用）収支'!F17*'１　対象経営の概要，２　前提条件'!$AM$28</f>
        <v>0</v>
      </c>
      <c r="I18" s="23">
        <f>'１　対象経営の概要，２　前提条件'!F15*'７－４　白ねぎ部門収支（11月） '!F17+'１　対象経営の概要，２　前提条件'!F16*'７－５白ねぎ部門収支（12～1月）'!F17</f>
        <v>0</v>
      </c>
      <c r="J18" s="20"/>
    </row>
    <row r="19" spans="2:10" ht="20.100000000000001" customHeight="1" x14ac:dyDescent="0.15">
      <c r="B19" s="999"/>
      <c r="C19" s="1021"/>
      <c r="D19" s="1027" t="s">
        <v>270</v>
      </c>
      <c r="E19" s="27" t="s">
        <v>121</v>
      </c>
      <c r="F19" s="19">
        <f t="shared" si="0"/>
        <v>0</v>
      </c>
      <c r="G19" s="23">
        <f>'７－１　水稲部門（倒伏しやすい品種）収支'!F18*('１　対象経営の概要，２　前提条件'!$AB$26+'１　対象経営の概要，２　前提条件'!$AM$26+'１　対象経営の概要，２　前提条件'!$AB$28)+'７－２　水稲部門（倒伏しにくい品種）収支 '!F18*('１　対象経営の概要，２　前提条件'!$AB$27+'１　対象経営の概要，２　前提条件'!$AM$27)</f>
        <v>0</v>
      </c>
      <c r="H19" s="23">
        <f>'７－３　水稲部門（加工用）収支'!F18*'１　対象経営の概要，２　前提条件'!$AM$28</f>
        <v>0</v>
      </c>
      <c r="I19" s="23">
        <f>'１　対象経営の概要，２　前提条件'!F15*'７－４　白ねぎ部門収支（11月） '!F18+'１　対象経営の概要，２　前提条件'!F16*'７－５白ねぎ部門収支（12～1月）'!F18</f>
        <v>0</v>
      </c>
      <c r="J19" s="20"/>
    </row>
    <row r="20" spans="2:10" ht="20.100000000000001" customHeight="1" x14ac:dyDescent="0.15">
      <c r="B20" s="999"/>
      <c r="C20" s="1021"/>
      <c r="D20" s="1027"/>
      <c r="E20" s="27" t="s">
        <v>117</v>
      </c>
      <c r="F20" s="19">
        <f t="shared" si="0"/>
        <v>1044120.0000000002</v>
      </c>
      <c r="G20" s="23">
        <f>'７－１　水稲部門（倒伏しやすい品種）収支'!F19*('１　対象経営の概要，２　前提条件'!$AB$26+'１　対象経営の概要，２　前提条件'!$AM$26+'１　対象経営の概要，２　前提条件'!$AB$28)+'７－２　水稲部門（倒伏しにくい品種）収支 '!F19*('１　対象経営の概要，２　前提条件'!$AB$27+'１　対象経営の概要，２　前提条件'!$AM$27)</f>
        <v>745800.00000000012</v>
      </c>
      <c r="H20" s="23">
        <f>'７－３　水稲部門（加工用）収支'!F19*'１　対象経営の概要，２　前提条件'!$AM$28</f>
        <v>298320.00000000006</v>
      </c>
      <c r="I20" s="23">
        <f>'１　対象経営の概要，２　前提条件'!F15*'７－４　白ねぎ部門収支（11月） '!F19+'１　対象経営の概要，２　前提条件'!F16*'７－５白ねぎ部門収支（12～1月）'!F19</f>
        <v>0</v>
      </c>
      <c r="J20" s="20"/>
    </row>
    <row r="21" spans="2:10" ht="20.100000000000001" customHeight="1" x14ac:dyDescent="0.15">
      <c r="B21" s="999"/>
      <c r="C21" s="1021"/>
      <c r="D21" s="1027"/>
      <c r="E21" s="27" t="s">
        <v>118</v>
      </c>
      <c r="F21" s="19">
        <f t="shared" si="0"/>
        <v>8119223.9999999991</v>
      </c>
      <c r="G21" s="23">
        <f>'７－１　水稲部門（倒伏しやすい品種）収支'!F20*('１　対象経営の概要，２　前提条件'!$AB$26+'１　対象経営の概要，２　前提条件'!$AM$26+'１　対象経営の概要，２　前提条件'!$AB$28)+'７－２　水稲部門（倒伏しにくい品種）収支 '!F20*('１　対象経営の概要，２　前提条件'!$AB$27+'１　対象経営の概要，２　前提条件'!$AM$27)</f>
        <v>1116000</v>
      </c>
      <c r="H21" s="23">
        <f>'７－３　水稲部門（加工用）収支'!F20*'１　対象経営の概要，２　前提条件'!$AM$28</f>
        <v>446400</v>
      </c>
      <c r="I21" s="23">
        <f>'１　対象経営の概要，２　前提条件'!F15*'７－４　白ねぎ部門収支（11月） '!F20+'１　対象経営の概要，２　前提条件'!F16*'７－５白ねぎ部門収支（12～1月）'!F20</f>
        <v>6556823.9999999991</v>
      </c>
      <c r="J21" s="20"/>
    </row>
    <row r="22" spans="2:10" ht="20.100000000000001" customHeight="1" x14ac:dyDescent="0.15">
      <c r="B22" s="999"/>
      <c r="C22" s="1021"/>
      <c r="D22" s="1027"/>
      <c r="E22" s="166" t="s">
        <v>120</v>
      </c>
      <c r="F22" s="19">
        <f t="shared" si="0"/>
        <v>109960.128</v>
      </c>
      <c r="G22" s="23">
        <f>'７－１　水稲部門（倒伏しやすい品種）収支'!F21*('１　対象経営の概要，２　前提条件'!$AB$26+'１　対象経営の概要，２　前提条件'!$AM$26+'１　対象経営の概要，２　前提条件'!$AB$28)+'７－２　水稲部門（倒伏しにくい品種）収支 '!F21*('１　対象経営の概要，２　前提条件'!$AB$27+'１　対象経営の概要，２　前提条件'!$AM$27)</f>
        <v>22341.599999999999</v>
      </c>
      <c r="H22" s="23">
        <f>'７－３　水稲部門（加工用）収支'!F21*'１　対象経営の概要，２　前提条件'!$AM$28</f>
        <v>8936.64</v>
      </c>
      <c r="I22" s="23">
        <f>'１　対象経営の概要，２　前提条件'!F15*'７－４　白ねぎ部門収支（11月） '!F21+'１　対象経営の概要，２　前提条件'!F16*'７－５白ねぎ部門収支（12～1月）'!F21</f>
        <v>78681.887999999992</v>
      </c>
      <c r="J22" s="20"/>
    </row>
    <row r="23" spans="2:10" ht="20.100000000000001" customHeight="1" x14ac:dyDescent="0.15">
      <c r="B23" s="999"/>
      <c r="C23" s="1021"/>
      <c r="D23" s="1025" t="s">
        <v>62</v>
      </c>
      <c r="E23" s="18" t="s">
        <v>63</v>
      </c>
      <c r="F23" s="19">
        <f t="shared" si="0"/>
        <v>665280</v>
      </c>
      <c r="G23" s="23">
        <f>'７－１　水稲部門（倒伏しやすい品種）収支'!F22*('１　対象経営の概要，２　前提条件'!$AB$26+'１　対象経営の概要，２　前提条件'!$AM$26+'１　対象経営の概要，２　前提条件'!$AB$28)+'７－２　水稲部門（倒伏しにくい品種）収支 '!F22*('１　対象経営の概要，２　前提条件'!$AB$27+'１　対象経営の概要，２　前提条件'!$AM$27)</f>
        <v>475200</v>
      </c>
      <c r="H23" s="23">
        <f>'７－３　水稲部門（加工用）収支'!F22*'１　対象経営の概要，２　前提条件'!$AM$28</f>
        <v>190080</v>
      </c>
      <c r="I23" s="8">
        <v>0</v>
      </c>
      <c r="J23" s="20"/>
    </row>
    <row r="24" spans="2:10" ht="20.100000000000001" customHeight="1" x14ac:dyDescent="0.15">
      <c r="B24" s="999"/>
      <c r="C24" s="1021"/>
      <c r="D24" s="1024"/>
      <c r="E24" s="18" t="s">
        <v>92</v>
      </c>
      <c r="F24" s="19">
        <f t="shared" si="0"/>
        <v>1400000</v>
      </c>
      <c r="G24" s="23">
        <f>'７－１　水稲部門（倒伏しやすい品種）収支'!F23*('１　対象経営の概要，２　前提条件'!$AB$26+'１　対象経営の概要，２　前提条件'!$AM$26+'１　対象経営の概要，２　前提条件'!$AB$28)+'７－２　水稲部門（倒伏しにくい品種）収支 '!F23*('１　対象経営の概要，２　前提条件'!$AB$27+'１　対象経営の概要，２　前提条件'!$AM$27)</f>
        <v>1000000</v>
      </c>
      <c r="H24" s="23">
        <f>'７－３　水稲部門（加工用）収支'!F23*'１　対象経営の概要，２　前提条件'!$AM$28</f>
        <v>400000</v>
      </c>
      <c r="I24" s="23">
        <v>0</v>
      </c>
      <c r="J24" s="20"/>
    </row>
    <row r="25" spans="2:10" ht="20.100000000000001" customHeight="1" x14ac:dyDescent="0.15">
      <c r="B25" s="999"/>
      <c r="C25" s="1021"/>
      <c r="D25" s="17" t="s">
        <v>64</v>
      </c>
      <c r="E25" s="18"/>
      <c r="F25" s="19">
        <f t="shared" si="0"/>
        <v>900000</v>
      </c>
      <c r="G25" s="23">
        <f>'７－１　水稲部門（倒伏しやすい品種）収支'!F24*('１　対象経営の概要，２　前提条件'!$AB$26+'１　対象経営の概要，２　前提条件'!$AM$26+'１　対象経営の概要，２　前提条件'!$AB$28)+'７－２　水稲部門（倒伏しにくい品種）収支 '!F24*('１　対象経営の概要，２　前提条件'!$AB$27+'１　対象経営の概要，２　前提条件'!$AM$27)</f>
        <v>600000</v>
      </c>
      <c r="H25" s="23">
        <f>'７－３　水稲部門（加工用）収支'!F24*'１　対象経営の概要，２　前提条件'!$AM$28</f>
        <v>240000</v>
      </c>
      <c r="I25" s="23">
        <f>'１　対象経営の概要，２　前提条件'!F15*'７－４　白ねぎ部門収支（11月） '!F22+'１　対象経営の概要，２　前提条件'!F16*'７－５白ねぎ部門収支（12～1月）'!F22</f>
        <v>60000</v>
      </c>
      <c r="J25" s="20"/>
    </row>
    <row r="26" spans="2:10" ht="20.100000000000001" customHeight="1" x14ac:dyDescent="0.15">
      <c r="B26" s="999"/>
      <c r="C26" s="1021"/>
      <c r="D26" s="17" t="s">
        <v>171</v>
      </c>
      <c r="E26" s="18"/>
      <c r="F26" s="19">
        <f t="shared" si="0"/>
        <v>350987.24374287645</v>
      </c>
      <c r="G26" s="23">
        <f>'７－１　水稲部門（倒伏しやすい品種）収支'!F25*('１　対象経営の概要，２　前提条件'!$AB$26+'１　対象経営の概要，２　前提条件'!$AM$26+'１　対象経営の概要，２　前提条件'!$AB$28)+'７－２　水稲部門（倒伏しにくい品種）収支 '!F25*('１　対象経営の概要，２　前提条件'!$AB$27+'１　対象経営の概要，２　前提条件'!$AM$27)</f>
        <v>172211.43299506634</v>
      </c>
      <c r="H26" s="23">
        <f>'７－３　水稲部門（加工用）収支'!F25*'１　対象経営の概要，２　前提条件'!$AM$28</f>
        <v>71132.596093649423</v>
      </c>
      <c r="I26" s="23">
        <f>'１　対象経営の概要，２　前提条件'!F15*'７－４　白ねぎ部門収支（11月） '!F23+'１　対象経営の概要，２　前提条件'!F16*'７－５白ねぎ部門収支（12～1月）'!F23</f>
        <v>107643.21465416066</v>
      </c>
      <c r="J26" s="20"/>
    </row>
    <row r="27" spans="2:10" ht="20.100000000000001" customHeight="1" x14ac:dyDescent="0.15">
      <c r="B27" s="999"/>
      <c r="C27" s="1022"/>
      <c r="D27" s="1028" t="s">
        <v>211</v>
      </c>
      <c r="E27" s="1029"/>
      <c r="F27" s="514">
        <f t="shared" si="0"/>
        <v>35158724.374287635</v>
      </c>
      <c r="G27" s="25">
        <f>SUM(G7:G26)</f>
        <v>17221143.299506631</v>
      </c>
      <c r="H27" s="25">
        <f>SUM(H7:H26)</f>
        <v>7113259.6093649417</v>
      </c>
      <c r="I27" s="25">
        <f>SUM(I7:I26)</f>
        <v>10824321.465416064</v>
      </c>
      <c r="J27" s="20"/>
    </row>
    <row r="28" spans="2:10" ht="20.100000000000001" customHeight="1" x14ac:dyDescent="0.15">
      <c r="B28" s="999"/>
      <c r="C28" s="1018" t="s">
        <v>208</v>
      </c>
      <c r="D28" s="1030"/>
      <c r="E28" s="1019"/>
      <c r="F28" s="21">
        <f>F6-F27</f>
        <v>5662155.6257123649</v>
      </c>
      <c r="G28" s="21">
        <f>G6-G27</f>
        <v>848856.70049336925</v>
      </c>
      <c r="H28" s="21">
        <f>H6-H27</f>
        <v>-713259.60936494172</v>
      </c>
      <c r="I28" s="21">
        <f>I6-I27</f>
        <v>5526558.5345839355</v>
      </c>
      <c r="J28" s="20"/>
    </row>
    <row r="29" spans="2:10" ht="20.100000000000001" customHeight="1" x14ac:dyDescent="0.15">
      <c r="B29" s="999"/>
      <c r="C29" s="1004" t="s">
        <v>200</v>
      </c>
      <c r="D29" s="1033" t="s">
        <v>65</v>
      </c>
      <c r="E29" s="37" t="s">
        <v>3</v>
      </c>
      <c r="F29" s="26">
        <f>SUM(G29:I29)</f>
        <v>1856444.4444444445</v>
      </c>
      <c r="G29" s="23">
        <f>'７－１　水稲部門（倒伏しやすい品種）収支'!F27*('１　対象経営の概要，２　前提条件'!$AB$26+'１　対象経営の概要，２　前提条件'!$AM$26+'１　対象経営の概要，２　前提条件'!$AB$28)+'７－２　水稲部門（倒伏しにくい品種）収支 '!F27*('１　対象経営の概要，２　前提条件'!$AB$27+'１　対象経営の概要，２　前提条件'!$AM$27)</f>
        <v>284000</v>
      </c>
      <c r="H29" s="23">
        <f>'７－３　水稲部門（加工用）収支'!F27*'１　対象経営の概要，２　前提条件'!$AM$28</f>
        <v>128000</v>
      </c>
      <c r="I29" s="23">
        <f>'１　対象経営の概要，２　前提条件'!F15*'７－４　白ねぎ部門収支（11月） '!F25+'１　対象経営の概要，２　前提条件'!F16*'７－５白ねぎ部門収支（12～1月）'!F25</f>
        <v>1444444.4444444445</v>
      </c>
      <c r="J29" s="20"/>
    </row>
    <row r="30" spans="2:10" ht="20.100000000000001" customHeight="1" x14ac:dyDescent="0.15">
      <c r="B30" s="999"/>
      <c r="C30" s="1031"/>
      <c r="D30" s="1034"/>
      <c r="E30" s="37" t="s">
        <v>4</v>
      </c>
      <c r="F30" s="26">
        <f t="shared" ref="F30:F41" si="1">SUM(G30:I30)</f>
        <v>550000</v>
      </c>
      <c r="G30" s="23">
        <f>'７－１　水稲部門（倒伏しやすい品種）収支'!F28*('１　対象経営の概要，２　前提条件'!$AB$26+'１　対象経営の概要，２　前提条件'!$AM$26+'１　対象経営の概要，２　前提条件'!$AB$28)+'７－２　水稲部門（倒伏しにくい品種）収支 '!F28*('１　対象経営の概要，２　前提条件'!$AB$27+'１　対象経営の概要，２　前提条件'!$AM$27)</f>
        <v>0</v>
      </c>
      <c r="H30" s="23">
        <f>'７－３　水稲部門（加工用）収支'!F28*'１　対象経営の概要，２　前提条件'!$AM$28</f>
        <v>0</v>
      </c>
      <c r="I30" s="23">
        <f>'１　対象経営の概要，２　前提条件'!F15*'７－４　白ねぎ部門収支（11月） '!F26+'１　対象経営の概要，２　前提条件'!F16*'７－５白ねぎ部門収支（12～1月）'!F26</f>
        <v>550000</v>
      </c>
      <c r="J30" s="20"/>
    </row>
    <row r="31" spans="2:10" ht="20.100000000000001" customHeight="1" x14ac:dyDescent="0.15">
      <c r="B31" s="999"/>
      <c r="C31" s="1031"/>
      <c r="D31" s="1035"/>
      <c r="E31" s="37" t="s">
        <v>8</v>
      </c>
      <c r="F31" s="26">
        <f t="shared" si="1"/>
        <v>2264101.2000000002</v>
      </c>
      <c r="G31" s="23">
        <f>'７－１　水稲部門（倒伏しやすい品種）収支'!F29*('１　対象経営の概要，２　前提条件'!$AB$26+'１　対象経営の概要，２　前提条件'!$AM$26+'１　対象経営の概要，２　前提条件'!$AB$28)+'７－２　水稲部門（倒伏しにくい品種）収支 '!F29*('１　対象経営の概要，２　前提条件'!$AB$27+'１　対象経営の概要，２　前提条件'!$AM$27)</f>
        <v>343750</v>
      </c>
      <c r="H31" s="23">
        <f>'７－３　水稲部門（加工用）収支'!F29*'１　対象経営の概要，２　前提条件'!$AM$28</f>
        <v>40000</v>
      </c>
      <c r="I31" s="23">
        <f>'１　対象経営の概要，２　前提条件'!F15*'７－４　白ねぎ部門収支（11月） '!F27+'１　対象経営の概要，２　前提条件'!F16*'７－５白ねぎ部門収支（12～1月）'!F27</f>
        <v>1880351.2</v>
      </c>
      <c r="J31" s="20"/>
    </row>
    <row r="32" spans="2:10" ht="20.100000000000001" customHeight="1" x14ac:dyDescent="0.15">
      <c r="B32" s="999"/>
      <c r="C32" s="1031"/>
      <c r="D32" s="37" t="s">
        <v>66</v>
      </c>
      <c r="E32" s="38"/>
      <c r="F32" s="26">
        <f t="shared" si="1"/>
        <v>0</v>
      </c>
      <c r="G32" s="23">
        <v>0</v>
      </c>
      <c r="H32" s="23">
        <v>0</v>
      </c>
      <c r="I32" s="23">
        <v>0</v>
      </c>
      <c r="J32" s="20"/>
    </row>
    <row r="33" spans="2:10" ht="20.100000000000001" customHeight="1" x14ac:dyDescent="0.15">
      <c r="B33" s="999"/>
      <c r="C33" s="1031"/>
      <c r="D33" s="1036" t="s">
        <v>271</v>
      </c>
      <c r="E33" s="27" t="s">
        <v>121</v>
      </c>
      <c r="F33" s="26">
        <f t="shared" si="1"/>
        <v>0</v>
      </c>
      <c r="G33" s="23">
        <v>0</v>
      </c>
      <c r="H33" s="23">
        <v>0</v>
      </c>
      <c r="I33" s="23">
        <v>0</v>
      </c>
      <c r="J33" s="20"/>
    </row>
    <row r="34" spans="2:10" ht="20.100000000000001" customHeight="1" x14ac:dyDescent="0.15">
      <c r="B34" s="999"/>
      <c r="C34" s="1031"/>
      <c r="D34" s="1036"/>
      <c r="E34" s="27" t="s">
        <v>120</v>
      </c>
      <c r="F34" s="26">
        <f t="shared" si="1"/>
        <v>0</v>
      </c>
      <c r="G34" s="23">
        <v>0</v>
      </c>
      <c r="H34" s="23">
        <v>0</v>
      </c>
      <c r="I34" s="23">
        <v>0</v>
      </c>
      <c r="J34" s="20"/>
    </row>
    <row r="35" spans="2:10" ht="20.100000000000001" customHeight="1" x14ac:dyDescent="0.15">
      <c r="B35" s="999"/>
      <c r="C35" s="1031"/>
      <c r="D35" s="37" t="s">
        <v>67</v>
      </c>
      <c r="E35" s="38"/>
      <c r="F35" s="26">
        <f t="shared" si="1"/>
        <v>0</v>
      </c>
      <c r="G35" s="23">
        <v>0</v>
      </c>
      <c r="H35" s="23">
        <v>0</v>
      </c>
      <c r="I35" s="23">
        <v>0</v>
      </c>
      <c r="J35" s="20"/>
    </row>
    <row r="36" spans="2:10" ht="20.100000000000001" customHeight="1" x14ac:dyDescent="0.15">
      <c r="B36" s="999"/>
      <c r="C36" s="1031"/>
      <c r="D36" s="37" t="s">
        <v>93</v>
      </c>
      <c r="E36" s="38"/>
      <c r="F36" s="26">
        <f t="shared" si="1"/>
        <v>0</v>
      </c>
      <c r="G36" s="23">
        <v>0</v>
      </c>
      <c r="H36" s="23">
        <v>0</v>
      </c>
      <c r="I36" s="23">
        <v>0</v>
      </c>
      <c r="J36" s="20"/>
    </row>
    <row r="37" spans="2:10" ht="20.100000000000001" customHeight="1" x14ac:dyDescent="0.15">
      <c r="B37" s="999"/>
      <c r="C37" s="1031"/>
      <c r="D37" s="37" t="s">
        <v>124</v>
      </c>
      <c r="E37" s="38"/>
      <c r="F37" s="26">
        <f t="shared" si="1"/>
        <v>245490</v>
      </c>
      <c r="G37" s="23">
        <f>'７－１　水稲部門（倒伏しやすい品種）収支'!F35*('１　対象経営の概要，２　前提条件'!$AB$26+'１　対象経営の概要，２　前提条件'!$AM$26+'１　対象経営の概要，２　前提条件'!$AB$28)+'７－２　水稲部門（倒伏しにくい品種）収支 '!F35*('１　対象経営の概要，２　前提条件'!$AB$27+'１　対象経営の概要，２　前提条件'!$AM$27)</f>
        <v>173059.52380952382</v>
      </c>
      <c r="H37" s="23">
        <f>'７－３　水稲部門（加工用）収支'!F35*'１　対象経営の概要，２　前提条件'!$AM$28</f>
        <v>69223.809523809527</v>
      </c>
      <c r="I37" s="23">
        <f>'１　対象経営の概要，２　前提条件'!F15*'７－４　白ねぎ部門収支（11月） '!F30+'１　対象経営の概要，２　前提条件'!F16*'７－５白ねぎ部門収支（12～1月）'!F30</f>
        <v>3206.666666666667</v>
      </c>
      <c r="J37" s="20"/>
    </row>
    <row r="38" spans="2:10" ht="20.100000000000001" customHeight="1" x14ac:dyDescent="0.15">
      <c r="B38" s="999"/>
      <c r="C38" s="1031"/>
      <c r="D38" s="37" t="s">
        <v>94</v>
      </c>
      <c r="E38" s="38"/>
      <c r="F38" s="26">
        <f t="shared" si="1"/>
        <v>0</v>
      </c>
      <c r="G38" s="23">
        <f>'７－１　水稲部門（倒伏しやすい品種）収支'!F36*('１　対象経営の概要，２　前提条件'!$AB$26+'１　対象経営の概要，２　前提条件'!$AM$26+'１　対象経営の概要，２　前提条件'!$AB$28)+'７－２　水稲部門（倒伏しにくい品種）収支 '!F36*('１　対象経営の概要，２　前提条件'!$AB$27+'１　対象経営の概要，２　前提条件'!$AM$27)</f>
        <v>0</v>
      </c>
      <c r="H38" s="23">
        <f>'７－３　水稲部門（加工用）収支'!F36*'１　対象経営の概要，２　前提条件'!$AM$28</f>
        <v>0</v>
      </c>
      <c r="I38" s="23">
        <v>0</v>
      </c>
      <c r="J38" s="20"/>
    </row>
    <row r="39" spans="2:10" ht="20.100000000000001" customHeight="1" x14ac:dyDescent="0.15">
      <c r="B39" s="999"/>
      <c r="C39" s="1031"/>
      <c r="D39" s="37" t="s">
        <v>68</v>
      </c>
      <c r="E39" s="38"/>
      <c r="F39" s="26">
        <f t="shared" si="1"/>
        <v>125839.75000000001</v>
      </c>
      <c r="G39" s="23">
        <f>'７－１　水稲部門（倒伏しやすい品種）収支'!F37*('１　対象経営の概要，２　前提条件'!$AB$26+'１　対象経営の概要，２　前提条件'!$AM$26+'１　対象経営の概要，２　前提条件'!$AB$28)+'７－２　水稲部門（倒伏しにくい品種）収支 '!F37*('１　対象経営の概要，２　前提条件'!$AB$27+'１　対象経営の概要，２　前提条件'!$AM$27)</f>
        <v>86169.471428571429</v>
      </c>
      <c r="H39" s="23">
        <f>'７－３　水稲部門（加工用）収支'!F37*'１　対象経営の概要，２　前提条件'!$AM$28</f>
        <v>34467.788571428573</v>
      </c>
      <c r="I39" s="23">
        <f>'１　対象経営の概要，２　前提条件'!F15*'７－４　白ねぎ部門収支（11月） '!F32+'１　対象経営の概要，２　前提条件'!F16*'７－５白ねぎ部門収支（12～1月）'!F32</f>
        <v>5202.49</v>
      </c>
      <c r="J39" s="20"/>
    </row>
    <row r="40" spans="2:10" ht="20.100000000000001" customHeight="1" x14ac:dyDescent="0.15">
      <c r="B40" s="999"/>
      <c r="C40" s="1031"/>
      <c r="D40" s="37" t="s">
        <v>0</v>
      </c>
      <c r="E40" s="38"/>
      <c r="F40" s="26">
        <f t="shared" si="1"/>
        <v>39224.290920314248</v>
      </c>
      <c r="G40" s="23">
        <f>'７－１　水稲部門（倒伏しやすい品種）収支'!F38*('１　対象経営の概要，２　前提条件'!$AB$26+'１　対象経営の概要，２　前提条件'!$AM$26+'１　対象経営の概要，２　前提条件'!$AB$28)+'７－２　水稲部門（倒伏しにくい品種）収支 '!F38*('１　対象経営の概要，２　前提条件'!$AB$27+'１　対象経営の概要，２　前提条件'!$AM$27)</f>
        <v>0</v>
      </c>
      <c r="H40" s="23">
        <f>'７－３　水稲部門（加工用）収支'!F38*'１　対象経営の概要，２　前提条件'!$AM$28</f>
        <v>0</v>
      </c>
      <c r="I40" s="23">
        <f>'１　対象経営の概要，２　前提条件'!F15*'７－４　白ねぎ部門収支（11月） '!F33+'１　対象経営の概要，２　前提条件'!F16*'７－５白ねぎ部門収支（12～1月）'!F33</f>
        <v>39224.290920314248</v>
      </c>
      <c r="J40" s="20"/>
    </row>
    <row r="41" spans="2:10" ht="20.100000000000001" customHeight="1" thickBot="1" x14ac:dyDescent="0.2">
      <c r="B41" s="1014"/>
      <c r="C41" s="1032"/>
      <c r="D41" s="1005" t="s">
        <v>209</v>
      </c>
      <c r="E41" s="1007"/>
      <c r="F41" s="515">
        <f t="shared" si="1"/>
        <v>5081099.6853647586</v>
      </c>
      <c r="G41" s="510">
        <f t="shared" ref="G41:I41" si="2">SUM(G29:G40)</f>
        <v>886978.99523809517</v>
      </c>
      <c r="H41" s="29">
        <f t="shared" si="2"/>
        <v>271691.59809523809</v>
      </c>
      <c r="I41" s="29">
        <f t="shared" si="2"/>
        <v>3922429.0920314253</v>
      </c>
      <c r="J41" s="30"/>
    </row>
    <row r="42" spans="2:10" ht="20.100000000000001" customHeight="1" thickBot="1" x14ac:dyDescent="0.2">
      <c r="B42" s="996" t="s">
        <v>212</v>
      </c>
      <c r="C42" s="997"/>
      <c r="D42" s="997"/>
      <c r="E42" s="997"/>
      <c r="F42" s="31">
        <f>F28-F41</f>
        <v>581055.94034760632</v>
      </c>
      <c r="G42" s="266">
        <f t="shared" ref="G42:I42" si="3">G28-G41</f>
        <v>-38122.294744725921</v>
      </c>
      <c r="H42" s="266">
        <f t="shared" si="3"/>
        <v>-984951.20746017981</v>
      </c>
      <c r="I42" s="266">
        <f t="shared" si="3"/>
        <v>1604129.4425525102</v>
      </c>
      <c r="J42" s="32"/>
    </row>
    <row r="43" spans="2:10" ht="20.100000000000001" customHeight="1" x14ac:dyDescent="0.15">
      <c r="B43" s="998" t="s">
        <v>95</v>
      </c>
      <c r="C43" s="1001" t="s">
        <v>213</v>
      </c>
      <c r="D43" s="33" t="s">
        <v>123</v>
      </c>
      <c r="E43" s="34"/>
      <c r="F43" s="511">
        <f>SUM(G43:I43)</f>
        <v>5252500</v>
      </c>
      <c r="G43" s="265">
        <f>'７－１　水稲部門（倒伏しやすい品種）収支'!F40*('１　対象経営の概要，２　前提条件'!$AB$26+'１　対象経営の概要，２　前提条件'!$AM$26+'１　対象経営の概要，２　前提条件'!$AB$28)+'７－２　水稲部門（倒伏しにくい品種）収支 '!F40*('１　対象経営の概要，２　前提条件'!$AB$27+'１　対象経営の概要，２　前提条件'!$AM$27)-7500</f>
        <v>1492500</v>
      </c>
      <c r="H43" s="15">
        <f>'７－３　水稲部門（加工用）収支'!F40*'１　対象経営の概要，２　前提条件'!$AM$28</f>
        <v>3760000</v>
      </c>
      <c r="I43" s="324">
        <v>0</v>
      </c>
      <c r="J43" s="16" t="s">
        <v>626</v>
      </c>
    </row>
    <row r="44" spans="2:10" ht="20.100000000000001" customHeight="1" x14ac:dyDescent="0.15">
      <c r="B44" s="999"/>
      <c r="C44" s="1002"/>
      <c r="D44" s="17" t="s">
        <v>122</v>
      </c>
      <c r="E44" s="18"/>
      <c r="F44" s="512">
        <f t="shared" ref="F44:F48" si="4">SUM(G44:I44)</f>
        <v>0</v>
      </c>
      <c r="G44" s="265">
        <f>'７－１　水稲部門（倒伏しやすい品種）収支'!F41*('１　対象経営の概要，２　前提条件'!$AB$26+'１　対象経営の概要，２　前提条件'!$AM$26+'１　対象経営の概要，２　前提条件'!$AB$28)+'７－２　水稲部門（倒伏しにくい品種）収支 '!F41*('１　対象経営の概要，２　前提条件'!$AB$27+'１　対象経営の概要，２　前提条件'!$AM$27)</f>
        <v>0</v>
      </c>
      <c r="H44" s="295">
        <f>'７－３　水稲部門（加工用）収支'!F41*'１　対象経営の概要，２　前提条件'!$AM$28</f>
        <v>0</v>
      </c>
      <c r="I44" s="295">
        <v>0</v>
      </c>
      <c r="J44" s="36"/>
    </row>
    <row r="45" spans="2:10" ht="20.100000000000001" customHeight="1" x14ac:dyDescent="0.15">
      <c r="B45" s="999"/>
      <c r="C45" s="1003"/>
      <c r="D45" s="37" t="s">
        <v>69</v>
      </c>
      <c r="E45" s="18"/>
      <c r="F45" s="35">
        <f t="shared" si="4"/>
        <v>0</v>
      </c>
      <c r="G45" s="265">
        <f>'７－１　水稲部門（倒伏しやすい品種）収支'!F42*('１　対象経営の概要，２　前提条件'!$AB$26+'１　対象経営の概要，２　前提条件'!$AM$26+'１　対象経営の概要，２　前提条件'!$AB$28)+'７－２　水稲部門（倒伏しにくい品種）収支 '!F42*('１　対象経営の概要，２　前提条件'!$AB$27+'１　対象経営の概要，２　前提条件'!$AM$27)</f>
        <v>0</v>
      </c>
      <c r="H45" s="295">
        <f>'７－３　水稲部門（加工用）収支'!F42*'１　対象経営の概要，２　前提条件'!$AM$28</f>
        <v>0</v>
      </c>
      <c r="I45" s="295">
        <v>0</v>
      </c>
      <c r="J45" s="20"/>
    </row>
    <row r="46" spans="2:10" ht="20.100000000000001" customHeight="1" x14ac:dyDescent="0.15">
      <c r="B46" s="999"/>
      <c r="C46" s="1003" t="s">
        <v>214</v>
      </c>
      <c r="D46" s="37" t="s">
        <v>272</v>
      </c>
      <c r="E46" s="38"/>
      <c r="F46" s="35">
        <f t="shared" si="4"/>
        <v>0</v>
      </c>
      <c r="G46" s="265">
        <f>'７－１　水稲部門（倒伏しやすい品種）収支'!F43*('１　対象経営の概要，２　前提条件'!$AB$26+'１　対象経営の概要，２　前提条件'!$AM$26+'１　対象経営の概要，２　前提条件'!$AB$28)+'７－２　水稲部門（倒伏しにくい品種）収支 '!F43*('１　対象経営の概要，２　前提条件'!$AB$27+'１　対象経営の概要，２　前提条件'!$AM$27)</f>
        <v>0</v>
      </c>
      <c r="H46" s="295">
        <f>'７－３　水稲部門（加工用）収支'!F43*'１　対象経営の概要，２　前提条件'!$AM$28</f>
        <v>0</v>
      </c>
      <c r="I46" s="295">
        <v>0</v>
      </c>
      <c r="J46" s="36"/>
    </row>
    <row r="47" spans="2:10" ht="20.100000000000001" customHeight="1" x14ac:dyDescent="0.15">
      <c r="B47" s="999"/>
      <c r="C47" s="1004"/>
      <c r="D47" s="39" t="s">
        <v>1</v>
      </c>
      <c r="E47" s="40"/>
      <c r="F47" s="512">
        <f t="shared" si="4"/>
        <v>0</v>
      </c>
      <c r="G47" s="265">
        <f>'７－１　水稲部門（倒伏しやすい品種）収支'!F44*('１　対象経営の概要，２　前提条件'!$AB$26+'１　対象経営の概要，２　前提条件'!$AM$26+'１　対象経営の概要，２　前提条件'!$AB$28)+'７－２　水稲部門（倒伏しにくい品種）収支 '!F44*('１　対象経営の概要，２　前提条件'!$AB$27+'１　対象経営の概要，２　前提条件'!$AM$27)</f>
        <v>0</v>
      </c>
      <c r="H47" s="295">
        <f>'７－３　水稲部門（加工用）収支'!F44*'１　対象経営の概要，２　前提条件'!$AM$28</f>
        <v>0</v>
      </c>
      <c r="I47" s="295">
        <v>0</v>
      </c>
      <c r="J47" s="41"/>
    </row>
    <row r="48" spans="2:10" ht="20.100000000000001" customHeight="1" thickBot="1" x14ac:dyDescent="0.2">
      <c r="B48" s="1000"/>
      <c r="C48" s="1005" t="s">
        <v>215</v>
      </c>
      <c r="D48" s="1006"/>
      <c r="E48" s="1007"/>
      <c r="F48" s="516">
        <f t="shared" si="4"/>
        <v>5252500</v>
      </c>
      <c r="G48" s="42">
        <f t="shared" ref="G48:I48" si="5">SUM(G43:G45)-SUM(G46:G47)</f>
        <v>1492500</v>
      </c>
      <c r="H48" s="42">
        <f t="shared" si="5"/>
        <v>3760000</v>
      </c>
      <c r="I48" s="42">
        <f t="shared" si="5"/>
        <v>0</v>
      </c>
      <c r="J48" s="30"/>
    </row>
    <row r="49" spans="2:10" ht="20.100000000000001" customHeight="1" x14ac:dyDescent="0.15">
      <c r="B49" s="994" t="s">
        <v>216</v>
      </c>
      <c r="C49" s="995"/>
      <c r="D49" s="995"/>
      <c r="E49" s="995"/>
      <c r="F49" s="43">
        <f>F42+F48</f>
        <v>5833555.9403476063</v>
      </c>
      <c r="G49" s="43">
        <f t="shared" ref="G49:I49" si="6">G42+G48</f>
        <v>1454377.7052552742</v>
      </c>
      <c r="H49" s="296">
        <f t="shared" si="6"/>
        <v>2775048.7925398201</v>
      </c>
      <c r="I49" s="296">
        <f t="shared" si="6"/>
        <v>1604129.4425525102</v>
      </c>
      <c r="J49" s="36"/>
    </row>
  </sheetData>
  <mergeCells count="22">
    <mergeCell ref="B2:E3"/>
    <mergeCell ref="J2:J3"/>
    <mergeCell ref="B4:B41"/>
    <mergeCell ref="C4:C6"/>
    <mergeCell ref="D6:E6"/>
    <mergeCell ref="C7:C27"/>
    <mergeCell ref="D14:D15"/>
    <mergeCell ref="D16:D18"/>
    <mergeCell ref="D19:D22"/>
    <mergeCell ref="D23:D24"/>
    <mergeCell ref="D27:E27"/>
    <mergeCell ref="C28:E28"/>
    <mergeCell ref="C29:C41"/>
    <mergeCell ref="D29:D31"/>
    <mergeCell ref="D41:E41"/>
    <mergeCell ref="D33:D34"/>
    <mergeCell ref="B49:E49"/>
    <mergeCell ref="B42:E42"/>
    <mergeCell ref="B43:B48"/>
    <mergeCell ref="C43:C45"/>
    <mergeCell ref="C46:C47"/>
    <mergeCell ref="C48:E48"/>
  </mergeCells>
  <phoneticPr fontId="4"/>
  <pageMargins left="0.78740157480314965" right="0.78740157480314965" top="0.78740157480314965" bottom="0.78740157480314965" header="0.39370078740157483" footer="0.39370078740157483"/>
  <pageSetup paperSize="9" scale="5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J34"/>
  <sheetViews>
    <sheetView zoomScale="75" zoomScaleNormal="75" workbookViewId="0">
      <pane xSplit="2" ySplit="7" topLeftCell="C8" activePane="bottomRight" state="frozen"/>
      <selection pane="topRight"/>
      <selection pane="bottomLeft"/>
      <selection pane="bottomRight"/>
    </sheetView>
  </sheetViews>
  <sheetFormatPr defaultColWidth="9" defaultRowHeight="13.5" x14ac:dyDescent="0.15"/>
  <cols>
    <col min="1" max="1" width="1.625" style="45" customWidth="1"/>
    <col min="2" max="2" width="22.625" style="45" customWidth="1"/>
    <col min="3" max="38" width="6.125" style="45" customWidth="1"/>
    <col min="39" max="39" width="7" style="45" customWidth="1"/>
    <col min="40" max="40" width="1.5" style="45" customWidth="1"/>
    <col min="41" max="16384" width="9" style="45"/>
  </cols>
  <sheetData>
    <row r="1" spans="2:62" ht="9.9499999999999993" customHeight="1" x14ac:dyDescent="0.15"/>
    <row r="2" spans="2:62" ht="24.95" customHeight="1" thickBot="1" x14ac:dyDescent="0.2">
      <c r="B2" s="5" t="s">
        <v>129</v>
      </c>
      <c r="C2" s="5"/>
      <c r="D2" s="5"/>
      <c r="E2" s="5"/>
      <c r="F2" s="5"/>
      <c r="G2" s="5"/>
      <c r="H2" s="5"/>
      <c r="I2" s="5"/>
      <c r="J2" s="5"/>
      <c r="K2" s="270" t="s">
        <v>261</v>
      </c>
      <c r="L2" s="1037" t="s">
        <v>381</v>
      </c>
      <c r="M2" s="1037"/>
      <c r="N2" s="270" t="s">
        <v>262</v>
      </c>
      <c r="O2" s="90" t="s">
        <v>263</v>
      </c>
      <c r="P2" s="5"/>
      <c r="Q2" s="5"/>
      <c r="R2" s="5"/>
      <c r="S2" s="5"/>
      <c r="T2" s="5"/>
      <c r="U2" s="5"/>
      <c r="V2" s="47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2:62" ht="20.100000000000001" customHeight="1" x14ac:dyDescent="0.15">
      <c r="B3" s="1046" t="s">
        <v>125</v>
      </c>
      <c r="C3" s="1038">
        <v>1</v>
      </c>
      <c r="D3" s="1039"/>
      <c r="E3" s="1040"/>
      <c r="F3" s="1038">
        <v>2</v>
      </c>
      <c r="G3" s="1039"/>
      <c r="H3" s="1040"/>
      <c r="I3" s="1038">
        <v>3</v>
      </c>
      <c r="J3" s="1039"/>
      <c r="K3" s="1040"/>
      <c r="L3" s="1038">
        <v>4</v>
      </c>
      <c r="M3" s="1039"/>
      <c r="N3" s="1040"/>
      <c r="O3" s="1038">
        <v>5</v>
      </c>
      <c r="P3" s="1039"/>
      <c r="Q3" s="1040"/>
      <c r="R3" s="1038">
        <v>6</v>
      </c>
      <c r="S3" s="1039"/>
      <c r="T3" s="1040"/>
      <c r="U3" s="1038">
        <v>7</v>
      </c>
      <c r="V3" s="1039"/>
      <c r="W3" s="1040"/>
      <c r="X3" s="1038">
        <v>8</v>
      </c>
      <c r="Y3" s="1039"/>
      <c r="Z3" s="1040"/>
      <c r="AA3" s="1038">
        <v>9</v>
      </c>
      <c r="AB3" s="1039"/>
      <c r="AC3" s="1040"/>
      <c r="AD3" s="1038">
        <v>10</v>
      </c>
      <c r="AE3" s="1039"/>
      <c r="AF3" s="1040"/>
      <c r="AG3" s="1038">
        <v>11</v>
      </c>
      <c r="AH3" s="1039"/>
      <c r="AI3" s="1040"/>
      <c r="AJ3" s="1038">
        <v>12</v>
      </c>
      <c r="AK3" s="1039"/>
      <c r="AL3" s="1040"/>
      <c r="AM3" s="1041" t="s">
        <v>33</v>
      </c>
      <c r="AO3" s="648" t="s">
        <v>330</v>
      </c>
      <c r="AP3" s="648" t="s">
        <v>331</v>
      </c>
      <c r="AQ3" s="648" t="s">
        <v>332</v>
      </c>
    </row>
    <row r="4" spans="2:62" ht="20.100000000000001" customHeight="1" x14ac:dyDescent="0.15">
      <c r="B4" s="1045"/>
      <c r="C4" s="69" t="s">
        <v>34</v>
      </c>
      <c r="D4" s="70" t="s">
        <v>35</v>
      </c>
      <c r="E4" s="71" t="s">
        <v>36</v>
      </c>
      <c r="F4" s="69" t="s">
        <v>34</v>
      </c>
      <c r="G4" s="71" t="s">
        <v>35</v>
      </c>
      <c r="H4" s="71" t="s">
        <v>36</v>
      </c>
      <c r="I4" s="69" t="s">
        <v>34</v>
      </c>
      <c r="J4" s="71" t="s">
        <v>35</v>
      </c>
      <c r="K4" s="71" t="s">
        <v>36</v>
      </c>
      <c r="L4" s="69" t="s">
        <v>34</v>
      </c>
      <c r="M4" s="71" t="s">
        <v>35</v>
      </c>
      <c r="N4" s="71" t="s">
        <v>36</v>
      </c>
      <c r="O4" s="69" t="s">
        <v>34</v>
      </c>
      <c r="P4" s="71" t="s">
        <v>35</v>
      </c>
      <c r="Q4" s="71" t="s">
        <v>36</v>
      </c>
      <c r="R4" s="69" t="s">
        <v>34</v>
      </c>
      <c r="S4" s="72" t="s">
        <v>35</v>
      </c>
      <c r="T4" s="72" t="s">
        <v>36</v>
      </c>
      <c r="U4" s="69" t="s">
        <v>34</v>
      </c>
      <c r="V4" s="71" t="s">
        <v>35</v>
      </c>
      <c r="W4" s="71" t="s">
        <v>36</v>
      </c>
      <c r="X4" s="69" t="s">
        <v>34</v>
      </c>
      <c r="Y4" s="71" t="s">
        <v>35</v>
      </c>
      <c r="Z4" s="71" t="s">
        <v>36</v>
      </c>
      <c r="AA4" s="69" t="s">
        <v>34</v>
      </c>
      <c r="AB4" s="71" t="s">
        <v>35</v>
      </c>
      <c r="AC4" s="71" t="s">
        <v>36</v>
      </c>
      <c r="AD4" s="69" t="s">
        <v>34</v>
      </c>
      <c r="AE4" s="71" t="s">
        <v>35</v>
      </c>
      <c r="AF4" s="71" t="s">
        <v>36</v>
      </c>
      <c r="AG4" s="69" t="s">
        <v>34</v>
      </c>
      <c r="AH4" s="71" t="s">
        <v>35</v>
      </c>
      <c r="AI4" s="71" t="s">
        <v>36</v>
      </c>
      <c r="AJ4" s="69" t="s">
        <v>34</v>
      </c>
      <c r="AK4" s="71" t="s">
        <v>35</v>
      </c>
      <c r="AL4" s="71" t="s">
        <v>36</v>
      </c>
      <c r="AM4" s="1042"/>
      <c r="AO4" s="648"/>
      <c r="AP4" s="648"/>
      <c r="AQ4" s="648"/>
    </row>
    <row r="5" spans="2:62" ht="20.100000000000001" customHeight="1" x14ac:dyDescent="0.15">
      <c r="B5" s="1043" t="s">
        <v>126</v>
      </c>
      <c r="C5" s="73"/>
      <c r="D5" s="5"/>
      <c r="E5" s="5"/>
      <c r="F5" s="5"/>
      <c r="G5" s="5"/>
      <c r="H5" s="5"/>
      <c r="I5" s="5"/>
      <c r="J5" s="5"/>
      <c r="K5" s="5"/>
      <c r="L5" s="5"/>
      <c r="M5" s="5"/>
      <c r="N5" s="47"/>
      <c r="O5" s="47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74"/>
      <c r="AO5" s="648"/>
      <c r="AP5" s="648"/>
      <c r="AQ5" s="648"/>
    </row>
    <row r="6" spans="2:62" ht="20.100000000000001" customHeight="1" x14ac:dyDescent="0.15">
      <c r="B6" s="1044"/>
      <c r="C6" s="73"/>
      <c r="D6" s="5"/>
      <c r="E6" s="5"/>
      <c r="F6" s="5"/>
      <c r="G6" s="5"/>
      <c r="H6" s="5"/>
      <c r="I6" s="5"/>
      <c r="J6" s="5"/>
      <c r="K6" s="5"/>
      <c r="M6" s="5"/>
      <c r="N6" s="335"/>
      <c r="O6" s="338" t="s">
        <v>372</v>
      </c>
      <c r="P6" s="337"/>
      <c r="Q6" s="336"/>
      <c r="R6" s="5"/>
      <c r="S6" s="5"/>
      <c r="T6" s="5"/>
      <c r="U6" s="5"/>
      <c r="V6" s="5"/>
      <c r="W6" s="5"/>
      <c r="X6" s="5"/>
      <c r="Y6" s="5"/>
      <c r="Z6" s="335"/>
      <c r="AA6" s="337"/>
      <c r="AB6" s="338" t="s">
        <v>373</v>
      </c>
      <c r="AC6" s="337"/>
      <c r="AD6" s="337"/>
      <c r="AE6" s="336"/>
      <c r="AF6" s="5"/>
      <c r="AG6" s="5"/>
      <c r="AH6" s="5"/>
      <c r="AI6" s="5"/>
      <c r="AJ6" s="5"/>
      <c r="AK6" s="5"/>
      <c r="AL6" s="5"/>
      <c r="AM6" s="74"/>
      <c r="AO6" s="648"/>
      <c r="AP6" s="648"/>
      <c r="AQ6" s="648"/>
    </row>
    <row r="7" spans="2:62" ht="20.100000000000001" customHeight="1" x14ac:dyDescent="0.15">
      <c r="B7" s="1045"/>
      <c r="C7" s="75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7"/>
      <c r="AO7" s="648"/>
      <c r="AP7" s="648"/>
      <c r="AQ7" s="648"/>
    </row>
    <row r="8" spans="2:62" ht="20.100000000000001" customHeight="1" x14ac:dyDescent="0.15">
      <c r="B8" s="78" t="s">
        <v>300</v>
      </c>
      <c r="C8" s="79"/>
      <c r="D8" s="80"/>
      <c r="E8" s="80"/>
      <c r="F8" s="79"/>
      <c r="G8" s="80"/>
      <c r="H8" s="80"/>
      <c r="I8" s="79"/>
      <c r="J8" s="80">
        <v>0.5</v>
      </c>
      <c r="K8" s="80">
        <v>0.6</v>
      </c>
      <c r="L8" s="79">
        <v>0.6</v>
      </c>
      <c r="M8" s="80">
        <v>0.6</v>
      </c>
      <c r="N8" s="80">
        <v>0.6</v>
      </c>
      <c r="O8" s="79">
        <v>0.3</v>
      </c>
      <c r="P8" s="80"/>
      <c r="Q8" s="80"/>
      <c r="R8" s="79"/>
      <c r="S8" s="80"/>
      <c r="T8" s="80"/>
      <c r="U8" s="79"/>
      <c r="V8" s="80"/>
      <c r="W8" s="80"/>
      <c r="X8" s="79"/>
      <c r="Y8" s="80"/>
      <c r="Z8" s="80"/>
      <c r="AA8" s="79"/>
      <c r="AB8" s="80"/>
      <c r="AC8" s="80"/>
      <c r="AD8" s="79"/>
      <c r="AE8" s="80"/>
      <c r="AF8" s="80"/>
      <c r="AG8" s="79"/>
      <c r="AH8" s="80"/>
      <c r="AI8" s="80"/>
      <c r="AJ8" s="79"/>
      <c r="AK8" s="80"/>
      <c r="AL8" s="80"/>
      <c r="AM8" s="81">
        <f>SUM(C8:AL8)</f>
        <v>3.2</v>
      </c>
      <c r="AO8" s="649"/>
      <c r="AP8" s="649">
        <v>3.2</v>
      </c>
      <c r="AQ8" s="649">
        <f>SUM(AO8:AP8)</f>
        <v>3.2</v>
      </c>
    </row>
    <row r="9" spans="2:62" ht="20.100000000000001" customHeight="1" x14ac:dyDescent="0.15">
      <c r="B9" s="78" t="s">
        <v>301</v>
      </c>
      <c r="C9" s="79"/>
      <c r="D9" s="80"/>
      <c r="E9" s="80"/>
      <c r="F9" s="79"/>
      <c r="G9" s="80"/>
      <c r="H9" s="80"/>
      <c r="I9" s="79"/>
      <c r="J9" s="80"/>
      <c r="K9" s="80">
        <v>1.2</v>
      </c>
      <c r="L9" s="79">
        <v>2.2999999999999998</v>
      </c>
      <c r="M9" s="80">
        <v>2.2999999999999998</v>
      </c>
      <c r="N9" s="80">
        <v>2.2999999999999998</v>
      </c>
      <c r="O9" s="79">
        <v>2.2999999999999998</v>
      </c>
      <c r="P9" s="80">
        <v>2.2999999999999998</v>
      </c>
      <c r="Q9" s="80">
        <v>1.2</v>
      </c>
      <c r="R9" s="79"/>
      <c r="S9" s="80"/>
      <c r="T9" s="80"/>
      <c r="U9" s="79"/>
      <c r="V9" s="80"/>
      <c r="W9" s="80"/>
      <c r="X9" s="79"/>
      <c r="Y9" s="80"/>
      <c r="Z9" s="80"/>
      <c r="AA9" s="79"/>
      <c r="AB9" s="80"/>
      <c r="AC9" s="80"/>
      <c r="AD9" s="79"/>
      <c r="AE9" s="80"/>
      <c r="AF9" s="80"/>
      <c r="AG9" s="79"/>
      <c r="AH9" s="80"/>
      <c r="AI9" s="80"/>
      <c r="AJ9" s="79"/>
      <c r="AK9" s="80"/>
      <c r="AL9" s="80"/>
      <c r="AM9" s="81">
        <f t="shared" ref="AM9:AM33" si="0">SUM(C9:AL9)</f>
        <v>13.899999999999999</v>
      </c>
      <c r="AO9" s="649"/>
      <c r="AP9" s="649">
        <f>6.4+4.3+3.3</f>
        <v>14</v>
      </c>
      <c r="AQ9" s="649">
        <f t="shared" ref="AQ9:AQ19" si="1">SUM(AO9:AP9)</f>
        <v>14</v>
      </c>
    </row>
    <row r="10" spans="2:62" ht="20.100000000000001" customHeight="1" x14ac:dyDescent="0.15">
      <c r="B10" s="78" t="s">
        <v>302</v>
      </c>
      <c r="C10" s="79"/>
      <c r="D10" s="80"/>
      <c r="E10" s="80"/>
      <c r="F10" s="79">
        <v>1.3</v>
      </c>
      <c r="G10" s="80">
        <v>1.4</v>
      </c>
      <c r="H10" s="80">
        <v>1.4</v>
      </c>
      <c r="I10" s="79">
        <v>1.4</v>
      </c>
      <c r="J10" s="80">
        <v>1.4</v>
      </c>
      <c r="K10" s="80">
        <v>1.4</v>
      </c>
      <c r="L10" s="79"/>
      <c r="M10" s="80"/>
      <c r="N10" s="80"/>
      <c r="O10" s="79"/>
      <c r="P10" s="80"/>
      <c r="Q10" s="80"/>
      <c r="R10" s="79"/>
      <c r="S10" s="80"/>
      <c r="T10" s="80"/>
      <c r="U10" s="79"/>
      <c r="V10" s="80"/>
      <c r="W10" s="80"/>
      <c r="X10" s="79"/>
      <c r="Y10" s="80"/>
      <c r="Z10" s="80"/>
      <c r="AA10" s="79"/>
      <c r="AB10" s="80"/>
      <c r="AC10" s="80"/>
      <c r="AD10" s="79"/>
      <c r="AE10" s="80"/>
      <c r="AF10" s="80"/>
      <c r="AG10" s="79"/>
      <c r="AH10" s="80">
        <v>3.2</v>
      </c>
      <c r="AI10" s="80">
        <v>3.2</v>
      </c>
      <c r="AJ10" s="79"/>
      <c r="AK10" s="80"/>
      <c r="AL10" s="80"/>
      <c r="AM10" s="81">
        <f t="shared" si="0"/>
        <v>14.7</v>
      </c>
      <c r="AO10" s="649">
        <f>8.2+6.5</f>
        <v>14.7</v>
      </c>
      <c r="AP10" s="649"/>
      <c r="AQ10" s="649">
        <f t="shared" si="1"/>
        <v>14.7</v>
      </c>
    </row>
    <row r="11" spans="2:62" ht="20.100000000000001" customHeight="1" x14ac:dyDescent="0.15">
      <c r="B11" s="78" t="s">
        <v>293</v>
      </c>
      <c r="C11" s="79"/>
      <c r="D11" s="80"/>
      <c r="E11" s="80"/>
      <c r="F11" s="79"/>
      <c r="G11" s="80"/>
      <c r="H11" s="80"/>
      <c r="I11" s="79"/>
      <c r="J11" s="80"/>
      <c r="K11" s="80"/>
      <c r="L11" s="79">
        <v>0.4</v>
      </c>
      <c r="M11" s="80">
        <v>1</v>
      </c>
      <c r="N11" s="80">
        <v>1</v>
      </c>
      <c r="O11" s="79">
        <v>1</v>
      </c>
      <c r="P11" s="80">
        <v>1</v>
      </c>
      <c r="Q11" s="80">
        <v>0.6</v>
      </c>
      <c r="R11" s="79"/>
      <c r="S11" s="80"/>
      <c r="T11" s="80"/>
      <c r="U11" s="79"/>
      <c r="V11" s="80"/>
      <c r="W11" s="80"/>
      <c r="X11" s="79"/>
      <c r="Y11" s="647"/>
      <c r="Z11" s="80"/>
      <c r="AA11" s="79"/>
      <c r="AB11" s="80"/>
      <c r="AC11" s="80"/>
      <c r="AD11" s="79"/>
      <c r="AE11" s="80"/>
      <c r="AF11" s="80"/>
      <c r="AG11" s="79"/>
      <c r="AH11" s="80"/>
      <c r="AI11" s="80"/>
      <c r="AJ11" s="79"/>
      <c r="AK11" s="80"/>
      <c r="AL11" s="80"/>
      <c r="AM11" s="81">
        <f t="shared" si="0"/>
        <v>5</v>
      </c>
      <c r="AO11" s="649">
        <v>5</v>
      </c>
      <c r="AP11" s="649"/>
      <c r="AQ11" s="649">
        <f t="shared" si="1"/>
        <v>5</v>
      </c>
    </row>
    <row r="12" spans="2:62" ht="20.100000000000001" customHeight="1" x14ac:dyDescent="0.15">
      <c r="B12" s="78" t="s">
        <v>303</v>
      </c>
      <c r="C12" s="79"/>
      <c r="D12" s="80"/>
      <c r="E12" s="80"/>
      <c r="F12" s="79"/>
      <c r="G12" s="80"/>
      <c r="H12" s="80"/>
      <c r="I12" s="79"/>
      <c r="J12" s="80"/>
      <c r="K12" s="80"/>
      <c r="L12" s="79"/>
      <c r="M12" s="80">
        <v>1.8</v>
      </c>
      <c r="N12" s="80">
        <v>3.5</v>
      </c>
      <c r="O12" s="79">
        <v>3.5</v>
      </c>
      <c r="P12" s="80">
        <v>3.5</v>
      </c>
      <c r="Q12" s="80">
        <v>3.5</v>
      </c>
      <c r="R12" s="79">
        <v>1.8</v>
      </c>
      <c r="S12" s="80"/>
      <c r="T12" s="80"/>
      <c r="U12" s="79"/>
      <c r="V12" s="80"/>
      <c r="W12" s="80"/>
      <c r="X12" s="79"/>
      <c r="Y12" s="80"/>
      <c r="Z12" s="80"/>
      <c r="AA12" s="79"/>
      <c r="AB12" s="80"/>
      <c r="AC12" s="80"/>
      <c r="AD12" s="79"/>
      <c r="AE12" s="80"/>
      <c r="AF12" s="80"/>
      <c r="AG12" s="79"/>
      <c r="AH12" s="80"/>
      <c r="AI12" s="80"/>
      <c r="AJ12" s="79"/>
      <c r="AK12" s="80"/>
      <c r="AL12" s="80"/>
      <c r="AM12" s="81">
        <f t="shared" si="0"/>
        <v>17.600000000000001</v>
      </c>
      <c r="AO12" s="649">
        <v>4.4000000000000004</v>
      </c>
      <c r="AP12" s="649">
        <f>4.4+8.8</f>
        <v>13.200000000000001</v>
      </c>
      <c r="AQ12" s="649">
        <f t="shared" si="1"/>
        <v>17.600000000000001</v>
      </c>
    </row>
    <row r="13" spans="2:62" ht="20.100000000000001" customHeight="1" x14ac:dyDescent="0.15">
      <c r="B13" s="78" t="s">
        <v>304</v>
      </c>
      <c r="C13" s="79"/>
      <c r="D13" s="80"/>
      <c r="E13" s="80"/>
      <c r="F13" s="79"/>
      <c r="G13" s="80"/>
      <c r="H13" s="80"/>
      <c r="I13" s="79"/>
      <c r="J13" s="80"/>
      <c r="K13" s="80"/>
      <c r="L13" s="79"/>
      <c r="M13" s="80"/>
      <c r="N13" s="80"/>
      <c r="O13" s="79"/>
      <c r="P13" s="80"/>
      <c r="Q13" s="80"/>
      <c r="R13" s="79"/>
      <c r="S13" s="80"/>
      <c r="T13" s="80"/>
      <c r="U13" s="79"/>
      <c r="V13" s="80"/>
      <c r="W13" s="80"/>
      <c r="X13" s="79"/>
      <c r="Y13" s="80"/>
      <c r="Z13" s="80"/>
      <c r="AA13" s="79"/>
      <c r="AB13" s="80"/>
      <c r="AC13" s="80"/>
      <c r="AD13" s="79"/>
      <c r="AE13" s="80"/>
      <c r="AF13" s="80"/>
      <c r="AG13" s="79"/>
      <c r="AH13" s="80"/>
      <c r="AI13" s="80"/>
      <c r="AJ13" s="79"/>
      <c r="AK13" s="80"/>
      <c r="AL13" s="80"/>
      <c r="AM13" s="81">
        <f t="shared" si="0"/>
        <v>0</v>
      </c>
      <c r="AO13" s="649"/>
      <c r="AP13" s="649"/>
      <c r="AQ13" s="649">
        <f t="shared" si="1"/>
        <v>0</v>
      </c>
    </row>
    <row r="14" spans="2:62" ht="20.100000000000001" customHeight="1" x14ac:dyDescent="0.15">
      <c r="B14" s="78" t="s">
        <v>305</v>
      </c>
      <c r="C14" s="79"/>
      <c r="D14" s="80"/>
      <c r="E14" s="80"/>
      <c r="F14" s="79"/>
      <c r="G14" s="80"/>
      <c r="H14" s="80"/>
      <c r="I14" s="79"/>
      <c r="J14" s="80"/>
      <c r="K14" s="80"/>
      <c r="L14" s="79"/>
      <c r="M14" s="80"/>
      <c r="N14" s="80"/>
      <c r="O14" s="79"/>
      <c r="P14" s="80"/>
      <c r="Q14" s="80"/>
      <c r="R14" s="79"/>
      <c r="S14" s="80"/>
      <c r="T14" s="80"/>
      <c r="U14" s="79"/>
      <c r="V14" s="80"/>
      <c r="W14" s="80"/>
      <c r="X14" s="79"/>
      <c r="Y14" s="80"/>
      <c r="Z14" s="80"/>
      <c r="AA14" s="79"/>
      <c r="AB14" s="80"/>
      <c r="AC14" s="80"/>
      <c r="AD14" s="79"/>
      <c r="AE14" s="80"/>
      <c r="AF14" s="80"/>
      <c r="AG14" s="79"/>
      <c r="AH14" s="80"/>
      <c r="AI14" s="80"/>
      <c r="AJ14" s="79"/>
      <c r="AK14" s="80"/>
      <c r="AL14" s="80"/>
      <c r="AM14" s="81">
        <f t="shared" si="0"/>
        <v>0</v>
      </c>
      <c r="AO14" s="649"/>
      <c r="AP14" s="649"/>
      <c r="AQ14" s="649">
        <f t="shared" si="1"/>
        <v>0</v>
      </c>
    </row>
    <row r="15" spans="2:62" ht="20.100000000000001" customHeight="1" x14ac:dyDescent="0.15">
      <c r="B15" s="78" t="s">
        <v>306</v>
      </c>
      <c r="C15" s="79"/>
      <c r="D15" s="80"/>
      <c r="E15" s="80"/>
      <c r="F15" s="79"/>
      <c r="G15" s="80"/>
      <c r="H15" s="80"/>
      <c r="I15" s="79"/>
      <c r="J15" s="80"/>
      <c r="K15" s="80"/>
      <c r="L15" s="79"/>
      <c r="M15" s="80"/>
      <c r="N15" s="80"/>
      <c r="O15" s="79"/>
      <c r="P15" s="80"/>
      <c r="Q15" s="80"/>
      <c r="R15" s="79"/>
      <c r="S15" s="80"/>
      <c r="T15" s="80"/>
      <c r="U15" s="79"/>
      <c r="V15" s="80">
        <v>1.3</v>
      </c>
      <c r="W15" s="80">
        <v>1.37</v>
      </c>
      <c r="X15" s="79">
        <v>1.37</v>
      </c>
      <c r="Y15" s="80">
        <v>1.37</v>
      </c>
      <c r="Z15" s="80">
        <v>1.37</v>
      </c>
      <c r="AA15" s="79"/>
      <c r="AB15" s="80"/>
      <c r="AC15" s="80"/>
      <c r="AD15" s="79"/>
      <c r="AE15" s="80"/>
      <c r="AF15" s="80"/>
      <c r="AG15" s="79"/>
      <c r="AH15" s="80"/>
      <c r="AI15" s="80"/>
      <c r="AJ15" s="79"/>
      <c r="AK15" s="80"/>
      <c r="AL15" s="80"/>
      <c r="AM15" s="81">
        <f t="shared" si="0"/>
        <v>6.78</v>
      </c>
      <c r="AO15" s="649">
        <v>1.7</v>
      </c>
      <c r="AP15" s="649">
        <v>5.0999999999999996</v>
      </c>
      <c r="AQ15" s="649">
        <f t="shared" si="1"/>
        <v>6.8</v>
      </c>
    </row>
    <row r="16" spans="2:62" ht="20.100000000000001" customHeight="1" x14ac:dyDescent="0.15">
      <c r="B16" s="78" t="s">
        <v>307</v>
      </c>
      <c r="C16" s="79"/>
      <c r="D16" s="80"/>
      <c r="E16" s="80"/>
      <c r="F16" s="79"/>
      <c r="G16" s="80"/>
      <c r="H16" s="80"/>
      <c r="I16" s="79"/>
      <c r="J16" s="80"/>
      <c r="K16" s="80"/>
      <c r="L16" s="79"/>
      <c r="M16" s="80"/>
      <c r="N16" s="80"/>
      <c r="O16" s="79"/>
      <c r="P16" s="80"/>
      <c r="Q16" s="80"/>
      <c r="R16" s="79"/>
      <c r="S16" s="80"/>
      <c r="T16" s="80"/>
      <c r="U16" s="79"/>
      <c r="V16" s="80"/>
      <c r="W16" s="80"/>
      <c r="X16" s="79"/>
      <c r="Y16" s="80"/>
      <c r="Z16" s="80">
        <v>3.2</v>
      </c>
      <c r="AA16" s="79">
        <v>3.5</v>
      </c>
      <c r="AB16" s="80">
        <v>3.5</v>
      </c>
      <c r="AC16" s="80">
        <v>3.5</v>
      </c>
      <c r="AD16" s="79">
        <v>3.5</v>
      </c>
      <c r="AE16" s="80">
        <v>3.5</v>
      </c>
      <c r="AF16" s="80"/>
      <c r="AG16" s="79"/>
      <c r="AH16" s="80"/>
      <c r="AI16" s="80"/>
      <c r="AJ16" s="79"/>
      <c r="AK16" s="80"/>
      <c r="AL16" s="80"/>
      <c r="AM16" s="81">
        <f t="shared" si="0"/>
        <v>20.7</v>
      </c>
      <c r="AO16" s="649">
        <v>6.9</v>
      </c>
      <c r="AP16" s="649">
        <v>13.8</v>
      </c>
      <c r="AQ16" s="649">
        <f t="shared" si="1"/>
        <v>20.700000000000003</v>
      </c>
    </row>
    <row r="17" spans="2:43" ht="20.100000000000001" customHeight="1" x14ac:dyDescent="0.15">
      <c r="B17" s="78" t="s">
        <v>308</v>
      </c>
      <c r="C17" s="79"/>
      <c r="D17" s="80"/>
      <c r="E17" s="80"/>
      <c r="F17" s="79"/>
      <c r="G17" s="80"/>
      <c r="H17" s="80"/>
      <c r="I17" s="79"/>
      <c r="J17" s="80"/>
      <c r="K17" s="80"/>
      <c r="L17" s="79"/>
      <c r="M17" s="80"/>
      <c r="N17" s="80"/>
      <c r="O17" s="79"/>
      <c r="P17" s="80"/>
      <c r="Q17" s="80"/>
      <c r="R17" s="79"/>
      <c r="S17" s="80"/>
      <c r="T17" s="80"/>
      <c r="U17" s="79"/>
      <c r="V17" s="80"/>
      <c r="W17" s="80"/>
      <c r="X17" s="79"/>
      <c r="Y17" s="80"/>
      <c r="Z17" s="80">
        <v>1.5</v>
      </c>
      <c r="AA17" s="79">
        <v>1.6</v>
      </c>
      <c r="AB17" s="80">
        <v>1.6</v>
      </c>
      <c r="AC17" s="80">
        <v>1.6</v>
      </c>
      <c r="AD17" s="79">
        <v>1.6</v>
      </c>
      <c r="AE17" s="80">
        <v>1.6</v>
      </c>
      <c r="AF17" s="80"/>
      <c r="AG17" s="79"/>
      <c r="AH17" s="80"/>
      <c r="AI17" s="80"/>
      <c r="AJ17" s="79"/>
      <c r="AK17" s="80"/>
      <c r="AL17" s="80"/>
      <c r="AM17" s="81">
        <f>SUM(C17:AL17)</f>
        <v>9.5</v>
      </c>
      <c r="AO17" s="649"/>
      <c r="AP17" s="649">
        <v>9.5</v>
      </c>
      <c r="AQ17" s="649">
        <f t="shared" si="1"/>
        <v>9.5</v>
      </c>
    </row>
    <row r="18" spans="2:43" ht="20.100000000000001" customHeight="1" x14ac:dyDescent="0.15">
      <c r="B18" s="78" t="s">
        <v>309</v>
      </c>
      <c r="C18" s="79"/>
      <c r="D18" s="80"/>
      <c r="E18" s="80"/>
      <c r="F18" s="79"/>
      <c r="G18" s="80"/>
      <c r="H18" s="80"/>
      <c r="I18" s="79"/>
      <c r="J18" s="80"/>
      <c r="K18" s="80"/>
      <c r="L18" s="79"/>
      <c r="M18" s="80"/>
      <c r="N18" s="80"/>
      <c r="O18" s="79"/>
      <c r="P18" s="80"/>
      <c r="Q18" s="80"/>
      <c r="R18" s="79"/>
      <c r="S18" s="80"/>
      <c r="T18" s="80"/>
      <c r="U18" s="79"/>
      <c r="V18" s="80"/>
      <c r="W18" s="80"/>
      <c r="X18" s="79"/>
      <c r="Y18" s="80"/>
      <c r="Z18" s="80"/>
      <c r="AA18" s="79"/>
      <c r="AB18" s="80"/>
      <c r="AC18" s="80"/>
      <c r="AD18" s="79"/>
      <c r="AE18" s="80"/>
      <c r="AF18" s="80">
        <v>1.2</v>
      </c>
      <c r="AG18" s="79">
        <v>1.2</v>
      </c>
      <c r="AH18" s="80"/>
      <c r="AI18" s="80"/>
      <c r="AJ18" s="79"/>
      <c r="AK18" s="80"/>
      <c r="AL18" s="80"/>
      <c r="AM18" s="81">
        <f t="shared" si="0"/>
        <v>2.4</v>
      </c>
      <c r="AO18" s="649">
        <v>1.2</v>
      </c>
      <c r="AP18" s="649">
        <v>1.2</v>
      </c>
      <c r="AQ18" s="649">
        <f t="shared" si="1"/>
        <v>2.4</v>
      </c>
    </row>
    <row r="19" spans="2:43" ht="20.100000000000001" customHeight="1" x14ac:dyDescent="0.15">
      <c r="B19" s="78" t="s">
        <v>176</v>
      </c>
      <c r="C19" s="79"/>
      <c r="D19" s="80"/>
      <c r="E19" s="80"/>
      <c r="F19" s="79">
        <v>2</v>
      </c>
      <c r="G19" s="80"/>
      <c r="H19" s="80"/>
      <c r="I19" s="79"/>
      <c r="J19" s="80"/>
      <c r="K19" s="80"/>
      <c r="L19" s="79"/>
      <c r="M19" s="80"/>
      <c r="N19" s="80"/>
      <c r="O19" s="79"/>
      <c r="P19" s="80"/>
      <c r="Q19" s="80"/>
      <c r="R19" s="79"/>
      <c r="S19" s="80"/>
      <c r="T19" s="80"/>
      <c r="U19" s="79"/>
      <c r="V19" s="80"/>
      <c r="W19" s="80"/>
      <c r="X19" s="79"/>
      <c r="Y19" s="80"/>
      <c r="Z19" s="80"/>
      <c r="AA19" s="79"/>
      <c r="AB19" s="80"/>
      <c r="AC19" s="80"/>
      <c r="AD19" s="79"/>
      <c r="AE19" s="80"/>
      <c r="AF19" s="80"/>
      <c r="AG19" s="79"/>
      <c r="AH19" s="80"/>
      <c r="AI19" s="80"/>
      <c r="AJ19" s="79"/>
      <c r="AK19" s="80"/>
      <c r="AL19" s="80"/>
      <c r="AM19" s="81">
        <f t="shared" si="0"/>
        <v>2</v>
      </c>
      <c r="AO19" s="649"/>
      <c r="AP19" s="649">
        <v>2</v>
      </c>
      <c r="AQ19" s="649">
        <f t="shared" si="1"/>
        <v>2</v>
      </c>
    </row>
    <row r="20" spans="2:43" ht="20.100000000000001" customHeight="1" x14ac:dyDescent="0.15">
      <c r="B20" s="78"/>
      <c r="C20" s="79"/>
      <c r="D20" s="80"/>
      <c r="E20" s="80"/>
      <c r="F20" s="79"/>
      <c r="G20" s="80"/>
      <c r="H20" s="80"/>
      <c r="I20" s="79"/>
      <c r="J20" s="80"/>
      <c r="K20" s="80"/>
      <c r="L20" s="79"/>
      <c r="M20" s="80"/>
      <c r="N20" s="80"/>
      <c r="O20" s="79"/>
      <c r="P20" s="80"/>
      <c r="Q20" s="80"/>
      <c r="R20" s="79"/>
      <c r="S20" s="80"/>
      <c r="T20" s="80"/>
      <c r="U20" s="79"/>
      <c r="V20" s="80"/>
      <c r="W20" s="80"/>
      <c r="X20" s="79"/>
      <c r="Y20" s="80"/>
      <c r="Z20" s="80"/>
      <c r="AA20" s="79"/>
      <c r="AB20" s="80"/>
      <c r="AC20" s="80"/>
      <c r="AD20" s="79"/>
      <c r="AE20" s="80"/>
      <c r="AF20" s="80"/>
      <c r="AG20" s="79"/>
      <c r="AH20" s="80"/>
      <c r="AI20" s="80"/>
      <c r="AJ20" s="79"/>
      <c r="AK20" s="80"/>
      <c r="AL20" s="80"/>
      <c r="AM20" s="81">
        <f t="shared" si="0"/>
        <v>0</v>
      </c>
      <c r="AO20" s="649"/>
      <c r="AP20" s="649"/>
      <c r="AQ20" s="649">
        <f t="shared" ref="AQ20:AQ33" si="2">SUM(AO20:AP20)</f>
        <v>0</v>
      </c>
    </row>
    <row r="21" spans="2:43" ht="20.100000000000001" customHeight="1" x14ac:dyDescent="0.15">
      <c r="B21" s="78"/>
      <c r="C21" s="79"/>
      <c r="D21" s="80"/>
      <c r="E21" s="80"/>
      <c r="F21" s="79"/>
      <c r="G21" s="80"/>
      <c r="H21" s="80"/>
      <c r="I21" s="79"/>
      <c r="J21" s="80"/>
      <c r="K21" s="80"/>
      <c r="L21" s="79"/>
      <c r="M21" s="80"/>
      <c r="N21" s="80"/>
      <c r="O21" s="79"/>
      <c r="P21" s="80"/>
      <c r="Q21" s="80"/>
      <c r="R21" s="79"/>
      <c r="S21" s="80"/>
      <c r="T21" s="80"/>
      <c r="U21" s="79"/>
      <c r="V21" s="80"/>
      <c r="W21" s="80"/>
      <c r="X21" s="79"/>
      <c r="Y21" s="80"/>
      <c r="Z21" s="80"/>
      <c r="AA21" s="79"/>
      <c r="AB21" s="80"/>
      <c r="AC21" s="80"/>
      <c r="AD21" s="79"/>
      <c r="AE21" s="80"/>
      <c r="AF21" s="80"/>
      <c r="AG21" s="79"/>
      <c r="AH21" s="80"/>
      <c r="AI21" s="80"/>
      <c r="AJ21" s="79"/>
      <c r="AK21" s="80"/>
      <c r="AL21" s="80"/>
      <c r="AM21" s="81">
        <f t="shared" si="0"/>
        <v>0</v>
      </c>
      <c r="AO21" s="649"/>
      <c r="AP21" s="649"/>
      <c r="AQ21" s="649">
        <f t="shared" si="2"/>
        <v>0</v>
      </c>
    </row>
    <row r="22" spans="2:43" ht="20.100000000000001" customHeight="1" x14ac:dyDescent="0.15">
      <c r="B22" s="78"/>
      <c r="C22" s="79"/>
      <c r="D22" s="80"/>
      <c r="E22" s="80"/>
      <c r="F22" s="79"/>
      <c r="G22" s="80"/>
      <c r="H22" s="80"/>
      <c r="I22" s="79"/>
      <c r="J22" s="80"/>
      <c r="K22" s="80"/>
      <c r="L22" s="79"/>
      <c r="M22" s="80"/>
      <c r="N22" s="80"/>
      <c r="O22" s="79"/>
      <c r="P22" s="80"/>
      <c r="Q22" s="80"/>
      <c r="R22" s="79"/>
      <c r="S22" s="80"/>
      <c r="T22" s="80"/>
      <c r="U22" s="79"/>
      <c r="V22" s="80"/>
      <c r="W22" s="80"/>
      <c r="X22" s="79"/>
      <c r="Y22" s="80"/>
      <c r="Z22" s="80"/>
      <c r="AA22" s="79"/>
      <c r="AB22" s="80"/>
      <c r="AC22" s="80"/>
      <c r="AD22" s="79"/>
      <c r="AE22" s="80"/>
      <c r="AF22" s="80"/>
      <c r="AG22" s="79"/>
      <c r="AH22" s="80"/>
      <c r="AI22" s="80"/>
      <c r="AJ22" s="79"/>
      <c r="AK22" s="80"/>
      <c r="AL22" s="80"/>
      <c r="AM22" s="81">
        <f t="shared" si="0"/>
        <v>0</v>
      </c>
      <c r="AO22" s="649"/>
      <c r="AP22" s="649"/>
      <c r="AQ22" s="649">
        <f t="shared" si="2"/>
        <v>0</v>
      </c>
    </row>
    <row r="23" spans="2:43" ht="20.100000000000001" customHeight="1" x14ac:dyDescent="0.15">
      <c r="B23" s="78"/>
      <c r="C23" s="79"/>
      <c r="D23" s="80"/>
      <c r="E23" s="80"/>
      <c r="F23" s="79"/>
      <c r="G23" s="80"/>
      <c r="H23" s="80"/>
      <c r="I23" s="79"/>
      <c r="J23" s="80"/>
      <c r="K23" s="80"/>
      <c r="L23" s="79"/>
      <c r="M23" s="80"/>
      <c r="N23" s="80"/>
      <c r="O23" s="79"/>
      <c r="P23" s="80"/>
      <c r="Q23" s="80"/>
      <c r="R23" s="79"/>
      <c r="S23" s="80"/>
      <c r="T23" s="80"/>
      <c r="U23" s="79"/>
      <c r="V23" s="80"/>
      <c r="W23" s="80"/>
      <c r="X23" s="79"/>
      <c r="Y23" s="80"/>
      <c r="Z23" s="80"/>
      <c r="AA23" s="79"/>
      <c r="AB23" s="80"/>
      <c r="AC23" s="80"/>
      <c r="AD23" s="79"/>
      <c r="AE23" s="80"/>
      <c r="AF23" s="80"/>
      <c r="AG23" s="79"/>
      <c r="AH23" s="80"/>
      <c r="AI23" s="80"/>
      <c r="AJ23" s="79"/>
      <c r="AK23" s="80"/>
      <c r="AL23" s="80"/>
      <c r="AM23" s="81">
        <f t="shared" si="0"/>
        <v>0</v>
      </c>
      <c r="AO23" s="649"/>
      <c r="AP23" s="649"/>
      <c r="AQ23" s="649">
        <f t="shared" si="2"/>
        <v>0</v>
      </c>
    </row>
    <row r="24" spans="2:43" ht="20.100000000000001" customHeight="1" x14ac:dyDescent="0.15">
      <c r="B24" s="78"/>
      <c r="C24" s="79"/>
      <c r="D24" s="80"/>
      <c r="E24" s="80"/>
      <c r="F24" s="79"/>
      <c r="G24" s="80"/>
      <c r="H24" s="80"/>
      <c r="I24" s="79"/>
      <c r="J24" s="80"/>
      <c r="K24" s="80"/>
      <c r="L24" s="79"/>
      <c r="M24" s="80"/>
      <c r="N24" s="80"/>
      <c r="O24" s="79"/>
      <c r="P24" s="80"/>
      <c r="Q24" s="80"/>
      <c r="R24" s="79"/>
      <c r="S24" s="80"/>
      <c r="T24" s="80"/>
      <c r="U24" s="79"/>
      <c r="V24" s="80"/>
      <c r="W24" s="80"/>
      <c r="X24" s="79"/>
      <c r="Y24" s="80"/>
      <c r="Z24" s="80"/>
      <c r="AA24" s="79"/>
      <c r="AB24" s="80"/>
      <c r="AC24" s="80"/>
      <c r="AD24" s="79"/>
      <c r="AE24" s="80"/>
      <c r="AF24" s="80"/>
      <c r="AG24" s="79"/>
      <c r="AH24" s="80"/>
      <c r="AI24" s="80"/>
      <c r="AJ24" s="79"/>
      <c r="AK24" s="80"/>
      <c r="AL24" s="80"/>
      <c r="AM24" s="81">
        <f t="shared" si="0"/>
        <v>0</v>
      </c>
      <c r="AO24" s="649"/>
      <c r="AP24" s="649"/>
      <c r="AQ24" s="649">
        <f t="shared" si="2"/>
        <v>0</v>
      </c>
    </row>
    <row r="25" spans="2:43" ht="20.100000000000001" customHeight="1" x14ac:dyDescent="0.15">
      <c r="B25" s="78"/>
      <c r="C25" s="79"/>
      <c r="D25" s="80"/>
      <c r="E25" s="80"/>
      <c r="F25" s="79"/>
      <c r="G25" s="80"/>
      <c r="H25" s="80"/>
      <c r="I25" s="79"/>
      <c r="J25" s="80"/>
      <c r="K25" s="80"/>
      <c r="L25" s="79"/>
      <c r="M25" s="80"/>
      <c r="N25" s="80"/>
      <c r="O25" s="79"/>
      <c r="P25" s="80"/>
      <c r="Q25" s="80"/>
      <c r="R25" s="79"/>
      <c r="S25" s="80"/>
      <c r="T25" s="80"/>
      <c r="U25" s="79"/>
      <c r="V25" s="80"/>
      <c r="W25" s="80"/>
      <c r="X25" s="79"/>
      <c r="Y25" s="80"/>
      <c r="Z25" s="80"/>
      <c r="AA25" s="79"/>
      <c r="AB25" s="80"/>
      <c r="AC25" s="80"/>
      <c r="AD25" s="79"/>
      <c r="AE25" s="80"/>
      <c r="AF25" s="80"/>
      <c r="AG25" s="79"/>
      <c r="AH25" s="80"/>
      <c r="AI25" s="80"/>
      <c r="AJ25" s="79"/>
      <c r="AK25" s="80"/>
      <c r="AL25" s="80"/>
      <c r="AM25" s="81">
        <f t="shared" si="0"/>
        <v>0</v>
      </c>
      <c r="AO25" s="649"/>
      <c r="AP25" s="649"/>
      <c r="AQ25" s="649">
        <f t="shared" si="2"/>
        <v>0</v>
      </c>
    </row>
    <row r="26" spans="2:43" ht="20.100000000000001" customHeight="1" x14ac:dyDescent="0.15">
      <c r="B26" s="78"/>
      <c r="C26" s="79"/>
      <c r="D26" s="80"/>
      <c r="E26" s="80"/>
      <c r="F26" s="79"/>
      <c r="G26" s="80"/>
      <c r="H26" s="80"/>
      <c r="I26" s="79"/>
      <c r="J26" s="80"/>
      <c r="K26" s="80"/>
      <c r="L26" s="79"/>
      <c r="M26" s="80"/>
      <c r="N26" s="80"/>
      <c r="O26" s="79"/>
      <c r="P26" s="80"/>
      <c r="Q26" s="80"/>
      <c r="R26" s="79"/>
      <c r="S26" s="80"/>
      <c r="T26" s="80"/>
      <c r="U26" s="79"/>
      <c r="V26" s="80"/>
      <c r="W26" s="80"/>
      <c r="X26" s="79"/>
      <c r="Y26" s="80"/>
      <c r="Z26" s="80"/>
      <c r="AA26" s="79"/>
      <c r="AB26" s="80"/>
      <c r="AC26" s="80"/>
      <c r="AD26" s="79"/>
      <c r="AE26" s="80"/>
      <c r="AF26" s="80"/>
      <c r="AG26" s="79"/>
      <c r="AH26" s="80"/>
      <c r="AI26" s="80"/>
      <c r="AJ26" s="79"/>
      <c r="AK26" s="80"/>
      <c r="AL26" s="80"/>
      <c r="AM26" s="81">
        <f t="shared" si="0"/>
        <v>0</v>
      </c>
      <c r="AO26" s="649"/>
      <c r="AP26" s="649"/>
      <c r="AQ26" s="649">
        <f t="shared" si="2"/>
        <v>0</v>
      </c>
    </row>
    <row r="27" spans="2:43" ht="20.100000000000001" customHeight="1" x14ac:dyDescent="0.15">
      <c r="B27" s="78"/>
      <c r="C27" s="79"/>
      <c r="D27" s="80"/>
      <c r="E27" s="80"/>
      <c r="F27" s="79"/>
      <c r="G27" s="80"/>
      <c r="H27" s="80"/>
      <c r="I27" s="79"/>
      <c r="J27" s="80"/>
      <c r="K27" s="80"/>
      <c r="L27" s="79"/>
      <c r="M27" s="80"/>
      <c r="N27" s="80"/>
      <c r="O27" s="79"/>
      <c r="P27" s="80"/>
      <c r="Q27" s="80"/>
      <c r="R27" s="79"/>
      <c r="S27" s="80"/>
      <c r="T27" s="80"/>
      <c r="U27" s="79"/>
      <c r="V27" s="80"/>
      <c r="W27" s="80"/>
      <c r="X27" s="79"/>
      <c r="Y27" s="80"/>
      <c r="Z27" s="80"/>
      <c r="AA27" s="79"/>
      <c r="AB27" s="80"/>
      <c r="AC27" s="80"/>
      <c r="AD27" s="79"/>
      <c r="AE27" s="80"/>
      <c r="AF27" s="80"/>
      <c r="AG27" s="79"/>
      <c r="AH27" s="80"/>
      <c r="AI27" s="80"/>
      <c r="AJ27" s="79"/>
      <c r="AK27" s="80"/>
      <c r="AL27" s="80"/>
      <c r="AM27" s="81">
        <f t="shared" si="0"/>
        <v>0</v>
      </c>
      <c r="AO27" s="649"/>
      <c r="AP27" s="649"/>
      <c r="AQ27" s="649">
        <f t="shared" si="2"/>
        <v>0</v>
      </c>
    </row>
    <row r="28" spans="2:43" ht="20.100000000000001" customHeight="1" x14ac:dyDescent="0.15">
      <c r="B28" s="78"/>
      <c r="C28" s="79"/>
      <c r="D28" s="80"/>
      <c r="E28" s="80"/>
      <c r="F28" s="79"/>
      <c r="G28" s="80"/>
      <c r="H28" s="80"/>
      <c r="I28" s="79"/>
      <c r="J28" s="80"/>
      <c r="K28" s="80"/>
      <c r="L28" s="79"/>
      <c r="M28" s="80"/>
      <c r="N28" s="80"/>
      <c r="O28" s="79"/>
      <c r="P28" s="80"/>
      <c r="Q28" s="80"/>
      <c r="R28" s="79"/>
      <c r="S28" s="80"/>
      <c r="T28" s="80"/>
      <c r="U28" s="79"/>
      <c r="V28" s="80"/>
      <c r="W28" s="80"/>
      <c r="X28" s="79"/>
      <c r="Y28" s="80"/>
      <c r="Z28" s="80"/>
      <c r="AA28" s="79"/>
      <c r="AB28" s="80"/>
      <c r="AC28" s="80"/>
      <c r="AD28" s="79"/>
      <c r="AE28" s="80"/>
      <c r="AF28" s="80"/>
      <c r="AG28" s="79"/>
      <c r="AH28" s="80"/>
      <c r="AI28" s="80"/>
      <c r="AJ28" s="79"/>
      <c r="AK28" s="80"/>
      <c r="AL28" s="80"/>
      <c r="AM28" s="81">
        <f t="shared" si="0"/>
        <v>0</v>
      </c>
      <c r="AO28" s="649"/>
      <c r="AP28" s="649"/>
      <c r="AQ28" s="649">
        <f t="shared" si="2"/>
        <v>0</v>
      </c>
    </row>
    <row r="29" spans="2:43" ht="20.100000000000001" customHeight="1" x14ac:dyDescent="0.15">
      <c r="B29" s="78"/>
      <c r="C29" s="79"/>
      <c r="D29" s="80"/>
      <c r="E29" s="80"/>
      <c r="F29" s="79"/>
      <c r="G29" s="80"/>
      <c r="H29" s="80"/>
      <c r="I29" s="79"/>
      <c r="J29" s="80"/>
      <c r="K29" s="80"/>
      <c r="L29" s="79"/>
      <c r="M29" s="80"/>
      <c r="N29" s="80"/>
      <c r="O29" s="79"/>
      <c r="P29" s="80"/>
      <c r="Q29" s="80"/>
      <c r="R29" s="79"/>
      <c r="S29" s="80"/>
      <c r="T29" s="80"/>
      <c r="U29" s="79"/>
      <c r="V29" s="80"/>
      <c r="W29" s="80"/>
      <c r="X29" s="79"/>
      <c r="Y29" s="80"/>
      <c r="Z29" s="80"/>
      <c r="AA29" s="79"/>
      <c r="AB29" s="80"/>
      <c r="AC29" s="80"/>
      <c r="AD29" s="79"/>
      <c r="AE29" s="80"/>
      <c r="AF29" s="80"/>
      <c r="AG29" s="79"/>
      <c r="AH29" s="80"/>
      <c r="AI29" s="80"/>
      <c r="AJ29" s="79"/>
      <c r="AK29" s="80"/>
      <c r="AL29" s="80"/>
      <c r="AM29" s="81">
        <f t="shared" si="0"/>
        <v>0</v>
      </c>
      <c r="AO29" s="649"/>
      <c r="AP29" s="649"/>
      <c r="AQ29" s="649">
        <f t="shared" si="2"/>
        <v>0</v>
      </c>
    </row>
    <row r="30" spans="2:43" ht="20.100000000000001" customHeight="1" x14ac:dyDescent="0.15">
      <c r="B30" s="78"/>
      <c r="C30" s="79"/>
      <c r="D30" s="80"/>
      <c r="E30" s="80"/>
      <c r="F30" s="79"/>
      <c r="G30" s="80"/>
      <c r="H30" s="80"/>
      <c r="I30" s="79"/>
      <c r="J30" s="80"/>
      <c r="K30" s="80"/>
      <c r="L30" s="79"/>
      <c r="M30" s="80"/>
      <c r="N30" s="80"/>
      <c r="O30" s="79"/>
      <c r="P30" s="80"/>
      <c r="Q30" s="80"/>
      <c r="R30" s="79"/>
      <c r="S30" s="80"/>
      <c r="T30" s="80"/>
      <c r="U30" s="79"/>
      <c r="V30" s="80"/>
      <c r="W30" s="80"/>
      <c r="X30" s="79"/>
      <c r="Y30" s="80"/>
      <c r="Z30" s="80"/>
      <c r="AA30" s="79"/>
      <c r="AB30" s="80"/>
      <c r="AC30" s="80"/>
      <c r="AD30" s="79"/>
      <c r="AE30" s="80"/>
      <c r="AF30" s="80"/>
      <c r="AG30" s="79"/>
      <c r="AH30" s="80"/>
      <c r="AI30" s="80"/>
      <c r="AJ30" s="79"/>
      <c r="AK30" s="80"/>
      <c r="AL30" s="80"/>
      <c r="AM30" s="81">
        <f t="shared" si="0"/>
        <v>0</v>
      </c>
      <c r="AO30" s="649"/>
      <c r="AP30" s="649"/>
      <c r="AQ30" s="649">
        <f t="shared" si="2"/>
        <v>0</v>
      </c>
    </row>
    <row r="31" spans="2:43" ht="20.100000000000001" customHeight="1" x14ac:dyDescent="0.15">
      <c r="B31" s="78"/>
      <c r="C31" s="79"/>
      <c r="D31" s="80"/>
      <c r="E31" s="80"/>
      <c r="F31" s="79"/>
      <c r="G31" s="80"/>
      <c r="H31" s="80"/>
      <c r="I31" s="79"/>
      <c r="J31" s="80"/>
      <c r="K31" s="80"/>
      <c r="L31" s="79"/>
      <c r="M31" s="80"/>
      <c r="N31" s="80"/>
      <c r="O31" s="79"/>
      <c r="P31" s="80"/>
      <c r="Q31" s="80"/>
      <c r="R31" s="79"/>
      <c r="S31" s="80"/>
      <c r="T31" s="80"/>
      <c r="U31" s="79"/>
      <c r="V31" s="80"/>
      <c r="W31" s="80"/>
      <c r="X31" s="79"/>
      <c r="Y31" s="80"/>
      <c r="Z31" s="80"/>
      <c r="AA31" s="79"/>
      <c r="AB31" s="80"/>
      <c r="AC31" s="80"/>
      <c r="AD31" s="79"/>
      <c r="AE31" s="80"/>
      <c r="AF31" s="80"/>
      <c r="AG31" s="79"/>
      <c r="AH31" s="80"/>
      <c r="AI31" s="80"/>
      <c r="AJ31" s="79"/>
      <c r="AK31" s="80"/>
      <c r="AL31" s="80"/>
      <c r="AM31" s="81">
        <f t="shared" si="0"/>
        <v>0</v>
      </c>
      <c r="AO31" s="649"/>
      <c r="AP31" s="649"/>
      <c r="AQ31" s="649">
        <f t="shared" si="2"/>
        <v>0</v>
      </c>
    </row>
    <row r="32" spans="2:43" ht="20.100000000000001" customHeight="1" x14ac:dyDescent="0.15">
      <c r="B32" s="78"/>
      <c r="C32" s="79"/>
      <c r="D32" s="80"/>
      <c r="E32" s="80"/>
      <c r="F32" s="79"/>
      <c r="G32" s="80"/>
      <c r="H32" s="80"/>
      <c r="I32" s="79"/>
      <c r="J32" s="80"/>
      <c r="K32" s="80"/>
      <c r="L32" s="79"/>
      <c r="M32" s="80"/>
      <c r="N32" s="80"/>
      <c r="O32" s="79"/>
      <c r="P32" s="80"/>
      <c r="Q32" s="80"/>
      <c r="R32" s="79"/>
      <c r="S32" s="80"/>
      <c r="T32" s="80"/>
      <c r="U32" s="79"/>
      <c r="V32" s="80"/>
      <c r="W32" s="80"/>
      <c r="X32" s="79"/>
      <c r="Y32" s="80"/>
      <c r="Z32" s="80"/>
      <c r="AA32" s="79"/>
      <c r="AB32" s="80"/>
      <c r="AC32" s="80"/>
      <c r="AD32" s="79"/>
      <c r="AE32" s="80"/>
      <c r="AF32" s="80"/>
      <c r="AG32" s="79"/>
      <c r="AH32" s="80"/>
      <c r="AI32" s="80"/>
      <c r="AJ32" s="79"/>
      <c r="AK32" s="80"/>
      <c r="AL32" s="80"/>
      <c r="AM32" s="81">
        <f t="shared" si="0"/>
        <v>0</v>
      </c>
      <c r="AO32" s="649"/>
      <c r="AP32" s="649"/>
      <c r="AQ32" s="649">
        <f t="shared" si="2"/>
        <v>0</v>
      </c>
    </row>
    <row r="33" spans="2:43" ht="20.100000000000001" customHeight="1" x14ac:dyDescent="0.15">
      <c r="B33" s="82" t="s">
        <v>127</v>
      </c>
      <c r="C33" s="79">
        <f t="shared" ref="C33:AL33" si="3">SUM(C8:C32)</f>
        <v>0</v>
      </c>
      <c r="D33" s="83">
        <f t="shared" si="3"/>
        <v>0</v>
      </c>
      <c r="E33" s="84">
        <f t="shared" si="3"/>
        <v>0</v>
      </c>
      <c r="F33" s="79">
        <f t="shared" si="3"/>
        <v>3.3</v>
      </c>
      <c r="G33" s="83">
        <f t="shared" si="3"/>
        <v>1.4</v>
      </c>
      <c r="H33" s="84">
        <f t="shared" si="3"/>
        <v>1.4</v>
      </c>
      <c r="I33" s="79">
        <f t="shared" si="3"/>
        <v>1.4</v>
      </c>
      <c r="J33" s="83">
        <f t="shared" si="3"/>
        <v>1.9</v>
      </c>
      <c r="K33" s="84">
        <f t="shared" si="3"/>
        <v>3.1999999999999997</v>
      </c>
      <c r="L33" s="79">
        <f t="shared" si="3"/>
        <v>3.3</v>
      </c>
      <c r="M33" s="83">
        <f t="shared" si="3"/>
        <v>5.7</v>
      </c>
      <c r="N33" s="84">
        <f t="shared" si="3"/>
        <v>7.4</v>
      </c>
      <c r="O33" s="79">
        <f t="shared" si="3"/>
        <v>7.1</v>
      </c>
      <c r="P33" s="83">
        <f t="shared" si="3"/>
        <v>6.8</v>
      </c>
      <c r="Q33" s="84">
        <f t="shared" si="3"/>
        <v>5.3</v>
      </c>
      <c r="R33" s="79">
        <f t="shared" si="3"/>
        <v>1.8</v>
      </c>
      <c r="S33" s="83">
        <f t="shared" si="3"/>
        <v>0</v>
      </c>
      <c r="T33" s="84">
        <f t="shared" si="3"/>
        <v>0</v>
      </c>
      <c r="U33" s="79">
        <f t="shared" si="3"/>
        <v>0</v>
      </c>
      <c r="V33" s="83">
        <f t="shared" si="3"/>
        <v>1.3</v>
      </c>
      <c r="W33" s="84">
        <f t="shared" si="3"/>
        <v>1.37</v>
      </c>
      <c r="X33" s="79">
        <f t="shared" si="3"/>
        <v>1.37</v>
      </c>
      <c r="Y33" s="83">
        <f t="shared" si="3"/>
        <v>1.37</v>
      </c>
      <c r="Z33" s="84">
        <f t="shared" si="3"/>
        <v>6.07</v>
      </c>
      <c r="AA33" s="79">
        <f t="shared" si="3"/>
        <v>5.0999999999999996</v>
      </c>
      <c r="AB33" s="83">
        <f t="shared" si="3"/>
        <v>5.0999999999999996</v>
      </c>
      <c r="AC33" s="84">
        <f t="shared" si="3"/>
        <v>5.0999999999999996</v>
      </c>
      <c r="AD33" s="79">
        <f t="shared" si="3"/>
        <v>5.0999999999999996</v>
      </c>
      <c r="AE33" s="83">
        <f t="shared" si="3"/>
        <v>5.0999999999999996</v>
      </c>
      <c r="AF33" s="84">
        <f t="shared" si="3"/>
        <v>1.2</v>
      </c>
      <c r="AG33" s="79">
        <f t="shared" si="3"/>
        <v>1.2</v>
      </c>
      <c r="AH33" s="83">
        <f t="shared" si="3"/>
        <v>3.2</v>
      </c>
      <c r="AI33" s="84">
        <f t="shared" si="3"/>
        <v>3.2</v>
      </c>
      <c r="AJ33" s="79">
        <f t="shared" si="3"/>
        <v>0</v>
      </c>
      <c r="AK33" s="83">
        <f t="shared" si="3"/>
        <v>0</v>
      </c>
      <c r="AL33" s="84">
        <f t="shared" si="3"/>
        <v>0</v>
      </c>
      <c r="AM33" s="81">
        <f t="shared" si="0"/>
        <v>95.779999999999973</v>
      </c>
      <c r="AO33" s="649"/>
      <c r="AP33" s="649"/>
      <c r="AQ33" s="649">
        <f t="shared" si="2"/>
        <v>0</v>
      </c>
    </row>
    <row r="34" spans="2:43" ht="20.100000000000001" customHeight="1" thickBot="1" x14ac:dyDescent="0.2">
      <c r="B34" s="85" t="s">
        <v>128</v>
      </c>
      <c r="C34" s="86"/>
      <c r="D34" s="87">
        <f>SUM(C33:E33)</f>
        <v>0</v>
      </c>
      <c r="E34" s="87"/>
      <c r="F34" s="86"/>
      <c r="G34" s="87">
        <f>SUM(F33:H33)</f>
        <v>6.1</v>
      </c>
      <c r="H34" s="87"/>
      <c r="I34" s="86"/>
      <c r="J34" s="87">
        <f>SUM(I33:K33)</f>
        <v>6.5</v>
      </c>
      <c r="K34" s="87"/>
      <c r="L34" s="86"/>
      <c r="M34" s="87">
        <f>SUM(L33:N33)</f>
        <v>16.399999999999999</v>
      </c>
      <c r="N34" s="87"/>
      <c r="O34" s="86"/>
      <c r="P34" s="87">
        <f>SUM(O33:Q33)</f>
        <v>19.2</v>
      </c>
      <c r="Q34" s="87"/>
      <c r="R34" s="86"/>
      <c r="S34" s="87">
        <f>SUM(R33:T33)</f>
        <v>1.8</v>
      </c>
      <c r="T34" s="87"/>
      <c r="U34" s="86"/>
      <c r="V34" s="87">
        <f>SUM(U33:W33)</f>
        <v>2.67</v>
      </c>
      <c r="W34" s="87"/>
      <c r="X34" s="86"/>
      <c r="Y34" s="87">
        <f>SUM(X33:Z33)</f>
        <v>8.81</v>
      </c>
      <c r="Z34" s="87"/>
      <c r="AA34" s="86"/>
      <c r="AB34" s="87">
        <f>SUM(AA33:AC33)</f>
        <v>15.299999999999999</v>
      </c>
      <c r="AC34" s="87"/>
      <c r="AD34" s="86"/>
      <c r="AE34" s="87">
        <f>SUM(AD33:AF33)</f>
        <v>11.399999999999999</v>
      </c>
      <c r="AF34" s="87"/>
      <c r="AG34" s="86"/>
      <c r="AH34" s="87">
        <f>SUM(AG33:AI33)</f>
        <v>7.6000000000000005</v>
      </c>
      <c r="AI34" s="87"/>
      <c r="AJ34" s="86"/>
      <c r="AK34" s="87">
        <f>SUM(AJ33:AL33)</f>
        <v>0</v>
      </c>
      <c r="AL34" s="87"/>
      <c r="AM34" s="88">
        <f>SUM(AM8:AM32)</f>
        <v>95.78</v>
      </c>
      <c r="AO34" s="649">
        <f>SUM(AO8:AO32)</f>
        <v>33.900000000000006</v>
      </c>
      <c r="AP34" s="649">
        <f t="shared" ref="AP34" si="4">SUM(AP8:AP32)</f>
        <v>62</v>
      </c>
      <c r="AQ34" s="649">
        <f>SUM(AQ8:AQ33)</f>
        <v>95.9</v>
      </c>
    </row>
  </sheetData>
  <mergeCells count="16">
    <mergeCell ref="L2:M2"/>
    <mergeCell ref="AJ3:AL3"/>
    <mergeCell ref="AM3:AM4"/>
    <mergeCell ref="B5:B7"/>
    <mergeCell ref="R3:T3"/>
    <mergeCell ref="U3:W3"/>
    <mergeCell ref="X3:Z3"/>
    <mergeCell ref="AA3:AC3"/>
    <mergeCell ref="AD3:AF3"/>
    <mergeCell ref="AG3:AI3"/>
    <mergeCell ref="B3:B4"/>
    <mergeCell ref="C3:E3"/>
    <mergeCell ref="F3:H3"/>
    <mergeCell ref="I3:K3"/>
    <mergeCell ref="L3:N3"/>
    <mergeCell ref="O3:Q3"/>
  </mergeCells>
  <phoneticPr fontId="4"/>
  <pageMargins left="0.78740157480314965" right="0.78740157480314965" top="0.78740157480314965" bottom="0.78740157480314965" header="0.39370078740157483" footer="0.39370078740157483"/>
  <pageSetup paperSize="9" scale="52" orientation="landscape" r:id="rId1"/>
  <headerFooter alignWithMargins="0">
    <oddHeader>&amp;R&amp;F</oddHeader>
    <oddFooter>&amp;R&amp;A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K64"/>
  <sheetViews>
    <sheetView showZeros="0" zoomScale="75" zoomScaleNormal="75" zoomScaleSheetLayoutView="67" workbookViewId="0"/>
  </sheetViews>
  <sheetFormatPr defaultRowHeight="13.5" x14ac:dyDescent="0.15"/>
  <cols>
    <col min="1" max="1" width="1.625" style="45" customWidth="1"/>
    <col min="2" max="2" width="23.5" style="45" customWidth="1"/>
    <col min="3" max="3" width="5.875" style="45" customWidth="1"/>
    <col min="4" max="39" width="6.125" style="45" customWidth="1"/>
    <col min="40" max="40" width="7" style="45" customWidth="1"/>
    <col min="41" max="41" width="1.5" style="45" customWidth="1"/>
    <col min="42" max="16384" width="9" style="45"/>
  </cols>
  <sheetData>
    <row r="2" spans="2:63" ht="24.95" customHeight="1" x14ac:dyDescent="0.15">
      <c r="B2" s="5" t="s">
        <v>436</v>
      </c>
      <c r="C2" s="5"/>
      <c r="D2" s="5"/>
      <c r="E2" s="5"/>
      <c r="F2" s="5"/>
      <c r="G2" s="5"/>
      <c r="H2" s="5"/>
      <c r="I2" s="5"/>
      <c r="J2" s="5"/>
      <c r="K2" s="5"/>
      <c r="L2" s="567" t="s">
        <v>261</v>
      </c>
      <c r="M2" s="269" t="s">
        <v>413</v>
      </c>
      <c r="N2" s="269"/>
      <c r="O2" s="567" t="s">
        <v>262</v>
      </c>
      <c r="P2" s="269" t="s">
        <v>437</v>
      </c>
      <c r="Q2" s="5"/>
      <c r="R2" s="5"/>
      <c r="S2" s="5"/>
      <c r="T2" s="5"/>
      <c r="U2" s="5"/>
      <c r="V2" s="5"/>
      <c r="W2" s="519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</row>
    <row r="3" spans="2:63" ht="24.95" customHeight="1" thickBot="1" x14ac:dyDescent="0.2">
      <c r="B3" s="5" t="s">
        <v>563</v>
      </c>
      <c r="C3" s="5"/>
      <c r="D3" s="5"/>
      <c r="E3" s="5"/>
      <c r="F3" s="5"/>
      <c r="G3" s="5"/>
      <c r="H3" s="5"/>
      <c r="I3" s="5"/>
      <c r="J3" s="5"/>
      <c r="K3" s="5"/>
      <c r="L3" s="5"/>
      <c r="M3" s="519"/>
      <c r="N3" s="5"/>
      <c r="O3" s="5"/>
      <c r="P3" s="519"/>
      <c r="Q3" s="5"/>
      <c r="R3" s="5"/>
      <c r="S3" s="5"/>
      <c r="T3" s="5"/>
      <c r="U3" s="5"/>
      <c r="V3" s="5"/>
      <c r="W3" s="519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</row>
    <row r="4" spans="2:63" ht="24.95" customHeight="1" x14ac:dyDescent="0.15">
      <c r="B4" s="1072" t="s">
        <v>554</v>
      </c>
      <c r="C4" s="1073"/>
      <c r="D4" s="1069">
        <v>1</v>
      </c>
      <c r="E4" s="1070"/>
      <c r="F4" s="1071"/>
      <c r="G4" s="1069">
        <v>2</v>
      </c>
      <c r="H4" s="1070"/>
      <c r="I4" s="1071"/>
      <c r="J4" s="1069">
        <v>3</v>
      </c>
      <c r="K4" s="1070"/>
      <c r="L4" s="1071"/>
      <c r="M4" s="1069">
        <v>4</v>
      </c>
      <c r="N4" s="1070"/>
      <c r="O4" s="1071"/>
      <c r="P4" s="1069">
        <v>5</v>
      </c>
      <c r="Q4" s="1070"/>
      <c r="R4" s="1071"/>
      <c r="S4" s="1069">
        <v>6</v>
      </c>
      <c r="T4" s="1070"/>
      <c r="U4" s="1071"/>
      <c r="V4" s="1069">
        <v>7</v>
      </c>
      <c r="W4" s="1070"/>
      <c r="X4" s="1071"/>
      <c r="Y4" s="1069">
        <v>8</v>
      </c>
      <c r="Z4" s="1070"/>
      <c r="AA4" s="1071"/>
      <c r="AB4" s="1069">
        <v>9</v>
      </c>
      <c r="AC4" s="1070"/>
      <c r="AD4" s="1071"/>
      <c r="AE4" s="1069">
        <v>10</v>
      </c>
      <c r="AF4" s="1070"/>
      <c r="AG4" s="1071"/>
      <c r="AH4" s="1069">
        <v>11</v>
      </c>
      <c r="AI4" s="1070"/>
      <c r="AJ4" s="1071"/>
      <c r="AK4" s="1069">
        <v>12</v>
      </c>
      <c r="AL4" s="1070"/>
      <c r="AM4" s="1071"/>
      <c r="AN4" s="1068" t="s">
        <v>33</v>
      </c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</row>
    <row r="5" spans="2:63" ht="24.95" customHeight="1" x14ac:dyDescent="0.15">
      <c r="B5" s="1051"/>
      <c r="C5" s="1052"/>
      <c r="D5" s="361" t="s">
        <v>34</v>
      </c>
      <c r="E5" s="70" t="s">
        <v>35</v>
      </c>
      <c r="F5" s="362" t="s">
        <v>36</v>
      </c>
      <c r="G5" s="361" t="s">
        <v>34</v>
      </c>
      <c r="H5" s="362" t="s">
        <v>35</v>
      </c>
      <c r="I5" s="362" t="s">
        <v>36</v>
      </c>
      <c r="J5" s="361" t="s">
        <v>34</v>
      </c>
      <c r="K5" s="362" t="s">
        <v>35</v>
      </c>
      <c r="L5" s="362" t="s">
        <v>36</v>
      </c>
      <c r="M5" s="361" t="s">
        <v>34</v>
      </c>
      <c r="N5" s="362" t="s">
        <v>35</v>
      </c>
      <c r="O5" s="362" t="s">
        <v>36</v>
      </c>
      <c r="P5" s="361" t="s">
        <v>34</v>
      </c>
      <c r="Q5" s="362" t="s">
        <v>35</v>
      </c>
      <c r="R5" s="362" t="s">
        <v>36</v>
      </c>
      <c r="S5" s="361" t="s">
        <v>34</v>
      </c>
      <c r="T5" s="70" t="s">
        <v>35</v>
      </c>
      <c r="U5" s="363" t="s">
        <v>36</v>
      </c>
      <c r="V5" s="361" t="s">
        <v>34</v>
      </c>
      <c r="W5" s="362" t="s">
        <v>35</v>
      </c>
      <c r="X5" s="362" t="s">
        <v>36</v>
      </c>
      <c r="Y5" s="361" t="s">
        <v>34</v>
      </c>
      <c r="Z5" s="362" t="s">
        <v>35</v>
      </c>
      <c r="AA5" s="362" t="s">
        <v>36</v>
      </c>
      <c r="AB5" s="361" t="s">
        <v>34</v>
      </c>
      <c r="AC5" s="362" t="s">
        <v>35</v>
      </c>
      <c r="AD5" s="362" t="s">
        <v>36</v>
      </c>
      <c r="AE5" s="361" t="s">
        <v>34</v>
      </c>
      <c r="AF5" s="362" t="s">
        <v>35</v>
      </c>
      <c r="AG5" s="362" t="s">
        <v>36</v>
      </c>
      <c r="AH5" s="361" t="s">
        <v>34</v>
      </c>
      <c r="AI5" s="362" t="s">
        <v>35</v>
      </c>
      <c r="AJ5" s="362" t="s">
        <v>36</v>
      </c>
      <c r="AK5" s="361" t="s">
        <v>34</v>
      </c>
      <c r="AL5" s="362" t="s">
        <v>35</v>
      </c>
      <c r="AM5" s="362" t="s">
        <v>36</v>
      </c>
      <c r="AN5" s="1061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</row>
    <row r="6" spans="2:63" ht="24.95" customHeight="1" x14ac:dyDescent="0.15">
      <c r="B6" s="1053" t="s">
        <v>555</v>
      </c>
      <c r="C6" s="1054"/>
      <c r="D6" s="73"/>
      <c r="E6" s="5"/>
      <c r="F6" s="5"/>
      <c r="G6" s="5"/>
      <c r="H6" s="5"/>
      <c r="I6" s="5"/>
      <c r="J6" s="5"/>
      <c r="K6" s="5"/>
      <c r="L6" s="5"/>
      <c r="M6" s="5"/>
      <c r="N6" s="5"/>
      <c r="O6" s="519"/>
      <c r="P6" s="519"/>
      <c r="Q6" s="5"/>
      <c r="R6" s="5"/>
      <c r="S6" s="167"/>
      <c r="T6" s="167"/>
      <c r="U6" s="5"/>
      <c r="V6" s="520"/>
      <c r="W6" s="5"/>
      <c r="X6" s="5"/>
      <c r="Y6" s="5"/>
      <c r="Z6" s="5"/>
      <c r="AA6" s="5"/>
      <c r="AB6" s="5"/>
      <c r="AC6" s="5"/>
      <c r="AD6" s="5"/>
      <c r="AE6" s="167"/>
      <c r="AF6" s="167"/>
      <c r="AG6" s="167"/>
      <c r="AH6" s="167"/>
      <c r="AI6" s="167"/>
      <c r="AJ6" s="5"/>
      <c r="AK6" s="5"/>
      <c r="AL6" s="5"/>
      <c r="AM6" s="5"/>
      <c r="AN6" s="496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</row>
    <row r="7" spans="2:63" ht="24.95" customHeight="1" x14ac:dyDescent="0.15">
      <c r="B7" s="1055"/>
      <c r="C7" s="1056"/>
      <c r="D7" s="1057" t="s">
        <v>560</v>
      </c>
      <c r="E7" s="1058"/>
      <c r="F7" s="1058"/>
      <c r="G7" s="5"/>
      <c r="H7" s="5"/>
      <c r="I7" s="5"/>
      <c r="J7" s="5"/>
      <c r="K7" s="5"/>
      <c r="L7" s="5"/>
      <c r="N7" s="5"/>
      <c r="O7" s="5"/>
      <c r="P7" s="5"/>
      <c r="Q7" s="5"/>
      <c r="R7" s="5"/>
      <c r="S7" s="167"/>
      <c r="T7" s="167"/>
      <c r="U7" s="5"/>
      <c r="V7" s="5"/>
      <c r="W7" s="520"/>
      <c r="X7" s="5"/>
      <c r="Y7" s="5"/>
      <c r="Z7" s="5"/>
      <c r="AA7" s="5"/>
      <c r="AB7" s="5"/>
      <c r="AC7" s="5"/>
      <c r="AD7" s="5"/>
      <c r="AE7" s="167"/>
      <c r="AF7" s="167"/>
      <c r="AG7" s="167"/>
      <c r="AH7" s="167"/>
      <c r="AI7" s="167"/>
      <c r="AJ7" s="5"/>
      <c r="AK7" s="5"/>
      <c r="AL7" s="5"/>
      <c r="AM7" s="5"/>
      <c r="AN7" s="369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</row>
    <row r="8" spans="2:63" ht="24.95" customHeight="1" x14ac:dyDescent="0.15">
      <c r="B8" s="1051"/>
      <c r="C8" s="1052"/>
      <c r="D8" s="370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371"/>
      <c r="P8" s="371"/>
      <c r="Q8" s="371"/>
      <c r="R8" s="371"/>
      <c r="S8" s="371"/>
      <c r="T8" s="371"/>
      <c r="U8" s="371"/>
      <c r="V8" s="371"/>
      <c r="W8" s="371"/>
      <c r="X8" s="371"/>
      <c r="Y8" s="371"/>
      <c r="Z8" s="371"/>
      <c r="AA8" s="371"/>
      <c r="AB8" s="371"/>
      <c r="AC8" s="371"/>
      <c r="AD8" s="371"/>
      <c r="AE8" s="371"/>
      <c r="AF8" s="371"/>
      <c r="AG8" s="371"/>
      <c r="AH8" s="371"/>
      <c r="AI8" s="371"/>
      <c r="AJ8" s="371"/>
      <c r="AK8" s="371"/>
      <c r="AL8" s="371"/>
      <c r="AM8" s="371"/>
      <c r="AN8" s="372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</row>
    <row r="9" spans="2:63" ht="24.95" customHeight="1" x14ac:dyDescent="0.15">
      <c r="B9" s="1066" t="s">
        <v>589</v>
      </c>
      <c r="C9" s="1067"/>
      <c r="D9" s="364"/>
      <c r="E9" s="365"/>
      <c r="F9" s="365"/>
      <c r="G9" s="364"/>
      <c r="H9" s="365"/>
      <c r="I9" s="365"/>
      <c r="J9" s="364"/>
      <c r="K9" s="365"/>
      <c r="L9" s="365"/>
      <c r="M9" s="364"/>
      <c r="N9" s="365"/>
      <c r="O9" s="365"/>
      <c r="P9" s="364">
        <f>3.3*0.8</f>
        <v>2.64</v>
      </c>
      <c r="Q9" s="365"/>
      <c r="R9" s="365"/>
      <c r="S9" s="364"/>
      <c r="T9" s="365"/>
      <c r="U9" s="365"/>
      <c r="V9" s="364"/>
      <c r="W9" s="365"/>
      <c r="X9" s="365"/>
      <c r="Y9" s="364"/>
      <c r="Z9" s="365"/>
      <c r="AA9" s="365"/>
      <c r="AB9" s="364"/>
      <c r="AC9" s="365"/>
      <c r="AD9" s="365"/>
      <c r="AE9" s="364"/>
      <c r="AF9" s="365"/>
      <c r="AG9" s="365"/>
      <c r="AH9" s="364"/>
      <c r="AI9" s="365"/>
      <c r="AJ9" s="365"/>
      <c r="AK9" s="364"/>
      <c r="AL9" s="365"/>
      <c r="AM9" s="365"/>
      <c r="AN9" s="366">
        <f>SUM(D9:AM9)</f>
        <v>2.64</v>
      </c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</row>
    <row r="10" spans="2:63" ht="24.95" customHeight="1" x14ac:dyDescent="0.15">
      <c r="B10" s="1066" t="s">
        <v>429</v>
      </c>
      <c r="C10" s="1067"/>
      <c r="D10" s="364"/>
      <c r="E10" s="365"/>
      <c r="F10" s="365"/>
      <c r="G10" s="364"/>
      <c r="H10" s="365"/>
      <c r="I10" s="365"/>
      <c r="J10" s="364"/>
      <c r="K10" s="365"/>
      <c r="L10" s="365"/>
      <c r="M10" s="364"/>
      <c r="N10" s="365"/>
      <c r="O10" s="365"/>
      <c r="P10" s="364">
        <f>3.5/3</f>
        <v>1.1666666666666667</v>
      </c>
      <c r="Q10" s="365"/>
      <c r="R10" s="365"/>
      <c r="S10" s="364"/>
      <c r="T10" s="365"/>
      <c r="U10" s="365"/>
      <c r="V10" s="364"/>
      <c r="W10" s="365"/>
      <c r="X10" s="365"/>
      <c r="Y10" s="364"/>
      <c r="Z10" s="365"/>
      <c r="AA10" s="365"/>
      <c r="AB10" s="364"/>
      <c r="AC10" s="365"/>
      <c r="AD10" s="365"/>
      <c r="AE10" s="364"/>
      <c r="AF10" s="365"/>
      <c r="AG10" s="365"/>
      <c r="AH10" s="364"/>
      <c r="AI10" s="365"/>
      <c r="AJ10" s="365"/>
      <c r="AK10" s="364"/>
      <c r="AL10" s="365"/>
      <c r="AM10" s="365"/>
      <c r="AN10" s="366">
        <f t="shared" ref="AN10:AN17" si="0">SUM(D10:AM10)</f>
        <v>1.1666666666666667</v>
      </c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</row>
    <row r="11" spans="2:63" ht="24.95" customHeight="1" x14ac:dyDescent="0.15">
      <c r="B11" s="1066" t="s">
        <v>430</v>
      </c>
      <c r="C11" s="1067"/>
      <c r="D11" s="364"/>
      <c r="E11" s="365"/>
      <c r="F11" s="365"/>
      <c r="G11" s="364"/>
      <c r="H11" s="365"/>
      <c r="I11" s="365"/>
      <c r="J11" s="364"/>
      <c r="K11" s="365"/>
      <c r="L11" s="365"/>
      <c r="M11" s="364"/>
      <c r="N11" s="365"/>
      <c r="O11" s="365"/>
      <c r="P11" s="364"/>
      <c r="Q11" s="365">
        <v>1</v>
      </c>
      <c r="R11" s="365"/>
      <c r="S11" s="364"/>
      <c r="T11" s="365"/>
      <c r="U11" s="365"/>
      <c r="V11" s="364"/>
      <c r="W11" s="365"/>
      <c r="X11" s="365"/>
      <c r="Y11" s="364"/>
      <c r="Z11" s="365"/>
      <c r="AA11" s="365"/>
      <c r="AB11" s="364"/>
      <c r="AC11" s="365"/>
      <c r="AD11" s="365"/>
      <c r="AE11" s="364"/>
      <c r="AF11" s="365"/>
      <c r="AG11" s="365"/>
      <c r="AH11" s="364"/>
      <c r="AI11" s="365"/>
      <c r="AJ11" s="365"/>
      <c r="AK11" s="364"/>
      <c r="AL11" s="365"/>
      <c r="AM11" s="365"/>
      <c r="AN11" s="366">
        <f t="shared" si="0"/>
        <v>1</v>
      </c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</row>
    <row r="12" spans="2:63" ht="24.95" customHeight="1" x14ac:dyDescent="0.15">
      <c r="B12" s="1066" t="s">
        <v>301</v>
      </c>
      <c r="C12" s="1067"/>
      <c r="D12" s="364"/>
      <c r="E12" s="365"/>
      <c r="F12" s="365"/>
      <c r="G12" s="364"/>
      <c r="H12" s="365"/>
      <c r="I12" s="365"/>
      <c r="J12" s="364"/>
      <c r="K12" s="365"/>
      <c r="L12" s="365"/>
      <c r="M12" s="364"/>
      <c r="N12" s="365">
        <v>2</v>
      </c>
      <c r="O12" s="365">
        <v>3</v>
      </c>
      <c r="P12" s="364">
        <v>3</v>
      </c>
      <c r="Q12" s="365">
        <v>1</v>
      </c>
      <c r="R12" s="365"/>
      <c r="S12" s="364"/>
      <c r="T12" s="365"/>
      <c r="U12" s="365"/>
      <c r="V12" s="364"/>
      <c r="W12" s="365"/>
      <c r="X12" s="365"/>
      <c r="Y12" s="364"/>
      <c r="Z12" s="365"/>
      <c r="AA12" s="365"/>
      <c r="AB12" s="364"/>
      <c r="AC12" s="365"/>
      <c r="AD12" s="365"/>
      <c r="AE12" s="364"/>
      <c r="AF12" s="365"/>
      <c r="AG12" s="365"/>
      <c r="AH12" s="364"/>
      <c r="AI12" s="365"/>
      <c r="AJ12" s="365"/>
      <c r="AK12" s="364"/>
      <c r="AL12" s="365"/>
      <c r="AM12" s="365"/>
      <c r="AN12" s="366">
        <f t="shared" si="0"/>
        <v>9</v>
      </c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</row>
    <row r="13" spans="2:63" ht="24.95" customHeight="1" x14ac:dyDescent="0.15">
      <c r="B13" s="1066" t="s">
        <v>590</v>
      </c>
      <c r="C13" s="1067"/>
      <c r="D13" s="364"/>
      <c r="E13" s="365"/>
      <c r="F13" s="365"/>
      <c r="G13" s="364"/>
      <c r="H13" s="365"/>
      <c r="I13" s="365"/>
      <c r="J13" s="364"/>
      <c r="K13" s="365"/>
      <c r="L13" s="365"/>
      <c r="M13" s="364"/>
      <c r="N13" s="365"/>
      <c r="O13" s="365"/>
      <c r="P13" s="364"/>
      <c r="Q13" s="365">
        <v>4</v>
      </c>
      <c r="R13" s="365"/>
      <c r="S13" s="364"/>
      <c r="T13" s="365"/>
      <c r="U13" s="365"/>
      <c r="V13" s="364"/>
      <c r="W13" s="365"/>
      <c r="X13" s="365"/>
      <c r="Y13" s="364"/>
      <c r="Z13" s="365"/>
      <c r="AA13" s="365"/>
      <c r="AB13" s="364"/>
      <c r="AC13" s="365"/>
      <c r="AD13" s="365"/>
      <c r="AE13" s="364"/>
      <c r="AF13" s="365"/>
      <c r="AG13" s="365"/>
      <c r="AH13" s="364"/>
      <c r="AI13" s="365"/>
      <c r="AJ13" s="365"/>
      <c r="AK13" s="364"/>
      <c r="AL13" s="365"/>
      <c r="AM13" s="365"/>
      <c r="AN13" s="366">
        <f t="shared" si="0"/>
        <v>4</v>
      </c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</row>
    <row r="14" spans="2:63" ht="24.95" customHeight="1" x14ac:dyDescent="0.15">
      <c r="B14" s="521" t="s">
        <v>306</v>
      </c>
      <c r="C14" s="522"/>
      <c r="D14" s="364"/>
      <c r="E14" s="365"/>
      <c r="F14" s="365"/>
      <c r="G14" s="364"/>
      <c r="H14" s="365"/>
      <c r="I14" s="365"/>
      <c r="J14" s="364"/>
      <c r="K14" s="365"/>
      <c r="L14" s="365"/>
      <c r="M14" s="364"/>
      <c r="N14" s="365"/>
      <c r="O14" s="365"/>
      <c r="P14" s="364"/>
      <c r="Q14" s="365">
        <f>3.3/3</f>
        <v>1.0999999999999999</v>
      </c>
      <c r="R14" s="365"/>
      <c r="S14" s="364">
        <f>5/3</f>
        <v>1.6666666666666667</v>
      </c>
      <c r="T14" s="365">
        <f>3/3</f>
        <v>1</v>
      </c>
      <c r="U14" s="365"/>
      <c r="V14" s="364"/>
      <c r="W14" s="365"/>
      <c r="X14" s="365"/>
      <c r="Y14" s="364"/>
      <c r="Z14" s="365"/>
      <c r="AA14" s="365">
        <f>1/3</f>
        <v>0.33333333333333331</v>
      </c>
      <c r="AB14" s="364"/>
      <c r="AC14" s="365">
        <f>2/3</f>
        <v>0.66666666666666663</v>
      </c>
      <c r="AD14" s="365"/>
      <c r="AE14" s="364"/>
      <c r="AF14" s="365">
        <f>2/3</f>
        <v>0.66666666666666663</v>
      </c>
      <c r="AG14" s="365"/>
      <c r="AH14" s="364"/>
      <c r="AI14" s="365"/>
      <c r="AJ14" s="365"/>
      <c r="AK14" s="364"/>
      <c r="AL14" s="365"/>
      <c r="AM14" s="365"/>
      <c r="AN14" s="366">
        <f t="shared" si="0"/>
        <v>5.4333333333333336</v>
      </c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</row>
    <row r="15" spans="2:63" ht="24.95" customHeight="1" x14ac:dyDescent="0.15">
      <c r="B15" s="521" t="s">
        <v>431</v>
      </c>
      <c r="C15" s="522"/>
      <c r="D15" s="364"/>
      <c r="E15" s="365"/>
      <c r="F15" s="365"/>
      <c r="G15" s="364"/>
      <c r="H15" s="365"/>
      <c r="I15" s="365"/>
      <c r="J15" s="364"/>
      <c r="K15" s="365"/>
      <c r="L15" s="365"/>
      <c r="M15" s="364"/>
      <c r="N15" s="365"/>
      <c r="O15" s="365"/>
      <c r="P15" s="364"/>
      <c r="Q15" s="365"/>
      <c r="R15" s="365"/>
      <c r="S15" s="364">
        <v>1</v>
      </c>
      <c r="T15" s="365">
        <v>2</v>
      </c>
      <c r="U15" s="365"/>
      <c r="V15" s="364"/>
      <c r="W15" s="365">
        <v>2</v>
      </c>
      <c r="X15" s="365"/>
      <c r="Y15" s="364"/>
      <c r="Z15" s="365"/>
      <c r="AA15" s="365"/>
      <c r="AB15" s="364">
        <v>2</v>
      </c>
      <c r="AC15" s="365"/>
      <c r="AD15" s="365"/>
      <c r="AE15" s="364">
        <v>2</v>
      </c>
      <c r="AF15" s="365"/>
      <c r="AG15" s="365"/>
      <c r="AH15" s="364"/>
      <c r="AI15" s="365"/>
      <c r="AJ15" s="365"/>
      <c r="AK15" s="364"/>
      <c r="AL15" s="365"/>
      <c r="AM15" s="365"/>
      <c r="AN15" s="366">
        <f t="shared" si="0"/>
        <v>9</v>
      </c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</row>
    <row r="16" spans="2:63" ht="24.95" customHeight="1" x14ac:dyDescent="0.15">
      <c r="B16" s="521" t="s">
        <v>305</v>
      </c>
      <c r="C16" s="522"/>
      <c r="D16" s="364"/>
      <c r="E16" s="365"/>
      <c r="F16" s="365"/>
      <c r="G16" s="364"/>
      <c r="H16" s="365"/>
      <c r="I16" s="365"/>
      <c r="J16" s="364"/>
      <c r="K16" s="365"/>
      <c r="L16" s="365"/>
      <c r="M16" s="364"/>
      <c r="N16" s="365"/>
      <c r="O16" s="365"/>
      <c r="P16" s="364"/>
      <c r="Q16" s="365"/>
      <c r="R16" s="365"/>
      <c r="S16" s="364"/>
      <c r="T16" s="365"/>
      <c r="U16" s="365"/>
      <c r="V16" s="364"/>
      <c r="W16" s="365"/>
      <c r="X16" s="365"/>
      <c r="Y16" s="364"/>
      <c r="Z16" s="365"/>
      <c r="AA16" s="365"/>
      <c r="AB16" s="364"/>
      <c r="AC16" s="365"/>
      <c r="AD16" s="365"/>
      <c r="AE16" s="364"/>
      <c r="AF16" s="365"/>
      <c r="AG16" s="365"/>
      <c r="AH16" s="364"/>
      <c r="AI16" s="365"/>
      <c r="AJ16" s="365"/>
      <c r="AK16" s="364"/>
      <c r="AL16" s="365"/>
      <c r="AM16" s="365"/>
      <c r="AN16" s="502">
        <f t="shared" si="0"/>
        <v>0</v>
      </c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</row>
    <row r="17" spans="2:63" ht="24.95" customHeight="1" x14ac:dyDescent="0.15">
      <c r="B17" s="521" t="s">
        <v>373</v>
      </c>
      <c r="C17" s="522"/>
      <c r="D17" s="364"/>
      <c r="E17" s="365"/>
      <c r="F17" s="365"/>
      <c r="G17" s="364"/>
      <c r="H17" s="365"/>
      <c r="I17" s="365"/>
      <c r="J17" s="364"/>
      <c r="K17" s="365"/>
      <c r="L17" s="365"/>
      <c r="M17" s="364"/>
      <c r="N17" s="365"/>
      <c r="O17" s="365"/>
      <c r="P17" s="364"/>
      <c r="Q17" s="365"/>
      <c r="R17" s="365"/>
      <c r="S17" s="364"/>
      <c r="T17" s="365"/>
      <c r="U17" s="365"/>
      <c r="V17" s="364"/>
      <c r="W17" s="365"/>
      <c r="X17" s="365"/>
      <c r="Y17" s="364"/>
      <c r="Z17" s="365"/>
      <c r="AA17" s="365"/>
      <c r="AB17" s="364"/>
      <c r="AC17" s="365"/>
      <c r="AD17" s="365"/>
      <c r="AE17" s="364"/>
      <c r="AF17" s="365"/>
      <c r="AG17" s="365"/>
      <c r="AH17" s="364">
        <v>4.4000000000000004</v>
      </c>
      <c r="AI17" s="365">
        <v>4.4000000000000004</v>
      </c>
      <c r="AJ17" s="365">
        <v>4.4000000000000004</v>
      </c>
      <c r="AK17" s="364"/>
      <c r="AL17" s="365"/>
      <c r="AM17" s="365"/>
      <c r="AN17" s="366">
        <f t="shared" si="0"/>
        <v>13.200000000000001</v>
      </c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</row>
    <row r="18" spans="2:63" ht="24.95" customHeight="1" x14ac:dyDescent="0.15">
      <c r="B18" s="1066" t="s">
        <v>432</v>
      </c>
      <c r="C18" s="1067"/>
      <c r="D18" s="364"/>
      <c r="E18" s="365"/>
      <c r="F18" s="365"/>
      <c r="G18" s="364"/>
      <c r="H18" s="365"/>
      <c r="I18" s="365"/>
      <c r="J18" s="364"/>
      <c r="K18" s="365"/>
      <c r="L18" s="365"/>
      <c r="M18" s="364"/>
      <c r="N18" s="365"/>
      <c r="O18" s="365"/>
      <c r="P18" s="364"/>
      <c r="Q18" s="365"/>
      <c r="R18" s="365"/>
      <c r="S18" s="364"/>
      <c r="T18" s="365"/>
      <c r="U18" s="365"/>
      <c r="V18" s="364"/>
      <c r="W18" s="365"/>
      <c r="X18" s="365"/>
      <c r="Y18" s="364"/>
      <c r="Z18" s="365"/>
      <c r="AA18" s="365"/>
      <c r="AB18" s="364"/>
      <c r="AC18" s="365"/>
      <c r="AD18" s="365"/>
      <c r="AE18" s="364"/>
      <c r="AF18" s="365"/>
      <c r="AG18" s="365"/>
      <c r="AH18" s="364">
        <v>102.7</v>
      </c>
      <c r="AI18" s="365">
        <v>102.7</v>
      </c>
      <c r="AJ18" s="365">
        <v>102.7</v>
      </c>
      <c r="AK18" s="364"/>
      <c r="AL18" s="365"/>
      <c r="AM18" s="365"/>
      <c r="AN18" s="366">
        <f>SUM(D18:AM18)</f>
        <v>308.10000000000002</v>
      </c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</row>
    <row r="19" spans="2:63" ht="24.95" customHeight="1" x14ac:dyDescent="0.15">
      <c r="B19" s="521" t="s">
        <v>433</v>
      </c>
      <c r="C19" s="522"/>
      <c r="D19" s="364">
        <f t="shared" ref="D19:J19" si="1">SUM(D9:D18)</f>
        <v>0</v>
      </c>
      <c r="E19" s="83">
        <f t="shared" si="1"/>
        <v>0</v>
      </c>
      <c r="F19" s="367">
        <f t="shared" si="1"/>
        <v>0</v>
      </c>
      <c r="G19" s="364">
        <f t="shared" si="1"/>
        <v>0</v>
      </c>
      <c r="H19" s="83">
        <f t="shared" si="1"/>
        <v>0</v>
      </c>
      <c r="I19" s="367">
        <f t="shared" si="1"/>
        <v>0</v>
      </c>
      <c r="J19" s="364">
        <f t="shared" si="1"/>
        <v>0</v>
      </c>
      <c r="K19" s="83"/>
      <c r="L19" s="367"/>
      <c r="M19" s="364"/>
      <c r="N19" s="83"/>
      <c r="O19" s="367"/>
      <c r="P19" s="364"/>
      <c r="Q19" s="83"/>
      <c r="R19" s="367"/>
      <c r="S19" s="364"/>
      <c r="T19" s="83"/>
      <c r="U19" s="367">
        <f>SUM(U9:U18)</f>
        <v>0</v>
      </c>
      <c r="V19" s="364">
        <f>SUM(V9:V18)</f>
        <v>0</v>
      </c>
      <c r="W19" s="83"/>
      <c r="X19" s="367">
        <f>SUM(X9:X18)</f>
        <v>0</v>
      </c>
      <c r="Y19" s="364"/>
      <c r="Z19" s="83">
        <f>SUM(Z9:Z18)</f>
        <v>0</v>
      </c>
      <c r="AA19" s="367"/>
      <c r="AB19" s="364"/>
      <c r="AC19" s="83"/>
      <c r="AD19" s="367"/>
      <c r="AE19" s="364"/>
      <c r="AF19" s="83"/>
      <c r="AG19" s="367"/>
      <c r="AH19" s="364">
        <v>2</v>
      </c>
      <c r="AI19" s="83">
        <v>2</v>
      </c>
      <c r="AJ19" s="367">
        <v>2</v>
      </c>
      <c r="AK19" s="364">
        <f>SUM(AK9:AK18)</f>
        <v>0</v>
      </c>
      <c r="AL19" s="83">
        <f>SUM(AL9:AL18)</f>
        <v>0</v>
      </c>
      <c r="AM19" s="367">
        <f>SUM(AM9:AM18)</f>
        <v>0</v>
      </c>
      <c r="AN19" s="366">
        <f t="shared" ref="AN19:AN20" si="2">SUM(D19:AM19)</f>
        <v>6</v>
      </c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</row>
    <row r="20" spans="2:63" ht="24.95" customHeight="1" x14ac:dyDescent="0.15">
      <c r="B20" s="1062" t="s">
        <v>556</v>
      </c>
      <c r="C20" s="1063"/>
      <c r="D20" s="364">
        <f t="shared" ref="D20:J20" si="3">SUM(D9:D18)</f>
        <v>0</v>
      </c>
      <c r="E20" s="83">
        <f t="shared" si="3"/>
        <v>0</v>
      </c>
      <c r="F20" s="367">
        <f t="shared" si="3"/>
        <v>0</v>
      </c>
      <c r="G20" s="364">
        <f t="shared" si="3"/>
        <v>0</v>
      </c>
      <c r="H20" s="83">
        <f t="shared" si="3"/>
        <v>0</v>
      </c>
      <c r="I20" s="367">
        <f t="shared" si="3"/>
        <v>0</v>
      </c>
      <c r="J20" s="364">
        <f t="shared" si="3"/>
        <v>0</v>
      </c>
      <c r="K20" s="83">
        <f>SUM(K9:K19)</f>
        <v>0</v>
      </c>
      <c r="L20" s="497">
        <f>SUM(L9:L19)</f>
        <v>0</v>
      </c>
      <c r="M20" s="498">
        <f t="shared" ref="M20:AM20" si="4">SUM(M9:M19)</f>
        <v>0</v>
      </c>
      <c r="N20" s="83">
        <f t="shared" si="4"/>
        <v>2</v>
      </c>
      <c r="O20" s="497">
        <f t="shared" si="4"/>
        <v>3</v>
      </c>
      <c r="P20" s="498">
        <f t="shared" si="4"/>
        <v>6.8066666666666666</v>
      </c>
      <c r="Q20" s="83">
        <f t="shared" si="4"/>
        <v>7.1</v>
      </c>
      <c r="R20" s="497">
        <f t="shared" si="4"/>
        <v>0</v>
      </c>
      <c r="S20" s="498">
        <f t="shared" si="4"/>
        <v>2.666666666666667</v>
      </c>
      <c r="T20" s="83">
        <f t="shared" si="4"/>
        <v>3</v>
      </c>
      <c r="U20" s="497">
        <f t="shared" si="4"/>
        <v>0</v>
      </c>
      <c r="V20" s="498">
        <f t="shared" si="4"/>
        <v>0</v>
      </c>
      <c r="W20" s="83">
        <f t="shared" si="4"/>
        <v>2</v>
      </c>
      <c r="X20" s="497">
        <f t="shared" si="4"/>
        <v>0</v>
      </c>
      <c r="Y20" s="498">
        <f t="shared" si="4"/>
        <v>0</v>
      </c>
      <c r="Z20" s="83">
        <f t="shared" si="4"/>
        <v>0</v>
      </c>
      <c r="AA20" s="497">
        <f t="shared" si="4"/>
        <v>0.33333333333333331</v>
      </c>
      <c r="AB20" s="498">
        <f t="shared" si="4"/>
        <v>2</v>
      </c>
      <c r="AC20" s="83">
        <f t="shared" si="4"/>
        <v>0.66666666666666663</v>
      </c>
      <c r="AD20" s="497">
        <f t="shared" si="4"/>
        <v>0</v>
      </c>
      <c r="AE20" s="498">
        <f t="shared" si="4"/>
        <v>2</v>
      </c>
      <c r="AF20" s="83">
        <f t="shared" si="4"/>
        <v>0.66666666666666663</v>
      </c>
      <c r="AG20" s="497">
        <f t="shared" si="4"/>
        <v>0</v>
      </c>
      <c r="AH20" s="498">
        <f t="shared" si="4"/>
        <v>109.10000000000001</v>
      </c>
      <c r="AI20" s="83">
        <f t="shared" si="4"/>
        <v>109.10000000000001</v>
      </c>
      <c r="AJ20" s="497">
        <f t="shared" si="4"/>
        <v>109.10000000000001</v>
      </c>
      <c r="AK20" s="498">
        <f t="shared" si="4"/>
        <v>0</v>
      </c>
      <c r="AL20" s="83">
        <f t="shared" si="4"/>
        <v>0</v>
      </c>
      <c r="AM20" s="83">
        <f t="shared" si="4"/>
        <v>0</v>
      </c>
      <c r="AN20" s="366">
        <f t="shared" si="2"/>
        <v>359.54</v>
      </c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</row>
    <row r="21" spans="2:63" ht="24.95" customHeight="1" thickBot="1" x14ac:dyDescent="0.2">
      <c r="B21" s="1064" t="s">
        <v>557</v>
      </c>
      <c r="C21" s="1065"/>
      <c r="D21" s="86"/>
      <c r="E21" s="87">
        <f>SUM(D19:F19)</f>
        <v>0</v>
      </c>
      <c r="F21" s="87"/>
      <c r="G21" s="86"/>
      <c r="H21" s="87">
        <f>SUM(G19:I19)</f>
        <v>0</v>
      </c>
      <c r="I21" s="87"/>
      <c r="J21" s="86"/>
      <c r="K21" s="87">
        <f>SUM(J20:L20)</f>
        <v>0</v>
      </c>
      <c r="L21" s="87"/>
      <c r="M21" s="86"/>
      <c r="N21" s="87">
        <f>SUM(M20:O20)</f>
        <v>5</v>
      </c>
      <c r="O21" s="87"/>
      <c r="P21" s="86"/>
      <c r="Q21" s="87">
        <f>SUM(P20:R20)</f>
        <v>13.906666666666666</v>
      </c>
      <c r="R21" s="87"/>
      <c r="S21" s="86"/>
      <c r="T21" s="87">
        <f>SUM(S20:U20)</f>
        <v>5.666666666666667</v>
      </c>
      <c r="U21" s="87"/>
      <c r="V21" s="86"/>
      <c r="W21" s="87">
        <f>SUM(V20:X20)</f>
        <v>2</v>
      </c>
      <c r="X21" s="87"/>
      <c r="Y21" s="86"/>
      <c r="Z21" s="87">
        <f>SUM(Y20:AA20)</f>
        <v>0.33333333333333331</v>
      </c>
      <c r="AA21" s="87"/>
      <c r="AB21" s="86"/>
      <c r="AC21" s="87">
        <f>SUM(AB20:AD20)</f>
        <v>2.6666666666666665</v>
      </c>
      <c r="AD21" s="87"/>
      <c r="AE21" s="86"/>
      <c r="AF21" s="87">
        <f>SUM(AE20:AG20)</f>
        <v>2.6666666666666665</v>
      </c>
      <c r="AG21" s="87"/>
      <c r="AH21" s="86"/>
      <c r="AI21" s="87">
        <f>SUM(AH20:AJ20)</f>
        <v>327.3</v>
      </c>
      <c r="AJ21" s="87"/>
      <c r="AK21" s="86"/>
      <c r="AL21" s="87">
        <f>SUM(AK19:AM19)</f>
        <v>0</v>
      </c>
      <c r="AM21" s="87"/>
      <c r="AN21" s="88">
        <f>SUM(AN9:AN19)</f>
        <v>359.54</v>
      </c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</row>
    <row r="22" spans="2:63" ht="24.95" customHeight="1" thickBot="1" x14ac:dyDescent="0.2">
      <c r="B22" s="5" t="s">
        <v>564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19"/>
      <c r="N22" s="5"/>
      <c r="O22" s="5"/>
      <c r="P22" s="519"/>
      <c r="Q22" s="5"/>
      <c r="R22" s="5"/>
      <c r="S22" s="5"/>
      <c r="T22" s="5"/>
      <c r="U22" s="5"/>
      <c r="V22" s="5"/>
      <c r="W22" s="519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</row>
    <row r="23" spans="2:63" ht="24.95" customHeight="1" x14ac:dyDescent="0.15">
      <c r="B23" s="1072" t="s">
        <v>561</v>
      </c>
      <c r="C23" s="1073"/>
      <c r="D23" s="1069">
        <v>1</v>
      </c>
      <c r="E23" s="1070"/>
      <c r="F23" s="1071"/>
      <c r="G23" s="1069">
        <v>2</v>
      </c>
      <c r="H23" s="1070"/>
      <c r="I23" s="1071"/>
      <c r="J23" s="1069">
        <v>3</v>
      </c>
      <c r="K23" s="1070"/>
      <c r="L23" s="1071"/>
      <c r="M23" s="1069">
        <v>4</v>
      </c>
      <c r="N23" s="1070"/>
      <c r="O23" s="1071"/>
      <c r="P23" s="1069">
        <v>5</v>
      </c>
      <c r="Q23" s="1070"/>
      <c r="R23" s="1071"/>
      <c r="S23" s="1069">
        <v>6</v>
      </c>
      <c r="T23" s="1070"/>
      <c r="U23" s="1071"/>
      <c r="V23" s="1069">
        <v>7</v>
      </c>
      <c r="W23" s="1070"/>
      <c r="X23" s="1071"/>
      <c r="Y23" s="1069">
        <v>8</v>
      </c>
      <c r="Z23" s="1070"/>
      <c r="AA23" s="1071"/>
      <c r="AB23" s="1069">
        <v>9</v>
      </c>
      <c r="AC23" s="1070"/>
      <c r="AD23" s="1071"/>
      <c r="AE23" s="1069">
        <v>10</v>
      </c>
      <c r="AF23" s="1070"/>
      <c r="AG23" s="1071"/>
      <c r="AH23" s="1069">
        <v>11</v>
      </c>
      <c r="AI23" s="1070"/>
      <c r="AJ23" s="1071"/>
      <c r="AK23" s="1069">
        <v>12</v>
      </c>
      <c r="AL23" s="1070"/>
      <c r="AM23" s="1071"/>
      <c r="AN23" s="1068" t="s">
        <v>33</v>
      </c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</row>
    <row r="24" spans="2:63" ht="24.95" customHeight="1" x14ac:dyDescent="0.15">
      <c r="B24" s="1051"/>
      <c r="C24" s="1052"/>
      <c r="D24" s="361" t="s">
        <v>34</v>
      </c>
      <c r="E24" s="70" t="s">
        <v>35</v>
      </c>
      <c r="F24" s="362" t="s">
        <v>36</v>
      </c>
      <c r="G24" s="361" t="s">
        <v>34</v>
      </c>
      <c r="H24" s="362" t="s">
        <v>35</v>
      </c>
      <c r="I24" s="362" t="s">
        <v>36</v>
      </c>
      <c r="J24" s="361" t="s">
        <v>34</v>
      </c>
      <c r="K24" s="362" t="s">
        <v>35</v>
      </c>
      <c r="L24" s="362" t="s">
        <v>36</v>
      </c>
      <c r="M24" s="361" t="s">
        <v>34</v>
      </c>
      <c r="N24" s="362" t="s">
        <v>35</v>
      </c>
      <c r="O24" s="362" t="s">
        <v>36</v>
      </c>
      <c r="P24" s="361" t="s">
        <v>34</v>
      </c>
      <c r="Q24" s="362" t="s">
        <v>35</v>
      </c>
      <c r="R24" s="362" t="s">
        <v>36</v>
      </c>
      <c r="S24" s="361" t="s">
        <v>34</v>
      </c>
      <c r="T24" s="70" t="s">
        <v>35</v>
      </c>
      <c r="U24" s="363" t="s">
        <v>36</v>
      </c>
      <c r="V24" s="361" t="s">
        <v>34</v>
      </c>
      <c r="W24" s="362" t="s">
        <v>35</v>
      </c>
      <c r="X24" s="362" t="s">
        <v>36</v>
      </c>
      <c r="Y24" s="361" t="s">
        <v>34</v>
      </c>
      <c r="Z24" s="362" t="s">
        <v>35</v>
      </c>
      <c r="AA24" s="362" t="s">
        <v>36</v>
      </c>
      <c r="AB24" s="361" t="s">
        <v>34</v>
      </c>
      <c r="AC24" s="362" t="s">
        <v>35</v>
      </c>
      <c r="AD24" s="362" t="s">
        <v>36</v>
      </c>
      <c r="AE24" s="361" t="s">
        <v>34</v>
      </c>
      <c r="AF24" s="362" t="s">
        <v>35</v>
      </c>
      <c r="AG24" s="362" t="s">
        <v>36</v>
      </c>
      <c r="AH24" s="361" t="s">
        <v>34</v>
      </c>
      <c r="AI24" s="362" t="s">
        <v>35</v>
      </c>
      <c r="AJ24" s="362" t="s">
        <v>36</v>
      </c>
      <c r="AK24" s="361" t="s">
        <v>34</v>
      </c>
      <c r="AL24" s="362" t="s">
        <v>35</v>
      </c>
      <c r="AM24" s="362" t="s">
        <v>36</v>
      </c>
      <c r="AN24" s="1061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</row>
    <row r="25" spans="2:63" ht="24.95" customHeight="1" x14ac:dyDescent="0.15">
      <c r="B25" s="1053" t="s">
        <v>562</v>
      </c>
      <c r="C25" s="1054"/>
      <c r="D25" s="73"/>
      <c r="E25" s="5"/>
      <c r="F25" s="5"/>
      <c r="G25" s="5"/>
      <c r="H25" s="5"/>
      <c r="I25" s="5"/>
      <c r="J25" s="5"/>
      <c r="K25" s="5"/>
      <c r="L25" s="5"/>
      <c r="M25" s="5"/>
      <c r="N25" s="5"/>
      <c r="O25" s="519"/>
      <c r="P25" s="519"/>
      <c r="Q25" s="5"/>
      <c r="R25" s="5"/>
      <c r="S25" s="167"/>
      <c r="T25" s="167"/>
      <c r="U25" s="5"/>
      <c r="V25" s="520"/>
      <c r="W25" s="5"/>
      <c r="X25" s="5"/>
      <c r="Y25" s="5"/>
      <c r="Z25" s="5"/>
      <c r="AA25" s="5"/>
      <c r="AB25" s="5"/>
      <c r="AC25" s="5"/>
      <c r="AD25" s="5"/>
      <c r="AE25" s="167"/>
      <c r="AF25" s="167"/>
      <c r="AG25" s="167"/>
      <c r="AH25" s="167"/>
      <c r="AI25" s="167"/>
      <c r="AJ25" s="5"/>
      <c r="AK25" s="5"/>
      <c r="AL25" s="5"/>
      <c r="AM25" s="5"/>
      <c r="AN25" s="496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</row>
    <row r="26" spans="2:63" ht="24.95" customHeight="1" x14ac:dyDescent="0.15">
      <c r="B26" s="1055"/>
      <c r="C26" s="1056"/>
      <c r="D26" s="73"/>
      <c r="E26" s="5"/>
      <c r="F26" s="5"/>
      <c r="G26" s="5"/>
      <c r="H26" s="5"/>
      <c r="I26" s="5"/>
      <c r="J26" s="1059" t="s">
        <v>565</v>
      </c>
      <c r="K26" s="1059"/>
      <c r="L26" s="1059"/>
      <c r="N26" s="5"/>
      <c r="O26" s="5"/>
      <c r="P26" s="5"/>
      <c r="Q26" s="5"/>
      <c r="R26" s="5"/>
      <c r="S26" s="167"/>
      <c r="T26" s="167"/>
      <c r="U26" s="5"/>
      <c r="V26" s="5"/>
      <c r="W26" s="520"/>
      <c r="X26" s="5"/>
      <c r="Y26" s="5"/>
      <c r="Z26" s="5"/>
      <c r="AA26" s="5"/>
      <c r="AB26" s="5"/>
      <c r="AC26" s="5"/>
      <c r="AD26" s="5"/>
      <c r="AE26" s="167"/>
      <c r="AF26" s="167"/>
      <c r="AG26" s="167"/>
      <c r="AH26" s="167"/>
      <c r="AI26" s="167"/>
      <c r="AJ26" s="5"/>
      <c r="AK26" s="5"/>
      <c r="AL26" s="5"/>
      <c r="AM26" s="5"/>
      <c r="AN26" s="369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</row>
    <row r="27" spans="2:63" ht="24.95" customHeight="1" x14ac:dyDescent="0.15">
      <c r="B27" s="1051"/>
      <c r="C27" s="1052"/>
      <c r="D27" s="370"/>
      <c r="E27" s="371"/>
      <c r="F27" s="371"/>
      <c r="G27" s="371"/>
      <c r="H27" s="371"/>
      <c r="I27" s="371"/>
      <c r="J27" s="371"/>
      <c r="K27" s="371"/>
      <c r="L27" s="371"/>
      <c r="M27" s="371"/>
      <c r="N27" s="371"/>
      <c r="O27" s="371"/>
      <c r="P27" s="371"/>
      <c r="Q27" s="371"/>
      <c r="R27" s="371"/>
      <c r="S27" s="371"/>
      <c r="T27" s="371"/>
      <c r="U27" s="371"/>
      <c r="V27" s="371"/>
      <c r="W27" s="371"/>
      <c r="X27" s="371"/>
      <c r="Y27" s="371"/>
      <c r="Z27" s="371"/>
      <c r="AA27" s="371"/>
      <c r="AB27" s="371"/>
      <c r="AC27" s="371"/>
      <c r="AD27" s="371"/>
      <c r="AE27" s="371"/>
      <c r="AF27" s="371"/>
      <c r="AG27" s="371"/>
      <c r="AH27" s="371"/>
      <c r="AI27" s="371"/>
      <c r="AJ27" s="371"/>
      <c r="AK27" s="371"/>
      <c r="AL27" s="371"/>
      <c r="AM27" s="371"/>
      <c r="AN27" s="372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</row>
    <row r="28" spans="2:63" ht="24.95" customHeight="1" x14ac:dyDescent="0.15">
      <c r="B28" s="1066" t="s">
        <v>589</v>
      </c>
      <c r="C28" s="1067"/>
      <c r="D28" s="364"/>
      <c r="E28" s="365"/>
      <c r="F28" s="365"/>
      <c r="G28" s="364"/>
      <c r="H28" s="365"/>
      <c r="I28" s="365"/>
      <c r="J28" s="364"/>
      <c r="K28" s="365"/>
      <c r="L28" s="365"/>
      <c r="M28" s="364"/>
      <c r="N28" s="365"/>
      <c r="O28" s="365"/>
      <c r="P28" s="364">
        <f>3.3*0.8</f>
        <v>2.64</v>
      </c>
      <c r="Q28" s="365"/>
      <c r="R28" s="365"/>
      <c r="S28" s="364"/>
      <c r="T28" s="365"/>
      <c r="U28" s="365"/>
      <c r="V28" s="364"/>
      <c r="W28" s="365"/>
      <c r="X28" s="365"/>
      <c r="Y28" s="364"/>
      <c r="Z28" s="365"/>
      <c r="AA28" s="365"/>
      <c r="AB28" s="364"/>
      <c r="AC28" s="365"/>
      <c r="AD28" s="365"/>
      <c r="AE28" s="364"/>
      <c r="AF28" s="365"/>
      <c r="AG28" s="365"/>
      <c r="AH28" s="364"/>
      <c r="AI28" s="365"/>
      <c r="AJ28" s="365"/>
      <c r="AK28" s="364"/>
      <c r="AL28" s="365"/>
      <c r="AM28" s="365"/>
      <c r="AN28" s="366">
        <f>SUM(D28:AM28)</f>
        <v>2.64</v>
      </c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</row>
    <row r="29" spans="2:63" ht="24.95" customHeight="1" x14ac:dyDescent="0.15">
      <c r="B29" s="1066" t="s">
        <v>429</v>
      </c>
      <c r="C29" s="1067"/>
      <c r="D29" s="364"/>
      <c r="E29" s="365"/>
      <c r="F29" s="365"/>
      <c r="G29" s="364"/>
      <c r="H29" s="365"/>
      <c r="I29" s="365"/>
      <c r="J29" s="364"/>
      <c r="K29" s="365"/>
      <c r="L29" s="365"/>
      <c r="M29" s="364"/>
      <c r="N29" s="365"/>
      <c r="O29" s="365"/>
      <c r="P29" s="364">
        <f>3.5/3</f>
        <v>1.1666666666666667</v>
      </c>
      <c r="Q29" s="365"/>
      <c r="R29" s="365"/>
      <c r="S29" s="364"/>
      <c r="T29" s="365"/>
      <c r="U29" s="365"/>
      <c r="V29" s="364"/>
      <c r="W29" s="365"/>
      <c r="X29" s="365"/>
      <c r="Y29" s="364"/>
      <c r="Z29" s="365"/>
      <c r="AA29" s="365"/>
      <c r="AB29" s="364"/>
      <c r="AC29" s="365"/>
      <c r="AD29" s="365"/>
      <c r="AE29" s="364"/>
      <c r="AF29" s="365"/>
      <c r="AG29" s="365"/>
      <c r="AH29" s="364"/>
      <c r="AI29" s="365"/>
      <c r="AJ29" s="365"/>
      <c r="AK29" s="364"/>
      <c r="AL29" s="365"/>
      <c r="AM29" s="365"/>
      <c r="AN29" s="366">
        <f t="shared" ref="AN29:AN37" si="5">SUM(D29:AM29)</f>
        <v>1.1666666666666667</v>
      </c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</row>
    <row r="30" spans="2:63" ht="24.95" customHeight="1" x14ac:dyDescent="0.15">
      <c r="B30" s="1066" t="s">
        <v>430</v>
      </c>
      <c r="C30" s="1067"/>
      <c r="D30" s="364"/>
      <c r="E30" s="365"/>
      <c r="F30" s="365"/>
      <c r="G30" s="364"/>
      <c r="H30" s="365"/>
      <c r="I30" s="365"/>
      <c r="J30" s="364"/>
      <c r="K30" s="365"/>
      <c r="L30" s="365"/>
      <c r="M30" s="364"/>
      <c r="N30" s="365"/>
      <c r="O30" s="365"/>
      <c r="P30" s="364"/>
      <c r="Q30" s="365">
        <v>1</v>
      </c>
      <c r="R30" s="365"/>
      <c r="S30" s="364"/>
      <c r="T30" s="365"/>
      <c r="U30" s="365"/>
      <c r="V30" s="364"/>
      <c r="W30" s="365"/>
      <c r="X30" s="365"/>
      <c r="Y30" s="364"/>
      <c r="Z30" s="365"/>
      <c r="AA30" s="365"/>
      <c r="AB30" s="364"/>
      <c r="AC30" s="365"/>
      <c r="AD30" s="365"/>
      <c r="AE30" s="364"/>
      <c r="AF30" s="365"/>
      <c r="AG30" s="365"/>
      <c r="AH30" s="364"/>
      <c r="AI30" s="365"/>
      <c r="AJ30" s="365"/>
      <c r="AK30" s="364"/>
      <c r="AL30" s="365"/>
      <c r="AM30" s="365"/>
      <c r="AN30" s="366">
        <f t="shared" si="5"/>
        <v>1</v>
      </c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</row>
    <row r="31" spans="2:63" ht="24.95" customHeight="1" x14ac:dyDescent="0.15">
      <c r="B31" s="1066" t="s">
        <v>301</v>
      </c>
      <c r="C31" s="1067"/>
      <c r="D31" s="364"/>
      <c r="E31" s="365"/>
      <c r="F31" s="365"/>
      <c r="G31" s="364"/>
      <c r="H31" s="365"/>
      <c r="I31" s="365"/>
      <c r="J31" s="364"/>
      <c r="K31" s="365"/>
      <c r="L31" s="365"/>
      <c r="M31" s="364"/>
      <c r="N31" s="365">
        <v>2</v>
      </c>
      <c r="O31" s="365">
        <v>3</v>
      </c>
      <c r="P31" s="364">
        <v>3</v>
      </c>
      <c r="Q31" s="365">
        <v>1</v>
      </c>
      <c r="R31" s="365"/>
      <c r="S31" s="364"/>
      <c r="T31" s="365"/>
      <c r="U31" s="365"/>
      <c r="V31" s="364"/>
      <c r="W31" s="365"/>
      <c r="X31" s="365"/>
      <c r="Y31" s="364"/>
      <c r="Z31" s="365"/>
      <c r="AA31" s="365"/>
      <c r="AB31" s="364"/>
      <c r="AC31" s="365"/>
      <c r="AD31" s="365"/>
      <c r="AE31" s="364"/>
      <c r="AF31" s="365"/>
      <c r="AG31" s="365"/>
      <c r="AH31" s="364"/>
      <c r="AI31" s="365"/>
      <c r="AJ31" s="365"/>
      <c r="AK31" s="364"/>
      <c r="AL31" s="365"/>
      <c r="AM31" s="365"/>
      <c r="AN31" s="366">
        <f t="shared" si="5"/>
        <v>9</v>
      </c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</row>
    <row r="32" spans="2:63" ht="24.95" customHeight="1" x14ac:dyDescent="0.15">
      <c r="B32" s="1066" t="s">
        <v>415</v>
      </c>
      <c r="C32" s="1067"/>
      <c r="D32" s="364"/>
      <c r="E32" s="365"/>
      <c r="F32" s="365"/>
      <c r="G32" s="364"/>
      <c r="H32" s="365"/>
      <c r="I32" s="365"/>
      <c r="J32" s="364"/>
      <c r="K32" s="365"/>
      <c r="L32" s="365"/>
      <c r="M32" s="364"/>
      <c r="N32" s="365"/>
      <c r="O32" s="365"/>
      <c r="P32" s="364"/>
      <c r="Q32" s="365">
        <v>4</v>
      </c>
      <c r="R32" s="365"/>
      <c r="S32" s="364"/>
      <c r="T32" s="365"/>
      <c r="U32" s="365"/>
      <c r="V32" s="364"/>
      <c r="W32" s="365"/>
      <c r="X32" s="365"/>
      <c r="Y32" s="364"/>
      <c r="Z32" s="365"/>
      <c r="AA32" s="365"/>
      <c r="AB32" s="364"/>
      <c r="AC32" s="365"/>
      <c r="AD32" s="365"/>
      <c r="AE32" s="364"/>
      <c r="AF32" s="365"/>
      <c r="AG32" s="365"/>
      <c r="AH32" s="364"/>
      <c r="AI32" s="365"/>
      <c r="AJ32" s="365"/>
      <c r="AK32" s="364"/>
      <c r="AL32" s="365"/>
      <c r="AM32" s="365"/>
      <c r="AN32" s="366">
        <f t="shared" si="5"/>
        <v>4</v>
      </c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</row>
    <row r="33" spans="2:63" ht="24.95" customHeight="1" x14ac:dyDescent="0.15">
      <c r="B33" s="521" t="s">
        <v>306</v>
      </c>
      <c r="C33" s="522"/>
      <c r="D33" s="364"/>
      <c r="E33" s="365"/>
      <c r="F33" s="365"/>
      <c r="G33" s="364"/>
      <c r="H33" s="365"/>
      <c r="I33" s="365"/>
      <c r="J33" s="364"/>
      <c r="K33" s="365"/>
      <c r="L33" s="365"/>
      <c r="M33" s="364"/>
      <c r="N33" s="365"/>
      <c r="O33" s="365"/>
      <c r="P33" s="364"/>
      <c r="Q33" s="365">
        <f>3.3/3</f>
        <v>1.0999999999999999</v>
      </c>
      <c r="R33" s="365"/>
      <c r="S33" s="364">
        <f>3/3</f>
        <v>1</v>
      </c>
      <c r="T33" s="365">
        <f>3/3</f>
        <v>1</v>
      </c>
      <c r="U33" s="365"/>
      <c r="V33" s="364"/>
      <c r="W33" s="365">
        <f>3/3</f>
        <v>1</v>
      </c>
      <c r="X33" s="365"/>
      <c r="Y33" s="364"/>
      <c r="Z33" s="365"/>
      <c r="AA33" s="365">
        <f>1/3</f>
        <v>0.33333333333333331</v>
      </c>
      <c r="AB33" s="364"/>
      <c r="AC33" s="365">
        <f>2/3</f>
        <v>0.66666666666666663</v>
      </c>
      <c r="AD33" s="365"/>
      <c r="AE33" s="364"/>
      <c r="AF33" s="365">
        <f>2/3</f>
        <v>0.66666666666666663</v>
      </c>
      <c r="AG33" s="365"/>
      <c r="AH33" s="364"/>
      <c r="AI33" s="365">
        <f>2/3</f>
        <v>0.66666666666666663</v>
      </c>
      <c r="AJ33" s="365"/>
      <c r="AK33" s="364"/>
      <c r="AL33" s="365"/>
      <c r="AM33" s="365"/>
      <c r="AN33" s="366">
        <f t="shared" si="5"/>
        <v>6.4333333333333336</v>
      </c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</row>
    <row r="34" spans="2:63" ht="24.95" customHeight="1" x14ac:dyDescent="0.15">
      <c r="B34" s="521" t="s">
        <v>431</v>
      </c>
      <c r="C34" s="522"/>
      <c r="D34" s="364"/>
      <c r="E34" s="365"/>
      <c r="F34" s="365"/>
      <c r="G34" s="364"/>
      <c r="H34" s="365"/>
      <c r="I34" s="365"/>
      <c r="J34" s="364"/>
      <c r="K34" s="365"/>
      <c r="L34" s="365"/>
      <c r="M34" s="364"/>
      <c r="N34" s="365"/>
      <c r="O34" s="365"/>
      <c r="P34" s="364"/>
      <c r="Q34" s="365"/>
      <c r="R34" s="365"/>
      <c r="S34" s="364">
        <v>1</v>
      </c>
      <c r="T34" s="365">
        <v>2</v>
      </c>
      <c r="U34" s="365"/>
      <c r="V34" s="364"/>
      <c r="W34" s="365">
        <v>2</v>
      </c>
      <c r="X34" s="365"/>
      <c r="Y34" s="364"/>
      <c r="Z34" s="365"/>
      <c r="AA34" s="365"/>
      <c r="AB34" s="364"/>
      <c r="AC34" s="365">
        <v>2</v>
      </c>
      <c r="AD34" s="365"/>
      <c r="AE34" s="364"/>
      <c r="AF34" s="365"/>
      <c r="AG34" s="365">
        <v>2</v>
      </c>
      <c r="AH34" s="364"/>
      <c r="AI34" s="365"/>
      <c r="AJ34" s="365"/>
      <c r="AK34" s="364"/>
      <c r="AL34" s="365"/>
      <c r="AM34" s="365"/>
      <c r="AN34" s="366">
        <f t="shared" si="5"/>
        <v>9</v>
      </c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</row>
    <row r="35" spans="2:63" ht="24.95" customHeight="1" x14ac:dyDescent="0.15">
      <c r="B35" s="521" t="s">
        <v>305</v>
      </c>
      <c r="C35" s="522"/>
      <c r="D35" s="364"/>
      <c r="E35" s="365"/>
      <c r="F35" s="365"/>
      <c r="G35" s="364"/>
      <c r="H35" s="365"/>
      <c r="I35" s="365"/>
      <c r="J35" s="364"/>
      <c r="K35" s="365"/>
      <c r="L35" s="365"/>
      <c r="M35" s="364"/>
      <c r="N35" s="365"/>
      <c r="O35" s="365"/>
      <c r="P35" s="364"/>
      <c r="Q35" s="365"/>
      <c r="R35" s="365"/>
      <c r="S35" s="364"/>
      <c r="T35" s="365"/>
      <c r="U35" s="365"/>
      <c r="V35" s="364"/>
      <c r="W35" s="365"/>
      <c r="X35" s="365"/>
      <c r="Y35" s="364"/>
      <c r="Z35" s="365"/>
      <c r="AA35" s="365"/>
      <c r="AB35" s="364"/>
      <c r="AC35" s="365"/>
      <c r="AD35" s="365"/>
      <c r="AE35" s="364">
        <v>1</v>
      </c>
      <c r="AF35" s="365"/>
      <c r="AG35" s="365"/>
      <c r="AH35" s="364"/>
      <c r="AI35" s="365"/>
      <c r="AJ35" s="365"/>
      <c r="AK35" s="364"/>
      <c r="AL35" s="365"/>
      <c r="AM35" s="365"/>
      <c r="AN35" s="366">
        <f t="shared" si="5"/>
        <v>1</v>
      </c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</row>
    <row r="36" spans="2:63" ht="24.95" customHeight="1" x14ac:dyDescent="0.15">
      <c r="B36" s="521" t="s">
        <v>373</v>
      </c>
      <c r="C36" s="522"/>
      <c r="D36" s="364">
        <v>2.2000000000000002</v>
      </c>
      <c r="E36" s="365">
        <v>2.2000000000000002</v>
      </c>
      <c r="F36" s="365">
        <v>2.2000000000000002</v>
      </c>
      <c r="G36" s="364"/>
      <c r="H36" s="365"/>
      <c r="I36" s="365"/>
      <c r="J36" s="364"/>
      <c r="K36" s="365"/>
      <c r="L36" s="365"/>
      <c r="M36" s="364"/>
      <c r="N36" s="365"/>
      <c r="O36" s="365"/>
      <c r="P36" s="364"/>
      <c r="Q36" s="365"/>
      <c r="R36" s="365"/>
      <c r="S36" s="364"/>
      <c r="T36" s="365"/>
      <c r="U36" s="365"/>
      <c r="V36" s="364"/>
      <c r="W36" s="365"/>
      <c r="X36" s="365"/>
      <c r="Y36" s="364"/>
      <c r="Z36" s="365"/>
      <c r="AA36" s="365"/>
      <c r="AB36" s="364"/>
      <c r="AC36" s="365"/>
      <c r="AD36" s="365"/>
      <c r="AE36" s="364"/>
      <c r="AF36" s="365"/>
      <c r="AG36" s="365"/>
      <c r="AH36" s="364"/>
      <c r="AI36" s="365"/>
      <c r="AJ36" s="365"/>
      <c r="AK36" s="364">
        <v>2.2000000000000002</v>
      </c>
      <c r="AL36" s="365">
        <v>2.2000000000000002</v>
      </c>
      <c r="AM36" s="365">
        <v>2.2000000000000002</v>
      </c>
      <c r="AN36" s="366">
        <f t="shared" si="5"/>
        <v>13.2</v>
      </c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</row>
    <row r="37" spans="2:63" ht="24.95" customHeight="1" x14ac:dyDescent="0.15">
      <c r="B37" s="1066" t="s">
        <v>432</v>
      </c>
      <c r="C37" s="1067"/>
      <c r="D37" s="364">
        <v>51.33</v>
      </c>
      <c r="E37" s="365">
        <v>51.33</v>
      </c>
      <c r="F37" s="365">
        <v>51.33</v>
      </c>
      <c r="G37" s="364"/>
      <c r="H37" s="365"/>
      <c r="I37" s="365"/>
      <c r="J37" s="364"/>
      <c r="K37" s="365"/>
      <c r="L37" s="365"/>
      <c r="M37" s="364"/>
      <c r="N37" s="365"/>
      <c r="O37" s="365"/>
      <c r="P37" s="364"/>
      <c r="Q37" s="365"/>
      <c r="R37" s="365"/>
      <c r="S37" s="364"/>
      <c r="T37" s="365"/>
      <c r="U37" s="365"/>
      <c r="V37" s="364"/>
      <c r="W37" s="365"/>
      <c r="X37" s="365"/>
      <c r="Y37" s="364"/>
      <c r="Z37" s="365"/>
      <c r="AA37" s="365"/>
      <c r="AB37" s="364"/>
      <c r="AC37" s="365"/>
      <c r="AD37" s="365"/>
      <c r="AE37" s="364"/>
      <c r="AF37" s="365"/>
      <c r="AG37" s="365"/>
      <c r="AH37" s="364"/>
      <c r="AI37" s="365"/>
      <c r="AJ37" s="365"/>
      <c r="AK37" s="364">
        <v>51.33</v>
      </c>
      <c r="AL37" s="365">
        <v>51.33</v>
      </c>
      <c r="AM37" s="365">
        <v>51.33</v>
      </c>
      <c r="AN37" s="366">
        <f t="shared" si="5"/>
        <v>307.97999999999996</v>
      </c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</row>
    <row r="38" spans="2:63" ht="24.95" customHeight="1" x14ac:dyDescent="0.15">
      <c r="B38" s="521" t="s">
        <v>433</v>
      </c>
      <c r="C38" s="522"/>
      <c r="D38" s="364">
        <v>2</v>
      </c>
      <c r="E38" s="365">
        <v>2</v>
      </c>
      <c r="F38" s="365">
        <v>2</v>
      </c>
      <c r="G38" s="364"/>
      <c r="H38" s="365"/>
      <c r="I38" s="365"/>
      <c r="J38" s="364"/>
      <c r="K38" s="365"/>
      <c r="L38" s="365"/>
      <c r="M38" s="364"/>
      <c r="N38" s="365"/>
      <c r="O38" s="365"/>
      <c r="P38" s="364"/>
      <c r="Q38" s="365"/>
      <c r="R38" s="365"/>
      <c r="S38" s="364"/>
      <c r="T38" s="365"/>
      <c r="U38" s="365"/>
      <c r="V38" s="364"/>
      <c r="W38" s="365"/>
      <c r="X38" s="365"/>
      <c r="Y38" s="364"/>
      <c r="Z38" s="365"/>
      <c r="AA38" s="365"/>
      <c r="AB38" s="364"/>
      <c r="AC38" s="365"/>
      <c r="AD38" s="365"/>
      <c r="AE38" s="364"/>
      <c r="AF38" s="365"/>
      <c r="AG38" s="365"/>
      <c r="AH38" s="364"/>
      <c r="AI38" s="365"/>
      <c r="AJ38" s="365"/>
      <c r="AK38" s="364">
        <v>2</v>
      </c>
      <c r="AL38" s="365">
        <v>2</v>
      </c>
      <c r="AM38" s="365">
        <v>2</v>
      </c>
      <c r="AN38" s="366">
        <f>SUM(D38:AM38)</f>
        <v>12</v>
      </c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</row>
    <row r="39" spans="2:63" ht="24.95" customHeight="1" x14ac:dyDescent="0.15">
      <c r="B39" s="1062" t="s">
        <v>558</v>
      </c>
      <c r="C39" s="1063"/>
      <c r="D39" s="364">
        <f t="shared" ref="D39:X39" si="6">SUM(D28:D38)</f>
        <v>55.53</v>
      </c>
      <c r="E39" s="83">
        <f t="shared" si="6"/>
        <v>55.53</v>
      </c>
      <c r="F39" s="367">
        <f t="shared" si="6"/>
        <v>55.53</v>
      </c>
      <c r="G39" s="364">
        <f t="shared" si="6"/>
        <v>0</v>
      </c>
      <c r="H39" s="83">
        <f t="shared" si="6"/>
        <v>0</v>
      </c>
      <c r="I39" s="367">
        <f t="shared" si="6"/>
        <v>0</v>
      </c>
      <c r="J39" s="364">
        <f t="shared" si="6"/>
        <v>0</v>
      </c>
      <c r="K39" s="83">
        <f t="shared" si="6"/>
        <v>0</v>
      </c>
      <c r="L39" s="367">
        <f t="shared" si="6"/>
        <v>0</v>
      </c>
      <c r="M39" s="364">
        <f t="shared" si="6"/>
        <v>0</v>
      </c>
      <c r="N39" s="83">
        <f t="shared" si="6"/>
        <v>2</v>
      </c>
      <c r="O39" s="367">
        <f t="shared" si="6"/>
        <v>3</v>
      </c>
      <c r="P39" s="364">
        <f t="shared" si="6"/>
        <v>6.8066666666666666</v>
      </c>
      <c r="Q39" s="83">
        <f t="shared" si="6"/>
        <v>7.1</v>
      </c>
      <c r="R39" s="367">
        <f t="shared" si="6"/>
        <v>0</v>
      </c>
      <c r="S39" s="364">
        <f t="shared" si="6"/>
        <v>2</v>
      </c>
      <c r="T39" s="83">
        <f t="shared" si="6"/>
        <v>3</v>
      </c>
      <c r="U39" s="367">
        <f t="shared" si="6"/>
        <v>0</v>
      </c>
      <c r="V39" s="364">
        <f t="shared" si="6"/>
        <v>0</v>
      </c>
      <c r="W39" s="83">
        <f t="shared" si="6"/>
        <v>3</v>
      </c>
      <c r="X39" s="367">
        <f t="shared" si="6"/>
        <v>0</v>
      </c>
      <c r="Y39" s="364"/>
      <c r="Z39" s="83">
        <f t="shared" ref="Z39:AM39" si="7">SUM(Z28:Z38)</f>
        <v>0</v>
      </c>
      <c r="AA39" s="367">
        <f t="shared" si="7"/>
        <v>0.33333333333333331</v>
      </c>
      <c r="AB39" s="364">
        <f t="shared" si="7"/>
        <v>0</v>
      </c>
      <c r="AC39" s="83">
        <f t="shared" si="7"/>
        <v>2.6666666666666665</v>
      </c>
      <c r="AD39" s="367">
        <f t="shared" si="7"/>
        <v>0</v>
      </c>
      <c r="AE39" s="364">
        <f t="shared" si="7"/>
        <v>1</v>
      </c>
      <c r="AF39" s="83">
        <f t="shared" si="7"/>
        <v>0.66666666666666663</v>
      </c>
      <c r="AG39" s="367">
        <f t="shared" si="7"/>
        <v>2</v>
      </c>
      <c r="AH39" s="364">
        <f t="shared" si="7"/>
        <v>0</v>
      </c>
      <c r="AI39" s="83">
        <f t="shared" si="7"/>
        <v>0.66666666666666663</v>
      </c>
      <c r="AJ39" s="367">
        <f t="shared" si="7"/>
        <v>0</v>
      </c>
      <c r="AK39" s="364">
        <f t="shared" si="7"/>
        <v>55.53</v>
      </c>
      <c r="AL39" s="83">
        <f t="shared" si="7"/>
        <v>55.53</v>
      </c>
      <c r="AM39" s="367">
        <f t="shared" si="7"/>
        <v>55.53</v>
      </c>
      <c r="AN39" s="366">
        <f>SUM(D39:AM39)</f>
        <v>367.41999999999996</v>
      </c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</row>
    <row r="40" spans="2:63" ht="24.95" customHeight="1" thickBot="1" x14ac:dyDescent="0.2">
      <c r="B40" s="1064" t="s">
        <v>559</v>
      </c>
      <c r="C40" s="1065"/>
      <c r="D40" s="86"/>
      <c r="E40" s="87">
        <f>SUM(D39:F39)</f>
        <v>166.59</v>
      </c>
      <c r="F40" s="87"/>
      <c r="G40" s="86"/>
      <c r="H40" s="87">
        <f>SUM(G39:I39)</f>
        <v>0</v>
      </c>
      <c r="I40" s="87"/>
      <c r="J40" s="86"/>
      <c r="K40" s="87">
        <f>SUM(J39:L39)</f>
        <v>0</v>
      </c>
      <c r="L40" s="87"/>
      <c r="M40" s="86"/>
      <c r="N40" s="87">
        <f>SUM(M39:O39)</f>
        <v>5</v>
      </c>
      <c r="O40" s="87"/>
      <c r="P40" s="86"/>
      <c r="Q40" s="87">
        <f>SUM(P39:R39)</f>
        <v>13.906666666666666</v>
      </c>
      <c r="R40" s="87"/>
      <c r="S40" s="86"/>
      <c r="T40" s="87">
        <f>SUM(S39:U39)</f>
        <v>5</v>
      </c>
      <c r="U40" s="87"/>
      <c r="V40" s="86"/>
      <c r="W40" s="87">
        <f>SUM(V39:X39)</f>
        <v>3</v>
      </c>
      <c r="X40" s="87"/>
      <c r="Y40" s="86"/>
      <c r="Z40" s="87">
        <f>SUM(Y39:AA39)</f>
        <v>0.33333333333333331</v>
      </c>
      <c r="AA40" s="87"/>
      <c r="AB40" s="86"/>
      <c r="AC40" s="87">
        <f>SUM(AB39:AD39)</f>
        <v>2.6666666666666665</v>
      </c>
      <c r="AD40" s="87"/>
      <c r="AE40" s="86"/>
      <c r="AF40" s="87">
        <f>SUM(AE39:AG39)</f>
        <v>3.6666666666666665</v>
      </c>
      <c r="AG40" s="87"/>
      <c r="AH40" s="86"/>
      <c r="AI40" s="87">
        <f>SUM(AH39:AJ39)</f>
        <v>0.66666666666666663</v>
      </c>
      <c r="AJ40" s="87"/>
      <c r="AK40" s="86"/>
      <c r="AL40" s="87">
        <f>SUM(AK39:AM39)</f>
        <v>166.59</v>
      </c>
      <c r="AM40" s="87"/>
      <c r="AN40" s="88">
        <f>SUM(AN28:AN38)</f>
        <v>367.41999999999996</v>
      </c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</row>
    <row r="41" spans="2:63" ht="24.95" customHeight="1" x14ac:dyDescent="0.15">
      <c r="B41" s="520"/>
      <c r="C41" s="520"/>
      <c r="D41" s="499"/>
      <c r="E41" s="499"/>
      <c r="F41" s="499"/>
      <c r="G41" s="499"/>
      <c r="H41" s="499"/>
      <c r="I41" s="499"/>
      <c r="J41" s="499"/>
      <c r="K41" s="499"/>
      <c r="L41" s="499"/>
      <c r="M41" s="499"/>
      <c r="N41" s="499"/>
      <c r="O41" s="499"/>
      <c r="P41" s="499"/>
      <c r="Q41" s="499"/>
      <c r="R41" s="499"/>
      <c r="S41" s="499"/>
      <c r="T41" s="499"/>
      <c r="U41" s="499"/>
      <c r="V41" s="499"/>
      <c r="W41" s="499"/>
      <c r="X41" s="499"/>
      <c r="Y41" s="499"/>
      <c r="Z41" s="499"/>
      <c r="AA41" s="499"/>
      <c r="AB41" s="499"/>
      <c r="AC41" s="499"/>
      <c r="AD41" s="499"/>
      <c r="AE41" s="499"/>
      <c r="AF41" s="499"/>
      <c r="AG41" s="499"/>
      <c r="AH41" s="499"/>
      <c r="AI41" s="499"/>
      <c r="AJ41" s="499"/>
      <c r="AK41" s="499"/>
      <c r="AL41" s="499"/>
      <c r="AM41" s="499"/>
      <c r="AN41" s="499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</row>
    <row r="42" spans="2:63" ht="24.95" customHeight="1" thickBot="1" x14ac:dyDescent="0.2">
      <c r="B42" s="5" t="s">
        <v>627</v>
      </c>
      <c r="C42" s="5">
        <v>2</v>
      </c>
      <c r="D42" s="5" t="s">
        <v>566</v>
      </c>
      <c r="E42" s="1047" t="s">
        <v>567</v>
      </c>
      <c r="F42" s="1047"/>
      <c r="G42" s="500">
        <v>0.8</v>
      </c>
      <c r="H42" s="5" t="s">
        <v>566</v>
      </c>
      <c r="I42" s="1047" t="s">
        <v>568</v>
      </c>
      <c r="J42" s="1047"/>
      <c r="K42" s="500">
        <v>1.2</v>
      </c>
      <c r="L42" s="5" t="s">
        <v>569</v>
      </c>
      <c r="M42" s="519"/>
      <c r="N42" s="5"/>
      <c r="O42" s="5"/>
      <c r="P42" s="519"/>
      <c r="Q42" s="5"/>
      <c r="R42" s="5"/>
      <c r="S42" s="5"/>
      <c r="T42" s="5"/>
      <c r="U42" s="5"/>
      <c r="V42" s="5"/>
      <c r="W42" s="519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</row>
    <row r="43" spans="2:63" ht="20.100000000000001" customHeight="1" x14ac:dyDescent="0.15">
      <c r="B43" s="1049" t="s">
        <v>427</v>
      </c>
      <c r="C43" s="1050"/>
      <c r="D43" s="1048">
        <v>1</v>
      </c>
      <c r="E43" s="1039"/>
      <c r="F43" s="1040"/>
      <c r="G43" s="1048">
        <v>2</v>
      </c>
      <c r="H43" s="1039"/>
      <c r="I43" s="1040"/>
      <c r="J43" s="1048">
        <v>3</v>
      </c>
      <c r="K43" s="1039"/>
      <c r="L43" s="1040"/>
      <c r="M43" s="1048">
        <v>4</v>
      </c>
      <c r="N43" s="1039"/>
      <c r="O43" s="1040"/>
      <c r="P43" s="1048">
        <v>5</v>
      </c>
      <c r="Q43" s="1039"/>
      <c r="R43" s="1040"/>
      <c r="S43" s="1048">
        <v>6</v>
      </c>
      <c r="T43" s="1039"/>
      <c r="U43" s="1040"/>
      <c r="V43" s="1048">
        <v>7</v>
      </c>
      <c r="W43" s="1039"/>
      <c r="X43" s="1040"/>
      <c r="Y43" s="1048">
        <v>8</v>
      </c>
      <c r="Z43" s="1039"/>
      <c r="AA43" s="1040"/>
      <c r="AB43" s="1048">
        <v>9</v>
      </c>
      <c r="AC43" s="1039"/>
      <c r="AD43" s="1040"/>
      <c r="AE43" s="1048">
        <v>10</v>
      </c>
      <c r="AF43" s="1039"/>
      <c r="AG43" s="1040"/>
      <c r="AH43" s="1048">
        <v>11</v>
      </c>
      <c r="AI43" s="1039"/>
      <c r="AJ43" s="1040"/>
      <c r="AK43" s="1048">
        <v>12</v>
      </c>
      <c r="AL43" s="1039"/>
      <c r="AM43" s="1040"/>
      <c r="AN43" s="1060" t="s">
        <v>33</v>
      </c>
    </row>
    <row r="44" spans="2:63" ht="20.100000000000001" customHeight="1" x14ac:dyDescent="0.15">
      <c r="B44" s="1051"/>
      <c r="C44" s="1052"/>
      <c r="D44" s="361" t="s">
        <v>34</v>
      </c>
      <c r="E44" s="70" t="s">
        <v>35</v>
      </c>
      <c r="F44" s="362" t="s">
        <v>36</v>
      </c>
      <c r="G44" s="361" t="s">
        <v>34</v>
      </c>
      <c r="H44" s="362" t="s">
        <v>35</v>
      </c>
      <c r="I44" s="362" t="s">
        <v>36</v>
      </c>
      <c r="J44" s="361" t="s">
        <v>34</v>
      </c>
      <c r="K44" s="362" t="s">
        <v>35</v>
      </c>
      <c r="L44" s="362" t="s">
        <v>36</v>
      </c>
      <c r="M44" s="361" t="s">
        <v>34</v>
      </c>
      <c r="N44" s="362" t="s">
        <v>35</v>
      </c>
      <c r="O44" s="362" t="s">
        <v>36</v>
      </c>
      <c r="P44" s="361" t="s">
        <v>34</v>
      </c>
      <c r="Q44" s="362" t="s">
        <v>35</v>
      </c>
      <c r="R44" s="362" t="s">
        <v>36</v>
      </c>
      <c r="S44" s="361" t="s">
        <v>34</v>
      </c>
      <c r="T44" s="70" t="s">
        <v>35</v>
      </c>
      <c r="U44" s="363" t="s">
        <v>36</v>
      </c>
      <c r="V44" s="361" t="s">
        <v>34</v>
      </c>
      <c r="W44" s="362" t="s">
        <v>35</v>
      </c>
      <c r="X44" s="362" t="s">
        <v>36</v>
      </c>
      <c r="Y44" s="361" t="s">
        <v>34</v>
      </c>
      <c r="Z44" s="362" t="s">
        <v>35</v>
      </c>
      <c r="AA44" s="362" t="s">
        <v>36</v>
      </c>
      <c r="AB44" s="361" t="s">
        <v>34</v>
      </c>
      <c r="AC44" s="362" t="s">
        <v>35</v>
      </c>
      <c r="AD44" s="362" t="s">
        <v>36</v>
      </c>
      <c r="AE44" s="361" t="s">
        <v>34</v>
      </c>
      <c r="AF44" s="362" t="s">
        <v>35</v>
      </c>
      <c r="AG44" s="362" t="s">
        <v>36</v>
      </c>
      <c r="AH44" s="361" t="s">
        <v>34</v>
      </c>
      <c r="AI44" s="362" t="s">
        <v>35</v>
      </c>
      <c r="AJ44" s="362" t="s">
        <v>36</v>
      </c>
      <c r="AK44" s="361" t="s">
        <v>34</v>
      </c>
      <c r="AL44" s="362" t="s">
        <v>35</v>
      </c>
      <c r="AM44" s="362" t="s">
        <v>36</v>
      </c>
      <c r="AN44" s="1061"/>
    </row>
    <row r="45" spans="2:63" ht="20.100000000000001" customHeight="1" x14ac:dyDescent="0.15">
      <c r="B45" s="1053" t="s">
        <v>428</v>
      </c>
      <c r="C45" s="1054"/>
      <c r="D45" s="73"/>
      <c r="E45" s="5"/>
      <c r="F45" s="5"/>
      <c r="G45" s="5"/>
      <c r="H45" s="5"/>
      <c r="I45" s="5"/>
      <c r="J45" s="5"/>
      <c r="K45" s="5"/>
      <c r="L45" s="5"/>
      <c r="M45" s="5"/>
      <c r="N45" s="5"/>
      <c r="O45" s="519"/>
      <c r="P45" s="519"/>
      <c r="Q45" s="5"/>
      <c r="R45" s="5"/>
      <c r="S45" s="167"/>
      <c r="T45" s="167"/>
      <c r="U45" s="5"/>
      <c r="V45" s="520"/>
      <c r="W45" s="5"/>
      <c r="X45" s="5"/>
      <c r="Y45" s="5"/>
      <c r="Z45" s="5"/>
      <c r="AA45" s="5"/>
      <c r="AB45" s="5"/>
      <c r="AC45" s="5"/>
      <c r="AD45" s="5"/>
      <c r="AE45" s="167"/>
      <c r="AF45" s="167"/>
      <c r="AG45" s="167"/>
      <c r="AH45" s="167"/>
      <c r="AI45" s="167"/>
      <c r="AJ45" s="5"/>
      <c r="AK45" s="5"/>
      <c r="AL45" s="5"/>
      <c r="AM45" s="5"/>
      <c r="AN45" s="368"/>
    </row>
    <row r="46" spans="2:63" ht="20.100000000000001" customHeight="1" x14ac:dyDescent="0.15">
      <c r="B46" s="1055"/>
      <c r="C46" s="1056"/>
      <c r="D46" s="1057" t="s">
        <v>560</v>
      </c>
      <c r="E46" s="1058"/>
      <c r="F46" s="1058"/>
      <c r="G46" s="5"/>
      <c r="H46" s="5"/>
      <c r="I46" s="5"/>
      <c r="J46" s="5"/>
      <c r="K46" s="5"/>
      <c r="L46" s="5"/>
      <c r="M46" s="5"/>
      <c r="N46" s="5"/>
      <c r="O46" s="519"/>
      <c r="P46" s="519"/>
      <c r="Q46" s="5"/>
      <c r="R46" s="5"/>
      <c r="S46" s="167"/>
      <c r="T46" s="167"/>
      <c r="U46" s="5"/>
      <c r="V46" s="520"/>
      <c r="W46" s="5"/>
      <c r="X46" s="5"/>
      <c r="Y46" s="5"/>
      <c r="Z46" s="5"/>
      <c r="AA46" s="5"/>
      <c r="AB46" s="5"/>
      <c r="AC46" s="5"/>
      <c r="AD46" s="5"/>
      <c r="AE46" s="167"/>
      <c r="AF46" s="167"/>
      <c r="AG46" s="167"/>
      <c r="AH46" s="167"/>
      <c r="AI46" s="167"/>
      <c r="AJ46" s="5"/>
      <c r="AK46" s="5"/>
      <c r="AL46" s="5"/>
      <c r="AM46" s="5"/>
      <c r="AN46" s="369"/>
    </row>
    <row r="47" spans="2:63" ht="20.100000000000001" customHeight="1" x14ac:dyDescent="0.15">
      <c r="B47" s="1055"/>
      <c r="C47" s="1056"/>
      <c r="D47" s="73"/>
      <c r="E47" s="5"/>
      <c r="F47" s="5"/>
      <c r="G47" s="5"/>
      <c r="H47" s="5"/>
      <c r="I47" s="5"/>
      <c r="J47" s="1059" t="s">
        <v>565</v>
      </c>
      <c r="K47" s="1059"/>
      <c r="L47" s="1059"/>
      <c r="N47" s="5"/>
      <c r="O47" s="5"/>
      <c r="P47" s="5"/>
      <c r="Q47" s="5"/>
      <c r="R47" s="5"/>
      <c r="S47" s="167"/>
      <c r="T47" s="167"/>
      <c r="U47" s="5"/>
      <c r="V47" s="5"/>
      <c r="W47" s="520"/>
      <c r="X47" s="5"/>
      <c r="Y47" s="5"/>
      <c r="Z47" s="5"/>
      <c r="AA47" s="5"/>
      <c r="AB47" s="5"/>
      <c r="AC47" s="5"/>
      <c r="AD47" s="5"/>
      <c r="AE47" s="167"/>
      <c r="AF47" s="167"/>
      <c r="AG47" s="167"/>
      <c r="AH47" s="167"/>
      <c r="AI47" s="167"/>
      <c r="AJ47" s="5"/>
      <c r="AK47" s="5"/>
      <c r="AL47" s="5"/>
      <c r="AM47" s="5"/>
      <c r="AN47" s="369"/>
    </row>
    <row r="48" spans="2:63" ht="20.100000000000001" customHeight="1" x14ac:dyDescent="0.15">
      <c r="B48" s="1051"/>
      <c r="C48" s="1052"/>
      <c r="D48" s="370"/>
      <c r="E48" s="371"/>
      <c r="F48" s="371"/>
      <c r="G48" s="371"/>
      <c r="H48" s="371"/>
      <c r="I48" s="371"/>
      <c r="J48" s="371"/>
      <c r="K48" s="371"/>
      <c r="L48" s="371"/>
      <c r="M48" s="371"/>
      <c r="N48" s="371"/>
      <c r="O48" s="371"/>
      <c r="P48" s="371"/>
      <c r="Q48" s="371"/>
      <c r="R48" s="371"/>
      <c r="S48" s="371"/>
      <c r="T48" s="371"/>
      <c r="U48" s="371"/>
      <c r="V48" s="371"/>
      <c r="W48" s="371"/>
      <c r="X48" s="371"/>
      <c r="Y48" s="371"/>
      <c r="Z48" s="371"/>
      <c r="AA48" s="371"/>
      <c r="AB48" s="371"/>
      <c r="AC48" s="371"/>
      <c r="AD48" s="371"/>
      <c r="AE48" s="371"/>
      <c r="AF48" s="371"/>
      <c r="AG48" s="371"/>
      <c r="AH48" s="371"/>
      <c r="AI48" s="371"/>
      <c r="AJ48" s="371"/>
      <c r="AK48" s="371"/>
      <c r="AL48" s="371"/>
      <c r="AM48" s="371"/>
      <c r="AN48" s="372"/>
    </row>
    <row r="49" spans="2:40" ht="20.100000000000001" customHeight="1" x14ac:dyDescent="0.15">
      <c r="B49" s="1066" t="s">
        <v>589</v>
      </c>
      <c r="C49" s="1067"/>
      <c r="D49" s="364"/>
      <c r="E49" s="365"/>
      <c r="F49" s="365"/>
      <c r="G49" s="364"/>
      <c r="H49" s="365"/>
      <c r="I49" s="365"/>
      <c r="J49" s="364"/>
      <c r="K49" s="365"/>
      <c r="L49" s="365"/>
      <c r="M49" s="364"/>
      <c r="N49" s="365"/>
      <c r="O49" s="365"/>
      <c r="P49" s="501">
        <f>P9*$G$42*10+P28*$K$42*10</f>
        <v>52.8</v>
      </c>
      <c r="Q49" s="365"/>
      <c r="R49" s="365"/>
      <c r="S49" s="364"/>
      <c r="T49" s="365"/>
      <c r="U49" s="365"/>
      <c r="V49" s="364"/>
      <c r="W49" s="365"/>
      <c r="X49" s="365"/>
      <c r="Y49" s="364"/>
      <c r="Z49" s="365"/>
      <c r="AA49" s="365"/>
      <c r="AB49" s="364"/>
      <c r="AC49" s="365"/>
      <c r="AD49" s="365"/>
      <c r="AE49" s="364"/>
      <c r="AF49" s="365"/>
      <c r="AG49" s="365"/>
      <c r="AH49" s="364"/>
      <c r="AI49" s="365"/>
      <c r="AJ49" s="365"/>
      <c r="AK49" s="364"/>
      <c r="AL49" s="365"/>
      <c r="AM49" s="365"/>
      <c r="AN49" s="366">
        <f>SUM(D49:AM49)</f>
        <v>52.8</v>
      </c>
    </row>
    <row r="50" spans="2:40" ht="20.100000000000001" customHeight="1" x14ac:dyDescent="0.15">
      <c r="B50" s="1066" t="s">
        <v>429</v>
      </c>
      <c r="C50" s="1067"/>
      <c r="D50" s="364"/>
      <c r="E50" s="365"/>
      <c r="F50" s="365"/>
      <c r="G50" s="364"/>
      <c r="H50" s="365"/>
      <c r="I50" s="365"/>
      <c r="J50" s="364"/>
      <c r="K50" s="365"/>
      <c r="L50" s="365"/>
      <c r="M50" s="364"/>
      <c r="N50" s="365"/>
      <c r="O50" s="365"/>
      <c r="P50" s="364">
        <f>P10*$G$42*10+P29*$K$42*10</f>
        <v>23.333333333333336</v>
      </c>
      <c r="Q50" s="365"/>
      <c r="R50" s="365"/>
      <c r="S50" s="364"/>
      <c r="T50" s="365"/>
      <c r="U50" s="365"/>
      <c r="V50" s="364"/>
      <c r="W50" s="365"/>
      <c r="X50" s="365"/>
      <c r="Y50" s="364"/>
      <c r="Z50" s="365"/>
      <c r="AA50" s="365"/>
      <c r="AB50" s="364"/>
      <c r="AC50" s="365"/>
      <c r="AD50" s="365"/>
      <c r="AE50" s="364"/>
      <c r="AF50" s="365"/>
      <c r="AG50" s="365"/>
      <c r="AH50" s="364"/>
      <c r="AI50" s="365"/>
      <c r="AJ50" s="365"/>
      <c r="AK50" s="364"/>
      <c r="AL50" s="365"/>
      <c r="AM50" s="365"/>
      <c r="AN50" s="366">
        <f t="shared" ref="AN50:AN58" si="8">SUM(D50:AM50)</f>
        <v>23.333333333333336</v>
      </c>
    </row>
    <row r="51" spans="2:40" ht="20.100000000000001" customHeight="1" x14ac:dyDescent="0.15">
      <c r="B51" s="1066" t="s">
        <v>430</v>
      </c>
      <c r="C51" s="1067"/>
      <c r="D51" s="364"/>
      <c r="E51" s="365"/>
      <c r="F51" s="365"/>
      <c r="G51" s="364"/>
      <c r="H51" s="365"/>
      <c r="I51" s="365"/>
      <c r="J51" s="364"/>
      <c r="K51" s="365"/>
      <c r="L51" s="365"/>
      <c r="M51" s="364"/>
      <c r="N51" s="365"/>
      <c r="O51" s="365"/>
      <c r="P51" s="364"/>
      <c r="Q51" s="83">
        <f>Q11*$G$42*10+Q30*$K$42*10</f>
        <v>20</v>
      </c>
      <c r="R51" s="365"/>
      <c r="S51" s="364"/>
      <c r="T51" s="365"/>
      <c r="U51" s="365"/>
      <c r="V51" s="364"/>
      <c r="W51" s="365"/>
      <c r="X51" s="365"/>
      <c r="Y51" s="364"/>
      <c r="Z51" s="365"/>
      <c r="AA51" s="365"/>
      <c r="AB51" s="364"/>
      <c r="AC51" s="365"/>
      <c r="AD51" s="365"/>
      <c r="AE51" s="364"/>
      <c r="AF51" s="365"/>
      <c r="AG51" s="365"/>
      <c r="AH51" s="364"/>
      <c r="AI51" s="365"/>
      <c r="AJ51" s="365"/>
      <c r="AK51" s="364"/>
      <c r="AL51" s="365"/>
      <c r="AM51" s="365"/>
      <c r="AN51" s="366">
        <f t="shared" si="8"/>
        <v>20</v>
      </c>
    </row>
    <row r="52" spans="2:40" ht="20.100000000000001" customHeight="1" x14ac:dyDescent="0.15">
      <c r="B52" s="1066" t="s">
        <v>301</v>
      </c>
      <c r="C52" s="1067"/>
      <c r="D52" s="364"/>
      <c r="E52" s="365"/>
      <c r="F52" s="365"/>
      <c r="G52" s="364"/>
      <c r="H52" s="365"/>
      <c r="I52" s="365"/>
      <c r="J52" s="364"/>
      <c r="K52" s="365"/>
      <c r="L52" s="365"/>
      <c r="M52" s="364"/>
      <c r="N52" s="365">
        <f>N12*$G$42*10+N31*$K$42*10</f>
        <v>40</v>
      </c>
      <c r="O52" s="365">
        <f>O12*$G$42*10+O31*$K$42*10</f>
        <v>60</v>
      </c>
      <c r="P52" s="364">
        <f>P12*$G$42*10+P31*$K$42*10</f>
        <v>60</v>
      </c>
      <c r="Q52" s="503">
        <f>Q12*$G$42*10+Q31*$K$42*10</f>
        <v>20</v>
      </c>
      <c r="R52" s="365"/>
      <c r="S52" s="364"/>
      <c r="T52" s="365"/>
      <c r="U52" s="365"/>
      <c r="V52" s="364"/>
      <c r="W52" s="365"/>
      <c r="X52" s="365"/>
      <c r="Y52" s="364"/>
      <c r="Z52" s="365"/>
      <c r="AA52" s="365"/>
      <c r="AB52" s="364"/>
      <c r="AC52" s="365"/>
      <c r="AD52" s="365"/>
      <c r="AE52" s="364"/>
      <c r="AF52" s="365"/>
      <c r="AG52" s="365"/>
      <c r="AH52" s="364"/>
      <c r="AI52" s="365"/>
      <c r="AJ52" s="365"/>
      <c r="AK52" s="364"/>
      <c r="AL52" s="365"/>
      <c r="AM52" s="365"/>
      <c r="AN52" s="366">
        <f t="shared" si="8"/>
        <v>180</v>
      </c>
    </row>
    <row r="53" spans="2:40" ht="20.100000000000001" customHeight="1" x14ac:dyDescent="0.15">
      <c r="B53" s="1066" t="s">
        <v>415</v>
      </c>
      <c r="C53" s="1067"/>
      <c r="D53" s="364"/>
      <c r="E53" s="365"/>
      <c r="F53" s="365"/>
      <c r="G53" s="364"/>
      <c r="H53" s="365"/>
      <c r="I53" s="365"/>
      <c r="J53" s="364"/>
      <c r="K53" s="365"/>
      <c r="L53" s="365"/>
      <c r="M53" s="364"/>
      <c r="N53" s="365"/>
      <c r="O53" s="365"/>
      <c r="P53" s="364"/>
      <c r="Q53" s="503">
        <f>Q13*$G$42*10+Q32*$K$42*10</f>
        <v>80</v>
      </c>
      <c r="R53" s="365"/>
      <c r="S53" s="364"/>
      <c r="T53" s="365"/>
      <c r="U53" s="365"/>
      <c r="V53" s="364"/>
      <c r="W53" s="365"/>
      <c r="X53" s="365"/>
      <c r="Y53" s="364"/>
      <c r="Z53" s="365"/>
      <c r="AA53" s="365"/>
      <c r="AB53" s="364"/>
      <c r="AC53" s="365"/>
      <c r="AD53" s="365"/>
      <c r="AE53" s="364"/>
      <c r="AF53" s="365"/>
      <c r="AG53" s="365"/>
      <c r="AH53" s="364"/>
      <c r="AI53" s="365"/>
      <c r="AJ53" s="365"/>
      <c r="AK53" s="364"/>
      <c r="AL53" s="365"/>
      <c r="AM53" s="365"/>
      <c r="AN53" s="366">
        <f t="shared" si="8"/>
        <v>80</v>
      </c>
    </row>
    <row r="54" spans="2:40" ht="20.100000000000001" customHeight="1" x14ac:dyDescent="0.15">
      <c r="B54" s="521" t="s">
        <v>306</v>
      </c>
      <c r="C54" s="522"/>
      <c r="D54" s="364"/>
      <c r="E54" s="365"/>
      <c r="F54" s="365"/>
      <c r="G54" s="364"/>
      <c r="H54" s="365"/>
      <c r="I54" s="365"/>
      <c r="J54" s="364"/>
      <c r="K54" s="365"/>
      <c r="L54" s="365"/>
      <c r="M54" s="364"/>
      <c r="N54" s="365"/>
      <c r="O54" s="365"/>
      <c r="P54" s="364"/>
      <c r="Q54" s="503">
        <f>Q14*$G$42*10+Q33*$K$42*10</f>
        <v>22</v>
      </c>
      <c r="R54" s="365"/>
      <c r="S54" s="364">
        <f>S14*$G$42*10+S33*$K$42*10</f>
        <v>25.333333333333336</v>
      </c>
      <c r="T54" s="83">
        <f>T14*$G$42*10+T33*$K$42*10</f>
        <v>20</v>
      </c>
      <c r="U54" s="365"/>
      <c r="V54" s="364"/>
      <c r="W54" s="83">
        <f>W14*$G$42*10+W33*$K$42*10</f>
        <v>12</v>
      </c>
      <c r="X54" s="365"/>
      <c r="Y54" s="364"/>
      <c r="Z54" s="365"/>
      <c r="AA54" s="504">
        <f>AA14*$G$42*10+AA33*$K$42*10</f>
        <v>6.6666666666666661</v>
      </c>
      <c r="AB54" s="364"/>
      <c r="AC54" s="83">
        <f>AC14*$G$42*10+AC33*$K$42*10</f>
        <v>13.333333333333332</v>
      </c>
      <c r="AD54" s="365"/>
      <c r="AE54" s="364"/>
      <c r="AF54" s="83">
        <f>AF14*$G$42*10+AF33*$K$42*10</f>
        <v>13.333333333333332</v>
      </c>
      <c r="AG54" s="365"/>
      <c r="AH54" s="364"/>
      <c r="AI54" s="83">
        <f>AI14*$G$42*10+AI33*$K$42*10</f>
        <v>7.9999999999999991</v>
      </c>
      <c r="AJ54" s="365"/>
      <c r="AK54" s="364"/>
      <c r="AL54" s="365"/>
      <c r="AM54" s="365"/>
      <c r="AN54" s="366">
        <f t="shared" si="8"/>
        <v>120.66666666666667</v>
      </c>
    </row>
    <row r="55" spans="2:40" ht="20.100000000000001" customHeight="1" x14ac:dyDescent="0.15">
      <c r="B55" s="521" t="s">
        <v>431</v>
      </c>
      <c r="C55" s="522"/>
      <c r="D55" s="364"/>
      <c r="E55" s="365"/>
      <c r="F55" s="365"/>
      <c r="G55" s="364"/>
      <c r="H55" s="365"/>
      <c r="I55" s="365"/>
      <c r="J55" s="364"/>
      <c r="K55" s="365"/>
      <c r="L55" s="365"/>
      <c r="M55" s="364"/>
      <c r="N55" s="365"/>
      <c r="O55" s="365"/>
      <c r="P55" s="364"/>
      <c r="Q55" s="365"/>
      <c r="R55" s="365"/>
      <c r="S55" s="364">
        <f>S15*$G$42*10+S34*$K$42*10</f>
        <v>20</v>
      </c>
      <c r="T55" s="503">
        <f>T15*$G$42*10+T34*$K$42*10</f>
        <v>40</v>
      </c>
      <c r="U55" s="365"/>
      <c r="V55" s="364"/>
      <c r="W55" s="503">
        <f>W15*$G$42*10+W34*$K$42*10</f>
        <v>40</v>
      </c>
      <c r="X55" s="365"/>
      <c r="Y55" s="364"/>
      <c r="Z55" s="365"/>
      <c r="AA55" s="365"/>
      <c r="AB55" s="364"/>
      <c r="AC55" s="503">
        <f>AC15*$G$42*10+AC34*$K$42*10</f>
        <v>24</v>
      </c>
      <c r="AD55" s="365"/>
      <c r="AE55" s="364"/>
      <c r="AF55" s="365"/>
      <c r="AG55" s="504">
        <f>AG15*$G$42*10+AG34*$K$42*10</f>
        <v>24</v>
      </c>
      <c r="AH55" s="364"/>
      <c r="AI55" s="365"/>
      <c r="AJ55" s="365"/>
      <c r="AK55" s="364"/>
      <c r="AL55" s="365"/>
      <c r="AM55" s="365"/>
      <c r="AN55" s="366">
        <f t="shared" si="8"/>
        <v>148</v>
      </c>
    </row>
    <row r="56" spans="2:40" ht="20.100000000000001" customHeight="1" x14ac:dyDescent="0.15">
      <c r="B56" s="521" t="s">
        <v>305</v>
      </c>
      <c r="C56" s="522"/>
      <c r="D56" s="364"/>
      <c r="E56" s="365"/>
      <c r="F56" s="365"/>
      <c r="G56" s="364"/>
      <c r="H56" s="365"/>
      <c r="I56" s="365"/>
      <c r="J56" s="364"/>
      <c r="K56" s="365"/>
      <c r="L56" s="365"/>
      <c r="M56" s="364"/>
      <c r="N56" s="365"/>
      <c r="O56" s="365"/>
      <c r="P56" s="364"/>
      <c r="Q56" s="365"/>
      <c r="R56" s="365"/>
      <c r="S56" s="364"/>
      <c r="T56" s="365"/>
      <c r="U56" s="365"/>
      <c r="V56" s="364"/>
      <c r="W56" s="365"/>
      <c r="X56" s="365"/>
      <c r="Y56" s="364"/>
      <c r="Z56" s="365"/>
      <c r="AA56" s="365"/>
      <c r="AB56" s="364"/>
      <c r="AC56" s="365"/>
      <c r="AD56" s="365"/>
      <c r="AE56" s="501">
        <f>AE16*$G$42*10+AE35*$K$42*10</f>
        <v>12</v>
      </c>
      <c r="AF56" s="365"/>
      <c r="AG56" s="365"/>
      <c r="AH56" s="364"/>
      <c r="AI56" s="365"/>
      <c r="AJ56" s="365"/>
      <c r="AK56" s="364"/>
      <c r="AL56" s="365"/>
      <c r="AM56" s="365"/>
      <c r="AN56" s="366">
        <f t="shared" si="8"/>
        <v>12</v>
      </c>
    </row>
    <row r="57" spans="2:40" ht="20.100000000000001" customHeight="1" x14ac:dyDescent="0.15">
      <c r="B57" s="521" t="s">
        <v>373</v>
      </c>
      <c r="C57" s="522"/>
      <c r="D57" s="505">
        <f t="shared" ref="D57:F59" si="9">D17*$G$42*10+D36*$K$42*10</f>
        <v>26.400000000000002</v>
      </c>
      <c r="E57" s="83">
        <f t="shared" si="9"/>
        <v>26.400000000000002</v>
      </c>
      <c r="F57" s="506">
        <f t="shared" si="9"/>
        <v>26.400000000000002</v>
      </c>
      <c r="G57" s="364"/>
      <c r="H57" s="365"/>
      <c r="I57" s="365"/>
      <c r="J57" s="364"/>
      <c r="K57" s="365"/>
      <c r="L57" s="365"/>
      <c r="M57" s="364"/>
      <c r="N57" s="365"/>
      <c r="O57" s="365"/>
      <c r="P57" s="364"/>
      <c r="Q57" s="365"/>
      <c r="R57" s="365"/>
      <c r="S57" s="364"/>
      <c r="T57" s="365"/>
      <c r="U57" s="365"/>
      <c r="V57" s="364"/>
      <c r="W57" s="365"/>
      <c r="X57" s="365"/>
      <c r="Y57" s="364"/>
      <c r="Z57" s="365"/>
      <c r="AA57" s="365"/>
      <c r="AB57" s="364"/>
      <c r="AC57" s="365"/>
      <c r="AD57" s="365"/>
      <c r="AE57" s="364"/>
      <c r="AF57" s="365"/>
      <c r="AG57" s="365"/>
      <c r="AH57" s="505">
        <f t="shared" ref="AH57:AM59" si="10">AH17*$G$42*10+AH36*$K$42*10</f>
        <v>35.200000000000003</v>
      </c>
      <c r="AI57" s="83">
        <f t="shared" si="10"/>
        <v>35.200000000000003</v>
      </c>
      <c r="AJ57" s="506">
        <f t="shared" si="10"/>
        <v>35.200000000000003</v>
      </c>
      <c r="AK57" s="505">
        <f t="shared" si="10"/>
        <v>26.400000000000002</v>
      </c>
      <c r="AL57" s="83">
        <f t="shared" si="10"/>
        <v>26.400000000000002</v>
      </c>
      <c r="AM57" s="506">
        <f t="shared" si="10"/>
        <v>26.400000000000002</v>
      </c>
      <c r="AN57" s="366">
        <f t="shared" si="8"/>
        <v>264</v>
      </c>
    </row>
    <row r="58" spans="2:40" ht="20.100000000000001" customHeight="1" x14ac:dyDescent="0.15">
      <c r="B58" s="1066" t="s">
        <v>432</v>
      </c>
      <c r="C58" s="1067"/>
      <c r="D58" s="505">
        <f t="shared" si="9"/>
        <v>615.95999999999992</v>
      </c>
      <c r="E58" s="83">
        <f t="shared" si="9"/>
        <v>615.95999999999992</v>
      </c>
      <c r="F58" s="506">
        <f t="shared" si="9"/>
        <v>615.95999999999992</v>
      </c>
      <c r="G58" s="364"/>
      <c r="H58" s="365"/>
      <c r="I58" s="365"/>
      <c r="J58" s="364"/>
      <c r="K58" s="365"/>
      <c r="L58" s="365"/>
      <c r="M58" s="364"/>
      <c r="N58" s="365"/>
      <c r="O58" s="365"/>
      <c r="P58" s="364"/>
      <c r="Q58" s="365"/>
      <c r="R58" s="365"/>
      <c r="S58" s="364"/>
      <c r="T58" s="365"/>
      <c r="U58" s="365"/>
      <c r="V58" s="364"/>
      <c r="W58" s="365"/>
      <c r="X58" s="365"/>
      <c r="Y58" s="364"/>
      <c r="Z58" s="365"/>
      <c r="AA58" s="365"/>
      <c r="AB58" s="364"/>
      <c r="AC58" s="365"/>
      <c r="AD58" s="365"/>
      <c r="AE58" s="364"/>
      <c r="AF58" s="365"/>
      <c r="AG58" s="365"/>
      <c r="AH58" s="505">
        <f t="shared" si="10"/>
        <v>821.60000000000014</v>
      </c>
      <c r="AI58" s="83">
        <f t="shared" si="10"/>
        <v>821.60000000000014</v>
      </c>
      <c r="AJ58" s="506">
        <f t="shared" si="10"/>
        <v>821.60000000000014</v>
      </c>
      <c r="AK58" s="505">
        <f t="shared" si="10"/>
        <v>615.95999999999992</v>
      </c>
      <c r="AL58" s="83">
        <f t="shared" si="10"/>
        <v>615.95999999999992</v>
      </c>
      <c r="AM58" s="506">
        <f t="shared" si="10"/>
        <v>615.95999999999992</v>
      </c>
      <c r="AN58" s="366">
        <f t="shared" si="8"/>
        <v>6160.56</v>
      </c>
    </row>
    <row r="59" spans="2:40" ht="20.100000000000001" customHeight="1" x14ac:dyDescent="0.15">
      <c r="B59" s="521" t="s">
        <v>433</v>
      </c>
      <c r="C59" s="522"/>
      <c r="D59" s="505">
        <f t="shared" si="9"/>
        <v>24</v>
      </c>
      <c r="E59" s="83">
        <f t="shared" si="9"/>
        <v>24</v>
      </c>
      <c r="F59" s="506">
        <f t="shared" si="9"/>
        <v>24</v>
      </c>
      <c r="G59" s="364"/>
      <c r="H59" s="365"/>
      <c r="I59" s="365"/>
      <c r="J59" s="364"/>
      <c r="K59" s="365"/>
      <c r="L59" s="365"/>
      <c r="M59" s="364"/>
      <c r="N59" s="365"/>
      <c r="O59" s="365"/>
      <c r="P59" s="364"/>
      <c r="Q59" s="365"/>
      <c r="R59" s="365"/>
      <c r="S59" s="364"/>
      <c r="T59" s="365"/>
      <c r="U59" s="365"/>
      <c r="V59" s="364"/>
      <c r="W59" s="365"/>
      <c r="X59" s="365"/>
      <c r="Y59" s="364"/>
      <c r="Z59" s="365"/>
      <c r="AA59" s="365"/>
      <c r="AB59" s="364"/>
      <c r="AC59" s="365"/>
      <c r="AD59" s="365"/>
      <c r="AE59" s="364"/>
      <c r="AF59" s="365"/>
      <c r="AG59" s="365"/>
      <c r="AH59" s="505">
        <f t="shared" si="10"/>
        <v>16</v>
      </c>
      <c r="AI59" s="83">
        <f t="shared" si="10"/>
        <v>16</v>
      </c>
      <c r="AJ59" s="506">
        <f t="shared" si="10"/>
        <v>16</v>
      </c>
      <c r="AK59" s="505">
        <f t="shared" si="10"/>
        <v>24</v>
      </c>
      <c r="AL59" s="83">
        <f t="shared" si="10"/>
        <v>24</v>
      </c>
      <c r="AM59" s="506">
        <f t="shared" si="10"/>
        <v>24</v>
      </c>
      <c r="AN59" s="366">
        <f>SUM(D59:AM59)</f>
        <v>192</v>
      </c>
    </row>
    <row r="60" spans="2:40" ht="20.100000000000001" customHeight="1" x14ac:dyDescent="0.15">
      <c r="B60" s="1062" t="s">
        <v>434</v>
      </c>
      <c r="C60" s="1063"/>
      <c r="D60" s="364">
        <f t="shared" ref="D60:X60" si="11">SUM(D49:D59)</f>
        <v>666.3599999999999</v>
      </c>
      <c r="E60" s="83">
        <f t="shared" si="11"/>
        <v>666.3599999999999</v>
      </c>
      <c r="F60" s="367">
        <f t="shared" si="11"/>
        <v>666.3599999999999</v>
      </c>
      <c r="G60" s="364">
        <f t="shared" si="11"/>
        <v>0</v>
      </c>
      <c r="H60" s="83">
        <f t="shared" si="11"/>
        <v>0</v>
      </c>
      <c r="I60" s="367">
        <f t="shared" si="11"/>
        <v>0</v>
      </c>
      <c r="J60" s="364">
        <f t="shared" si="11"/>
        <v>0</v>
      </c>
      <c r="K60" s="83">
        <f t="shared" si="11"/>
        <v>0</v>
      </c>
      <c r="L60" s="367">
        <f t="shared" si="11"/>
        <v>0</v>
      </c>
      <c r="M60" s="364">
        <f t="shared" si="11"/>
        <v>0</v>
      </c>
      <c r="N60" s="83">
        <f t="shared" si="11"/>
        <v>40</v>
      </c>
      <c r="O60" s="367">
        <f t="shared" si="11"/>
        <v>60</v>
      </c>
      <c r="P60" s="364">
        <f t="shared" si="11"/>
        <v>136.13333333333333</v>
      </c>
      <c r="Q60" s="83">
        <f t="shared" si="11"/>
        <v>142</v>
      </c>
      <c r="R60" s="367">
        <f t="shared" si="11"/>
        <v>0</v>
      </c>
      <c r="S60" s="364">
        <f t="shared" si="11"/>
        <v>45.333333333333336</v>
      </c>
      <c r="T60" s="83">
        <f t="shared" si="11"/>
        <v>60</v>
      </c>
      <c r="U60" s="367">
        <f t="shared" si="11"/>
        <v>0</v>
      </c>
      <c r="V60" s="364">
        <f t="shared" si="11"/>
        <v>0</v>
      </c>
      <c r="W60" s="83">
        <f t="shared" si="11"/>
        <v>52</v>
      </c>
      <c r="X60" s="367">
        <f t="shared" si="11"/>
        <v>0</v>
      </c>
      <c r="Y60" s="364"/>
      <c r="Z60" s="83">
        <f t="shared" ref="Z60:AM60" si="12">SUM(Z49:Z59)</f>
        <v>0</v>
      </c>
      <c r="AA60" s="367">
        <f t="shared" si="12"/>
        <v>6.6666666666666661</v>
      </c>
      <c r="AB60" s="364">
        <f t="shared" si="12"/>
        <v>0</v>
      </c>
      <c r="AC60" s="83">
        <f t="shared" si="12"/>
        <v>37.333333333333329</v>
      </c>
      <c r="AD60" s="367">
        <f t="shared" si="12"/>
        <v>0</v>
      </c>
      <c r="AE60" s="364">
        <f t="shared" si="12"/>
        <v>12</v>
      </c>
      <c r="AF60" s="83">
        <f t="shared" si="12"/>
        <v>13.333333333333332</v>
      </c>
      <c r="AG60" s="367">
        <f t="shared" si="12"/>
        <v>24</v>
      </c>
      <c r="AH60" s="364">
        <f t="shared" si="12"/>
        <v>872.80000000000018</v>
      </c>
      <c r="AI60" s="83">
        <f t="shared" si="12"/>
        <v>880.80000000000018</v>
      </c>
      <c r="AJ60" s="367">
        <f t="shared" si="12"/>
        <v>872.80000000000018</v>
      </c>
      <c r="AK60" s="364">
        <f t="shared" si="12"/>
        <v>666.3599999999999</v>
      </c>
      <c r="AL60" s="83">
        <f t="shared" si="12"/>
        <v>666.3599999999999</v>
      </c>
      <c r="AM60" s="367">
        <f t="shared" si="12"/>
        <v>666.3599999999999</v>
      </c>
      <c r="AN60" s="366">
        <f>SUM(D60:AM60)</f>
        <v>7253.36</v>
      </c>
    </row>
    <row r="61" spans="2:40" ht="20.100000000000001" customHeight="1" thickBot="1" x14ac:dyDescent="0.2">
      <c r="B61" s="1064" t="s">
        <v>435</v>
      </c>
      <c r="C61" s="1065"/>
      <c r="D61" s="86"/>
      <c r="E61" s="87">
        <f>SUM(D60:F60)</f>
        <v>1999.0799999999997</v>
      </c>
      <c r="F61" s="87"/>
      <c r="G61" s="86"/>
      <c r="H61" s="87">
        <f>SUM(G60:I60)</f>
        <v>0</v>
      </c>
      <c r="I61" s="87"/>
      <c r="J61" s="86"/>
      <c r="K61" s="87">
        <f>SUM(J60:L60)</f>
        <v>0</v>
      </c>
      <c r="L61" s="87"/>
      <c r="M61" s="86"/>
      <c r="N61" s="87">
        <f>SUM(M60:O60)</f>
        <v>100</v>
      </c>
      <c r="O61" s="87"/>
      <c r="P61" s="86"/>
      <c r="Q61" s="87">
        <f>SUM(P60:R60)</f>
        <v>278.13333333333333</v>
      </c>
      <c r="R61" s="87"/>
      <c r="S61" s="86"/>
      <c r="T61" s="87">
        <f>SUM(S60:U60)</f>
        <v>105.33333333333334</v>
      </c>
      <c r="U61" s="87"/>
      <c r="V61" s="86"/>
      <c r="W61" s="87">
        <f>SUM(V60:X60)</f>
        <v>52</v>
      </c>
      <c r="X61" s="87"/>
      <c r="Y61" s="86"/>
      <c r="Z61" s="87">
        <f>SUM(Y60:AA60)</f>
        <v>6.6666666666666661</v>
      </c>
      <c r="AA61" s="87"/>
      <c r="AB61" s="86"/>
      <c r="AC61" s="87">
        <f>SUM(AB60:AD60)</f>
        <v>37.333333333333329</v>
      </c>
      <c r="AD61" s="87"/>
      <c r="AE61" s="86"/>
      <c r="AF61" s="87">
        <f>SUM(AE60:AG60)</f>
        <v>49.333333333333329</v>
      </c>
      <c r="AG61" s="87"/>
      <c r="AH61" s="86"/>
      <c r="AI61" s="87">
        <f>SUM(AH60:AJ60)</f>
        <v>2626.4000000000005</v>
      </c>
      <c r="AJ61" s="87"/>
      <c r="AK61" s="86"/>
      <c r="AL61" s="87">
        <f>SUM(AK60:AM60)</f>
        <v>1999.0799999999997</v>
      </c>
      <c r="AM61" s="87"/>
      <c r="AN61" s="88">
        <f>SUM(AN49:AN59)</f>
        <v>7253.3600000000006</v>
      </c>
    </row>
    <row r="63" spans="2:40" ht="24.95" customHeight="1" x14ac:dyDescent="0.15">
      <c r="B63" s="5"/>
      <c r="C63" s="5"/>
    </row>
    <row r="64" spans="2:40" ht="9.9499999999999993" customHeight="1" x14ac:dyDescent="0.15"/>
  </sheetData>
  <mergeCells count="75">
    <mergeCell ref="B40:C40"/>
    <mergeCell ref="D7:F7"/>
    <mergeCell ref="B23:C24"/>
    <mergeCell ref="D23:F23"/>
    <mergeCell ref="J26:L26"/>
    <mergeCell ref="B30:C30"/>
    <mergeCell ref="B31:C31"/>
    <mergeCell ref="B32:C32"/>
    <mergeCell ref="B37:C37"/>
    <mergeCell ref="B39:C39"/>
    <mergeCell ref="B18:C18"/>
    <mergeCell ref="B20:C20"/>
    <mergeCell ref="B21:C21"/>
    <mergeCell ref="B9:C9"/>
    <mergeCell ref="B10:C10"/>
    <mergeCell ref="B11:C11"/>
    <mergeCell ref="AK23:AM23"/>
    <mergeCell ref="AN23:AN24"/>
    <mergeCell ref="B25:C27"/>
    <mergeCell ref="B28:C28"/>
    <mergeCell ref="B29:C29"/>
    <mergeCell ref="V23:X23"/>
    <mergeCell ref="Y23:AA23"/>
    <mergeCell ref="AB23:AD23"/>
    <mergeCell ref="AE23:AG23"/>
    <mergeCell ref="AH23:AJ23"/>
    <mergeCell ref="G23:I23"/>
    <mergeCell ref="J23:L23"/>
    <mergeCell ref="M23:O23"/>
    <mergeCell ref="P23:R23"/>
    <mergeCell ref="S23:U23"/>
    <mergeCell ref="B12:C12"/>
    <mergeCell ref="B13:C13"/>
    <mergeCell ref="AE4:AG4"/>
    <mergeCell ref="AH4:AJ4"/>
    <mergeCell ref="AK4:AM4"/>
    <mergeCell ref="AN4:AN5"/>
    <mergeCell ref="B6:C8"/>
    <mergeCell ref="P4:R4"/>
    <mergeCell ref="S4:U4"/>
    <mergeCell ref="V4:X4"/>
    <mergeCell ref="Y4:AA4"/>
    <mergeCell ref="AB4:AD4"/>
    <mergeCell ref="B4:C5"/>
    <mergeCell ref="D4:F4"/>
    <mergeCell ref="G4:I4"/>
    <mergeCell ref="J4:L4"/>
    <mergeCell ref="M4:O4"/>
    <mergeCell ref="B60:C60"/>
    <mergeCell ref="B61:C61"/>
    <mergeCell ref="B49:C49"/>
    <mergeCell ref="B50:C50"/>
    <mergeCell ref="B51:C51"/>
    <mergeCell ref="B52:C52"/>
    <mergeCell ref="B53:C53"/>
    <mergeCell ref="B58:C58"/>
    <mergeCell ref="AB43:AD43"/>
    <mergeCell ref="AE43:AG43"/>
    <mergeCell ref="AH43:AJ43"/>
    <mergeCell ref="AK43:AM43"/>
    <mergeCell ref="AN43:AN44"/>
    <mergeCell ref="B45:C48"/>
    <mergeCell ref="J43:L43"/>
    <mergeCell ref="M43:O43"/>
    <mergeCell ref="P43:R43"/>
    <mergeCell ref="S43:U43"/>
    <mergeCell ref="D46:F46"/>
    <mergeCell ref="J47:L47"/>
    <mergeCell ref="E42:F42"/>
    <mergeCell ref="I42:J42"/>
    <mergeCell ref="V43:X43"/>
    <mergeCell ref="Y43:AA43"/>
    <mergeCell ref="B43:C44"/>
    <mergeCell ref="D43:F43"/>
    <mergeCell ref="G43:I43"/>
  </mergeCells>
  <phoneticPr fontId="4"/>
  <pageMargins left="0.78740157480314965" right="0.78740157480314965" top="0.78740157480314965" bottom="0.78740157480314965" header="0.39370078740157483" footer="0.39370078740157483"/>
  <pageSetup paperSize="9" scale="50" fitToHeight="0" orientation="landscape" verticalDpi="300" r:id="rId1"/>
  <headerFooter alignWithMargins="0"/>
  <rowBreaks count="1" manualBreakCount="1">
    <brk id="41" max="3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52"/>
  <sheetViews>
    <sheetView zoomScale="75" zoomScaleNormal="75" zoomScaleSheetLayoutView="100" workbookViewId="0"/>
  </sheetViews>
  <sheetFormatPr defaultColWidth="9" defaultRowHeight="13.5" x14ac:dyDescent="0.15"/>
  <cols>
    <col min="1" max="1" width="1.625" style="45" customWidth="1"/>
    <col min="2" max="2" width="5" style="45" customWidth="1"/>
    <col min="3" max="3" width="22.5" style="45" bestFit="1" customWidth="1"/>
    <col min="4" max="4" width="30" style="45" bestFit="1" customWidth="1"/>
    <col min="5" max="6" width="6" style="45" bestFit="1" customWidth="1"/>
    <col min="7" max="7" width="17.625" style="45" customWidth="1"/>
    <col min="8" max="8" width="10.625" style="45" customWidth="1"/>
    <col min="9" max="9" width="17.625" style="45" customWidth="1"/>
    <col min="10" max="10" width="10.625" style="45" customWidth="1"/>
    <col min="11" max="11" width="15.125" style="46" bestFit="1" customWidth="1"/>
    <col min="12" max="12" width="17.625" style="45" customWidth="1"/>
    <col min="13" max="13" width="10.625" style="45" customWidth="1"/>
    <col min="14" max="14" width="17.625" style="45" customWidth="1"/>
    <col min="15" max="15" width="10.625" style="45" customWidth="1"/>
    <col min="16" max="16" width="19.75" style="45" bestFit="1" customWidth="1"/>
    <col min="17" max="16384" width="9" style="45"/>
  </cols>
  <sheetData>
    <row r="1" spans="2:16" ht="24.95" customHeight="1" thickBot="1" x14ac:dyDescent="0.2">
      <c r="B1" s="2" t="s">
        <v>264</v>
      </c>
      <c r="C1" s="5"/>
      <c r="D1" s="5"/>
      <c r="E1" s="519"/>
      <c r="F1" s="1090"/>
      <c r="G1" s="1091"/>
      <c r="H1" s="528"/>
      <c r="I1" s="528"/>
      <c r="J1" s="527"/>
      <c r="K1" s="615"/>
      <c r="L1" s="527"/>
      <c r="M1" s="48"/>
      <c r="P1" s="527"/>
    </row>
    <row r="2" spans="2:16" x14ac:dyDescent="0.15">
      <c r="B2" s="1094" t="s">
        <v>131</v>
      </c>
      <c r="C2" s="1096" t="s">
        <v>37</v>
      </c>
      <c r="D2" s="1096" t="s">
        <v>130</v>
      </c>
      <c r="E2" s="1098" t="s">
        <v>38</v>
      </c>
      <c r="F2" s="1099"/>
      <c r="G2" s="529" t="s">
        <v>39</v>
      </c>
      <c r="H2" s="529" t="s">
        <v>133</v>
      </c>
      <c r="I2" s="529" t="s">
        <v>132</v>
      </c>
      <c r="J2" s="1096" t="s">
        <v>97</v>
      </c>
      <c r="K2" s="49" t="s">
        <v>148</v>
      </c>
      <c r="L2" s="529" t="s">
        <v>40</v>
      </c>
      <c r="M2" s="529" t="s">
        <v>134</v>
      </c>
      <c r="N2" s="529" t="s">
        <v>41</v>
      </c>
      <c r="O2" s="529" t="s">
        <v>42</v>
      </c>
      <c r="P2" s="289" t="s">
        <v>43</v>
      </c>
    </row>
    <row r="3" spans="2:16" x14ac:dyDescent="0.15">
      <c r="B3" s="1095"/>
      <c r="C3" s="1097"/>
      <c r="D3" s="1097"/>
      <c r="E3" s="50" t="s">
        <v>98</v>
      </c>
      <c r="F3" s="50" t="s">
        <v>9</v>
      </c>
      <c r="G3" s="51" t="s">
        <v>149</v>
      </c>
      <c r="H3" s="51" t="s">
        <v>150</v>
      </c>
      <c r="I3" s="51" t="s">
        <v>135</v>
      </c>
      <c r="J3" s="1097"/>
      <c r="K3" s="52" t="s">
        <v>151</v>
      </c>
      <c r="L3" s="51" t="s">
        <v>152</v>
      </c>
      <c r="M3" s="51" t="s">
        <v>153</v>
      </c>
      <c r="N3" s="51" t="s">
        <v>136</v>
      </c>
      <c r="O3" s="51" t="s">
        <v>154</v>
      </c>
      <c r="P3" s="290" t="s">
        <v>155</v>
      </c>
    </row>
    <row r="4" spans="2:16" x14ac:dyDescent="0.15">
      <c r="B4" s="1092" t="s">
        <v>196</v>
      </c>
      <c r="C4" s="1080" t="s">
        <v>642</v>
      </c>
      <c r="D4" s="1080" t="s">
        <v>643</v>
      </c>
      <c r="E4" s="1082">
        <v>100</v>
      </c>
      <c r="F4" s="1080" t="s">
        <v>156</v>
      </c>
      <c r="G4" s="1082">
        <v>5940000</v>
      </c>
      <c r="H4" s="1084">
        <v>0</v>
      </c>
      <c r="I4" s="1082">
        <f>G4*(1-H4)</f>
        <v>5940000</v>
      </c>
      <c r="J4" s="390">
        <v>28</v>
      </c>
      <c r="K4" s="650">
        <f>28/30/28</f>
        <v>3.3333333333333333E-2</v>
      </c>
      <c r="L4" s="62">
        <f>I4*K4</f>
        <v>198000</v>
      </c>
      <c r="M4" s="61">
        <v>0</v>
      </c>
      <c r="N4" s="62">
        <f t="shared" ref="N4:N12" si="0">L4*M4/100</f>
        <v>0</v>
      </c>
      <c r="O4" s="62">
        <v>24</v>
      </c>
      <c r="P4" s="616">
        <f>IF(O4="","",(L4-N4)/O4)</f>
        <v>8250</v>
      </c>
    </row>
    <row r="5" spans="2:16" x14ac:dyDescent="0.15">
      <c r="B5" s="1076"/>
      <c r="C5" s="1086"/>
      <c r="D5" s="1086"/>
      <c r="E5" s="1089"/>
      <c r="F5" s="1086"/>
      <c r="G5" s="1089"/>
      <c r="H5" s="1108"/>
      <c r="I5" s="1089"/>
      <c r="J5" s="617" t="s">
        <v>451</v>
      </c>
      <c r="K5" s="650">
        <f>2/30/2</f>
        <v>3.3333333333333333E-2</v>
      </c>
      <c r="L5" s="62">
        <f>I4*K5</f>
        <v>198000</v>
      </c>
      <c r="M5" s="61">
        <v>0</v>
      </c>
      <c r="N5" s="62">
        <f t="shared" si="0"/>
        <v>0</v>
      </c>
      <c r="O5" s="62">
        <v>24</v>
      </c>
      <c r="P5" s="616">
        <f t="shared" ref="P5:P12" si="1">IF(O5="","",(L5-N5)/O5)</f>
        <v>8250</v>
      </c>
    </row>
    <row r="6" spans="2:16" x14ac:dyDescent="0.15">
      <c r="B6" s="1076"/>
      <c r="C6" s="44" t="s">
        <v>644</v>
      </c>
      <c r="D6" s="44" t="s">
        <v>643</v>
      </c>
      <c r="E6" s="55">
        <v>180</v>
      </c>
      <c r="F6" s="56" t="s">
        <v>100</v>
      </c>
      <c r="G6" s="44">
        <v>10692000</v>
      </c>
      <c r="H6" s="54">
        <v>0</v>
      </c>
      <c r="I6" s="44">
        <f t="shared" ref="I6:I12" si="2">G6*(1-H6)</f>
        <v>10692000</v>
      </c>
      <c r="J6" s="618">
        <v>28</v>
      </c>
      <c r="K6" s="650">
        <f>28/28/28</f>
        <v>3.5714285714285712E-2</v>
      </c>
      <c r="L6" s="62">
        <f>I6*K6</f>
        <v>381857.14285714284</v>
      </c>
      <c r="M6" s="61">
        <v>0</v>
      </c>
      <c r="N6" s="62">
        <f t="shared" si="0"/>
        <v>0</v>
      </c>
      <c r="O6" s="62">
        <v>24</v>
      </c>
      <c r="P6" s="616">
        <f t="shared" si="1"/>
        <v>15910.714285714284</v>
      </c>
    </row>
    <row r="7" spans="2:16" x14ac:dyDescent="0.15">
      <c r="B7" s="1076"/>
      <c r="C7" s="1080" t="s">
        <v>645</v>
      </c>
      <c r="D7" s="1080" t="s">
        <v>646</v>
      </c>
      <c r="E7" s="1082">
        <v>725</v>
      </c>
      <c r="F7" s="1080" t="s">
        <v>156</v>
      </c>
      <c r="G7" s="1082">
        <v>1761750</v>
      </c>
      <c r="H7" s="1084">
        <v>0</v>
      </c>
      <c r="I7" s="1082">
        <f t="shared" si="2"/>
        <v>1761750</v>
      </c>
      <c r="J7" s="618">
        <v>28</v>
      </c>
      <c r="K7" s="650">
        <f>28/30/28</f>
        <v>3.3333333333333333E-2</v>
      </c>
      <c r="L7" s="62">
        <f>I7*K7</f>
        <v>58725</v>
      </c>
      <c r="M7" s="61">
        <v>0</v>
      </c>
      <c r="N7" s="62">
        <f t="shared" si="0"/>
        <v>0</v>
      </c>
      <c r="O7" s="62">
        <v>10</v>
      </c>
      <c r="P7" s="616">
        <f t="shared" si="1"/>
        <v>5872.5</v>
      </c>
    </row>
    <row r="8" spans="2:16" x14ac:dyDescent="0.15">
      <c r="B8" s="1076"/>
      <c r="C8" s="1081"/>
      <c r="D8" s="1081"/>
      <c r="E8" s="1083"/>
      <c r="F8" s="1081"/>
      <c r="G8" s="1083"/>
      <c r="H8" s="1085"/>
      <c r="I8" s="1083"/>
      <c r="J8" s="55" t="s">
        <v>451</v>
      </c>
      <c r="K8" s="651">
        <f>2/30/2</f>
        <v>3.3333333333333333E-2</v>
      </c>
      <c r="L8" s="44">
        <f>I7*K8</f>
        <v>58725</v>
      </c>
      <c r="M8" s="54">
        <v>0</v>
      </c>
      <c r="N8" s="44">
        <f t="shared" si="0"/>
        <v>0</v>
      </c>
      <c r="O8" s="44">
        <v>10</v>
      </c>
      <c r="P8" s="137">
        <f t="shared" si="1"/>
        <v>5872.5</v>
      </c>
    </row>
    <row r="9" spans="2:16" x14ac:dyDescent="0.15">
      <c r="B9" s="1076"/>
      <c r="C9" s="44"/>
      <c r="D9" s="44"/>
      <c r="E9" s="44"/>
      <c r="F9" s="44"/>
      <c r="G9" s="44"/>
      <c r="H9" s="54"/>
      <c r="I9" s="801">
        <f t="shared" si="2"/>
        <v>0</v>
      </c>
      <c r="J9" s="44"/>
      <c r="K9" s="53"/>
      <c r="L9" s="801">
        <f t="shared" ref="L9:L12" si="3">I9*K9</f>
        <v>0</v>
      </c>
      <c r="M9" s="54"/>
      <c r="N9" s="801">
        <f t="shared" si="0"/>
        <v>0</v>
      </c>
      <c r="O9" s="44"/>
      <c r="P9" s="137" t="str">
        <f t="shared" si="1"/>
        <v/>
      </c>
    </row>
    <row r="10" spans="2:16" x14ac:dyDescent="0.15">
      <c r="B10" s="1076"/>
      <c r="C10" s="44"/>
      <c r="D10" s="44"/>
      <c r="E10" s="44"/>
      <c r="F10" s="44"/>
      <c r="G10" s="44"/>
      <c r="H10" s="54"/>
      <c r="I10" s="801">
        <f t="shared" si="2"/>
        <v>0</v>
      </c>
      <c r="J10" s="44"/>
      <c r="K10" s="53"/>
      <c r="L10" s="801">
        <f t="shared" si="3"/>
        <v>0</v>
      </c>
      <c r="M10" s="54"/>
      <c r="N10" s="801">
        <f t="shared" si="0"/>
        <v>0</v>
      </c>
      <c r="O10" s="44"/>
      <c r="P10" s="137" t="str">
        <f t="shared" si="1"/>
        <v/>
      </c>
    </row>
    <row r="11" spans="2:16" x14ac:dyDescent="0.15">
      <c r="B11" s="1076"/>
      <c r="C11" s="44"/>
      <c r="D11" s="44"/>
      <c r="E11" s="44"/>
      <c r="F11" s="44"/>
      <c r="G11" s="44"/>
      <c r="H11" s="54"/>
      <c r="I11" s="801">
        <f t="shared" si="2"/>
        <v>0</v>
      </c>
      <c r="J11" s="44"/>
      <c r="K11" s="53"/>
      <c r="L11" s="801">
        <f t="shared" si="3"/>
        <v>0</v>
      </c>
      <c r="M11" s="54"/>
      <c r="N11" s="801">
        <f t="shared" si="0"/>
        <v>0</v>
      </c>
      <c r="O11" s="44"/>
      <c r="P11" s="137" t="str">
        <f t="shared" si="1"/>
        <v/>
      </c>
    </row>
    <row r="12" spans="2:16" x14ac:dyDescent="0.15">
      <c r="B12" s="1076"/>
      <c r="C12" s="44"/>
      <c r="D12" s="44"/>
      <c r="E12" s="44"/>
      <c r="F12" s="44"/>
      <c r="G12" s="44"/>
      <c r="H12" s="54"/>
      <c r="I12" s="801">
        <f t="shared" si="2"/>
        <v>0</v>
      </c>
      <c r="J12" s="44"/>
      <c r="K12" s="53"/>
      <c r="L12" s="801">
        <f t="shared" si="3"/>
        <v>0</v>
      </c>
      <c r="M12" s="54"/>
      <c r="N12" s="801">
        <f t="shared" si="0"/>
        <v>0</v>
      </c>
      <c r="O12" s="44"/>
      <c r="P12" s="137" t="str">
        <f t="shared" si="1"/>
        <v/>
      </c>
    </row>
    <row r="13" spans="2:16" x14ac:dyDescent="0.15">
      <c r="B13" s="1093"/>
      <c r="C13" s="57" t="s">
        <v>44</v>
      </c>
      <c r="D13" s="58"/>
      <c r="E13" s="58"/>
      <c r="F13" s="59"/>
      <c r="G13" s="58">
        <f>SUM(G4:G12)</f>
        <v>18393750</v>
      </c>
      <c r="H13" s="58"/>
      <c r="I13" s="58">
        <f>SUM(I4:I12)</f>
        <v>18393750</v>
      </c>
      <c r="J13" s="58"/>
      <c r="K13" s="60"/>
      <c r="L13" s="58">
        <f>SUM(L4:L12)</f>
        <v>895307.14285714284</v>
      </c>
      <c r="M13" s="58"/>
      <c r="N13" s="58"/>
      <c r="O13" s="58"/>
      <c r="P13" s="291">
        <f>SUM(P4:P12)</f>
        <v>44155.714285714283</v>
      </c>
    </row>
    <row r="14" spans="2:16" ht="13.5" customHeight="1" x14ac:dyDescent="0.15">
      <c r="B14" s="1092" t="s">
        <v>195</v>
      </c>
      <c r="C14" s="1080" t="s">
        <v>647</v>
      </c>
      <c r="D14" s="1080" t="s">
        <v>648</v>
      </c>
      <c r="E14" s="1082">
        <v>1</v>
      </c>
      <c r="F14" s="1080" t="s">
        <v>715</v>
      </c>
      <c r="G14" s="1082">
        <v>5726160</v>
      </c>
      <c r="H14" s="1084">
        <v>0</v>
      </c>
      <c r="I14" s="1078">
        <f>G14*(1-H14)*E14</f>
        <v>5726160</v>
      </c>
      <c r="J14" s="390">
        <v>28</v>
      </c>
      <c r="K14" s="650">
        <f>28/30/28</f>
        <v>3.3333333333333333E-2</v>
      </c>
      <c r="L14" s="652">
        <f>I14*K14</f>
        <v>190872</v>
      </c>
      <c r="M14" s="653">
        <v>0</v>
      </c>
      <c r="N14" s="652">
        <f>L14*M14</f>
        <v>0</v>
      </c>
      <c r="O14" s="652">
        <v>7</v>
      </c>
      <c r="P14" s="654">
        <f t="shared" ref="P14:P35" si="4">IF(O14="","",(L14-N14)/O14)</f>
        <v>27267.428571428572</v>
      </c>
    </row>
    <row r="15" spans="2:16" x14ac:dyDescent="0.15">
      <c r="B15" s="1109"/>
      <c r="C15" s="1081"/>
      <c r="D15" s="1081"/>
      <c r="E15" s="1083"/>
      <c r="F15" s="1081"/>
      <c r="G15" s="1083"/>
      <c r="H15" s="1085"/>
      <c r="I15" s="1079"/>
      <c r="J15" s="618" t="s">
        <v>452</v>
      </c>
      <c r="K15" s="650">
        <f>2/30/2</f>
        <v>3.3333333333333333E-2</v>
      </c>
      <c r="L15" s="652">
        <f>I14*K15</f>
        <v>190872</v>
      </c>
      <c r="M15" s="653">
        <v>0</v>
      </c>
      <c r="N15" s="652">
        <f t="shared" ref="N15:N36" si="5">L15*M15</f>
        <v>0</v>
      </c>
      <c r="O15" s="652">
        <v>7</v>
      </c>
      <c r="P15" s="654">
        <f t="shared" si="4"/>
        <v>27267.428571428572</v>
      </c>
    </row>
    <row r="16" spans="2:16" x14ac:dyDescent="0.15">
      <c r="B16" s="1109"/>
      <c r="C16" s="568" t="s">
        <v>649</v>
      </c>
      <c r="D16" s="568" t="s">
        <v>586</v>
      </c>
      <c r="E16" s="569">
        <v>1</v>
      </c>
      <c r="F16" s="568" t="s">
        <v>587</v>
      </c>
      <c r="G16" s="569">
        <v>850500</v>
      </c>
      <c r="H16" s="570">
        <v>0</v>
      </c>
      <c r="I16" s="571">
        <v>850500</v>
      </c>
      <c r="J16" s="619" t="s">
        <v>451</v>
      </c>
      <c r="K16" s="655">
        <f>2/2/2</f>
        <v>0.5</v>
      </c>
      <c r="L16" s="652">
        <f t="shared" ref="L16:L26" si="6">I16*K16</f>
        <v>425250</v>
      </c>
      <c r="M16" s="656">
        <v>0</v>
      </c>
      <c r="N16" s="657">
        <v>0</v>
      </c>
      <c r="O16" s="657">
        <v>7</v>
      </c>
      <c r="P16" s="654">
        <f t="shared" si="4"/>
        <v>60750</v>
      </c>
    </row>
    <row r="17" spans="2:16" x14ac:dyDescent="0.15">
      <c r="B17" s="1109"/>
      <c r="C17" s="382" t="s">
        <v>650</v>
      </c>
      <c r="D17" s="382" t="s">
        <v>651</v>
      </c>
      <c r="E17" s="382">
        <v>1</v>
      </c>
      <c r="F17" s="382" t="s">
        <v>652</v>
      </c>
      <c r="G17" s="382">
        <v>772200</v>
      </c>
      <c r="H17" s="385">
        <v>0</v>
      </c>
      <c r="I17" s="387">
        <f>G17*(1-H17)*E17</f>
        <v>772200</v>
      </c>
      <c r="J17" s="390">
        <v>28</v>
      </c>
      <c r="K17" s="650">
        <f t="shared" ref="K17:K25" si="7">28/28/28</f>
        <v>3.5714285714285712E-2</v>
      </c>
      <c r="L17" s="652">
        <f t="shared" si="6"/>
        <v>27578.571428571428</v>
      </c>
      <c r="M17" s="653">
        <v>0</v>
      </c>
      <c r="N17" s="652">
        <f t="shared" si="5"/>
        <v>0</v>
      </c>
      <c r="O17" s="652">
        <v>7</v>
      </c>
      <c r="P17" s="654">
        <f t="shared" si="4"/>
        <v>3939.795918367347</v>
      </c>
    </row>
    <row r="18" spans="2:16" x14ac:dyDescent="0.15">
      <c r="B18" s="1109"/>
      <c r="C18" s="44" t="s">
        <v>653</v>
      </c>
      <c r="D18" s="44" t="s">
        <v>654</v>
      </c>
      <c r="E18" s="44">
        <v>1</v>
      </c>
      <c r="F18" s="44" t="s">
        <v>652</v>
      </c>
      <c r="G18" s="44">
        <v>4158000</v>
      </c>
      <c r="H18" s="54">
        <v>0</v>
      </c>
      <c r="I18" s="62">
        <f t="shared" ref="I18:I30" si="8">G18*(1-H18)*E18</f>
        <v>4158000</v>
      </c>
      <c r="J18" s="390">
        <v>28</v>
      </c>
      <c r="K18" s="650">
        <f t="shared" si="7"/>
        <v>3.5714285714285712E-2</v>
      </c>
      <c r="L18" s="652">
        <f t="shared" si="6"/>
        <v>148500</v>
      </c>
      <c r="M18" s="653">
        <v>0</v>
      </c>
      <c r="N18" s="652">
        <f t="shared" si="5"/>
        <v>0</v>
      </c>
      <c r="O18" s="652">
        <v>7</v>
      </c>
      <c r="P18" s="654">
        <f t="shared" si="4"/>
        <v>21214.285714285714</v>
      </c>
    </row>
    <row r="19" spans="2:16" x14ac:dyDescent="0.15">
      <c r="B19" s="1109"/>
      <c r="C19" s="44" t="s">
        <v>655</v>
      </c>
      <c r="D19" s="44" t="s">
        <v>656</v>
      </c>
      <c r="E19" s="44">
        <v>1</v>
      </c>
      <c r="F19" s="44" t="s">
        <v>652</v>
      </c>
      <c r="G19" s="44">
        <v>7344000</v>
      </c>
      <c r="H19" s="54">
        <v>0</v>
      </c>
      <c r="I19" s="62">
        <f t="shared" si="8"/>
        <v>7344000</v>
      </c>
      <c r="J19" s="390">
        <v>28</v>
      </c>
      <c r="K19" s="650">
        <f t="shared" si="7"/>
        <v>3.5714285714285712E-2</v>
      </c>
      <c r="L19" s="652">
        <f t="shared" si="6"/>
        <v>262285.71428571426</v>
      </c>
      <c r="M19" s="653">
        <v>0</v>
      </c>
      <c r="N19" s="652">
        <f t="shared" si="5"/>
        <v>0</v>
      </c>
      <c r="O19" s="652">
        <v>7</v>
      </c>
      <c r="P19" s="654">
        <f t="shared" si="4"/>
        <v>37469.387755102034</v>
      </c>
    </row>
    <row r="20" spans="2:16" x14ac:dyDescent="0.15">
      <c r="B20" s="1109"/>
      <c r="C20" s="44" t="s">
        <v>655</v>
      </c>
      <c r="D20" s="44" t="s">
        <v>656</v>
      </c>
      <c r="E20" s="44">
        <v>1</v>
      </c>
      <c r="F20" s="44" t="s">
        <v>652</v>
      </c>
      <c r="G20" s="44">
        <v>7344000</v>
      </c>
      <c r="H20" s="54">
        <v>0</v>
      </c>
      <c r="I20" s="62">
        <f t="shared" si="8"/>
        <v>7344000</v>
      </c>
      <c r="J20" s="390">
        <v>28</v>
      </c>
      <c r="K20" s="650">
        <f t="shared" si="7"/>
        <v>3.5714285714285712E-2</v>
      </c>
      <c r="L20" s="652">
        <f t="shared" si="6"/>
        <v>262285.71428571426</v>
      </c>
      <c r="M20" s="653">
        <v>0</v>
      </c>
      <c r="N20" s="652">
        <f t="shared" si="5"/>
        <v>0</v>
      </c>
      <c r="O20" s="652">
        <v>7</v>
      </c>
      <c r="P20" s="654">
        <f t="shared" si="4"/>
        <v>37469.387755102034</v>
      </c>
    </row>
    <row r="21" spans="2:16" x14ac:dyDescent="0.15">
      <c r="B21" s="1109"/>
      <c r="C21" s="44" t="s">
        <v>657</v>
      </c>
      <c r="D21" s="44" t="s">
        <v>658</v>
      </c>
      <c r="E21" s="44">
        <v>1</v>
      </c>
      <c r="F21" s="44" t="s">
        <v>652</v>
      </c>
      <c r="G21" s="44">
        <v>294840</v>
      </c>
      <c r="H21" s="54">
        <v>0</v>
      </c>
      <c r="I21" s="62">
        <f t="shared" si="8"/>
        <v>294840</v>
      </c>
      <c r="J21" s="390">
        <v>28</v>
      </c>
      <c r="K21" s="650">
        <f t="shared" si="7"/>
        <v>3.5714285714285712E-2</v>
      </c>
      <c r="L21" s="652">
        <f t="shared" si="6"/>
        <v>10530</v>
      </c>
      <c r="M21" s="653">
        <v>0</v>
      </c>
      <c r="N21" s="652">
        <f t="shared" si="5"/>
        <v>0</v>
      </c>
      <c r="O21" s="652">
        <v>7</v>
      </c>
      <c r="P21" s="654">
        <f t="shared" si="4"/>
        <v>1504.2857142857142</v>
      </c>
    </row>
    <row r="22" spans="2:16" x14ac:dyDescent="0.15">
      <c r="B22" s="1109"/>
      <c r="C22" s="44" t="s">
        <v>659</v>
      </c>
      <c r="D22" s="44" t="s">
        <v>660</v>
      </c>
      <c r="E22" s="44">
        <v>1</v>
      </c>
      <c r="F22" s="44" t="s">
        <v>652</v>
      </c>
      <c r="G22" s="44">
        <v>366120</v>
      </c>
      <c r="H22" s="54">
        <v>0</v>
      </c>
      <c r="I22" s="62">
        <f t="shared" si="8"/>
        <v>366120</v>
      </c>
      <c r="J22" s="390">
        <v>28</v>
      </c>
      <c r="K22" s="650">
        <f t="shared" si="7"/>
        <v>3.5714285714285712E-2</v>
      </c>
      <c r="L22" s="652">
        <f t="shared" si="6"/>
        <v>13075.714285714284</v>
      </c>
      <c r="M22" s="653">
        <v>0</v>
      </c>
      <c r="N22" s="652">
        <f t="shared" si="5"/>
        <v>0</v>
      </c>
      <c r="O22" s="652">
        <v>7</v>
      </c>
      <c r="P22" s="654">
        <f t="shared" si="4"/>
        <v>1867.9591836734692</v>
      </c>
    </row>
    <row r="23" spans="2:16" x14ac:dyDescent="0.15">
      <c r="B23" s="1109"/>
      <c r="C23" s="44" t="s">
        <v>661</v>
      </c>
      <c r="D23" s="44" t="s">
        <v>662</v>
      </c>
      <c r="E23" s="44">
        <v>1</v>
      </c>
      <c r="F23" s="44" t="s">
        <v>652</v>
      </c>
      <c r="G23" s="44">
        <v>587304</v>
      </c>
      <c r="H23" s="54">
        <v>0</v>
      </c>
      <c r="I23" s="62">
        <f t="shared" si="8"/>
        <v>587304</v>
      </c>
      <c r="J23" s="390">
        <v>28</v>
      </c>
      <c r="K23" s="650">
        <f t="shared" si="7"/>
        <v>3.5714285714285712E-2</v>
      </c>
      <c r="L23" s="652">
        <f t="shared" si="6"/>
        <v>20975.142857142855</v>
      </c>
      <c r="M23" s="653">
        <v>0</v>
      </c>
      <c r="N23" s="652">
        <f t="shared" si="5"/>
        <v>0</v>
      </c>
      <c r="O23" s="652">
        <v>7</v>
      </c>
      <c r="P23" s="654">
        <f t="shared" si="4"/>
        <v>2996.4489795918366</v>
      </c>
    </row>
    <row r="24" spans="2:16" x14ac:dyDescent="0.15">
      <c r="B24" s="1109"/>
      <c r="C24" s="44" t="s">
        <v>663</v>
      </c>
      <c r="D24" s="44" t="s">
        <v>664</v>
      </c>
      <c r="E24" s="44">
        <v>2255</v>
      </c>
      <c r="F24" s="44" t="s">
        <v>665</v>
      </c>
      <c r="G24" s="44">
        <v>1095930</v>
      </c>
      <c r="H24" s="54">
        <v>0</v>
      </c>
      <c r="I24" s="62">
        <f>G24*(1-H24)</f>
        <v>1095930</v>
      </c>
      <c r="J24" s="390">
        <v>28</v>
      </c>
      <c r="K24" s="650">
        <f t="shared" si="7"/>
        <v>3.5714285714285712E-2</v>
      </c>
      <c r="L24" s="652">
        <f t="shared" si="6"/>
        <v>39140.357142857138</v>
      </c>
      <c r="M24" s="653">
        <v>0</v>
      </c>
      <c r="N24" s="652">
        <f t="shared" si="5"/>
        <v>0</v>
      </c>
      <c r="O24" s="652">
        <v>7</v>
      </c>
      <c r="P24" s="658">
        <f t="shared" si="4"/>
        <v>5591.4795918367336</v>
      </c>
    </row>
    <row r="25" spans="2:16" x14ac:dyDescent="0.15">
      <c r="B25" s="1109"/>
      <c r="C25" s="44" t="s">
        <v>666</v>
      </c>
      <c r="D25" s="44" t="s">
        <v>667</v>
      </c>
      <c r="E25" s="44">
        <v>1</v>
      </c>
      <c r="F25" s="44" t="s">
        <v>652</v>
      </c>
      <c r="G25" s="44">
        <v>16200000</v>
      </c>
      <c r="H25" s="54">
        <v>0</v>
      </c>
      <c r="I25" s="62">
        <f t="shared" si="8"/>
        <v>16200000</v>
      </c>
      <c r="J25" s="390">
        <v>28</v>
      </c>
      <c r="K25" s="650">
        <f t="shared" si="7"/>
        <v>3.5714285714285712E-2</v>
      </c>
      <c r="L25" s="652">
        <f t="shared" si="6"/>
        <v>578571.42857142852</v>
      </c>
      <c r="M25" s="653">
        <v>0</v>
      </c>
      <c r="N25" s="652">
        <f t="shared" si="5"/>
        <v>0</v>
      </c>
      <c r="O25" s="652">
        <v>7</v>
      </c>
      <c r="P25" s="654">
        <f t="shared" si="4"/>
        <v>82653.061224489793</v>
      </c>
    </row>
    <row r="26" spans="2:16" x14ac:dyDescent="0.15">
      <c r="B26" s="1109"/>
      <c r="C26" s="1106" t="s">
        <v>668</v>
      </c>
      <c r="D26" s="1106" t="s">
        <v>669</v>
      </c>
      <c r="E26" s="1106">
        <v>1</v>
      </c>
      <c r="F26" s="1106" t="s">
        <v>652</v>
      </c>
      <c r="G26" s="1106">
        <v>3780000</v>
      </c>
      <c r="H26" s="1102">
        <v>0</v>
      </c>
      <c r="I26" s="1104">
        <f t="shared" si="8"/>
        <v>3780000</v>
      </c>
      <c r="J26" s="618">
        <v>28</v>
      </c>
      <c r="K26" s="650">
        <f>28/30/28</f>
        <v>3.3333333333333333E-2</v>
      </c>
      <c r="L26" s="652">
        <f t="shared" si="6"/>
        <v>126000</v>
      </c>
      <c r="M26" s="653">
        <v>0</v>
      </c>
      <c r="N26" s="652">
        <f t="shared" si="5"/>
        <v>0</v>
      </c>
      <c r="O26" s="652">
        <v>7</v>
      </c>
      <c r="P26" s="654">
        <f t="shared" si="4"/>
        <v>18000</v>
      </c>
    </row>
    <row r="27" spans="2:16" x14ac:dyDescent="0.15">
      <c r="B27" s="1109"/>
      <c r="C27" s="1107"/>
      <c r="D27" s="1107"/>
      <c r="E27" s="1107"/>
      <c r="F27" s="1107"/>
      <c r="G27" s="1107"/>
      <c r="H27" s="1103"/>
      <c r="I27" s="1105">
        <f t="shared" si="8"/>
        <v>0</v>
      </c>
      <c r="J27" s="620" t="s">
        <v>451</v>
      </c>
      <c r="K27" s="650">
        <f>2/30/2</f>
        <v>3.3333333333333333E-2</v>
      </c>
      <c r="L27" s="652">
        <f>I26*K27</f>
        <v>126000</v>
      </c>
      <c r="M27" s="653">
        <v>0</v>
      </c>
      <c r="N27" s="652">
        <f t="shared" si="5"/>
        <v>0</v>
      </c>
      <c r="O27" s="652">
        <v>7</v>
      </c>
      <c r="P27" s="654">
        <f t="shared" si="4"/>
        <v>18000</v>
      </c>
    </row>
    <row r="28" spans="2:16" x14ac:dyDescent="0.15">
      <c r="B28" s="1109"/>
      <c r="C28" s="383" t="s">
        <v>670</v>
      </c>
      <c r="D28" s="383" t="s">
        <v>671</v>
      </c>
      <c r="E28" s="383">
        <v>1</v>
      </c>
      <c r="F28" s="383" t="s">
        <v>652</v>
      </c>
      <c r="G28" s="383">
        <v>303480</v>
      </c>
      <c r="H28" s="384">
        <v>0</v>
      </c>
      <c r="I28" s="386">
        <f t="shared" si="8"/>
        <v>303480</v>
      </c>
      <c r="J28" s="618">
        <v>28</v>
      </c>
      <c r="K28" s="650">
        <f>28/28/28</f>
        <v>3.5714285714285712E-2</v>
      </c>
      <c r="L28" s="652">
        <f>I28*K28</f>
        <v>10838.571428571428</v>
      </c>
      <c r="M28" s="653">
        <v>0</v>
      </c>
      <c r="N28" s="652">
        <f t="shared" si="5"/>
        <v>0</v>
      </c>
      <c r="O28" s="652">
        <v>7</v>
      </c>
      <c r="P28" s="654">
        <f t="shared" si="4"/>
        <v>1548.3673469387754</v>
      </c>
    </row>
    <row r="29" spans="2:16" x14ac:dyDescent="0.15">
      <c r="B29" s="1109"/>
      <c r="C29" s="1100" t="s">
        <v>672</v>
      </c>
      <c r="D29" s="1100" t="s">
        <v>397</v>
      </c>
      <c r="E29" s="1100">
        <v>1</v>
      </c>
      <c r="F29" s="1100" t="s">
        <v>652</v>
      </c>
      <c r="G29" s="1100">
        <v>500000</v>
      </c>
      <c r="H29" s="1102">
        <v>0</v>
      </c>
      <c r="I29" s="1104">
        <f t="shared" si="8"/>
        <v>500000</v>
      </c>
      <c r="J29" s="618">
        <v>28</v>
      </c>
      <c r="K29" s="650">
        <f>28/30/28</f>
        <v>3.3333333333333333E-2</v>
      </c>
      <c r="L29" s="652">
        <f>I29*K29</f>
        <v>16666.666666666668</v>
      </c>
      <c r="M29" s="653">
        <v>0</v>
      </c>
      <c r="N29" s="652">
        <f t="shared" si="5"/>
        <v>0</v>
      </c>
      <c r="O29" s="652">
        <v>2</v>
      </c>
      <c r="P29" s="654">
        <f t="shared" si="4"/>
        <v>8333.3333333333339</v>
      </c>
    </row>
    <row r="30" spans="2:16" x14ac:dyDescent="0.15">
      <c r="B30" s="1109"/>
      <c r="C30" s="1101"/>
      <c r="D30" s="1101"/>
      <c r="E30" s="1101"/>
      <c r="F30" s="1101"/>
      <c r="G30" s="1101"/>
      <c r="H30" s="1103"/>
      <c r="I30" s="1105">
        <f t="shared" si="8"/>
        <v>0</v>
      </c>
      <c r="J30" s="620" t="s">
        <v>452</v>
      </c>
      <c r="K30" s="650">
        <f>2/30/2</f>
        <v>3.3333333333333333E-2</v>
      </c>
      <c r="L30" s="652">
        <f>I29*K30</f>
        <v>16666.666666666668</v>
      </c>
      <c r="M30" s="653">
        <v>0</v>
      </c>
      <c r="N30" s="652">
        <f t="shared" si="5"/>
        <v>0</v>
      </c>
      <c r="O30" s="652">
        <v>2</v>
      </c>
      <c r="P30" s="654">
        <f t="shared" si="4"/>
        <v>8333.3333333333339</v>
      </c>
    </row>
    <row r="31" spans="2:16" x14ac:dyDescent="0.15">
      <c r="B31" s="1109"/>
      <c r="C31" s="523" t="s">
        <v>673</v>
      </c>
      <c r="D31" s="523" t="s">
        <v>674</v>
      </c>
      <c r="E31" s="523">
        <v>1</v>
      </c>
      <c r="F31" s="523" t="s">
        <v>99</v>
      </c>
      <c r="G31" s="523">
        <v>1500000</v>
      </c>
      <c r="H31" s="530">
        <v>0</v>
      </c>
      <c r="I31" s="531">
        <f t="shared" ref="I31:I33" si="9">G31*(1-H31)</f>
        <v>1500000</v>
      </c>
      <c r="J31" s="618">
        <v>28</v>
      </c>
      <c r="K31" s="650">
        <f>28/28/28</f>
        <v>3.5714285714285712E-2</v>
      </c>
      <c r="L31" s="652">
        <f>I31*K31</f>
        <v>53571.428571428565</v>
      </c>
      <c r="M31" s="653">
        <v>0</v>
      </c>
      <c r="N31" s="652">
        <f t="shared" si="5"/>
        <v>0</v>
      </c>
      <c r="O31" s="652">
        <v>2</v>
      </c>
      <c r="P31" s="654">
        <f t="shared" si="4"/>
        <v>26785.714285714283</v>
      </c>
    </row>
    <row r="32" spans="2:16" x14ac:dyDescent="0.15">
      <c r="B32" s="1109"/>
      <c r="C32" s="1100" t="s">
        <v>675</v>
      </c>
      <c r="D32" s="1100"/>
      <c r="E32" s="1100">
        <v>1</v>
      </c>
      <c r="F32" s="1100" t="s">
        <v>652</v>
      </c>
      <c r="G32" s="1100">
        <v>920000</v>
      </c>
      <c r="H32" s="1102">
        <v>0</v>
      </c>
      <c r="I32" s="1104">
        <f t="shared" si="9"/>
        <v>920000</v>
      </c>
      <c r="J32" s="618">
        <v>28</v>
      </c>
      <c r="K32" s="650">
        <f>28/30/28</f>
        <v>3.3333333333333333E-2</v>
      </c>
      <c r="L32" s="652">
        <f>I32*K32</f>
        <v>30666.666666666668</v>
      </c>
      <c r="M32" s="653">
        <v>0</v>
      </c>
      <c r="N32" s="652">
        <f t="shared" si="5"/>
        <v>0</v>
      </c>
      <c r="O32" s="652">
        <v>4</v>
      </c>
      <c r="P32" s="654">
        <f t="shared" si="4"/>
        <v>7666.666666666667</v>
      </c>
    </row>
    <row r="33" spans="2:16" x14ac:dyDescent="0.15">
      <c r="B33" s="1109"/>
      <c r="C33" s="1101"/>
      <c r="D33" s="1101"/>
      <c r="E33" s="1101"/>
      <c r="F33" s="1101"/>
      <c r="G33" s="1101"/>
      <c r="H33" s="1103"/>
      <c r="I33" s="1105">
        <f t="shared" si="9"/>
        <v>0</v>
      </c>
      <c r="J33" s="620" t="s">
        <v>452</v>
      </c>
      <c r="K33" s="650">
        <f>2/30/2</f>
        <v>3.3333333333333333E-2</v>
      </c>
      <c r="L33" s="652">
        <f>I32*K33</f>
        <v>30666.666666666668</v>
      </c>
      <c r="M33" s="653">
        <v>0</v>
      </c>
      <c r="N33" s="652">
        <f t="shared" si="5"/>
        <v>0</v>
      </c>
      <c r="O33" s="652">
        <v>4</v>
      </c>
      <c r="P33" s="654">
        <f t="shared" si="4"/>
        <v>7666.666666666667</v>
      </c>
    </row>
    <row r="34" spans="2:16" x14ac:dyDescent="0.15">
      <c r="B34" s="1109"/>
      <c r="C34" s="1080" t="s">
        <v>676</v>
      </c>
      <c r="D34" s="1087"/>
      <c r="E34" s="1082">
        <v>1</v>
      </c>
      <c r="F34" s="1080" t="s">
        <v>652</v>
      </c>
      <c r="G34" s="1082">
        <v>289440</v>
      </c>
      <c r="H34" s="1084">
        <v>0</v>
      </c>
      <c r="I34" s="1078">
        <f>G34*(1-H34)*E34</f>
        <v>289440</v>
      </c>
      <c r="J34" s="618">
        <v>28</v>
      </c>
      <c r="K34" s="650">
        <f>28/30/28</f>
        <v>3.3333333333333333E-2</v>
      </c>
      <c r="L34" s="652">
        <f>I34*K34</f>
        <v>9648</v>
      </c>
      <c r="M34" s="653">
        <v>0</v>
      </c>
      <c r="N34" s="652">
        <f t="shared" si="5"/>
        <v>0</v>
      </c>
      <c r="O34" s="652">
        <v>7</v>
      </c>
      <c r="P34" s="654">
        <f t="shared" si="4"/>
        <v>1378.2857142857142</v>
      </c>
    </row>
    <row r="35" spans="2:16" x14ac:dyDescent="0.15">
      <c r="B35" s="1109"/>
      <c r="C35" s="1086"/>
      <c r="D35" s="1088"/>
      <c r="E35" s="1089"/>
      <c r="F35" s="1086"/>
      <c r="G35" s="1089"/>
      <c r="H35" s="1085"/>
      <c r="I35" s="1079"/>
      <c r="J35" s="55" t="s">
        <v>452</v>
      </c>
      <c r="K35" s="651">
        <f>2/30/2</f>
        <v>3.3333333333333333E-2</v>
      </c>
      <c r="L35" s="659">
        <f>I34*K35</f>
        <v>9648</v>
      </c>
      <c r="M35" s="653">
        <v>0</v>
      </c>
      <c r="N35" s="659">
        <f t="shared" si="5"/>
        <v>0</v>
      </c>
      <c r="O35" s="652">
        <v>7</v>
      </c>
      <c r="P35" s="660">
        <f t="shared" si="4"/>
        <v>1378.2857142857142</v>
      </c>
    </row>
    <row r="36" spans="2:16" x14ac:dyDescent="0.15">
      <c r="B36" s="1109"/>
      <c r="C36" s="378" t="s">
        <v>438</v>
      </c>
      <c r="D36" s="379"/>
      <c r="E36" s="524">
        <v>1</v>
      </c>
      <c r="F36" s="524" t="s">
        <v>99</v>
      </c>
      <c r="G36" s="490">
        <v>300000</v>
      </c>
      <c r="H36" s="489">
        <v>0.5</v>
      </c>
      <c r="I36" s="300">
        <f>G36*(1-H36)</f>
        <v>150000</v>
      </c>
      <c r="J36" s="572" t="s">
        <v>451</v>
      </c>
      <c r="K36" s="389">
        <f t="shared" ref="K36:K44" si="10">2/2/2</f>
        <v>0.5</v>
      </c>
      <c r="L36" s="354">
        <f t="shared" ref="L36:L44" si="11">I36*K36</f>
        <v>75000</v>
      </c>
      <c r="M36" s="656">
        <v>0</v>
      </c>
      <c r="N36" s="659">
        <f t="shared" si="5"/>
        <v>0</v>
      </c>
      <c r="O36" s="657">
        <v>7</v>
      </c>
      <c r="P36" s="377">
        <f t="shared" ref="P36:P44" si="12">IF(O36="","",(L36-N36)/O36)</f>
        <v>10714.285714285714</v>
      </c>
    </row>
    <row r="37" spans="2:16" x14ac:dyDescent="0.15">
      <c r="B37" s="1109"/>
      <c r="C37" s="573" t="s">
        <v>439</v>
      </c>
      <c r="D37" s="574"/>
      <c r="E37" s="575">
        <v>1</v>
      </c>
      <c r="F37" s="494" t="s">
        <v>99</v>
      </c>
      <c r="G37" s="576">
        <v>650000</v>
      </c>
      <c r="H37" s="525">
        <v>0.5</v>
      </c>
      <c r="I37" s="526">
        <f>G37*(1-H37)</f>
        <v>325000</v>
      </c>
      <c r="J37" s="572" t="s">
        <v>451</v>
      </c>
      <c r="K37" s="389">
        <f t="shared" si="10"/>
        <v>0.5</v>
      </c>
      <c r="L37" s="354">
        <f t="shared" si="11"/>
        <v>162500</v>
      </c>
      <c r="M37" s="656">
        <v>0</v>
      </c>
      <c r="N37" s="376">
        <f t="shared" ref="N37:N44" si="13">L37*M37</f>
        <v>0</v>
      </c>
      <c r="O37" s="657">
        <v>7</v>
      </c>
      <c r="P37" s="377">
        <f t="shared" si="12"/>
        <v>23214.285714285714</v>
      </c>
    </row>
    <row r="38" spans="2:16" x14ac:dyDescent="0.15">
      <c r="B38" s="1109"/>
      <c r="C38" s="380" t="s">
        <v>440</v>
      </c>
      <c r="D38" s="388" t="s">
        <v>585</v>
      </c>
      <c r="E38" s="524">
        <v>1</v>
      </c>
      <c r="F38" s="524" t="s">
        <v>99</v>
      </c>
      <c r="G38" s="490">
        <v>297100</v>
      </c>
      <c r="H38" s="489">
        <v>0.5</v>
      </c>
      <c r="I38" s="300">
        <v>297100</v>
      </c>
      <c r="J38" s="572" t="s">
        <v>452</v>
      </c>
      <c r="K38" s="389">
        <f t="shared" si="10"/>
        <v>0.5</v>
      </c>
      <c r="L38" s="354">
        <f t="shared" si="11"/>
        <v>148550</v>
      </c>
      <c r="M38" s="381">
        <v>0</v>
      </c>
      <c r="N38" s="376">
        <f t="shared" si="13"/>
        <v>0</v>
      </c>
      <c r="O38" s="657">
        <v>7</v>
      </c>
      <c r="P38" s="377">
        <f>IF(O38="","",(L38-N38)/O38)</f>
        <v>21221.428571428572</v>
      </c>
    </row>
    <row r="39" spans="2:16" x14ac:dyDescent="0.15">
      <c r="B39" s="1109"/>
      <c r="C39" s="380" t="s">
        <v>454</v>
      </c>
      <c r="D39" s="388" t="s">
        <v>455</v>
      </c>
      <c r="E39" s="300">
        <v>1</v>
      </c>
      <c r="F39" s="300" t="s">
        <v>456</v>
      </c>
      <c r="G39" s="490">
        <v>3961650</v>
      </c>
      <c r="H39" s="489">
        <v>0.5</v>
      </c>
      <c r="I39" s="300">
        <f t="shared" ref="I39:I44" si="14">G39*(1-H39)</f>
        <v>1980825</v>
      </c>
      <c r="J39" s="572" t="s">
        <v>451</v>
      </c>
      <c r="K39" s="389">
        <f t="shared" si="10"/>
        <v>0.5</v>
      </c>
      <c r="L39" s="354">
        <f t="shared" si="11"/>
        <v>990412.5</v>
      </c>
      <c r="M39" s="381">
        <v>0</v>
      </c>
      <c r="N39" s="376">
        <f t="shared" si="13"/>
        <v>0</v>
      </c>
      <c r="O39" s="657">
        <v>7</v>
      </c>
      <c r="P39" s="377">
        <f>IF(O39="","",(L39-N39)/O39)</f>
        <v>141487.5</v>
      </c>
    </row>
    <row r="40" spans="2:16" x14ac:dyDescent="0.15">
      <c r="B40" s="1109"/>
      <c r="C40" s="380" t="s">
        <v>441</v>
      </c>
      <c r="D40" s="491" t="s">
        <v>442</v>
      </c>
      <c r="E40" s="300">
        <v>1</v>
      </c>
      <c r="F40" s="300" t="s">
        <v>99</v>
      </c>
      <c r="G40" s="490">
        <v>607000</v>
      </c>
      <c r="H40" s="489">
        <v>0.5</v>
      </c>
      <c r="I40" s="300">
        <f t="shared" si="14"/>
        <v>303500</v>
      </c>
      <c r="J40" s="572" t="s">
        <v>452</v>
      </c>
      <c r="K40" s="389">
        <f t="shared" si="10"/>
        <v>0.5</v>
      </c>
      <c r="L40" s="354">
        <f t="shared" si="11"/>
        <v>151750</v>
      </c>
      <c r="M40" s="381">
        <v>0</v>
      </c>
      <c r="N40" s="376">
        <f t="shared" si="13"/>
        <v>0</v>
      </c>
      <c r="O40" s="657">
        <v>7</v>
      </c>
      <c r="P40" s="377">
        <f t="shared" si="12"/>
        <v>21678.571428571428</v>
      </c>
    </row>
    <row r="41" spans="2:16" x14ac:dyDescent="0.15">
      <c r="B41" s="1109"/>
      <c r="C41" s="380" t="s">
        <v>443</v>
      </c>
      <c r="D41" s="491" t="s">
        <v>444</v>
      </c>
      <c r="E41" s="300">
        <v>2</v>
      </c>
      <c r="F41" s="300" t="s">
        <v>99</v>
      </c>
      <c r="G41" s="490">
        <v>744000</v>
      </c>
      <c r="H41" s="489">
        <v>0.5</v>
      </c>
      <c r="I41" s="300">
        <f>G41*(1-H41)</f>
        <v>372000</v>
      </c>
      <c r="J41" s="572" t="s">
        <v>452</v>
      </c>
      <c r="K41" s="389">
        <f t="shared" si="10"/>
        <v>0.5</v>
      </c>
      <c r="L41" s="354">
        <f t="shared" si="11"/>
        <v>186000</v>
      </c>
      <c r="M41" s="381">
        <v>0</v>
      </c>
      <c r="N41" s="376">
        <f t="shared" si="13"/>
        <v>0</v>
      </c>
      <c r="O41" s="657">
        <v>7</v>
      </c>
      <c r="P41" s="377">
        <f t="shared" si="12"/>
        <v>26571.428571428572</v>
      </c>
    </row>
    <row r="42" spans="2:16" x14ac:dyDescent="0.15">
      <c r="B42" s="1109"/>
      <c r="C42" s="380" t="s">
        <v>445</v>
      </c>
      <c r="D42" s="491" t="s">
        <v>446</v>
      </c>
      <c r="E42" s="300">
        <v>1</v>
      </c>
      <c r="F42" s="300" t="s">
        <v>99</v>
      </c>
      <c r="G42" s="490">
        <v>490000</v>
      </c>
      <c r="H42" s="489">
        <v>0.5</v>
      </c>
      <c r="I42" s="300">
        <f t="shared" si="14"/>
        <v>245000</v>
      </c>
      <c r="J42" s="572" t="s">
        <v>452</v>
      </c>
      <c r="K42" s="389">
        <f t="shared" si="10"/>
        <v>0.5</v>
      </c>
      <c r="L42" s="354">
        <f t="shared" si="11"/>
        <v>122500</v>
      </c>
      <c r="M42" s="381">
        <v>0</v>
      </c>
      <c r="N42" s="376">
        <f t="shared" si="13"/>
        <v>0</v>
      </c>
      <c r="O42" s="657">
        <v>7</v>
      </c>
      <c r="P42" s="377">
        <f t="shared" si="12"/>
        <v>17500</v>
      </c>
    </row>
    <row r="43" spans="2:16" x14ac:dyDescent="0.15">
      <c r="B43" s="1109"/>
      <c r="C43" s="380" t="s">
        <v>447</v>
      </c>
      <c r="D43" s="491" t="s">
        <v>448</v>
      </c>
      <c r="E43" s="300">
        <v>2</v>
      </c>
      <c r="F43" s="300" t="s">
        <v>99</v>
      </c>
      <c r="G43" s="490">
        <v>276000</v>
      </c>
      <c r="H43" s="489">
        <v>0.5</v>
      </c>
      <c r="I43" s="300">
        <f t="shared" si="14"/>
        <v>138000</v>
      </c>
      <c r="J43" s="572" t="s">
        <v>452</v>
      </c>
      <c r="K43" s="389">
        <f t="shared" si="10"/>
        <v>0.5</v>
      </c>
      <c r="L43" s="354">
        <f t="shared" si="11"/>
        <v>69000</v>
      </c>
      <c r="M43" s="381">
        <v>0</v>
      </c>
      <c r="N43" s="376">
        <f t="shared" si="13"/>
        <v>0</v>
      </c>
      <c r="O43" s="657">
        <v>7</v>
      </c>
      <c r="P43" s="377">
        <f t="shared" si="12"/>
        <v>9857.1428571428569</v>
      </c>
    </row>
    <row r="44" spans="2:16" ht="11.25" customHeight="1" x14ac:dyDescent="0.15">
      <c r="B44" s="1109"/>
      <c r="C44" s="380" t="s">
        <v>449</v>
      </c>
      <c r="D44" s="382" t="s">
        <v>450</v>
      </c>
      <c r="E44" s="382">
        <v>1</v>
      </c>
      <c r="F44" s="300" t="s">
        <v>99</v>
      </c>
      <c r="G44" s="490">
        <v>100000</v>
      </c>
      <c r="H44" s="489">
        <v>0.5</v>
      </c>
      <c r="I44" s="300">
        <f t="shared" si="14"/>
        <v>50000</v>
      </c>
      <c r="J44" s="572" t="s">
        <v>452</v>
      </c>
      <c r="K44" s="389">
        <f t="shared" si="10"/>
        <v>0.5</v>
      </c>
      <c r="L44" s="354">
        <f t="shared" si="11"/>
        <v>25000</v>
      </c>
      <c r="M44" s="381">
        <v>0</v>
      </c>
      <c r="N44" s="376">
        <f t="shared" si="13"/>
        <v>0</v>
      </c>
      <c r="O44" s="657">
        <v>7</v>
      </c>
      <c r="P44" s="377">
        <f t="shared" si="12"/>
        <v>3571.4285714285716</v>
      </c>
    </row>
    <row r="45" spans="2:16" x14ac:dyDescent="0.15">
      <c r="B45" s="1109"/>
      <c r="C45" s="58" t="s">
        <v>45</v>
      </c>
      <c r="D45" s="58"/>
      <c r="E45" s="58"/>
      <c r="F45" s="59"/>
      <c r="G45" s="58">
        <f>SUM(G14:G44)</f>
        <v>59457724</v>
      </c>
      <c r="H45" s="58"/>
      <c r="I45" s="58">
        <f>SUM(I14:I44)</f>
        <v>55893399</v>
      </c>
      <c r="J45" s="58"/>
      <c r="K45" s="661"/>
      <c r="L45" s="662">
        <f>SUM(L14:L44)</f>
        <v>4531021.8095238088</v>
      </c>
      <c r="M45" s="662"/>
      <c r="N45" s="662"/>
      <c r="O45" s="662"/>
      <c r="P45" s="663">
        <f>SUM(P14:P44)</f>
        <v>684897.67346938769</v>
      </c>
    </row>
    <row r="46" spans="2:16" ht="13.5" hidden="1" customHeight="1" x14ac:dyDescent="0.15">
      <c r="B46" s="1075"/>
      <c r="C46" s="44"/>
      <c r="D46" s="44"/>
      <c r="E46" s="44"/>
      <c r="F46" s="44"/>
      <c r="G46" s="44"/>
      <c r="H46" s="63"/>
      <c r="I46" s="801"/>
      <c r="J46" s="44"/>
      <c r="K46" s="53"/>
      <c r="L46" s="801">
        <f>I46*K46</f>
        <v>0</v>
      </c>
      <c r="M46" s="63"/>
      <c r="N46" s="801">
        <f>L46*M46</f>
        <v>0</v>
      </c>
      <c r="O46" s="44"/>
      <c r="P46" s="137" t="str">
        <f>IF(O46="","",(L46-N46)/O46)</f>
        <v/>
      </c>
    </row>
    <row r="47" spans="2:16" ht="13.5" hidden="1" customHeight="1" x14ac:dyDescent="0.15">
      <c r="B47" s="1076"/>
      <c r="C47" s="44"/>
      <c r="D47" s="44"/>
      <c r="E47" s="44"/>
      <c r="F47" s="44"/>
      <c r="G47" s="44"/>
      <c r="H47" s="63"/>
      <c r="I47" s="801">
        <f t="shared" ref="I47" si="15">G47*(1-H47)</f>
        <v>0</v>
      </c>
      <c r="J47" s="44"/>
      <c r="K47" s="53"/>
      <c r="L47" s="801">
        <f>I47*K47</f>
        <v>0</v>
      </c>
      <c r="M47" s="63"/>
      <c r="N47" s="801">
        <f>L47*M47</f>
        <v>0</v>
      </c>
      <c r="O47" s="44"/>
      <c r="P47" s="137" t="str">
        <f>IF(O47="","",(L47-N47)/O47)</f>
        <v/>
      </c>
    </row>
    <row r="48" spans="2:16" hidden="1" x14ac:dyDescent="0.15">
      <c r="B48" s="1076"/>
      <c r="C48" s="44"/>
      <c r="D48" s="44"/>
      <c r="E48" s="44"/>
      <c r="F48" s="44"/>
      <c r="G48" s="44"/>
      <c r="H48" s="63"/>
      <c r="I48" s="801">
        <f t="shared" ref="I48" si="16">G48*(1-H48)</f>
        <v>0</v>
      </c>
      <c r="J48" s="44"/>
      <c r="K48" s="53"/>
      <c r="L48" s="801">
        <f>I48*K48</f>
        <v>0</v>
      </c>
      <c r="M48" s="63"/>
      <c r="N48" s="801">
        <f>L48*M48</f>
        <v>0</v>
      </c>
      <c r="O48" s="44"/>
      <c r="P48" s="137" t="str">
        <f>IF(O48="","",(L48-N48)/O48)</f>
        <v/>
      </c>
    </row>
    <row r="49" spans="2:16" hidden="1" x14ac:dyDescent="0.15">
      <c r="B49" s="1076"/>
      <c r="C49" s="44"/>
      <c r="D49" s="44"/>
      <c r="E49" s="44"/>
      <c r="F49" s="44"/>
      <c r="G49" s="44"/>
      <c r="H49" s="63"/>
      <c r="I49" s="801">
        <f t="shared" ref="I49" si="17">G49*(1-H49)</f>
        <v>0</v>
      </c>
      <c r="J49" s="44"/>
      <c r="K49" s="53"/>
      <c r="L49" s="801">
        <f>I49*K49</f>
        <v>0</v>
      </c>
      <c r="M49" s="63"/>
      <c r="N49" s="801">
        <f>L49*M49</f>
        <v>0</v>
      </c>
      <c r="O49" s="44"/>
      <c r="P49" s="137" t="str">
        <f>IF(O49="","",(L49-N49)/O49)</f>
        <v/>
      </c>
    </row>
    <row r="50" spans="2:16" x14ac:dyDescent="0.15">
      <c r="B50" s="1076"/>
      <c r="C50" s="64" t="s">
        <v>45</v>
      </c>
      <c r="D50" s="58"/>
      <c r="E50" s="58"/>
      <c r="F50" s="59"/>
      <c r="G50" s="58">
        <f>SUM(G46:G49)</f>
        <v>0</v>
      </c>
      <c r="H50" s="58"/>
      <c r="I50" s="58">
        <f>SUM(I46:I49)</f>
        <v>0</v>
      </c>
      <c r="J50" s="58"/>
      <c r="K50" s="60"/>
      <c r="L50" s="58">
        <f>SUM(L46:L49)</f>
        <v>0</v>
      </c>
      <c r="M50" s="58"/>
      <c r="N50" s="58"/>
      <c r="O50" s="58"/>
      <c r="P50" s="291">
        <f>SUM(P46:P49)</f>
        <v>0</v>
      </c>
    </row>
    <row r="51" spans="2:16" ht="14.25" thickBot="1" x14ac:dyDescent="0.2">
      <c r="B51" s="1077"/>
      <c r="C51" s="65" t="s">
        <v>157</v>
      </c>
      <c r="D51" s="66"/>
      <c r="E51" s="66"/>
      <c r="F51" s="67"/>
      <c r="G51" s="66">
        <f>G13+G45+G50</f>
        <v>77851474</v>
      </c>
      <c r="H51" s="66"/>
      <c r="I51" s="66">
        <f>I13+I45+I50</f>
        <v>74287149</v>
      </c>
      <c r="J51" s="66"/>
      <c r="K51" s="68"/>
      <c r="L51" s="66">
        <f>L13+L45+L50</f>
        <v>5426328.9523809515</v>
      </c>
      <c r="M51" s="66"/>
      <c r="N51" s="66"/>
      <c r="O51" s="66"/>
      <c r="P51" s="292">
        <f>P13+P45+P50</f>
        <v>729053.38775510201</v>
      </c>
    </row>
    <row r="52" spans="2:16" ht="24" customHeight="1" x14ac:dyDescent="0.15">
      <c r="B52" s="1074" t="s">
        <v>718</v>
      </c>
      <c r="C52" s="1074"/>
      <c r="D52" s="1074"/>
    </row>
  </sheetData>
  <mergeCells count="59">
    <mergeCell ref="B14:B45"/>
    <mergeCell ref="C26:C27"/>
    <mergeCell ref="G29:G30"/>
    <mergeCell ref="D26:D27"/>
    <mergeCell ref="E26:E27"/>
    <mergeCell ref="F26:F27"/>
    <mergeCell ref="C29:C30"/>
    <mergeCell ref="D29:D30"/>
    <mergeCell ref="H7:H8"/>
    <mergeCell ref="I7:I8"/>
    <mergeCell ref="C4:C5"/>
    <mergeCell ref="D4:D5"/>
    <mergeCell ref="E4:E5"/>
    <mergeCell ref="F4:F5"/>
    <mergeCell ref="G4:G5"/>
    <mergeCell ref="H4:H5"/>
    <mergeCell ref="J2:J3"/>
    <mergeCell ref="C32:C33"/>
    <mergeCell ref="D32:D33"/>
    <mergeCell ref="E32:E33"/>
    <mergeCell ref="F32:F33"/>
    <mergeCell ref="G32:G33"/>
    <mergeCell ref="H26:H27"/>
    <mergeCell ref="I26:I27"/>
    <mergeCell ref="G26:G27"/>
    <mergeCell ref="I32:I33"/>
    <mergeCell ref="H29:H30"/>
    <mergeCell ref="I29:I30"/>
    <mergeCell ref="H32:H33"/>
    <mergeCell ref="E29:E30"/>
    <mergeCell ref="F29:F30"/>
    <mergeCell ref="I4:I5"/>
    <mergeCell ref="F1:G1"/>
    <mergeCell ref="B4:B13"/>
    <mergeCell ref="B2:B3"/>
    <mergeCell ref="C2:C3"/>
    <mergeCell ref="D2:D3"/>
    <mergeCell ref="E2:F2"/>
    <mergeCell ref="C7:C8"/>
    <mergeCell ref="D7:D8"/>
    <mergeCell ref="E7:E8"/>
    <mergeCell ref="F7:F8"/>
    <mergeCell ref="G7:G8"/>
    <mergeCell ref="B52:D52"/>
    <mergeCell ref="B46:B51"/>
    <mergeCell ref="I14:I15"/>
    <mergeCell ref="C14:C15"/>
    <mergeCell ref="D14:D15"/>
    <mergeCell ref="E14:E15"/>
    <mergeCell ref="F14:F15"/>
    <mergeCell ref="G14:G15"/>
    <mergeCell ref="H14:H15"/>
    <mergeCell ref="H34:H35"/>
    <mergeCell ref="I34:I35"/>
    <mergeCell ref="C34:C35"/>
    <mergeCell ref="D34:D35"/>
    <mergeCell ref="E34:E35"/>
    <mergeCell ref="F34:F35"/>
    <mergeCell ref="G34:G35"/>
  </mergeCells>
  <phoneticPr fontId="4"/>
  <pageMargins left="0.78740157480314965" right="0.78740157480314965" top="0.78740157480314965" bottom="0.78740157480314965" header="0.39370078740157483" footer="0.39370078740157483"/>
  <pageSetup paperSize="9" scale="59" orientation="landscape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9"/>
  <sheetViews>
    <sheetView zoomScale="75" zoomScaleNormal="75" workbookViewId="0"/>
  </sheetViews>
  <sheetFormatPr defaultColWidth="10.875" defaultRowHeight="13.5" x14ac:dyDescent="0.15"/>
  <cols>
    <col min="1" max="1" width="1.625" style="97" customWidth="1"/>
    <col min="2" max="2" width="5.875" style="97" customWidth="1"/>
    <col min="3" max="3" width="10.625" style="97" customWidth="1"/>
    <col min="4" max="4" width="12.375" style="97" customWidth="1"/>
    <col min="5" max="5" width="14.625" style="97" customWidth="1"/>
    <col min="6" max="7" width="15.875" style="97" customWidth="1"/>
    <col min="8" max="8" width="10.875" style="97"/>
    <col min="9" max="9" width="11.375" style="97" bestFit="1" customWidth="1"/>
    <col min="10" max="10" width="13.375" style="97" customWidth="1"/>
    <col min="11" max="11" width="7.125" style="97" customWidth="1"/>
    <col min="12" max="12" width="15.375" style="97" customWidth="1"/>
    <col min="13" max="13" width="9.375" style="97" bestFit="1" customWidth="1"/>
    <col min="14" max="14" width="10.875" style="97"/>
    <col min="15" max="15" width="7.25" style="97" customWidth="1"/>
    <col min="16" max="16" width="9.625" style="97" customWidth="1"/>
    <col min="17" max="17" width="10.875" style="97" customWidth="1"/>
    <col min="18" max="18" width="7.5" style="97" customWidth="1"/>
    <col min="19" max="19" width="3.75" style="97" customWidth="1"/>
    <col min="20" max="16384" width="10.875" style="97"/>
  </cols>
  <sheetData>
    <row r="1" spans="2:19" s="98" customFormat="1" ht="9.9499999999999993" customHeight="1" x14ac:dyDescent="0.15"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</row>
    <row r="2" spans="2:19" s="98" customFormat="1" ht="24.95" customHeight="1" thickBot="1" x14ac:dyDescent="0.2">
      <c r="B2" s="98" t="s">
        <v>102</v>
      </c>
      <c r="H2" s="99" t="s">
        <v>261</v>
      </c>
      <c r="I2" s="3" t="s">
        <v>382</v>
      </c>
      <c r="K2" s="99" t="s">
        <v>262</v>
      </c>
      <c r="L2" s="3" t="s">
        <v>263</v>
      </c>
      <c r="N2" s="97"/>
      <c r="O2" s="97"/>
      <c r="Q2" s="4"/>
      <c r="R2" s="4"/>
    </row>
    <row r="3" spans="2:19" s="98" customFormat="1" ht="18" customHeight="1" x14ac:dyDescent="0.15">
      <c r="B3" s="1134" t="s">
        <v>19</v>
      </c>
      <c r="C3" s="1135"/>
      <c r="D3" s="1135"/>
      <c r="E3" s="1136"/>
      <c r="F3" s="128" t="s">
        <v>20</v>
      </c>
      <c r="G3" s="101"/>
      <c r="H3" s="102" t="s">
        <v>21</v>
      </c>
      <c r="I3" s="100"/>
      <c r="J3" s="100"/>
      <c r="K3" s="1143" t="s">
        <v>226</v>
      </c>
      <c r="L3" s="1144"/>
      <c r="M3" s="1144"/>
      <c r="N3" s="1144"/>
      <c r="O3" s="1144"/>
      <c r="P3" s="1144"/>
      <c r="Q3" s="1144"/>
      <c r="R3" s="1144"/>
      <c r="S3" s="1145"/>
    </row>
    <row r="4" spans="2:19" s="98" customFormat="1" ht="18" customHeight="1" x14ac:dyDescent="0.15">
      <c r="B4" s="1132" t="s">
        <v>22</v>
      </c>
      <c r="C4" s="1133"/>
      <c r="D4" s="197" t="s">
        <v>219</v>
      </c>
      <c r="E4" s="216"/>
      <c r="F4" s="209">
        <f>+R11</f>
        <v>918000</v>
      </c>
      <c r="G4" s="1179" t="s">
        <v>197</v>
      </c>
      <c r="H4" s="1180"/>
      <c r="I4" s="1180"/>
      <c r="J4" s="1181"/>
      <c r="K4" s="205" t="s">
        <v>53</v>
      </c>
      <c r="L4" s="271" t="s">
        <v>266</v>
      </c>
      <c r="M4" s="206" t="s">
        <v>23</v>
      </c>
      <c r="N4" s="206" t="s">
        <v>22</v>
      </c>
      <c r="O4" s="206" t="s">
        <v>53</v>
      </c>
      <c r="P4" s="271" t="s">
        <v>267</v>
      </c>
      <c r="Q4" s="206" t="s">
        <v>23</v>
      </c>
      <c r="R4" s="1148" t="s">
        <v>22</v>
      </c>
      <c r="S4" s="1149"/>
    </row>
    <row r="5" spans="2:19" s="98" customFormat="1" ht="18" customHeight="1" x14ac:dyDescent="0.15">
      <c r="B5" s="1132"/>
      <c r="C5" s="1133"/>
      <c r="D5" s="197" t="s">
        <v>89</v>
      </c>
      <c r="E5" s="216"/>
      <c r="F5" s="209">
        <v>0</v>
      </c>
      <c r="G5" s="165"/>
      <c r="H5" s="217"/>
      <c r="I5" s="217"/>
      <c r="J5" s="217"/>
      <c r="K5" s="208" t="s">
        <v>158</v>
      </c>
      <c r="L5" s="209">
        <f>5100*('１　対象経営の概要，２　前提条件'!AM26)/('１　対象経営の概要，２　前提条件'!AB26+'１　対象経営の概要，２　前提条件'!AM26+'１　対象経営の概要，２　前提条件'!AB28)</f>
        <v>3400</v>
      </c>
      <c r="M5" s="209">
        <f>'９－１　水稲単価算出基礎（食用倒伏しやすい品種）'!O6</f>
        <v>180</v>
      </c>
      <c r="N5" s="209">
        <f>L5*M5</f>
        <v>612000</v>
      </c>
      <c r="O5" s="209"/>
      <c r="P5" s="209"/>
      <c r="Q5" s="209"/>
      <c r="R5" s="1146"/>
      <c r="S5" s="1147"/>
    </row>
    <row r="6" spans="2:19" s="98" customFormat="1" ht="18" customHeight="1" x14ac:dyDescent="0.15">
      <c r="B6" s="1140" t="s">
        <v>224</v>
      </c>
      <c r="C6" s="1137" t="s">
        <v>210</v>
      </c>
      <c r="D6" s="209" t="s">
        <v>56</v>
      </c>
      <c r="E6" s="218"/>
      <c r="F6" s="209">
        <f>+P13</f>
        <v>11800</v>
      </c>
      <c r="G6" s="165" t="s">
        <v>198</v>
      </c>
      <c r="H6" s="217"/>
      <c r="I6" s="217"/>
      <c r="J6" s="217"/>
      <c r="K6" s="213" t="s">
        <v>342</v>
      </c>
      <c r="L6" s="668">
        <f>5100*('１　対象経営の概要，２　前提条件'!AB26)/('１　対象経営の概要，２　前提条件'!$AB$26+'１　対象経営の概要，２　前提条件'!$AM$26+'１　対象経営の概要，２　前提条件'!$AB$28)</f>
        <v>1700</v>
      </c>
      <c r="M6" s="212">
        <f>'９－１　水稲単価算出基礎（食用倒伏しやすい品種）'!O8</f>
        <v>180</v>
      </c>
      <c r="N6" s="209">
        <f>L6*M6</f>
        <v>306000</v>
      </c>
      <c r="O6" s="209"/>
      <c r="P6" s="209"/>
      <c r="Q6" s="209"/>
      <c r="R6" s="1146"/>
      <c r="S6" s="1147"/>
    </row>
    <row r="7" spans="2:19" s="98" customFormat="1" ht="18" customHeight="1" x14ac:dyDescent="0.15">
      <c r="B7" s="1141"/>
      <c r="C7" s="1138"/>
      <c r="D7" s="209" t="s">
        <v>57</v>
      </c>
      <c r="E7" s="218"/>
      <c r="F7" s="209">
        <f>P22</f>
        <v>109114.15</v>
      </c>
      <c r="G7" s="1179" t="s">
        <v>201</v>
      </c>
      <c r="H7" s="1180"/>
      <c r="I7" s="1180"/>
      <c r="J7" s="1181"/>
      <c r="K7" s="666"/>
      <c r="L7" s="669"/>
      <c r="M7" s="669"/>
      <c r="N7" s="667"/>
      <c r="O7" s="209"/>
      <c r="P7" s="209"/>
      <c r="Q7" s="209"/>
      <c r="R7" s="1146"/>
      <c r="S7" s="1147"/>
    </row>
    <row r="8" spans="2:19" s="98" customFormat="1" ht="18" customHeight="1" x14ac:dyDescent="0.15">
      <c r="B8" s="1141"/>
      <c r="C8" s="1138"/>
      <c r="D8" s="209" t="s">
        <v>58</v>
      </c>
      <c r="E8" s="218"/>
      <c r="F8" s="209">
        <f>P28</f>
        <v>62757.266666666663</v>
      </c>
      <c r="G8" s="1179" t="s">
        <v>202</v>
      </c>
      <c r="H8" s="1180"/>
      <c r="I8" s="1180"/>
      <c r="J8" s="1181"/>
      <c r="K8" s="211"/>
      <c r="L8" s="209"/>
      <c r="M8" s="209"/>
      <c r="N8" s="209"/>
      <c r="O8" s="209"/>
      <c r="P8" s="209"/>
      <c r="Q8" s="209"/>
      <c r="R8" s="1146"/>
      <c r="S8" s="1147"/>
    </row>
    <row r="9" spans="2:19" s="98" customFormat="1" ht="18" customHeight="1" x14ac:dyDescent="0.15">
      <c r="B9" s="1141"/>
      <c r="C9" s="1138"/>
      <c r="D9" s="209" t="s">
        <v>90</v>
      </c>
      <c r="E9" s="218"/>
      <c r="F9" s="209">
        <f>P37</f>
        <v>41534.124380000001</v>
      </c>
      <c r="G9" s="1179" t="s">
        <v>203</v>
      </c>
      <c r="H9" s="1180"/>
      <c r="I9" s="1180"/>
      <c r="J9" s="1181"/>
      <c r="K9" s="211"/>
      <c r="L9" s="209"/>
      <c r="M9" s="209"/>
      <c r="N9" s="209"/>
      <c r="O9" s="209"/>
      <c r="P9" s="209"/>
      <c r="Q9" s="209"/>
      <c r="R9" s="1146"/>
      <c r="S9" s="1147"/>
    </row>
    <row r="10" spans="2:19" s="98" customFormat="1" ht="18" customHeight="1" x14ac:dyDescent="0.15">
      <c r="B10" s="1141"/>
      <c r="C10" s="1138"/>
      <c r="D10" s="209" t="s">
        <v>59</v>
      </c>
      <c r="E10" s="218"/>
      <c r="F10" s="209">
        <f>'８－１　水稲算出基礎（食用倒伏しやすい品種）'!V21</f>
        <v>5806.666666666667</v>
      </c>
      <c r="G10" s="1159" t="s">
        <v>204</v>
      </c>
      <c r="H10" s="1160"/>
      <c r="I10" s="1160"/>
      <c r="J10" s="1147"/>
      <c r="K10" s="211"/>
      <c r="L10" s="209"/>
      <c r="M10" s="209"/>
      <c r="N10" s="209"/>
      <c r="O10" s="209"/>
      <c r="P10" s="209"/>
      <c r="Q10" s="209"/>
      <c r="R10" s="1146"/>
      <c r="S10" s="1147"/>
    </row>
    <row r="11" spans="2:19" s="98" customFormat="1" ht="18" customHeight="1" thickBot="1" x14ac:dyDescent="0.2">
      <c r="B11" s="1141"/>
      <c r="C11" s="1138"/>
      <c r="D11" s="209" t="s">
        <v>6</v>
      </c>
      <c r="E11" s="218"/>
      <c r="F11" s="209">
        <f>'８－１　水稲算出基礎（食用倒伏しやすい品種）'!V34</f>
        <v>83.333333333333329</v>
      </c>
      <c r="G11" s="1159" t="s">
        <v>204</v>
      </c>
      <c r="H11" s="1160"/>
      <c r="I11" s="1160"/>
      <c r="J11" s="1147"/>
      <c r="K11" s="119"/>
      <c r="L11" s="104"/>
      <c r="M11" s="104"/>
      <c r="N11" s="103"/>
      <c r="O11" s="105" t="s">
        <v>24</v>
      </c>
      <c r="P11" s="106">
        <f>SUM(L5:L11,P5:Q10)</f>
        <v>5100</v>
      </c>
      <c r="Q11" s="107">
        <f>R11/P11</f>
        <v>180</v>
      </c>
      <c r="R11" s="1167">
        <f>SUM(N5:N11,R5:S10)</f>
        <v>918000</v>
      </c>
      <c r="S11" s="1168"/>
    </row>
    <row r="12" spans="2:19" s="98" customFormat="1" ht="18" customHeight="1" thickTop="1" x14ac:dyDescent="0.15">
      <c r="B12" s="1141"/>
      <c r="C12" s="1138"/>
      <c r="D12" s="209" t="s">
        <v>7</v>
      </c>
      <c r="E12" s="218"/>
      <c r="F12" s="209">
        <v>0</v>
      </c>
      <c r="G12" s="171"/>
      <c r="H12" s="184"/>
      <c r="I12" s="184"/>
      <c r="J12" s="219"/>
      <c r="K12" s="1156" t="s">
        <v>225</v>
      </c>
      <c r="L12" s="199" t="s">
        <v>167</v>
      </c>
      <c r="M12" s="200" t="s">
        <v>9</v>
      </c>
      <c r="N12" s="273" t="s">
        <v>265</v>
      </c>
      <c r="O12" s="201" t="s">
        <v>23</v>
      </c>
      <c r="P12" s="201" t="s">
        <v>26</v>
      </c>
      <c r="Q12" s="1169" t="s">
        <v>27</v>
      </c>
      <c r="R12" s="1170"/>
      <c r="S12" s="1171"/>
    </row>
    <row r="13" spans="2:19" s="98" customFormat="1" ht="18" customHeight="1" x14ac:dyDescent="0.15">
      <c r="B13" s="1141"/>
      <c r="C13" s="1138"/>
      <c r="D13" s="1129" t="s">
        <v>60</v>
      </c>
      <c r="E13" s="220" t="s">
        <v>194</v>
      </c>
      <c r="F13" s="664">
        <f>('６　固定資本装備と減価償却費'!L4+'６　固定資本装備と減価償却費'!L6+'６　固定資本装備と減価償却費'!L7)*0.01</f>
        <v>6385.8214285714284</v>
      </c>
      <c r="G13" s="803" t="s">
        <v>199</v>
      </c>
      <c r="H13" s="804">
        <v>0.01</v>
      </c>
      <c r="I13" s="1182" t="s">
        <v>205</v>
      </c>
      <c r="J13" s="1183"/>
      <c r="K13" s="1157"/>
      <c r="L13" s="204" t="s">
        <v>137</v>
      </c>
      <c r="M13" s="198" t="s">
        <v>159</v>
      </c>
      <c r="N13" s="131">
        <f>20*('１　対象経営の概要，２　前提条件'!AB26+'１　対象経営の概要，２　前提条件'!AM26)/('１　対象経営の概要，２　前提条件'!AB26+'１　対象経営の概要，２　前提条件'!AM26+'１　対象経営の概要，２　前提条件'!AB28)</f>
        <v>20</v>
      </c>
      <c r="O13" s="131">
        <v>590</v>
      </c>
      <c r="P13" s="131">
        <f>N13*O13</f>
        <v>11800</v>
      </c>
      <c r="Q13" s="1175" t="s">
        <v>260</v>
      </c>
      <c r="R13" s="1176"/>
      <c r="S13" s="1177"/>
    </row>
    <row r="14" spans="2:19" s="98" customFormat="1" ht="18" customHeight="1" x14ac:dyDescent="0.15">
      <c r="B14" s="1141"/>
      <c r="C14" s="1138"/>
      <c r="D14" s="1130"/>
      <c r="E14" s="220" t="s">
        <v>195</v>
      </c>
      <c r="F14" s="665">
        <f>('６　固定資本装備と減価償却費'!L14+'６　固定資本装備と減価償却費'!L17+'６　固定資本装備と減価償却費'!L18+'６　固定資本装備と減価償却費'!L19+'６　固定資本装備と減価償却費'!L20+'６　固定資本装備と減価償却費'!L21+'６　固定資本装備と減価償却費'!L22+'６　固定資本装備と減価償却費'!L23+'６　固定資本装備と減価償却費'!L24+'６　固定資本装備と減価償却費'!L25+'６　固定資本装備と減価償却費'!L26+'６　固定資本装備と減価償却費'!L28+'６　固定資本装備と減価償却費'!L29+'６　固定資本装備と減価償却費'!L31+'６　固定資本装備と減価償却費'!L32+'６　固定資本装備と減価償却費'!L34)*0.05</f>
        <v>90060.298809523811</v>
      </c>
      <c r="G14" s="803" t="s">
        <v>199</v>
      </c>
      <c r="H14" s="804">
        <v>0.05</v>
      </c>
      <c r="I14" s="1182" t="s">
        <v>205</v>
      </c>
      <c r="J14" s="1183"/>
      <c r="K14" s="1157"/>
      <c r="L14" s="204"/>
      <c r="M14" s="198"/>
      <c r="N14" s="131"/>
      <c r="O14" s="131"/>
      <c r="P14" s="131"/>
      <c r="Q14" s="1175"/>
      <c r="R14" s="1176"/>
      <c r="S14" s="1177"/>
    </row>
    <row r="15" spans="2:19" s="98" customFormat="1" ht="18" customHeight="1" thickBot="1" x14ac:dyDescent="0.2">
      <c r="B15" s="1141"/>
      <c r="C15" s="1138"/>
      <c r="D15" s="1129" t="s">
        <v>91</v>
      </c>
      <c r="E15" s="220" t="s">
        <v>194</v>
      </c>
      <c r="F15" s="665">
        <f>'６　固定資本装備と減価償却費'!P4+'６　固定資本装備と減価償却費'!P6+'６　固定資本装備と減価償却費'!P7</f>
        <v>30033.214285714283</v>
      </c>
      <c r="G15" s="1179" t="s">
        <v>205</v>
      </c>
      <c r="H15" s="1180"/>
      <c r="I15" s="1180"/>
      <c r="J15" s="1181"/>
      <c r="K15" s="1157"/>
      <c r="L15" s="110" t="s">
        <v>28</v>
      </c>
      <c r="M15" s="109"/>
      <c r="N15" s="110"/>
      <c r="O15" s="110"/>
      <c r="P15" s="110">
        <f>SUM(P13:P14)</f>
        <v>11800</v>
      </c>
      <c r="Q15" s="1161"/>
      <c r="R15" s="1162"/>
      <c r="S15" s="1163"/>
    </row>
    <row r="16" spans="2:19" s="98" customFormat="1" ht="18" customHeight="1" thickTop="1" x14ac:dyDescent="0.15">
      <c r="B16" s="1141"/>
      <c r="C16" s="1138"/>
      <c r="D16" s="1131"/>
      <c r="E16" s="220" t="s">
        <v>195</v>
      </c>
      <c r="F16" s="665">
        <f>'６　固定資本装備と減価償却費'!P14+'６　固定資本装備と減価償却費'!P17+'６　固定資本装備と減価償却費'!P18+'６　固定資本装備と減価償却費'!P19+'６　固定資本装備と減価償却費'!P20+'６　固定資本装備と減価償却費'!P21+'６　固定資本装備と減価償却費'!P22+'６　固定資本装備と減価償却費'!P23+'６　固定資本装備と減価償却費'!P24+'６　固定資本装備と減価償却費'!P25+'６　固定資本装備と減価償却費'!P26+'６　固定資本装備と減価償却費'!P28+'６　固定資本装備と減価償却費'!P29+'６　固定資本装備と減価償却費'!P31+'６　固定資本装備と減価償却費'!P32+'６　固定資本装備と減価償却費'!P34</f>
        <v>285685.88775510213</v>
      </c>
      <c r="G16" s="1179" t="s">
        <v>205</v>
      </c>
      <c r="H16" s="1180"/>
      <c r="I16" s="1180"/>
      <c r="J16" s="1181"/>
      <c r="K16" s="1157"/>
      <c r="L16" s="193" t="s">
        <v>168</v>
      </c>
      <c r="M16" s="194"/>
      <c r="N16" s="272" t="s">
        <v>265</v>
      </c>
      <c r="O16" s="332" t="s">
        <v>23</v>
      </c>
      <c r="P16" s="196" t="s">
        <v>26</v>
      </c>
      <c r="Q16" s="1164" t="s">
        <v>27</v>
      </c>
      <c r="R16" s="1165"/>
      <c r="S16" s="1166"/>
    </row>
    <row r="17" spans="1:19" s="98" customFormat="1" ht="18" customHeight="1" x14ac:dyDescent="0.15">
      <c r="B17" s="1141"/>
      <c r="C17" s="1138"/>
      <c r="D17" s="1130"/>
      <c r="E17" s="209" t="s">
        <v>61</v>
      </c>
      <c r="F17" s="209">
        <v>0</v>
      </c>
      <c r="G17" s="1179" t="s">
        <v>205</v>
      </c>
      <c r="H17" s="1180"/>
      <c r="I17" s="1180"/>
      <c r="J17" s="1181"/>
      <c r="K17" s="1157"/>
      <c r="L17" s="197" t="s">
        <v>172</v>
      </c>
      <c r="M17" s="198"/>
      <c r="N17" s="171" t="s">
        <v>286</v>
      </c>
      <c r="O17" s="188"/>
      <c r="P17" s="186">
        <f>'８－１　水稲算出基礎（食用倒伏しやすい品種）'!G11</f>
        <v>38400</v>
      </c>
      <c r="Q17" s="1153"/>
      <c r="R17" s="1154"/>
      <c r="S17" s="1155"/>
    </row>
    <row r="18" spans="1:19" s="98" customFormat="1" ht="18" customHeight="1" x14ac:dyDescent="0.15">
      <c r="A18" s="97"/>
      <c r="B18" s="1141"/>
      <c r="C18" s="1138"/>
      <c r="D18" s="1121" t="s">
        <v>270</v>
      </c>
      <c r="E18" s="214" t="s">
        <v>121</v>
      </c>
      <c r="F18" s="209">
        <v>0</v>
      </c>
      <c r="G18" s="171"/>
      <c r="H18" s="178"/>
      <c r="I18" s="178"/>
      <c r="J18" s="179"/>
      <c r="K18" s="1157"/>
      <c r="L18" s="670" t="s">
        <v>173</v>
      </c>
      <c r="M18" s="108"/>
      <c r="N18" s="670" t="s">
        <v>286</v>
      </c>
      <c r="O18" s="671"/>
      <c r="P18" s="672">
        <f>'８－１　水稲算出基礎（食用倒伏しやすい品種）'!G16</f>
        <v>56350</v>
      </c>
      <c r="Q18" s="1153"/>
      <c r="R18" s="1154"/>
      <c r="S18" s="1155"/>
    </row>
    <row r="19" spans="1:19" s="98" customFormat="1" ht="18" customHeight="1" x14ac:dyDescent="0.15">
      <c r="A19" s="97"/>
      <c r="B19" s="1141"/>
      <c r="C19" s="1138"/>
      <c r="D19" s="1121"/>
      <c r="E19" s="214" t="s">
        <v>117</v>
      </c>
      <c r="F19" s="209">
        <f>J19*'５－１　水稲（食用，加工用米）作業時間'!AO34</f>
        <v>37290.000000000007</v>
      </c>
      <c r="G19" s="171"/>
      <c r="H19" s="178"/>
      <c r="I19" s="111" t="s">
        <v>328</v>
      </c>
      <c r="J19" s="355">
        <v>1100</v>
      </c>
      <c r="K19" s="1141"/>
      <c r="L19" s="673"/>
      <c r="M19" s="674"/>
      <c r="N19" s="674"/>
      <c r="O19" s="669"/>
      <c r="P19" s="669"/>
      <c r="Q19" s="1178"/>
      <c r="R19" s="1154"/>
      <c r="S19" s="1155"/>
    </row>
    <row r="20" spans="1:19" s="98" customFormat="1" ht="18" customHeight="1" x14ac:dyDescent="0.15">
      <c r="A20" s="97"/>
      <c r="B20" s="1141"/>
      <c r="C20" s="1138"/>
      <c r="D20" s="1121"/>
      <c r="E20" s="214" t="s">
        <v>118</v>
      </c>
      <c r="F20" s="209">
        <f>J20*'５－１　水稲（食用，加工用米）作業時間'!AP34</f>
        <v>55800</v>
      </c>
      <c r="G20" s="171"/>
      <c r="H20" s="178"/>
      <c r="I20" s="111" t="s">
        <v>329</v>
      </c>
      <c r="J20" s="326">
        <v>900</v>
      </c>
      <c r="K20" s="1157"/>
      <c r="L20" s="171"/>
      <c r="M20" s="184"/>
      <c r="N20" s="171"/>
      <c r="O20" s="188"/>
      <c r="P20" s="186"/>
      <c r="Q20" s="1153"/>
      <c r="R20" s="1154"/>
      <c r="S20" s="1155"/>
    </row>
    <row r="21" spans="1:19" s="98" customFormat="1" ht="18" customHeight="1" x14ac:dyDescent="0.15">
      <c r="A21" s="97"/>
      <c r="B21" s="1141"/>
      <c r="C21" s="1138"/>
      <c r="D21" s="1121"/>
      <c r="E21" s="214" t="s">
        <v>119</v>
      </c>
      <c r="F21" s="209">
        <f>(F19+F20)*0.012</f>
        <v>1117.08</v>
      </c>
      <c r="G21" s="171" t="s">
        <v>628</v>
      </c>
      <c r="H21" s="178"/>
      <c r="I21" s="178"/>
      <c r="J21" s="179"/>
      <c r="K21" s="1157"/>
      <c r="L21" s="171" t="s">
        <v>176</v>
      </c>
      <c r="M21" s="184"/>
      <c r="N21" s="171" t="s">
        <v>311</v>
      </c>
      <c r="O21" s="186"/>
      <c r="P21" s="186">
        <f>'８－１　水稲算出基礎（食用倒伏しやすい品種）'!G24</f>
        <v>14364.15</v>
      </c>
      <c r="Q21" s="1153"/>
      <c r="R21" s="1154"/>
      <c r="S21" s="1155"/>
    </row>
    <row r="22" spans="1:19" s="98" customFormat="1" ht="18" customHeight="1" thickBot="1" x14ac:dyDescent="0.2">
      <c r="A22" s="97"/>
      <c r="B22" s="1141"/>
      <c r="C22" s="1138"/>
      <c r="D22" s="1121" t="s">
        <v>62</v>
      </c>
      <c r="E22" s="214" t="s">
        <v>63</v>
      </c>
      <c r="F22" s="209">
        <f t="shared" ref="F22:F23" si="0">I22*10</f>
        <v>23760</v>
      </c>
      <c r="G22" s="171"/>
      <c r="H22" s="178"/>
      <c r="I22" s="184">
        <v>2376</v>
      </c>
      <c r="J22" s="179" t="s">
        <v>327</v>
      </c>
      <c r="K22" s="1157"/>
      <c r="L22" s="110" t="s">
        <v>28</v>
      </c>
      <c r="M22" s="109"/>
      <c r="N22" s="110"/>
      <c r="O22" s="110"/>
      <c r="P22" s="110">
        <f>SUM(P17:P21)</f>
        <v>109114.15</v>
      </c>
      <c r="Q22" s="1161"/>
      <c r="R22" s="1162"/>
      <c r="S22" s="1163"/>
    </row>
    <row r="23" spans="1:19" s="98" customFormat="1" ht="18" customHeight="1" thickTop="1" x14ac:dyDescent="0.15">
      <c r="A23" s="97"/>
      <c r="B23" s="1141"/>
      <c r="C23" s="1138"/>
      <c r="D23" s="1121"/>
      <c r="E23" s="214" t="s">
        <v>92</v>
      </c>
      <c r="F23" s="209">
        <f t="shared" si="0"/>
        <v>50000</v>
      </c>
      <c r="G23" s="171"/>
      <c r="H23" s="178"/>
      <c r="I23" s="184">
        <v>5000</v>
      </c>
      <c r="J23" s="179" t="s">
        <v>327</v>
      </c>
      <c r="K23" s="1157"/>
      <c r="L23" s="171" t="s">
        <v>169</v>
      </c>
      <c r="M23" s="184"/>
      <c r="N23" s="185" t="s">
        <v>25</v>
      </c>
      <c r="O23" s="185" t="s">
        <v>23</v>
      </c>
      <c r="P23" s="185" t="s">
        <v>26</v>
      </c>
      <c r="Q23" s="1164" t="s">
        <v>27</v>
      </c>
      <c r="R23" s="1165"/>
      <c r="S23" s="1166"/>
    </row>
    <row r="24" spans="1:19" s="98" customFormat="1" ht="18" customHeight="1" x14ac:dyDescent="0.15">
      <c r="A24" s="97"/>
      <c r="B24" s="1141"/>
      <c r="C24" s="1138"/>
      <c r="D24" s="209" t="s">
        <v>64</v>
      </c>
      <c r="E24" s="218"/>
      <c r="F24" s="209">
        <f>I24*10</f>
        <v>30000</v>
      </c>
      <c r="G24" s="171"/>
      <c r="H24" s="178"/>
      <c r="I24" s="356">
        <v>3000</v>
      </c>
      <c r="J24" s="179" t="s">
        <v>327</v>
      </c>
      <c r="K24" s="1157"/>
      <c r="L24" s="186" t="s">
        <v>29</v>
      </c>
      <c r="M24" s="184"/>
      <c r="N24" s="171" t="s">
        <v>313</v>
      </c>
      <c r="O24" s="186"/>
      <c r="P24" s="186">
        <f>'８－１　水稲算出基礎（食用倒伏しやすい品種）'!G38</f>
        <v>5512.1</v>
      </c>
      <c r="Q24" s="1153"/>
      <c r="R24" s="1154"/>
      <c r="S24" s="1155"/>
    </row>
    <row r="25" spans="1:19" s="98" customFormat="1" ht="18" customHeight="1" x14ac:dyDescent="0.15">
      <c r="A25" s="97"/>
      <c r="B25" s="1141"/>
      <c r="C25" s="1138"/>
      <c r="D25" s="209" t="s">
        <v>171</v>
      </c>
      <c r="E25" s="218"/>
      <c r="F25" s="209">
        <f>SUM(F6:F24)/99</f>
        <v>8497.2509426826091</v>
      </c>
      <c r="G25" s="222" t="s">
        <v>227</v>
      </c>
      <c r="H25" s="229">
        <v>0.01</v>
      </c>
      <c r="I25" s="112"/>
      <c r="J25" s="6"/>
      <c r="K25" s="1157"/>
      <c r="L25" s="186" t="s">
        <v>314</v>
      </c>
      <c r="M25" s="184"/>
      <c r="N25" s="171" t="s">
        <v>315</v>
      </c>
      <c r="O25" s="186"/>
      <c r="P25" s="186">
        <f>'８－１　水稲算出基礎（食用倒伏しやすい品種）'!G49</f>
        <v>4975</v>
      </c>
      <c r="Q25" s="1153"/>
      <c r="R25" s="1154"/>
      <c r="S25" s="1155"/>
    </row>
    <row r="26" spans="1:19" s="98" customFormat="1" ht="18" customHeight="1" x14ac:dyDescent="0.15">
      <c r="A26" s="97"/>
      <c r="B26" s="1141"/>
      <c r="C26" s="1139"/>
      <c r="D26" s="1127" t="s">
        <v>218</v>
      </c>
      <c r="E26" s="1128"/>
      <c r="F26" s="129">
        <f>SUM(F6:F25)</f>
        <v>849725.09426826087</v>
      </c>
      <c r="G26" s="180"/>
      <c r="H26" s="112"/>
      <c r="I26" s="112"/>
      <c r="J26" s="115"/>
      <c r="K26" s="1157"/>
      <c r="L26" s="186" t="s">
        <v>31</v>
      </c>
      <c r="M26" s="184"/>
      <c r="N26" s="171" t="s">
        <v>311</v>
      </c>
      <c r="O26" s="186"/>
      <c r="P26" s="186">
        <f>'８－１　水稲算出基礎（食用倒伏しやすい品種）'!G53</f>
        <v>24330</v>
      </c>
      <c r="Q26" s="1153"/>
      <c r="R26" s="1154"/>
      <c r="S26" s="1155"/>
    </row>
    <row r="27" spans="1:19" s="98" customFormat="1" ht="18" customHeight="1" x14ac:dyDescent="0.15">
      <c r="A27" s="97"/>
      <c r="B27" s="1141"/>
      <c r="C27" s="1122" t="s">
        <v>200</v>
      </c>
      <c r="D27" s="1023" t="s">
        <v>65</v>
      </c>
      <c r="E27" s="17" t="s">
        <v>3</v>
      </c>
      <c r="F27" s="103">
        <f>P11/30*J27</f>
        <v>13600</v>
      </c>
      <c r="G27" s="197"/>
      <c r="H27" s="184"/>
      <c r="I27" s="108" t="s">
        <v>335</v>
      </c>
      <c r="J27" s="327">
        <v>80</v>
      </c>
      <c r="K27" s="1157"/>
      <c r="L27" s="186" t="s">
        <v>312</v>
      </c>
      <c r="M27" s="184"/>
      <c r="N27" s="171" t="s">
        <v>315</v>
      </c>
      <c r="O27" s="186"/>
      <c r="P27" s="186">
        <f>'８－１　水稲算出基礎（食用倒伏しやすい品種）'!G57</f>
        <v>27940.166666666664</v>
      </c>
      <c r="Q27" s="1153"/>
      <c r="R27" s="1154"/>
      <c r="S27" s="1155"/>
    </row>
    <row r="28" spans="1:19" s="98" customFormat="1" ht="18" customHeight="1" thickBot="1" x14ac:dyDescent="0.2">
      <c r="A28" s="97"/>
      <c r="B28" s="1141"/>
      <c r="C28" s="1123"/>
      <c r="D28" s="1026"/>
      <c r="E28" s="17" t="s">
        <v>4</v>
      </c>
      <c r="F28" s="130">
        <v>0</v>
      </c>
      <c r="G28" s="197"/>
      <c r="H28" s="223"/>
      <c r="I28" s="223"/>
      <c r="J28" s="224"/>
      <c r="K28" s="1157"/>
      <c r="L28" s="110" t="s">
        <v>28</v>
      </c>
      <c r="M28" s="109"/>
      <c r="N28" s="110"/>
      <c r="O28" s="110"/>
      <c r="P28" s="110">
        <f>SUM(P24:P27)</f>
        <v>62757.266666666663</v>
      </c>
      <c r="Q28" s="1161"/>
      <c r="R28" s="1162"/>
      <c r="S28" s="1163"/>
    </row>
    <row r="29" spans="1:19" s="98" customFormat="1" ht="18" customHeight="1" thickTop="1" x14ac:dyDescent="0.15">
      <c r="A29" s="97"/>
      <c r="B29" s="1141"/>
      <c r="C29" s="1123"/>
      <c r="D29" s="1024"/>
      <c r="E29" s="17" t="s">
        <v>8</v>
      </c>
      <c r="F29" s="103">
        <f>P11/30*J29</f>
        <v>21250</v>
      </c>
      <c r="G29" s="197"/>
      <c r="H29" s="113"/>
      <c r="I29" s="223" t="s">
        <v>336</v>
      </c>
      <c r="J29" s="328">
        <v>125</v>
      </c>
      <c r="K29" s="1157"/>
      <c r="L29" s="171" t="s">
        <v>170</v>
      </c>
      <c r="M29" s="184"/>
      <c r="N29" s="185" t="s">
        <v>25</v>
      </c>
      <c r="O29" s="185" t="s">
        <v>23</v>
      </c>
      <c r="P29" s="185" t="s">
        <v>26</v>
      </c>
      <c r="Q29" s="1164" t="s">
        <v>27</v>
      </c>
      <c r="R29" s="1165"/>
      <c r="S29" s="1166"/>
    </row>
    <row r="30" spans="1:19" s="98" customFormat="1" ht="18" customHeight="1" x14ac:dyDescent="0.15">
      <c r="A30" s="97"/>
      <c r="B30" s="1141"/>
      <c r="C30" s="1123"/>
      <c r="D30" s="17" t="s">
        <v>66</v>
      </c>
      <c r="E30" s="18"/>
      <c r="F30" s="103">
        <v>0</v>
      </c>
      <c r="G30" s="1179" t="s">
        <v>206</v>
      </c>
      <c r="H30" s="1180"/>
      <c r="I30" s="1180"/>
      <c r="J30" s="1181"/>
      <c r="K30" s="1157"/>
      <c r="L30" s="186" t="s">
        <v>160</v>
      </c>
      <c r="M30" s="187"/>
      <c r="N30" s="171" t="s">
        <v>316</v>
      </c>
      <c r="O30" s="188"/>
      <c r="P30" s="186">
        <f>'８－１　水稲算出基礎（食用倒伏しやすい品種）'!N12</f>
        <v>14054.271000000001</v>
      </c>
      <c r="Q30" s="1150"/>
      <c r="R30" s="1151"/>
      <c r="S30" s="1152"/>
    </row>
    <row r="31" spans="1:19" s="98" customFormat="1" ht="18" customHeight="1" x14ac:dyDescent="0.15">
      <c r="A31" s="97"/>
      <c r="B31" s="1141"/>
      <c r="C31" s="1123"/>
      <c r="D31" s="1036" t="s">
        <v>271</v>
      </c>
      <c r="E31" s="27" t="s">
        <v>121</v>
      </c>
      <c r="F31" s="130">
        <v>0</v>
      </c>
      <c r="G31" s="1179" t="s">
        <v>206</v>
      </c>
      <c r="H31" s="1180"/>
      <c r="I31" s="1180"/>
      <c r="J31" s="1181"/>
      <c r="K31" s="1157"/>
      <c r="L31" s="186" t="s">
        <v>161</v>
      </c>
      <c r="M31" s="187"/>
      <c r="N31" s="171" t="s">
        <v>317</v>
      </c>
      <c r="O31" s="188"/>
      <c r="P31" s="186">
        <f>'８－１　水稲算出基礎（食用倒伏しやすい品種）'!N16</f>
        <v>1453.1615999999999</v>
      </c>
      <c r="Q31" s="1150"/>
      <c r="R31" s="1151"/>
      <c r="S31" s="1152"/>
    </row>
    <row r="32" spans="1:19" s="98" customFormat="1" ht="18" customHeight="1" x14ac:dyDescent="0.15">
      <c r="A32" s="97"/>
      <c r="B32" s="1141"/>
      <c r="C32" s="1123"/>
      <c r="D32" s="1036"/>
      <c r="E32" s="27" t="s">
        <v>120</v>
      </c>
      <c r="F32" s="130">
        <v>0</v>
      </c>
      <c r="G32" s="1179" t="s">
        <v>206</v>
      </c>
      <c r="H32" s="1180"/>
      <c r="I32" s="1180"/>
      <c r="J32" s="1181"/>
      <c r="K32" s="1157"/>
      <c r="L32" s="186" t="s">
        <v>163</v>
      </c>
      <c r="M32" s="184"/>
      <c r="N32" s="188"/>
      <c r="O32" s="188"/>
      <c r="P32" s="186">
        <f>SUM(P30:P31)*R32</f>
        <v>4652.2297799999997</v>
      </c>
      <c r="Q32" s="189" t="s">
        <v>162</v>
      </c>
      <c r="R32" s="190">
        <v>0.3</v>
      </c>
      <c r="S32" s="114"/>
    </row>
    <row r="33" spans="1:23" ht="18" customHeight="1" x14ac:dyDescent="0.15">
      <c r="B33" s="1141"/>
      <c r="C33" s="1123"/>
      <c r="D33" s="17" t="s">
        <v>67</v>
      </c>
      <c r="E33" s="28"/>
      <c r="F33" s="130">
        <v>0</v>
      </c>
      <c r="G33" s="1179" t="s">
        <v>206</v>
      </c>
      <c r="H33" s="1180"/>
      <c r="I33" s="1180"/>
      <c r="J33" s="1181"/>
      <c r="K33" s="1157"/>
      <c r="L33" s="186" t="s">
        <v>164</v>
      </c>
      <c r="M33" s="187"/>
      <c r="N33" s="171"/>
      <c r="O33" s="188"/>
      <c r="P33" s="186">
        <f>'８－１　水稲算出基礎（食用倒伏しやすい品種）'!N20</f>
        <v>0</v>
      </c>
      <c r="Q33" s="1153"/>
      <c r="R33" s="1154"/>
      <c r="S33" s="1155"/>
    </row>
    <row r="34" spans="1:23" ht="18" customHeight="1" x14ac:dyDescent="0.15">
      <c r="B34" s="1141"/>
      <c r="C34" s="1123"/>
      <c r="D34" s="17" t="s">
        <v>93</v>
      </c>
      <c r="E34" s="28"/>
      <c r="F34" s="130">
        <v>0</v>
      </c>
      <c r="G34" s="1179" t="s">
        <v>206</v>
      </c>
      <c r="H34" s="1180"/>
      <c r="I34" s="1180"/>
      <c r="J34" s="1181"/>
      <c r="K34" s="1157"/>
      <c r="L34" s="186" t="s">
        <v>165</v>
      </c>
      <c r="M34" s="187"/>
      <c r="N34" s="171" t="s">
        <v>317</v>
      </c>
      <c r="O34" s="188"/>
      <c r="P34" s="186">
        <f>'８－１　水稲算出基礎（食用倒伏しやすい品種）'!N24</f>
        <v>17563.241999999998</v>
      </c>
      <c r="Q34" s="1153"/>
      <c r="R34" s="1154"/>
      <c r="S34" s="1155"/>
    </row>
    <row r="35" spans="1:23" ht="18" customHeight="1" x14ac:dyDescent="0.15">
      <c r="B35" s="1141"/>
      <c r="C35" s="1123"/>
      <c r="D35" s="17" t="s">
        <v>124</v>
      </c>
      <c r="E35" s="18"/>
      <c r="F35" s="130">
        <f>'８－１　水稲算出基礎（食用倒伏しやすい品種）'!V57</f>
        <v>8652.9761904761908</v>
      </c>
      <c r="G35" s="1179" t="s">
        <v>204</v>
      </c>
      <c r="H35" s="1180"/>
      <c r="I35" s="1180"/>
      <c r="J35" s="1181"/>
      <c r="K35" s="1157"/>
      <c r="L35" s="186" t="s">
        <v>269</v>
      </c>
      <c r="M35" s="187"/>
      <c r="N35" s="171"/>
      <c r="O35" s="188"/>
      <c r="P35" s="186">
        <f>'８－１　水稲算出基礎（食用倒伏しやすい品種）'!N28</f>
        <v>0</v>
      </c>
      <c r="Q35" s="1153"/>
      <c r="R35" s="1154"/>
      <c r="S35" s="1155"/>
    </row>
    <row r="36" spans="1:23" ht="18" customHeight="1" x14ac:dyDescent="0.15">
      <c r="B36" s="1141"/>
      <c r="C36" s="1123"/>
      <c r="D36" s="37" t="s">
        <v>94</v>
      </c>
      <c r="E36" s="38"/>
      <c r="F36" s="228">
        <v>0</v>
      </c>
      <c r="G36" s="171"/>
      <c r="H36" s="226"/>
      <c r="I36" s="227"/>
      <c r="J36" s="225"/>
      <c r="K36" s="1157"/>
      <c r="L36" s="186" t="s">
        <v>166</v>
      </c>
      <c r="M36" s="184"/>
      <c r="N36" s="171" t="s">
        <v>318</v>
      </c>
      <c r="O36" s="188"/>
      <c r="P36" s="186">
        <f>'８－１　水稲算出基礎（食用倒伏しやすい品種）'!N32</f>
        <v>3811.2200000000003</v>
      </c>
      <c r="Q36" s="1153"/>
      <c r="R36" s="1154"/>
      <c r="S36" s="1155"/>
    </row>
    <row r="37" spans="1:23" ht="18" customHeight="1" thickBot="1" x14ac:dyDescent="0.2">
      <c r="B37" s="1141"/>
      <c r="C37" s="1123"/>
      <c r="D37" s="17" t="s">
        <v>68</v>
      </c>
      <c r="E37" s="18"/>
      <c r="F37" s="130">
        <f>'８－１　水稲算出基礎（食用倒伏しやすい品種）'!N57</f>
        <v>4308.4735714285716</v>
      </c>
      <c r="G37" s="1179" t="s">
        <v>204</v>
      </c>
      <c r="H37" s="1180"/>
      <c r="I37" s="1180"/>
      <c r="J37" s="1181"/>
      <c r="K37" s="1158"/>
      <c r="L37" s="122" t="s">
        <v>28</v>
      </c>
      <c r="M37" s="121"/>
      <c r="N37" s="122"/>
      <c r="O37" s="122"/>
      <c r="P37" s="122">
        <f>SUM(P30:P36)</f>
        <v>41534.124380000001</v>
      </c>
      <c r="Q37" s="1172"/>
      <c r="R37" s="1173"/>
      <c r="S37" s="1174"/>
    </row>
    <row r="38" spans="1:23" s="116" customFormat="1" ht="18" customHeight="1" x14ac:dyDescent="0.15">
      <c r="A38" s="97"/>
      <c r="B38" s="1141"/>
      <c r="C38" s="1123"/>
      <c r="D38" s="17" t="s">
        <v>0</v>
      </c>
      <c r="E38" s="28"/>
      <c r="F38" s="130">
        <v>0</v>
      </c>
      <c r="G38" s="1184" t="s">
        <v>206</v>
      </c>
      <c r="H38" s="1185"/>
      <c r="I38" s="1185"/>
      <c r="J38" s="1186"/>
    </row>
    <row r="39" spans="1:23" s="116" customFormat="1" ht="18" customHeight="1" thickBot="1" x14ac:dyDescent="0.2">
      <c r="A39" s="97"/>
      <c r="B39" s="1142"/>
      <c r="C39" s="1124"/>
      <c r="D39" s="1125" t="s">
        <v>217</v>
      </c>
      <c r="E39" s="1126"/>
      <c r="F39" s="173">
        <f>SUM(F27:F38)</f>
        <v>47811.449761904762</v>
      </c>
      <c r="G39" s="174"/>
      <c r="H39" s="175"/>
      <c r="I39" s="176"/>
      <c r="J39" s="177"/>
      <c r="T39" s="117"/>
    </row>
    <row r="40" spans="1:23" s="116" customFormat="1" ht="18" customHeight="1" x14ac:dyDescent="0.15">
      <c r="A40" s="97"/>
      <c r="B40" s="1110" t="s">
        <v>221</v>
      </c>
      <c r="C40" s="1113" t="s">
        <v>70</v>
      </c>
      <c r="D40" s="168" t="s">
        <v>123</v>
      </c>
      <c r="E40" s="169"/>
      <c r="F40" s="170">
        <f>J40*10</f>
        <v>75000</v>
      </c>
      <c r="G40" s="171"/>
      <c r="H40" s="172"/>
      <c r="I40" s="329" t="s">
        <v>337</v>
      </c>
      <c r="J40" s="330">
        <v>7500</v>
      </c>
      <c r="T40" s="98"/>
      <c r="U40" s="98"/>
      <c r="V40" s="98"/>
      <c r="W40" s="98"/>
    </row>
    <row r="41" spans="1:23" s="116" customFormat="1" ht="18" customHeight="1" x14ac:dyDescent="0.15">
      <c r="A41" s="97"/>
      <c r="B41" s="1111"/>
      <c r="C41" s="1114"/>
      <c r="D41" s="17" t="s">
        <v>122</v>
      </c>
      <c r="E41" s="18"/>
      <c r="F41" s="162">
        <v>0</v>
      </c>
      <c r="G41" s="171"/>
      <c r="H41" s="123"/>
      <c r="I41" s="123"/>
      <c r="J41" s="182"/>
      <c r="T41" s="118"/>
      <c r="U41" s="119"/>
      <c r="V41" s="120"/>
      <c r="W41" s="118"/>
    </row>
    <row r="42" spans="1:23" s="116" customFormat="1" ht="18" customHeight="1" x14ac:dyDescent="0.15">
      <c r="A42" s="97"/>
      <c r="B42" s="1111"/>
      <c r="C42" s="1115"/>
      <c r="D42" s="37" t="s">
        <v>69</v>
      </c>
      <c r="E42" s="18"/>
      <c r="F42" s="163">
        <v>0</v>
      </c>
      <c r="G42" s="171"/>
      <c r="H42" s="123"/>
      <c r="I42" s="123"/>
      <c r="J42" s="182"/>
      <c r="T42" s="98"/>
      <c r="U42" s="98"/>
      <c r="V42" s="98"/>
      <c r="W42" s="98"/>
    </row>
    <row r="43" spans="1:23" s="116" customFormat="1" ht="18" customHeight="1" x14ac:dyDescent="0.15">
      <c r="B43" s="1111"/>
      <c r="C43" s="1116" t="s">
        <v>220</v>
      </c>
      <c r="D43" s="37" t="s">
        <v>272</v>
      </c>
      <c r="E43" s="38"/>
      <c r="F43" s="163">
        <v>0</v>
      </c>
      <c r="G43" s="171"/>
      <c r="H43" s="123"/>
      <c r="I43" s="123"/>
      <c r="J43" s="182"/>
      <c r="T43" s="99"/>
      <c r="U43" s="117"/>
      <c r="V43" s="98"/>
      <c r="W43" s="118"/>
    </row>
    <row r="44" spans="1:23" s="116" customFormat="1" ht="18" customHeight="1" x14ac:dyDescent="0.15">
      <c r="B44" s="1111"/>
      <c r="C44" s="1117"/>
      <c r="D44" s="39" t="s">
        <v>1</v>
      </c>
      <c r="E44" s="40"/>
      <c r="F44" s="163">
        <v>0</v>
      </c>
      <c r="G44" s="171"/>
      <c r="H44" s="123"/>
      <c r="I44" s="123"/>
      <c r="J44" s="182"/>
      <c r="T44" s="99"/>
      <c r="U44" s="117"/>
      <c r="V44" s="98"/>
      <c r="W44" s="118"/>
    </row>
    <row r="45" spans="1:23" s="116" customFormat="1" ht="18" customHeight="1" thickBot="1" x14ac:dyDescent="0.2">
      <c r="B45" s="1112"/>
      <c r="C45" s="1118" t="s">
        <v>96</v>
      </c>
      <c r="D45" s="1119"/>
      <c r="E45" s="1120"/>
      <c r="F45" s="164">
        <f>SUM(F40:F42)-SUM(F43:F44)</f>
        <v>75000</v>
      </c>
      <c r="G45" s="124"/>
      <c r="H45" s="125"/>
      <c r="I45" s="125"/>
      <c r="J45" s="183"/>
      <c r="T45" s="98"/>
      <c r="U45" s="98"/>
      <c r="V45" s="119"/>
      <c r="W45" s="98"/>
    </row>
    <row r="48" spans="1:23" x14ac:dyDescent="0.15">
      <c r="T48" s="621"/>
    </row>
    <row r="49" spans="4:6" x14ac:dyDescent="0.15">
      <c r="D49" s="622" t="s">
        <v>321</v>
      </c>
      <c r="E49" s="622"/>
      <c r="F49" s="622">
        <f>F4-F26</f>
        <v>68274.905731739127</v>
      </c>
    </row>
  </sheetData>
  <mergeCells count="71">
    <mergeCell ref="G33:J33"/>
    <mergeCell ref="G34:J34"/>
    <mergeCell ref="G35:J35"/>
    <mergeCell ref="G37:J37"/>
    <mergeCell ref="G38:J38"/>
    <mergeCell ref="G16:J16"/>
    <mergeCell ref="G17:J17"/>
    <mergeCell ref="G30:J30"/>
    <mergeCell ref="G31:J31"/>
    <mergeCell ref="G32:J32"/>
    <mergeCell ref="G4:J4"/>
    <mergeCell ref="G7:J7"/>
    <mergeCell ref="G8:J8"/>
    <mergeCell ref="G9:J9"/>
    <mergeCell ref="G15:J15"/>
    <mergeCell ref="G10:J10"/>
    <mergeCell ref="I13:J13"/>
    <mergeCell ref="I14:J14"/>
    <mergeCell ref="Q13:S13"/>
    <mergeCell ref="Q17:S17"/>
    <mergeCell ref="Q18:S18"/>
    <mergeCell ref="Q19:S19"/>
    <mergeCell ref="R10:S10"/>
    <mergeCell ref="Q16:S16"/>
    <mergeCell ref="Q14:S14"/>
    <mergeCell ref="Q15:S15"/>
    <mergeCell ref="K12:K37"/>
    <mergeCell ref="Q20:S20"/>
    <mergeCell ref="Q21:S21"/>
    <mergeCell ref="G11:J11"/>
    <mergeCell ref="Q33:S33"/>
    <mergeCell ref="Q34:S34"/>
    <mergeCell ref="Q22:S22"/>
    <mergeCell ref="Q23:S23"/>
    <mergeCell ref="R11:S11"/>
    <mergeCell ref="Q12:S12"/>
    <mergeCell ref="Q36:S36"/>
    <mergeCell ref="Q37:S37"/>
    <mergeCell ref="Q27:S27"/>
    <mergeCell ref="Q28:S28"/>
    <mergeCell ref="Q29:S29"/>
    <mergeCell ref="Q30:S30"/>
    <mergeCell ref="Q31:S31"/>
    <mergeCell ref="Q35:S35"/>
    <mergeCell ref="Q24:S24"/>
    <mergeCell ref="Q25:S25"/>
    <mergeCell ref="Q26:S26"/>
    <mergeCell ref="K3:S3"/>
    <mergeCell ref="R6:S6"/>
    <mergeCell ref="R7:S7"/>
    <mergeCell ref="R8:S8"/>
    <mergeCell ref="R9:S9"/>
    <mergeCell ref="R4:S4"/>
    <mergeCell ref="R5:S5"/>
    <mergeCell ref="D13:D14"/>
    <mergeCell ref="D15:D17"/>
    <mergeCell ref="B4:C5"/>
    <mergeCell ref="B3:E3"/>
    <mergeCell ref="C6:C26"/>
    <mergeCell ref="B6:B39"/>
    <mergeCell ref="B40:B45"/>
    <mergeCell ref="C40:C42"/>
    <mergeCell ref="C43:C44"/>
    <mergeCell ref="C45:E45"/>
    <mergeCell ref="D18:D21"/>
    <mergeCell ref="D22:D23"/>
    <mergeCell ref="C27:C39"/>
    <mergeCell ref="D27:D29"/>
    <mergeCell ref="D31:D32"/>
    <mergeCell ref="D39:E39"/>
    <mergeCell ref="D26:E26"/>
  </mergeCells>
  <phoneticPr fontId="4"/>
  <pageMargins left="0.78740157480314965" right="0.78740157480314965" top="0.78740157480314965" bottom="0.78740157480314965" header="0.39370078740157483" footer="0.39370078740157483"/>
  <pageSetup paperSize="9" scale="64" orientation="landscape" r:id="rId1"/>
  <headerFooter alignWithMargins="0"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7</vt:i4>
      </vt:variant>
    </vt:vector>
  </HeadingPairs>
  <TitlesOfParts>
    <vt:vector size="28" baseType="lpstr">
      <vt:lpstr>１　対象経営の概要，２　前提条件</vt:lpstr>
      <vt:lpstr>３－１　水稲（食用米）標準技術</vt:lpstr>
      <vt:lpstr>３－２　水稲（加工米）標準技術</vt:lpstr>
      <vt:lpstr>３－３　白ねぎ標準技術</vt:lpstr>
      <vt:lpstr>４　経営収支</vt:lpstr>
      <vt:lpstr>５－１　水稲（食用，加工用米）作業時間</vt:lpstr>
      <vt:lpstr>５－２　白ねぎ作業時間 </vt:lpstr>
      <vt:lpstr>６　固定資本装備と減価償却費</vt:lpstr>
      <vt:lpstr>７－１　水稲部門（倒伏しやすい品種）収支</vt:lpstr>
      <vt:lpstr>７－２　水稲部門（倒伏しにくい品種）収支 </vt:lpstr>
      <vt:lpstr>７－３　水稲部門（加工用）収支</vt:lpstr>
      <vt:lpstr>７－４　白ねぎ部門収支（11月） </vt:lpstr>
      <vt:lpstr>７－５白ねぎ部門収支（12～1月）</vt:lpstr>
      <vt:lpstr>８－１　水稲算出基礎（食用倒伏しやすい品種）</vt:lpstr>
      <vt:lpstr>８－２　水稲算出基礎（食用倒伏しにくい品種） </vt:lpstr>
      <vt:lpstr>８－３　水稲算出基礎（加工用品種）</vt:lpstr>
      <vt:lpstr>８－４　白ねぎ算出基礎</vt:lpstr>
      <vt:lpstr>９－１　水稲単価算出基礎（食用倒伏しやすい品種）</vt:lpstr>
      <vt:lpstr>９－２　水稲（食用その他）単価算出基礎 </vt:lpstr>
      <vt:lpstr>９－３　水稲（加工用米）単価算出基礎 </vt:lpstr>
      <vt:lpstr>９－４　白ねぎ単価算出基礎</vt:lpstr>
      <vt:lpstr>'５－１　水稲（食用，加工用米）作業時間'!Print_Area</vt:lpstr>
      <vt:lpstr>'５－２　白ねぎ作業時間 '!Print_Area</vt:lpstr>
      <vt:lpstr>'６　固定資本装備と減価償却費'!Print_Area</vt:lpstr>
      <vt:lpstr>'７－１　水稲部門（倒伏しやすい品種）収支'!Print_Area</vt:lpstr>
      <vt:lpstr>'７－２　水稲部門（倒伏しにくい品種）収支 '!Print_Area</vt:lpstr>
      <vt:lpstr>'７－３　水稲部門（加工用）収支'!Print_Area</vt:lpstr>
      <vt:lpstr>'７－４　白ねぎ部門収支（11月）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2015-02-17T10:01:25Z</cp:lastPrinted>
  <dcterms:created xsi:type="dcterms:W3CDTF">2005-02-26T02:20:11Z</dcterms:created>
  <dcterms:modified xsi:type="dcterms:W3CDTF">2015-03-25T06:27:05Z</dcterms:modified>
</cp:coreProperties>
</file>