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12105" yWindow="945" windowWidth="11910" windowHeight="8580" tabRatio="673"/>
  </bookViews>
  <sheets>
    <sheet name="１　対象経営の概要，２　前提条件 (2)" sheetId="43" r:id="rId1"/>
    <sheet name="３－１　標準技術 (採草) " sheetId="49" r:id="rId2"/>
    <sheet name="３－２　標準技術 (放牧)" sheetId="48" r:id="rId3"/>
    <sheet name="３－３　標準技術（稲ワラ） " sheetId="50" r:id="rId4"/>
    <sheet name="４　経営収支" sheetId="22" r:id="rId5"/>
    <sheet name="５　作業時間計" sheetId="47" r:id="rId6"/>
    <sheet name="６　固定資本装備と減価償却費 " sheetId="46" r:id="rId7"/>
    <sheet name="７　収支" sheetId="35" r:id="rId8"/>
    <sheet name="８　算出基礎" sheetId="36" r:id="rId9"/>
  </sheets>
  <definedNames>
    <definedName name="_a1" localSheetId="1" hidden="1">#REF!</definedName>
    <definedName name="_a1" localSheetId="2" hidden="1">#REF!</definedName>
    <definedName name="_a1" localSheetId="5" hidden="1">#REF!</definedName>
    <definedName name="_a1" localSheetId="6" hidden="1">#REF!</definedName>
    <definedName name="_a1" hidden="1">#REF!</definedName>
    <definedName name="_a2" localSheetId="1" hidden="1">#REF!</definedName>
    <definedName name="_a2" localSheetId="2" hidden="1">#REF!</definedName>
    <definedName name="_a2" localSheetId="5" hidden="1">#REF!</definedName>
    <definedName name="_a2" localSheetId="6" hidden="1">#REF!</definedName>
    <definedName name="_a2" hidden="1">#REF!</definedName>
    <definedName name="_a3" localSheetId="1" hidden="1">#REF!</definedName>
    <definedName name="_a3" localSheetId="2" hidden="1">#REF!</definedName>
    <definedName name="_a3" localSheetId="5" hidden="1">#REF!</definedName>
    <definedName name="_a3" localSheetId="6" hidden="1">#REF!</definedName>
    <definedName name="_a3" hidden="1">#REF!</definedName>
    <definedName name="_a4" localSheetId="1" hidden="1">#REF!</definedName>
    <definedName name="_a4" localSheetId="2" hidden="1">#REF!</definedName>
    <definedName name="_a4" localSheetId="5" hidden="1">#REF!</definedName>
    <definedName name="_a4" localSheetId="6" hidden="1">#REF!</definedName>
    <definedName name="_a4" hidden="1">#REF!</definedName>
    <definedName name="_a5" localSheetId="1" hidden="1">#REF!</definedName>
    <definedName name="_a5" localSheetId="2" hidden="1">#REF!</definedName>
    <definedName name="_a5" localSheetId="5" hidden="1">#REF!</definedName>
    <definedName name="_a5" localSheetId="6" hidden="1">#REF!</definedName>
    <definedName name="_a5" hidden="1">#REF!</definedName>
    <definedName name="_a6" localSheetId="1" hidden="1">#REF!</definedName>
    <definedName name="_a6" localSheetId="2" hidden="1">#REF!</definedName>
    <definedName name="_a6" localSheetId="5" hidden="1">#REF!</definedName>
    <definedName name="_a6" localSheetId="6" hidden="1">#REF!</definedName>
    <definedName name="_a6" hidden="1">#REF!</definedName>
    <definedName name="_a7" localSheetId="1" hidden="1">#REF!</definedName>
    <definedName name="_a7" localSheetId="2" hidden="1">#REF!</definedName>
    <definedName name="_a7" localSheetId="5" hidden="1">#REF!</definedName>
    <definedName name="_a7" localSheetId="6" hidden="1">#REF!</definedName>
    <definedName name="_a7" hidden="1">#REF!</definedName>
    <definedName name="aaa" localSheetId="1" hidden="1">#REF!</definedName>
    <definedName name="aaa" localSheetId="2" hidden="1">#REF!</definedName>
    <definedName name="aaa" localSheetId="5" hidden="1">#REF!</definedName>
    <definedName name="aaa" localSheetId="6" hidden="1">#REF!</definedName>
    <definedName name="aaa" hidden="1">#REF!</definedName>
    <definedName name="bbb" localSheetId="1" hidden="1">#REF!</definedName>
    <definedName name="bbb" localSheetId="2" hidden="1">#REF!</definedName>
    <definedName name="bbb" localSheetId="5" hidden="1">#REF!</definedName>
    <definedName name="bbb" localSheetId="6" hidden="1">#REF!</definedName>
    <definedName name="bbb" hidden="1">#REF!</definedName>
    <definedName name="ccc" localSheetId="1" hidden="1">#REF!</definedName>
    <definedName name="ccc" localSheetId="2" hidden="1">#REF!</definedName>
    <definedName name="ccc" localSheetId="5" hidden="1">#REF!</definedName>
    <definedName name="ccc" localSheetId="6" hidden="1">#REF!</definedName>
    <definedName name="ccc" hidden="1">#REF!</definedName>
    <definedName name="ddd" localSheetId="1" hidden="1">#REF!</definedName>
    <definedName name="ddd" localSheetId="2" hidden="1">#REF!</definedName>
    <definedName name="ddd" localSheetId="5" hidden="1">#REF!</definedName>
    <definedName name="ddd" localSheetId="6" hidden="1">#REF!</definedName>
    <definedName name="ddd" hidden="1">#REF!</definedName>
    <definedName name="eee" localSheetId="1" hidden="1">#REF!</definedName>
    <definedName name="eee" localSheetId="2" hidden="1">#REF!</definedName>
    <definedName name="eee" localSheetId="5" hidden="1">#REF!</definedName>
    <definedName name="eee" localSheetId="6" hidden="1">#REF!</definedName>
    <definedName name="eee" hidden="1">#REF!</definedName>
    <definedName name="fff" localSheetId="1" hidden="1">#REF!</definedName>
    <definedName name="fff" localSheetId="2" hidden="1">#REF!</definedName>
    <definedName name="fff" localSheetId="5" hidden="1">#REF!</definedName>
    <definedName name="fff" localSheetId="6" hidden="1">#REF!</definedName>
    <definedName name="fff" hidden="1">#REF!</definedName>
    <definedName name="ggg" localSheetId="1" hidden="1">#REF!</definedName>
    <definedName name="ggg" localSheetId="2" hidden="1">#REF!</definedName>
    <definedName name="ggg" localSheetId="5" hidden="1">#REF!</definedName>
    <definedName name="ggg" localSheetId="6" hidden="1">#REF!</definedName>
    <definedName name="ggg" hidden="1">#REF!</definedName>
    <definedName name="hhh" localSheetId="1" hidden="1">#REF!</definedName>
    <definedName name="hhh" localSheetId="2" hidden="1">#REF!</definedName>
    <definedName name="hhh" localSheetId="5" hidden="1">#REF!</definedName>
    <definedName name="hhh" localSheetId="6" hidden="1">#REF!</definedName>
    <definedName name="hhh" hidden="1">#REF!</definedName>
    <definedName name="_xlnm.Print_Area" localSheetId="4">'４　経営収支'!$A$1:$P$42</definedName>
    <definedName name="_xlnm.Print_Area" localSheetId="5">'５　作業時間計'!$A$1:$AN$44</definedName>
    <definedName name="_xlnm.Print_Area" localSheetId="6">'６　固定資本装備と減価償却費 '!$A$1:$P$45</definedName>
    <definedName name="_xlnm.Print_Area" localSheetId="7">'７　収支'!$A$1:$S$47</definedName>
    <definedName name="simizu" localSheetId="1" hidden="1">#REF!</definedName>
    <definedName name="simizu" localSheetId="2" hidden="1">#REF!</definedName>
    <definedName name="simizu" localSheetId="5" hidden="1">#REF!</definedName>
    <definedName name="simizu" localSheetId="6" hidden="1">#REF!</definedName>
    <definedName name="simizu" hidden="1">#REF!</definedName>
    <definedName name="改" localSheetId="5" hidden="1">#REF!</definedName>
    <definedName name="改" localSheetId="6" hidden="1">#REF!</definedName>
    <definedName name="改" hidden="1">#REF!</definedName>
    <definedName name="改善" localSheetId="5" hidden="1">#REF!</definedName>
    <definedName name="改善" localSheetId="6" hidden="1">#REF!</definedName>
    <definedName name="改善" hidden="1">#REF!</definedName>
    <definedName name="作業時間②" hidden="1">#REF!</definedName>
    <definedName name="作業時間その２." hidden="1">#REF!</definedName>
    <definedName name="時間" hidden="1">#REF!</definedName>
  </definedNames>
  <calcPr calcId="145621"/>
</workbook>
</file>

<file path=xl/calcChain.xml><?xml version="1.0" encoding="utf-8"?>
<calcChain xmlns="http://schemas.openxmlformats.org/spreadsheetml/2006/main">
  <c r="AN43" i="47" l="1"/>
  <c r="AL39" i="47" l="1"/>
  <c r="AK39" i="47"/>
  <c r="AJ39" i="47"/>
  <c r="AI39" i="47"/>
  <c r="AH39" i="47"/>
  <c r="AG39" i="47"/>
  <c r="AF39" i="47"/>
  <c r="AE39" i="47"/>
  <c r="AD39" i="47"/>
  <c r="AC39" i="47"/>
  <c r="AB39" i="47"/>
  <c r="AA39" i="47"/>
  <c r="Z39" i="47"/>
  <c r="Y39" i="47"/>
  <c r="X39" i="47"/>
  <c r="W39" i="47"/>
  <c r="V39" i="47"/>
  <c r="U39" i="47"/>
  <c r="T39" i="47"/>
  <c r="S39" i="47"/>
  <c r="R39" i="47"/>
  <c r="Q39" i="47"/>
  <c r="P39" i="47"/>
  <c r="O39" i="47"/>
  <c r="N39" i="47"/>
  <c r="M39" i="47"/>
  <c r="L39" i="47"/>
  <c r="K39" i="47"/>
  <c r="J39" i="47"/>
  <c r="I39" i="47"/>
  <c r="H39" i="47"/>
  <c r="G39" i="47"/>
  <c r="F39" i="47"/>
  <c r="E39" i="47"/>
  <c r="D39" i="47"/>
  <c r="AM39" i="47"/>
  <c r="I17" i="46" l="1"/>
  <c r="L17" i="46" s="1"/>
  <c r="I14" i="46"/>
  <c r="L14" i="46" s="1"/>
  <c r="N17" i="46" l="1"/>
  <c r="P17" i="46" s="1"/>
  <c r="N14" i="46"/>
  <c r="P14" i="46" s="1"/>
  <c r="F35" i="35"/>
  <c r="F29" i="35"/>
  <c r="F28" i="35" l="1"/>
  <c r="L35" i="22" l="1"/>
  <c r="J35" i="22"/>
  <c r="J30" i="22"/>
  <c r="J31" i="22"/>
  <c r="J29" i="22"/>
  <c r="K23" i="22"/>
  <c r="K25" i="22"/>
  <c r="J25" i="22"/>
  <c r="J24" i="22"/>
  <c r="J23" i="22"/>
  <c r="J14" i="22"/>
  <c r="J15" i="22"/>
  <c r="J16" i="22"/>
  <c r="J17" i="22"/>
  <c r="J18" i="22"/>
  <c r="J19" i="22"/>
  <c r="J13" i="22"/>
  <c r="J6" i="22"/>
  <c r="J5" i="22"/>
  <c r="F24" i="35" l="1"/>
  <c r="AB13" i="47" l="1"/>
  <c r="AA13" i="47"/>
  <c r="Z13" i="47"/>
  <c r="Y13" i="47"/>
  <c r="X13" i="47"/>
  <c r="W13" i="47"/>
  <c r="V13" i="47"/>
  <c r="U13" i="47"/>
  <c r="T13" i="47"/>
  <c r="S13" i="47"/>
  <c r="R13" i="47"/>
  <c r="Q13" i="47"/>
  <c r="P13" i="47"/>
  <c r="O13" i="47"/>
  <c r="N13" i="47"/>
  <c r="M13" i="47"/>
  <c r="L13" i="47"/>
  <c r="K13" i="47"/>
  <c r="AB12" i="47"/>
  <c r="AA12" i="47"/>
  <c r="Z12" i="47"/>
  <c r="Y12" i="47"/>
  <c r="X12" i="47"/>
  <c r="W12" i="47"/>
  <c r="V12" i="47"/>
  <c r="U12" i="47"/>
  <c r="T12" i="47"/>
  <c r="S12" i="47"/>
  <c r="R12" i="47"/>
  <c r="Q12" i="47"/>
  <c r="P12" i="47"/>
  <c r="O12" i="47"/>
  <c r="N12" i="47"/>
  <c r="M12" i="47"/>
  <c r="L12" i="47"/>
  <c r="K12" i="47"/>
  <c r="J8" i="22" l="1"/>
  <c r="F7" i="35"/>
  <c r="J7" i="22"/>
  <c r="F6" i="35"/>
  <c r="F23" i="35"/>
  <c r="G6" i="36" l="1"/>
  <c r="F17" i="35" l="1"/>
  <c r="F16" i="35"/>
  <c r="F15" i="35"/>
  <c r="F13" i="35"/>
  <c r="F12" i="35"/>
  <c r="F31" i="22" l="1"/>
  <c r="F33" i="22"/>
  <c r="D34" i="22"/>
  <c r="D33" i="22"/>
  <c r="D31" i="22"/>
  <c r="D32" i="22"/>
  <c r="E28" i="22"/>
  <c r="E29" i="22"/>
  <c r="E27" i="22"/>
  <c r="D27" i="22"/>
  <c r="D30" i="22"/>
  <c r="D24" i="22"/>
  <c r="D25" i="22"/>
  <c r="D23" i="22"/>
  <c r="D12" i="22"/>
  <c r="D13" i="22"/>
  <c r="D14" i="22"/>
  <c r="D15" i="22"/>
  <c r="D16" i="22"/>
  <c r="D17" i="22"/>
  <c r="D18" i="22"/>
  <c r="D19" i="22"/>
  <c r="D20" i="22"/>
  <c r="D11" i="22"/>
  <c r="F24" i="22"/>
  <c r="F13" i="22"/>
  <c r="F14" i="22"/>
  <c r="F15" i="22"/>
  <c r="F16" i="22"/>
  <c r="F17" i="22"/>
  <c r="F18" i="22"/>
  <c r="F19" i="22"/>
  <c r="F8" i="22"/>
  <c r="F5" i="35"/>
  <c r="F9" i="22"/>
  <c r="F7" i="22"/>
  <c r="F6" i="22"/>
  <c r="F5" i="22"/>
  <c r="D9" i="22"/>
  <c r="D8" i="22"/>
  <c r="D7" i="22"/>
  <c r="D6" i="22"/>
  <c r="D5" i="22"/>
  <c r="F11" i="35"/>
  <c r="AM12" i="47" l="1"/>
  <c r="AJ13" i="47"/>
  <c r="AD13" i="47"/>
  <c r="AM13" i="47"/>
  <c r="AG13" i="47"/>
  <c r="I13" i="47"/>
  <c r="F13" i="47"/>
  <c r="AJ12" i="47"/>
  <c r="AG12" i="47"/>
  <c r="AD12" i="47"/>
  <c r="I12" i="47"/>
  <c r="F12" i="47"/>
  <c r="O28" i="35" l="1"/>
  <c r="N28" i="35"/>
  <c r="L28" i="35"/>
  <c r="O27" i="35"/>
  <c r="N27" i="35"/>
  <c r="L27" i="35"/>
  <c r="O26" i="35"/>
  <c r="N26" i="35"/>
  <c r="L26" i="35"/>
  <c r="O25" i="35"/>
  <c r="N25" i="35"/>
  <c r="L25" i="35"/>
  <c r="O24" i="35"/>
  <c r="N24" i="35"/>
  <c r="O23" i="35"/>
  <c r="N23" i="35"/>
  <c r="L24" i="35"/>
  <c r="N35" i="36" l="1"/>
  <c r="G7" i="46"/>
  <c r="I7" i="46" s="1"/>
  <c r="L7" i="46" s="1"/>
  <c r="G6" i="46"/>
  <c r="I6" i="46" s="1"/>
  <c r="L6" i="46" s="1"/>
  <c r="E5" i="46"/>
  <c r="G5" i="46" s="1"/>
  <c r="I5" i="46" s="1"/>
  <c r="L5" i="46" s="1"/>
  <c r="D49" i="36"/>
  <c r="J28" i="22"/>
  <c r="F28" i="22"/>
  <c r="F14" i="35"/>
  <c r="P7" i="46" l="1"/>
  <c r="N7" i="46"/>
  <c r="P6" i="46"/>
  <c r="N6" i="46"/>
  <c r="P5" i="46"/>
  <c r="N5" i="46"/>
  <c r="F4" i="35"/>
  <c r="G40" i="46" l="1"/>
  <c r="AL42" i="47" l="1"/>
  <c r="AK42" i="47"/>
  <c r="AJ42" i="47"/>
  <c r="AI42" i="47"/>
  <c r="AH42" i="47"/>
  <c r="AG42" i="47"/>
  <c r="AF42" i="47"/>
  <c r="AE42" i="47"/>
  <c r="AD42" i="47"/>
  <c r="AC42" i="47"/>
  <c r="AB42" i="47"/>
  <c r="AA42" i="47"/>
  <c r="Z42" i="47"/>
  <c r="Y42" i="47"/>
  <c r="X42" i="47"/>
  <c r="W42" i="47"/>
  <c r="V42" i="47"/>
  <c r="U42" i="47"/>
  <c r="T42" i="47"/>
  <c r="S42" i="47"/>
  <c r="Q42" i="47"/>
  <c r="P42" i="47"/>
  <c r="O42" i="47"/>
  <c r="N42" i="47"/>
  <c r="M42" i="47"/>
  <c r="L42" i="47"/>
  <c r="K42" i="47"/>
  <c r="J42" i="47"/>
  <c r="I42" i="47"/>
  <c r="H42" i="47"/>
  <c r="G42" i="47"/>
  <c r="F42" i="47"/>
  <c r="E42" i="47"/>
  <c r="D42" i="47"/>
  <c r="AN39" i="47"/>
  <c r="AM42" i="47"/>
  <c r="R38" i="47"/>
  <c r="AN38" i="47" s="1"/>
  <c r="AN26" i="47"/>
  <c r="AN25" i="47"/>
  <c r="AN24" i="47"/>
  <c r="AN23" i="47"/>
  <c r="AN22" i="47"/>
  <c r="AN21" i="47"/>
  <c r="AN20" i="47"/>
  <c r="AN19" i="47"/>
  <c r="AN18" i="47"/>
  <c r="AN17" i="47"/>
  <c r="AN16" i="47"/>
  <c r="AN15" i="47"/>
  <c r="AN14" i="47"/>
  <c r="F27" i="47"/>
  <c r="F36" i="47" s="1"/>
  <c r="AN13" i="47"/>
  <c r="AM11" i="47"/>
  <c r="AL11" i="47"/>
  <c r="AK11" i="47"/>
  <c r="AJ11" i="47"/>
  <c r="AI11" i="47"/>
  <c r="AI27" i="47" s="1"/>
  <c r="AI36" i="47" s="1"/>
  <c r="AH11" i="47"/>
  <c r="AG11" i="47"/>
  <c r="AG27" i="47" s="1"/>
  <c r="AG36" i="47" s="1"/>
  <c r="AF11" i="47"/>
  <c r="AE11" i="47"/>
  <c r="AD11" i="47"/>
  <c r="AD27" i="47" s="1"/>
  <c r="AD36" i="47" s="1"/>
  <c r="AC11" i="47"/>
  <c r="AB11" i="47"/>
  <c r="AA11" i="47"/>
  <c r="AA27" i="47" s="1"/>
  <c r="AA36" i="47" s="1"/>
  <c r="AA43" i="47" s="1"/>
  <c r="Z11" i="47"/>
  <c r="Y11" i="47"/>
  <c r="Y27" i="47" s="1"/>
  <c r="X11" i="47"/>
  <c r="W11" i="47"/>
  <c r="V11" i="47"/>
  <c r="V27" i="47" s="1"/>
  <c r="U11" i="47"/>
  <c r="T11" i="47"/>
  <c r="S11" i="47"/>
  <c r="S27" i="47" s="1"/>
  <c r="R11" i="47"/>
  <c r="Q11" i="47"/>
  <c r="Q27" i="47" s="1"/>
  <c r="Q36" i="47" s="1"/>
  <c r="P11" i="47"/>
  <c r="O11" i="47"/>
  <c r="N11" i="47"/>
  <c r="N27" i="47" s="1"/>
  <c r="N36" i="47" s="1"/>
  <c r="M11" i="47"/>
  <c r="L11" i="47"/>
  <c r="L27" i="47" s="1"/>
  <c r="L36" i="47" s="1"/>
  <c r="K11" i="47"/>
  <c r="K27" i="47" s="1"/>
  <c r="K36" i="47" s="1"/>
  <c r="J11" i="47"/>
  <c r="I11" i="47"/>
  <c r="I27" i="47" s="1"/>
  <c r="I36" i="47" s="1"/>
  <c r="H11" i="47"/>
  <c r="G11" i="47"/>
  <c r="F11" i="47"/>
  <c r="E11" i="47"/>
  <c r="D11" i="47"/>
  <c r="D27" i="47" s="1"/>
  <c r="J27" i="47" l="1"/>
  <c r="K28" i="47" s="1"/>
  <c r="R27" i="47"/>
  <c r="R36" i="47" s="1"/>
  <c r="Z27" i="47"/>
  <c r="Z36" i="47" s="1"/>
  <c r="AH27" i="47"/>
  <c r="AH36" i="47" s="1"/>
  <c r="E27" i="47"/>
  <c r="E36" i="47" s="1"/>
  <c r="E43" i="47" s="1"/>
  <c r="U27" i="47"/>
  <c r="U36" i="47" s="1"/>
  <c r="U43" i="47" s="1"/>
  <c r="AC27" i="47"/>
  <c r="AC36" i="47" s="1"/>
  <c r="AC43" i="47" s="1"/>
  <c r="AK27" i="47"/>
  <c r="M27" i="47"/>
  <c r="M36" i="47" s="1"/>
  <c r="AL27" i="47"/>
  <c r="AL36" i="47" s="1"/>
  <c r="R42" i="47"/>
  <c r="AN42" i="47" s="1"/>
  <c r="K41" i="22" s="1"/>
  <c r="G27" i="47"/>
  <c r="G36" i="47" s="1"/>
  <c r="O27" i="47"/>
  <c r="O36" i="47" s="1"/>
  <c r="O43" i="47" s="1"/>
  <c r="W27" i="47"/>
  <c r="W36" i="47" s="1"/>
  <c r="W43" i="47" s="1"/>
  <c r="AE27" i="47"/>
  <c r="AM27" i="47"/>
  <c r="AM36" i="47" s="1"/>
  <c r="AM43" i="47" s="1"/>
  <c r="AN11" i="47"/>
  <c r="H27" i="47"/>
  <c r="H36" i="47" s="1"/>
  <c r="H43" i="47" s="1"/>
  <c r="P27" i="47"/>
  <c r="X27" i="47"/>
  <c r="X36" i="47" s="1"/>
  <c r="X43" i="47" s="1"/>
  <c r="AF27" i="47"/>
  <c r="AF36" i="47" s="1"/>
  <c r="AF43" i="47" s="1"/>
  <c r="AF44" i="47" s="1"/>
  <c r="AN12" i="47"/>
  <c r="T27" i="47"/>
  <c r="T36" i="47" s="1"/>
  <c r="T43" i="47" s="1"/>
  <c r="AB27" i="47"/>
  <c r="AJ27" i="47"/>
  <c r="AJ36" i="47" s="1"/>
  <c r="AJ43" i="47" s="1"/>
  <c r="L43" i="47"/>
  <c r="V36" i="47"/>
  <c r="I43" i="47"/>
  <c r="Q43" i="47"/>
  <c r="AG43" i="47"/>
  <c r="AG44" i="47" s="1"/>
  <c r="Z43" i="47"/>
  <c r="K43" i="47"/>
  <c r="AI43" i="47"/>
  <c r="AI44" i="47" s="1"/>
  <c r="AB36" i="47"/>
  <c r="Y36" i="47"/>
  <c r="Z37" i="47" s="1"/>
  <c r="S36" i="47"/>
  <c r="F43" i="47"/>
  <c r="N43" i="47"/>
  <c r="AD43" i="47"/>
  <c r="AL43" i="47"/>
  <c r="D36" i="47"/>
  <c r="D43" i="47" s="1"/>
  <c r="R43" i="47" l="1"/>
  <c r="J36" i="47"/>
  <c r="K37" i="47" s="1"/>
  <c r="AF28" i="47"/>
  <c r="Z28" i="47"/>
  <c r="AI37" i="47"/>
  <c r="AL28" i="47"/>
  <c r="AI28" i="47"/>
  <c r="W37" i="47"/>
  <c r="T28" i="47"/>
  <c r="T37" i="47"/>
  <c r="Q28" i="47"/>
  <c r="P36" i="47"/>
  <c r="P43" i="47" s="1"/>
  <c r="N28" i="47"/>
  <c r="H28" i="47"/>
  <c r="AN27" i="47"/>
  <c r="E28" i="47"/>
  <c r="AN28" i="47"/>
  <c r="AK36" i="47"/>
  <c r="AK43" i="47" s="1"/>
  <c r="AE36" i="47"/>
  <c r="AE43" i="47" s="1"/>
  <c r="AE44" i="47" s="1"/>
  <c r="AC37" i="47"/>
  <c r="V43" i="47"/>
  <c r="AC28" i="47"/>
  <c r="W28" i="47"/>
  <c r="AH43" i="47"/>
  <c r="AH44" i="47" s="1"/>
  <c r="AB43" i="47"/>
  <c r="M43" i="47"/>
  <c r="N37" i="47"/>
  <c r="Y43" i="47"/>
  <c r="S43" i="47"/>
  <c r="J43" i="47"/>
  <c r="Q37" i="47"/>
  <c r="E37" i="47"/>
  <c r="H37" i="47"/>
  <c r="G43" i="47"/>
  <c r="AN36" i="47" l="1"/>
  <c r="AF37" i="47"/>
  <c r="AL37" i="47"/>
  <c r="AN44" i="47"/>
  <c r="AN37" i="47" l="1"/>
  <c r="G41" i="36" l="1"/>
  <c r="P27" i="35" s="1"/>
  <c r="G40" i="36"/>
  <c r="P26" i="35" s="1"/>
  <c r="G39" i="36"/>
  <c r="P25" i="35" s="1"/>
  <c r="G28" i="36"/>
  <c r="F23" i="22" l="1"/>
  <c r="F30" i="35" l="1"/>
  <c r="V39" i="36" l="1"/>
  <c r="G22" i="36"/>
  <c r="G21" i="36"/>
  <c r="F30" i="22" l="1"/>
  <c r="F31" i="35"/>
  <c r="F29" i="22" l="1"/>
  <c r="G44" i="46" l="1"/>
  <c r="P43" i="46"/>
  <c r="P42" i="46"/>
  <c r="P41" i="46"/>
  <c r="I40" i="46"/>
  <c r="G39" i="46"/>
  <c r="P38" i="46"/>
  <c r="P37" i="46"/>
  <c r="P36" i="46"/>
  <c r="P35" i="46"/>
  <c r="P34" i="46"/>
  <c r="P33" i="46"/>
  <c r="P32" i="46"/>
  <c r="P31" i="46"/>
  <c r="P30" i="46"/>
  <c r="P29" i="46"/>
  <c r="I26" i="46"/>
  <c r="L26" i="46" s="1"/>
  <c r="N26" i="46" s="1"/>
  <c r="I25" i="46"/>
  <c r="L25" i="46" s="1"/>
  <c r="N25" i="46" s="1"/>
  <c r="I24" i="46"/>
  <c r="L24" i="46" s="1"/>
  <c r="N24" i="46" s="1"/>
  <c r="I23" i="46"/>
  <c r="L23" i="46" s="1"/>
  <c r="N23" i="46" s="1"/>
  <c r="I22" i="46"/>
  <c r="L22" i="46" s="1"/>
  <c r="N22" i="46" s="1"/>
  <c r="I21" i="46"/>
  <c r="L21" i="46" s="1"/>
  <c r="N21" i="46" s="1"/>
  <c r="I20" i="46"/>
  <c r="L20" i="46" s="1"/>
  <c r="N20" i="46" s="1"/>
  <c r="I19" i="46"/>
  <c r="L19" i="46" s="1"/>
  <c r="N19" i="46" s="1"/>
  <c r="I18" i="46"/>
  <c r="L18" i="46" s="1"/>
  <c r="N18" i="46" s="1"/>
  <c r="I16" i="46"/>
  <c r="L16" i="46" s="1"/>
  <c r="I15" i="46"/>
  <c r="L15" i="46" s="1"/>
  <c r="N15" i="46" s="1"/>
  <c r="I13" i="46"/>
  <c r="G12" i="46"/>
  <c r="P25" i="46" l="1"/>
  <c r="P15" i="46"/>
  <c r="I12" i="46"/>
  <c r="P21" i="46"/>
  <c r="G45" i="46"/>
  <c r="P26" i="46"/>
  <c r="P18" i="46"/>
  <c r="P22" i="46"/>
  <c r="I39" i="46"/>
  <c r="P19" i="46"/>
  <c r="P23" i="46"/>
  <c r="I44" i="46"/>
  <c r="P20" i="46"/>
  <c r="P24" i="46"/>
  <c r="N16" i="46"/>
  <c r="P16" i="46" s="1"/>
  <c r="L13" i="46"/>
  <c r="L40" i="46"/>
  <c r="P40" i="46" s="1"/>
  <c r="P44" i="46" s="1"/>
  <c r="F22" i="35" s="1"/>
  <c r="F22" i="22" s="1"/>
  <c r="I45" i="46" l="1"/>
  <c r="P12" i="46"/>
  <c r="F20" i="35" s="1"/>
  <c r="L44" i="46"/>
  <c r="L39" i="46"/>
  <c r="F19" i="35" s="1"/>
  <c r="N13" i="46"/>
  <c r="P13" i="46" s="1"/>
  <c r="P39" i="46" s="1"/>
  <c r="F21" i="35" s="1"/>
  <c r="L12" i="46"/>
  <c r="F18" i="35" s="1"/>
  <c r="F20" i="22" l="1"/>
  <c r="F21" i="22"/>
  <c r="L45" i="46"/>
  <c r="P45" i="46"/>
  <c r="F10" i="22" l="1"/>
  <c r="V38" i="36" l="1"/>
  <c r="H10" i="22" l="1"/>
  <c r="I10" i="22"/>
  <c r="H26" i="22"/>
  <c r="I26" i="22"/>
  <c r="P23" i="35" l="1"/>
  <c r="L23" i="35"/>
  <c r="F37" i="22" l="1"/>
  <c r="F27" i="22"/>
  <c r="G42" i="36" l="1"/>
  <c r="G43" i="36"/>
  <c r="G44" i="36"/>
  <c r="G45" i="36"/>
  <c r="G46" i="36"/>
  <c r="G47" i="36"/>
  <c r="G31" i="36"/>
  <c r="G32" i="36"/>
  <c r="G33" i="36"/>
  <c r="G34" i="36"/>
  <c r="G35" i="36"/>
  <c r="L27" i="36"/>
  <c r="K27" i="36"/>
  <c r="N26" i="36"/>
  <c r="N25" i="36"/>
  <c r="N24" i="36"/>
  <c r="N27" i="36" l="1"/>
  <c r="N50" i="36"/>
  <c r="N46" i="36"/>
  <c r="V56" i="36"/>
  <c r="V50" i="36"/>
  <c r="V44" i="36"/>
  <c r="V27" i="36"/>
  <c r="V26" i="36"/>
  <c r="V25" i="36"/>
  <c r="V24" i="36"/>
  <c r="N56" i="36" l="1"/>
  <c r="V57" i="36"/>
  <c r="N42" i="36"/>
  <c r="N57" i="36" l="1"/>
  <c r="F34" i="35" s="1"/>
  <c r="G19" i="36"/>
  <c r="G18" i="36"/>
  <c r="V10" i="36"/>
  <c r="L31" i="36"/>
  <c r="K31" i="36"/>
  <c r="L23" i="36"/>
  <c r="K23" i="36"/>
  <c r="L19" i="36"/>
  <c r="K19" i="36"/>
  <c r="N30" i="36"/>
  <c r="N29" i="36"/>
  <c r="N28" i="36"/>
  <c r="N22" i="36"/>
  <c r="N21" i="36"/>
  <c r="N20" i="36"/>
  <c r="N18" i="36"/>
  <c r="N17" i="36"/>
  <c r="N16" i="36"/>
  <c r="L15" i="36"/>
  <c r="K15" i="36"/>
  <c r="L10" i="36"/>
  <c r="K10" i="36"/>
  <c r="N14" i="36"/>
  <c r="N13" i="36"/>
  <c r="N12" i="36"/>
  <c r="N11" i="36"/>
  <c r="N7" i="36"/>
  <c r="N8" i="36"/>
  <c r="N9" i="36"/>
  <c r="N6" i="36"/>
  <c r="G23" i="36"/>
  <c r="G17" i="36"/>
  <c r="G15" i="36"/>
  <c r="G14" i="36"/>
  <c r="G13" i="36"/>
  <c r="G12" i="36"/>
  <c r="G10" i="36"/>
  <c r="G9" i="36"/>
  <c r="G8" i="36"/>
  <c r="G5" i="36"/>
  <c r="P12" i="35"/>
  <c r="V15" i="36"/>
  <c r="V14" i="36"/>
  <c r="V13" i="36"/>
  <c r="V12" i="36"/>
  <c r="V11" i="36"/>
  <c r="V9" i="36"/>
  <c r="V8" i="36"/>
  <c r="V7" i="36"/>
  <c r="V6" i="36"/>
  <c r="V5" i="36"/>
  <c r="G55" i="36"/>
  <c r="G54" i="36"/>
  <c r="G52" i="36"/>
  <c r="G51" i="36"/>
  <c r="G50" i="36"/>
  <c r="P28" i="35" s="1"/>
  <c r="G48" i="36"/>
  <c r="G49" i="36" s="1"/>
  <c r="G37" i="36"/>
  <c r="G36" i="36"/>
  <c r="G30" i="36"/>
  <c r="G29" i="36"/>
  <c r="P24" i="35" s="1"/>
  <c r="F34" i="22" l="1"/>
  <c r="G16" i="36"/>
  <c r="P16" i="35" s="1"/>
  <c r="P29" i="35"/>
  <c r="F10" i="35" s="1"/>
  <c r="F12" i="22" s="1"/>
  <c r="G56" i="36"/>
  <c r="G20" i="36"/>
  <c r="P17" i="35" s="1"/>
  <c r="R12" i="35"/>
  <c r="N15" i="36"/>
  <c r="V34" i="36"/>
  <c r="N31" i="36"/>
  <c r="N19" i="36"/>
  <c r="N23" i="36"/>
  <c r="N10" i="36"/>
  <c r="G7" i="36"/>
  <c r="P14" i="35" s="1"/>
  <c r="G11" i="36"/>
  <c r="P15" i="35" s="1"/>
  <c r="G53" i="36"/>
  <c r="V20" i="36"/>
  <c r="G38" i="36"/>
  <c r="P21" i="35" l="1"/>
  <c r="F9" i="35" s="1"/>
  <c r="G57" i="36"/>
  <c r="G24" i="36"/>
  <c r="F32" i="35"/>
  <c r="P39" i="35"/>
  <c r="F32" i="22" l="1"/>
  <c r="F36" i="35"/>
  <c r="F35" i="22" s="1"/>
  <c r="F11" i="22"/>
  <c r="F25" i="35"/>
  <c r="F25" i="22" s="1"/>
  <c r="F41" i="22"/>
  <c r="F36" i="22" l="1"/>
  <c r="F37" i="35" l="1"/>
  <c r="F26" i="22" l="1"/>
  <c r="F38" i="22" s="1"/>
  <c r="F39" i="22" s="1"/>
  <c r="F42" i="22" s="1"/>
  <c r="F26" i="35"/>
  <c r="F40" i="22" l="1"/>
</calcChain>
</file>

<file path=xl/sharedStrings.xml><?xml version="1.0" encoding="utf-8"?>
<sst xmlns="http://schemas.openxmlformats.org/spreadsheetml/2006/main" count="717" uniqueCount="477">
  <si>
    <t>固定資産税</t>
    <rPh sb="0" eb="2">
      <t>コテイ</t>
    </rPh>
    <rPh sb="2" eb="5">
      <t>シサンゼイ</t>
    </rPh>
    <phoneticPr fontId="6"/>
  </si>
  <si>
    <t>出荷資材費</t>
    <rPh sb="0" eb="2">
      <t>シュッカ</t>
    </rPh>
    <rPh sb="2" eb="5">
      <t>シザイヒ</t>
    </rPh>
    <phoneticPr fontId="4"/>
  </si>
  <si>
    <t>運賃</t>
    <rPh sb="0" eb="2">
      <t>ウンチン</t>
    </rPh>
    <phoneticPr fontId="4"/>
  </si>
  <si>
    <t>内容</t>
    <rPh sb="0" eb="2">
      <t>ナイヨウ</t>
    </rPh>
    <phoneticPr fontId="6"/>
  </si>
  <si>
    <t>小農具費</t>
    <rPh sb="0" eb="1">
      <t>ショウ</t>
    </rPh>
    <rPh sb="1" eb="3">
      <t>ノウグ</t>
    </rPh>
    <rPh sb="3" eb="4">
      <t>ヒ</t>
    </rPh>
    <phoneticPr fontId="4"/>
  </si>
  <si>
    <t>賃料料金</t>
    <rPh sb="0" eb="2">
      <t>チンリョウ</t>
    </rPh>
    <rPh sb="2" eb="4">
      <t>リョウキン</t>
    </rPh>
    <phoneticPr fontId="4"/>
  </si>
  <si>
    <t>販売手数料</t>
    <rPh sb="0" eb="2">
      <t>ハンバイ</t>
    </rPh>
    <rPh sb="2" eb="5">
      <t>テスウリョウ</t>
    </rPh>
    <phoneticPr fontId="4"/>
  </si>
  <si>
    <t>（単位）</t>
    <rPh sb="1" eb="3">
      <t>タンイ</t>
    </rPh>
    <phoneticPr fontId="4"/>
  </si>
  <si>
    <t>土地条件，利用</t>
  </si>
  <si>
    <t>労働力利用</t>
  </si>
  <si>
    <t>機械･施設装備</t>
  </si>
  <si>
    <t>販売方法</t>
  </si>
  <si>
    <t>技   　術　   的　　条   　件</t>
  </si>
  <si>
    <t>経　営　的　条　件</t>
  </si>
  <si>
    <t>項　　　　目　</t>
  </si>
  <si>
    <t>金　　額</t>
  </si>
  <si>
    <t>算　　出　　基　　礎</t>
  </si>
  <si>
    <t>粗収益</t>
  </si>
  <si>
    <t>単価</t>
  </si>
  <si>
    <t>合計</t>
    <rPh sb="0" eb="2">
      <t>ゴウケイ</t>
    </rPh>
    <phoneticPr fontId="4"/>
  </si>
  <si>
    <t>数　　量</t>
  </si>
  <si>
    <t>金　額</t>
  </si>
  <si>
    <t>備　考</t>
  </si>
  <si>
    <t>　計</t>
  </si>
  <si>
    <t>計</t>
  </si>
  <si>
    <t>上</t>
  </si>
  <si>
    <t>中</t>
  </si>
  <si>
    <t>下</t>
  </si>
  <si>
    <t>種　　　類</t>
  </si>
  <si>
    <t>規　模</t>
  </si>
  <si>
    <t>負担価格</t>
  </si>
  <si>
    <t>残存価格</t>
  </si>
  <si>
    <t>耐用年数</t>
  </si>
  <si>
    <t>年償却額</t>
  </si>
  <si>
    <t>小　　計</t>
  </si>
  <si>
    <t>　　小　　計</t>
  </si>
  <si>
    <t>トラクター</t>
  </si>
  <si>
    <t>台</t>
  </si>
  <si>
    <t>売上高</t>
    <rPh sb="0" eb="2">
      <t>ウリアゲ</t>
    </rPh>
    <rPh sb="2" eb="3">
      <t>ダカ</t>
    </rPh>
    <phoneticPr fontId="4"/>
  </si>
  <si>
    <t>諸材料費</t>
    <rPh sb="0" eb="1">
      <t>ショ</t>
    </rPh>
    <rPh sb="1" eb="4">
      <t>ザイリョウヒ</t>
    </rPh>
    <phoneticPr fontId="4"/>
  </si>
  <si>
    <t>修繕費</t>
    <rPh sb="0" eb="2">
      <t>シュウゼン</t>
    </rPh>
    <rPh sb="2" eb="3">
      <t>ヒ</t>
    </rPh>
    <phoneticPr fontId="4"/>
  </si>
  <si>
    <t>大動植物</t>
    <rPh sb="0" eb="1">
      <t>ダイ</t>
    </rPh>
    <rPh sb="1" eb="2">
      <t>ドウ</t>
    </rPh>
    <rPh sb="2" eb="4">
      <t>ショクブツ</t>
    </rPh>
    <phoneticPr fontId="4"/>
  </si>
  <si>
    <t>支払地代</t>
    <rPh sb="0" eb="2">
      <t>シハラ</t>
    </rPh>
    <rPh sb="2" eb="4">
      <t>チダイ</t>
    </rPh>
    <phoneticPr fontId="4"/>
  </si>
  <si>
    <t>販売費</t>
    <rPh sb="0" eb="3">
      <t>ハンバイヒ</t>
    </rPh>
    <phoneticPr fontId="4"/>
  </si>
  <si>
    <t>租税公課</t>
    <rPh sb="0" eb="2">
      <t>ソゼイ</t>
    </rPh>
    <rPh sb="2" eb="4">
      <t>コウカ</t>
    </rPh>
    <phoneticPr fontId="4"/>
  </si>
  <si>
    <t>経営類型</t>
    <rPh sb="0" eb="2">
      <t>ケイエイ</t>
    </rPh>
    <rPh sb="2" eb="4">
      <t>ルイケイ</t>
    </rPh>
    <phoneticPr fontId="4"/>
  </si>
  <si>
    <t>作型</t>
    <rPh sb="0" eb="2">
      <t>サクガタ</t>
    </rPh>
    <phoneticPr fontId="4"/>
  </si>
  <si>
    <t>対象地域</t>
    <rPh sb="0" eb="2">
      <t>タイショウ</t>
    </rPh>
    <rPh sb="2" eb="4">
      <t>チイキ</t>
    </rPh>
    <phoneticPr fontId="4"/>
  </si>
  <si>
    <t>面    積</t>
    <phoneticPr fontId="4"/>
  </si>
  <si>
    <t>（うち施設）</t>
    <phoneticPr fontId="4"/>
  </si>
  <si>
    <t>区分</t>
    <rPh sb="0" eb="2">
      <t>クブン</t>
    </rPh>
    <phoneticPr fontId="4"/>
  </si>
  <si>
    <t>動力光熱費</t>
    <rPh sb="0" eb="2">
      <t>ドウリョク</t>
    </rPh>
    <rPh sb="2" eb="5">
      <t>コウネツヒ</t>
    </rPh>
    <phoneticPr fontId="4"/>
  </si>
  <si>
    <t>減価
償却費</t>
    <rPh sb="0" eb="2">
      <t>ゲンカ</t>
    </rPh>
    <rPh sb="3" eb="5">
      <t>ショウキャク</t>
    </rPh>
    <rPh sb="5" eb="6">
      <t>ヒ</t>
    </rPh>
    <phoneticPr fontId="4"/>
  </si>
  <si>
    <t>事務通信費</t>
    <rPh sb="0" eb="2">
      <t>ジム</t>
    </rPh>
    <rPh sb="2" eb="5">
      <t>ツウシンヒ</t>
    </rPh>
    <phoneticPr fontId="4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</si>
  <si>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4"/>
  </si>
  <si>
    <t>負担根拠</t>
    <rPh sb="0" eb="2">
      <t>フタン</t>
    </rPh>
    <rPh sb="2" eb="4">
      <t>コンキョ</t>
    </rPh>
    <phoneticPr fontId="4"/>
  </si>
  <si>
    <t>（数値）</t>
    <rPh sb="1" eb="3">
      <t>スウチ</t>
    </rPh>
    <phoneticPr fontId="4"/>
  </si>
  <si>
    <t>台</t>
    <rPh sb="0" eb="1">
      <t>ダイ</t>
    </rPh>
    <phoneticPr fontId="4"/>
  </si>
  <si>
    <t>４　経営収支</t>
    <rPh sb="2" eb="4">
      <t>ケイエイ</t>
    </rPh>
    <rPh sb="4" eb="6">
      <t>シュウシ</t>
    </rPh>
    <phoneticPr fontId="4"/>
  </si>
  <si>
    <t>栽培様式</t>
    <rPh sb="0" eb="2">
      <t>サイバイ</t>
    </rPh>
    <rPh sb="2" eb="4">
      <t>ヨウシキ</t>
    </rPh>
    <phoneticPr fontId="4"/>
  </si>
  <si>
    <t>技術内容</t>
    <rPh sb="0" eb="2">
      <t>ギジュツ</t>
    </rPh>
    <rPh sb="2" eb="4">
      <t>ナイヨウ</t>
    </rPh>
    <phoneticPr fontId="4"/>
  </si>
  <si>
    <t>作業時期</t>
    <rPh sb="0" eb="2">
      <t>サギョウ</t>
    </rPh>
    <rPh sb="2" eb="4">
      <t>ジキ</t>
    </rPh>
    <phoneticPr fontId="4"/>
  </si>
  <si>
    <t>使用資材
（10a当たり）</t>
    <rPh sb="0" eb="2">
      <t>シヨウ</t>
    </rPh>
    <rPh sb="2" eb="4">
      <t>シザイ</t>
    </rPh>
    <rPh sb="9" eb="10">
      <t>ア</t>
    </rPh>
    <phoneticPr fontId="4"/>
  </si>
  <si>
    <t>技術上の
留意事項</t>
    <rPh sb="0" eb="2">
      <t>ギジュツ</t>
    </rPh>
    <rPh sb="2" eb="3">
      <t>ジョウ</t>
    </rPh>
    <rPh sb="5" eb="7">
      <t>リュウイ</t>
    </rPh>
    <rPh sb="7" eb="9">
      <t>ジコウ</t>
    </rPh>
    <phoneticPr fontId="4"/>
  </si>
  <si>
    <t>機械時間（10 a当たり）</t>
    <rPh sb="0" eb="2">
      <t>キカイ</t>
    </rPh>
    <rPh sb="2" eb="4">
      <t>ジカン</t>
    </rPh>
    <phoneticPr fontId="4"/>
  </si>
  <si>
    <t>人力時間（10 a当たり）</t>
    <rPh sb="0" eb="2">
      <t>ジンリキ</t>
    </rPh>
    <rPh sb="2" eb="4">
      <t>ジカン</t>
    </rPh>
    <phoneticPr fontId="4"/>
  </si>
  <si>
    <t>組作業人員(人）</t>
    <rPh sb="0" eb="1">
      <t>クミ</t>
    </rPh>
    <rPh sb="1" eb="3">
      <t>サギョウ</t>
    </rPh>
    <rPh sb="3" eb="5">
      <t>ジンイン</t>
    </rPh>
    <phoneticPr fontId="4"/>
  </si>
  <si>
    <t>使用施設・機械</t>
    <rPh sb="0" eb="2">
      <t>シヨウ</t>
    </rPh>
    <rPh sb="2" eb="4">
      <t>シセツ</t>
    </rPh>
    <rPh sb="5" eb="7">
      <t>キカイ</t>
    </rPh>
    <phoneticPr fontId="4"/>
  </si>
  <si>
    <t>作業・項目</t>
    <rPh sb="0" eb="2">
      <t>サギョウ</t>
    </rPh>
    <rPh sb="3" eb="5">
      <t>コウモク</t>
    </rPh>
    <phoneticPr fontId="4"/>
  </si>
  <si>
    <t>土地利用体系</t>
    <rPh sb="0" eb="2">
      <t>トチ</t>
    </rPh>
    <rPh sb="2" eb="4">
      <t>リヨウ</t>
    </rPh>
    <rPh sb="4" eb="6">
      <t>タイケイ</t>
    </rPh>
    <phoneticPr fontId="4"/>
  </si>
  <si>
    <t>共済掛金　等</t>
    <rPh sb="0" eb="2">
      <t>キョウサイ</t>
    </rPh>
    <rPh sb="2" eb="4">
      <t>カケキン</t>
    </rPh>
    <rPh sb="5" eb="6">
      <t>ナド</t>
    </rPh>
    <phoneticPr fontId="4"/>
  </si>
  <si>
    <t>形式・構造　等</t>
    <rPh sb="6" eb="7">
      <t>ナド</t>
    </rPh>
    <phoneticPr fontId="4"/>
  </si>
  <si>
    <t>取得価格</t>
    <rPh sb="0" eb="2">
      <t>シュトク</t>
    </rPh>
    <rPh sb="2" eb="4">
      <t>カカク</t>
    </rPh>
    <phoneticPr fontId="4"/>
  </si>
  <si>
    <t>補助率</t>
    <rPh sb="0" eb="3">
      <t>ホジョリツ</t>
    </rPh>
    <phoneticPr fontId="4"/>
  </si>
  <si>
    <t>残存割合</t>
    <rPh sb="0" eb="2">
      <t>ザンゾン</t>
    </rPh>
    <rPh sb="2" eb="4">
      <t>ワリアイ</t>
    </rPh>
    <phoneticPr fontId="4"/>
  </si>
  <si>
    <t>大動植物</t>
    <rPh sb="0" eb="1">
      <t>ダイ</t>
    </rPh>
    <rPh sb="1" eb="4">
      <t>ドウショクブツ</t>
    </rPh>
    <phoneticPr fontId="4"/>
  </si>
  <si>
    <t>③=①×（100-②）（円）</t>
    <rPh sb="12" eb="13">
      <t>エン</t>
    </rPh>
    <phoneticPr fontId="4"/>
  </si>
  <si>
    <t>農薬名</t>
  </si>
  <si>
    <t>使用量</t>
    <rPh sb="2" eb="3">
      <t>リョウ</t>
    </rPh>
    <phoneticPr fontId="4"/>
  </si>
  <si>
    <t>単位</t>
  </si>
  <si>
    <t>金額</t>
  </si>
  <si>
    <t xml:space="preserve"> 燃料消費量</t>
  </si>
  <si>
    <t>利用時間</t>
  </si>
  <si>
    <t>　小　計</t>
  </si>
  <si>
    <t>小　計</t>
  </si>
  <si>
    <t>本</t>
    <rPh sb="0" eb="1">
      <t>ホン</t>
    </rPh>
    <phoneticPr fontId="4"/>
  </si>
  <si>
    <t>（エ）燃料名</t>
    <phoneticPr fontId="4"/>
  </si>
  <si>
    <t>生産雑費</t>
    <rPh sb="0" eb="2">
      <t>セイサン</t>
    </rPh>
    <rPh sb="2" eb="4">
      <t>ザッピ</t>
    </rPh>
    <phoneticPr fontId="4"/>
  </si>
  <si>
    <t>化成肥料</t>
    <rPh sb="0" eb="2">
      <t>カセイ</t>
    </rPh>
    <rPh sb="2" eb="4">
      <t>ヒリョウ</t>
    </rPh>
    <phoneticPr fontId="4"/>
  </si>
  <si>
    <t>肥料名</t>
    <rPh sb="0" eb="2">
      <t>ヒリョウ</t>
    </rPh>
    <rPh sb="2" eb="3">
      <t>メイ</t>
    </rPh>
    <phoneticPr fontId="4"/>
  </si>
  <si>
    <t>1ha機械</t>
    <phoneticPr fontId="4"/>
  </si>
  <si>
    <t>電気</t>
    <rPh sb="0" eb="2">
      <t>デンキ</t>
    </rPh>
    <phoneticPr fontId="4"/>
  </si>
  <si>
    <t>ℓ・kw／1ha</t>
    <phoneticPr fontId="4"/>
  </si>
  <si>
    <t>軽油</t>
    <rPh sb="0" eb="2">
      <t>ケイユ</t>
    </rPh>
    <phoneticPr fontId="4"/>
  </si>
  <si>
    <t>作業名（使用機械）</t>
    <rPh sb="0" eb="2">
      <t>サギョウ</t>
    </rPh>
    <rPh sb="2" eb="3">
      <t>メイ</t>
    </rPh>
    <rPh sb="4" eb="6">
      <t>シヨウ</t>
    </rPh>
    <rPh sb="6" eb="8">
      <t>キカイ</t>
    </rPh>
    <phoneticPr fontId="4"/>
  </si>
  <si>
    <t>混合</t>
    <rPh sb="0" eb="2">
      <t>コンゴウ</t>
    </rPh>
    <phoneticPr fontId="4"/>
  </si>
  <si>
    <t>灯油</t>
    <rPh sb="0" eb="2">
      <t>トウユ</t>
    </rPh>
    <phoneticPr fontId="4"/>
  </si>
  <si>
    <t>資材名</t>
    <rPh sb="0" eb="2">
      <t>シザイ</t>
    </rPh>
    <rPh sb="2" eb="3">
      <t>メイ</t>
    </rPh>
    <phoneticPr fontId="4"/>
  </si>
  <si>
    <t>使用量</t>
    <rPh sb="0" eb="3">
      <t>シヨウリョウ</t>
    </rPh>
    <phoneticPr fontId="4"/>
  </si>
  <si>
    <t>単位</t>
    <rPh sb="0" eb="2">
      <t>タンイ</t>
    </rPh>
    <phoneticPr fontId="4"/>
  </si>
  <si>
    <t>単価</t>
    <phoneticPr fontId="4"/>
  </si>
  <si>
    <t>A</t>
    <phoneticPr fontId="4"/>
  </si>
  <si>
    <t>使用期間（年）</t>
    <rPh sb="0" eb="2">
      <t>シヨウ</t>
    </rPh>
    <rPh sb="2" eb="4">
      <t>キカン</t>
    </rPh>
    <rPh sb="5" eb="6">
      <t>ネン</t>
    </rPh>
    <phoneticPr fontId="4"/>
  </si>
  <si>
    <t>金額（1年あたり）</t>
    <rPh sb="4" eb="5">
      <t>ネン</t>
    </rPh>
    <phoneticPr fontId="4"/>
  </si>
  <si>
    <t>農具名</t>
    <rPh sb="0" eb="2">
      <t>ノウグ</t>
    </rPh>
    <rPh sb="2" eb="3">
      <t>メイ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</si>
  <si>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</si>
  <si>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</si>
  <si>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右表（ア）</t>
    <phoneticPr fontId="4"/>
  </si>
  <si>
    <t>負担価格の</t>
    <phoneticPr fontId="4"/>
  </si>
  <si>
    <t>販売費・
一般管理費</t>
    <rPh sb="0" eb="3">
      <t>ハンバイヒ</t>
    </rPh>
    <rPh sb="5" eb="7">
      <t>イッパン</t>
    </rPh>
    <rPh sb="7" eb="10">
      <t>カンリヒ</t>
    </rPh>
    <phoneticPr fontId="4"/>
  </si>
  <si>
    <t>※６　資本装備・償却費シート参照</t>
    <rPh sb="3" eb="5">
      <t>シホン</t>
    </rPh>
    <rPh sb="5" eb="7">
      <t>ソウビ</t>
    </rPh>
    <rPh sb="8" eb="10">
      <t>ショウキャク</t>
    </rPh>
    <rPh sb="10" eb="11">
      <t>ヒ</t>
    </rPh>
    <rPh sb="14" eb="16">
      <t>サンショウ</t>
    </rPh>
    <phoneticPr fontId="4"/>
  </si>
  <si>
    <t>売上高　計　①</t>
    <rPh sb="0" eb="2">
      <t>ウリアゲ</t>
    </rPh>
    <rPh sb="2" eb="3">
      <t>ダカ</t>
    </rPh>
    <rPh sb="4" eb="5">
      <t>ケイ</t>
    </rPh>
    <phoneticPr fontId="4"/>
  </si>
  <si>
    <t>売上原価　計　②</t>
    <rPh sb="0" eb="2">
      <t>ウリアゲ</t>
    </rPh>
    <rPh sb="2" eb="4">
      <t>ゲンカ</t>
    </rPh>
    <rPh sb="5" eb="6">
      <t>ケイ</t>
    </rPh>
    <phoneticPr fontId="4"/>
  </si>
  <si>
    <t>販売費・一般管理費　計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</si>
  <si>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　計</t>
    <phoneticPr fontId="4"/>
  </si>
  <si>
    <t>（３）動力光熱費</t>
    <rPh sb="3" eb="5">
      <t>ドウリョク</t>
    </rPh>
    <rPh sb="5" eb="8">
      <t>コウネツヒ</t>
    </rPh>
    <phoneticPr fontId="4"/>
  </si>
  <si>
    <t>農　　　　業　　　　経　　　　営　　　　費</t>
    <rPh sb="0" eb="1">
      <t>ノウ</t>
    </rPh>
    <rPh sb="5" eb="6">
      <t>ギョウ</t>
    </rPh>
    <rPh sb="10" eb="11">
      <t>ヘ</t>
    </rPh>
    <rPh sb="15" eb="16">
      <t>エイ</t>
    </rPh>
    <rPh sb="20" eb="21">
      <t>ヒ</t>
    </rPh>
    <phoneticPr fontId="4"/>
  </si>
  <si>
    <t>費　　　　用　　　　の　　　　算　　　　出</t>
    <rPh sb="0" eb="1">
      <t>ヒ</t>
    </rPh>
    <rPh sb="5" eb="6">
      <t>ヨウ</t>
    </rPh>
    <rPh sb="15" eb="16">
      <t>サン</t>
    </rPh>
    <rPh sb="20" eb="21">
      <t>デ</t>
    </rPh>
    <phoneticPr fontId="4"/>
  </si>
  <si>
    <t>粗　　　収　　　益　　　の　　　算　　　出</t>
    <phoneticPr fontId="4"/>
  </si>
  <si>
    <t>売上原価の</t>
    <rPh sb="0" eb="2">
      <t>ウリアゲ</t>
    </rPh>
    <rPh sb="2" eb="4">
      <t>ゲンカ</t>
    </rPh>
    <phoneticPr fontId="4"/>
  </si>
  <si>
    <t>区　分</t>
    <rPh sb="0" eb="1">
      <t>ク</t>
    </rPh>
    <rPh sb="2" eb="3">
      <t>ブン</t>
    </rPh>
    <phoneticPr fontId="6"/>
  </si>
  <si>
    <t>水田</t>
    <rPh sb="0" eb="2">
      <t>スイデン</t>
    </rPh>
    <phoneticPr fontId="4"/>
  </si>
  <si>
    <t>畑</t>
    <rPh sb="0" eb="1">
      <t>ハタケ</t>
    </rPh>
    <phoneticPr fontId="4"/>
  </si>
  <si>
    <t>建物①</t>
    <rPh sb="0" eb="2">
      <t>タテモノ</t>
    </rPh>
    <phoneticPr fontId="4"/>
  </si>
  <si>
    <t>建物②</t>
    <rPh sb="0" eb="2">
      <t>タテモノ</t>
    </rPh>
    <phoneticPr fontId="4"/>
  </si>
  <si>
    <t>区分</t>
    <rPh sb="0" eb="1">
      <t>ク</t>
    </rPh>
    <rPh sb="1" eb="2">
      <t>ブン</t>
    </rPh>
    <phoneticPr fontId="6"/>
  </si>
  <si>
    <t>取得価格・評価額・負担額</t>
    <rPh sb="0" eb="2">
      <t>シュトク</t>
    </rPh>
    <rPh sb="2" eb="4">
      <t>カカク</t>
    </rPh>
    <rPh sb="5" eb="7">
      <t>ヒョウカ</t>
    </rPh>
    <rPh sb="7" eb="8">
      <t>ガク</t>
    </rPh>
    <rPh sb="9" eb="11">
      <t>フタン</t>
    </rPh>
    <rPh sb="11" eb="12">
      <t>ガク</t>
    </rPh>
    <phoneticPr fontId="6"/>
  </si>
  <si>
    <t>自動車重量税</t>
    <rPh sb="0" eb="3">
      <t>ジドウシャ</t>
    </rPh>
    <rPh sb="3" eb="6">
      <t>ジュウリョウゼイ</t>
    </rPh>
    <phoneticPr fontId="6"/>
  </si>
  <si>
    <t>自動車税</t>
    <rPh sb="0" eb="3">
      <t>ジドウシャ</t>
    </rPh>
    <rPh sb="3" eb="4">
      <t>ゼイ</t>
    </rPh>
    <phoneticPr fontId="6"/>
  </si>
  <si>
    <t>軽自動車税</t>
    <rPh sb="0" eb="1">
      <t>ケイ</t>
    </rPh>
    <rPh sb="1" eb="5">
      <t>ジドウシャゼイ</t>
    </rPh>
    <phoneticPr fontId="6"/>
  </si>
  <si>
    <t>合　　計</t>
    <rPh sb="0" eb="1">
      <t>ア</t>
    </rPh>
    <rPh sb="3" eb="4">
      <t>ケイ</t>
    </rPh>
    <phoneticPr fontId="4"/>
  </si>
  <si>
    <t>（７）共済掛金　等</t>
    <rPh sb="3" eb="5">
      <t>キョウサイ</t>
    </rPh>
    <rPh sb="5" eb="7">
      <t>カケキン</t>
    </rPh>
    <rPh sb="8" eb="9">
      <t>ナド</t>
    </rPh>
    <phoneticPr fontId="6"/>
  </si>
  <si>
    <t>内　容</t>
    <rPh sb="0" eb="1">
      <t>ウチ</t>
    </rPh>
    <rPh sb="2" eb="3">
      <t>カタチ</t>
    </rPh>
    <phoneticPr fontId="6"/>
  </si>
  <si>
    <t>共済掛金</t>
    <rPh sb="0" eb="2">
      <t>キョウサイ</t>
    </rPh>
    <rPh sb="2" eb="4">
      <t>カケキン</t>
    </rPh>
    <phoneticPr fontId="6"/>
  </si>
  <si>
    <t>負担率</t>
    <rPh sb="0" eb="2">
      <t>フタン</t>
    </rPh>
    <rPh sb="2" eb="3">
      <t>リツ</t>
    </rPh>
    <phoneticPr fontId="6"/>
  </si>
  <si>
    <t>小計</t>
    <rPh sb="0" eb="2">
      <t>ショウケイ</t>
    </rPh>
    <phoneticPr fontId="6"/>
  </si>
  <si>
    <t>（４）租税公課</t>
    <rPh sb="3" eb="5">
      <t>ソゼイ</t>
    </rPh>
    <rPh sb="5" eb="7">
      <t>コウカ</t>
    </rPh>
    <phoneticPr fontId="6"/>
  </si>
  <si>
    <t>（５）諸材料費（使用可能期間を想定して算出）</t>
    <rPh sb="3" eb="4">
      <t>ショ</t>
    </rPh>
    <rPh sb="4" eb="7">
      <t>ザイリョウヒ</t>
    </rPh>
    <rPh sb="8" eb="10">
      <t>シヨウ</t>
    </rPh>
    <rPh sb="10" eb="12">
      <t>カノウ</t>
    </rPh>
    <rPh sb="12" eb="14">
      <t>キカン</t>
    </rPh>
    <rPh sb="15" eb="17">
      <t>ソウテイ</t>
    </rPh>
    <rPh sb="19" eb="21">
      <t>サンシュツ</t>
    </rPh>
    <phoneticPr fontId="4"/>
  </si>
  <si>
    <t>（６）小農具費（使用可能期間を想定して算出）</t>
    <rPh sb="3" eb="6">
      <t>ショウノウグ</t>
    </rPh>
    <rPh sb="6" eb="7">
      <t>ヒ</t>
    </rPh>
    <phoneticPr fontId="4"/>
  </si>
  <si>
    <t>保険料</t>
    <rPh sb="0" eb="3">
      <t>ホケンリョウ</t>
    </rPh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</si>
  <si>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</si>
  <si>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</si>
  <si>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</si>
  <si>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</si>
  <si>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小　計</t>
    <phoneticPr fontId="4"/>
  </si>
  <si>
    <t>F</t>
    <phoneticPr fontId="4"/>
  </si>
  <si>
    <t>ガソリン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</si>
  <si>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</si>
  <si>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</si>
  <si>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</si>
  <si>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</si>
  <si>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K</t>
    <phoneticPr fontId="4"/>
  </si>
  <si>
    <t>小　計</t>
    <phoneticPr fontId="4"/>
  </si>
  <si>
    <t>単価</t>
    <phoneticPr fontId="4"/>
  </si>
  <si>
    <t>A</t>
    <phoneticPr fontId="4"/>
  </si>
  <si>
    <t>B</t>
    <phoneticPr fontId="4"/>
  </si>
  <si>
    <t>C</t>
    <phoneticPr fontId="4"/>
  </si>
  <si>
    <t>小　計</t>
    <phoneticPr fontId="4"/>
  </si>
  <si>
    <t>金額</t>
    <phoneticPr fontId="4"/>
  </si>
  <si>
    <t>普通トラック</t>
    <phoneticPr fontId="4"/>
  </si>
  <si>
    <t>普通トラック</t>
    <phoneticPr fontId="4"/>
  </si>
  <si>
    <t>自賠責保険</t>
    <rPh sb="0" eb="3">
      <t>ジバイセキ</t>
    </rPh>
    <rPh sb="3" eb="5">
      <t>ホケン</t>
    </rPh>
    <phoneticPr fontId="4"/>
  </si>
  <si>
    <t>普通トラック</t>
    <rPh sb="0" eb="2">
      <t>フツウ</t>
    </rPh>
    <phoneticPr fontId="4"/>
  </si>
  <si>
    <t>任意保険</t>
    <rPh sb="0" eb="2">
      <t>ニンイ</t>
    </rPh>
    <rPh sb="2" eb="4">
      <t>ホケン</t>
    </rPh>
    <phoneticPr fontId="4"/>
  </si>
  <si>
    <t>作目：</t>
  </si>
  <si>
    <t>作型：</t>
  </si>
  <si>
    <t>（２）労働需給（経営体）</t>
    <rPh sb="3" eb="5">
      <t>ロウドウ</t>
    </rPh>
    <rPh sb="5" eb="7">
      <t>ジュキュウ</t>
    </rPh>
    <rPh sb="8" eb="10">
      <t>ケイエイ</t>
    </rPh>
    <phoneticPr fontId="4"/>
  </si>
  <si>
    <t>保有労働力</t>
    <rPh sb="0" eb="2">
      <t>ホユウ</t>
    </rPh>
    <rPh sb="2" eb="5">
      <t>ロウドウリョク</t>
    </rPh>
    <phoneticPr fontId="4"/>
  </si>
  <si>
    <t>計　②</t>
    <rPh sb="0" eb="1">
      <t>ケイ</t>
    </rPh>
    <phoneticPr fontId="4"/>
  </si>
  <si>
    <t>㎡</t>
  </si>
  <si>
    <t>月</t>
    <rPh sb="0" eb="1">
      <t>ツキ</t>
    </rPh>
    <phoneticPr fontId="4"/>
  </si>
  <si>
    <t>販売量</t>
    <phoneticPr fontId="4"/>
  </si>
  <si>
    <t>販売量</t>
    <phoneticPr fontId="4"/>
  </si>
  <si>
    <t>負担面積（a）</t>
    <rPh sb="0" eb="2">
      <t>フタン</t>
    </rPh>
    <rPh sb="2" eb="4">
      <t>メンセキ</t>
    </rPh>
    <phoneticPr fontId="4"/>
  </si>
  <si>
    <t>数量</t>
    <phoneticPr fontId="4"/>
  </si>
  <si>
    <t>D</t>
    <phoneticPr fontId="4"/>
  </si>
  <si>
    <t>重油</t>
    <rPh sb="0" eb="2">
      <t>ジュウユ</t>
    </rPh>
    <phoneticPr fontId="4"/>
  </si>
  <si>
    <t>研修費</t>
    <rPh sb="0" eb="3">
      <t>ケンシュウヒ</t>
    </rPh>
    <phoneticPr fontId="4"/>
  </si>
  <si>
    <t>管理雑費</t>
    <rPh sb="0" eb="2">
      <t>カンリ</t>
    </rPh>
    <rPh sb="2" eb="4">
      <t>ザッピ</t>
    </rPh>
    <phoneticPr fontId="4"/>
  </si>
  <si>
    <t>農業経営費</t>
    <rPh sb="0" eb="2">
      <t>ノウギョウ</t>
    </rPh>
    <rPh sb="2" eb="4">
      <t>ケイエイ</t>
    </rPh>
    <rPh sb="4" eb="5">
      <t>ヒ</t>
    </rPh>
    <phoneticPr fontId="4"/>
  </si>
  <si>
    <t>販売費・一般管理費　計　③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</si>
  <si>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雇用労賃　④</t>
    <rPh sb="0" eb="2">
      <t>コヨウ</t>
    </rPh>
    <rPh sb="2" eb="4">
      <t>ロウチン</t>
    </rPh>
    <phoneticPr fontId="4"/>
  </si>
  <si>
    <t>経営費　計　⑤=②+③+④　</t>
    <rPh sb="0" eb="2">
      <t>ケイエイ</t>
    </rPh>
    <rPh sb="2" eb="3">
      <t>ヒ</t>
    </rPh>
    <rPh sb="4" eb="5">
      <t>ケイ</t>
    </rPh>
    <phoneticPr fontId="4"/>
  </si>
  <si>
    <t>雇用労賃=</t>
    <rPh sb="0" eb="2">
      <t>コヨウ</t>
    </rPh>
    <rPh sb="2" eb="4">
      <t>ロウチン</t>
    </rPh>
    <phoneticPr fontId="4"/>
  </si>
  <si>
    <t>円/時間</t>
    <rPh sb="0" eb="1">
      <t>エン</t>
    </rPh>
    <rPh sb="2" eb="4">
      <t>ジカン</t>
    </rPh>
    <phoneticPr fontId="4"/>
  </si>
  <si>
    <t>所　　得　⑥=①-⑤</t>
    <rPh sb="0" eb="1">
      <t>トコロ</t>
    </rPh>
    <rPh sb="3" eb="4">
      <t>エ</t>
    </rPh>
    <phoneticPr fontId="4"/>
  </si>
  <si>
    <t>所　得　率　⑦=⑥÷①</t>
    <rPh sb="0" eb="1">
      <t>トコロ</t>
    </rPh>
    <rPh sb="2" eb="3">
      <t>エ</t>
    </rPh>
    <rPh sb="4" eb="5">
      <t>リツ</t>
    </rPh>
    <phoneticPr fontId="4"/>
  </si>
  <si>
    <t>家族労働時間</t>
    <rPh sb="0" eb="2">
      <t>カゾク</t>
    </rPh>
    <rPh sb="2" eb="4">
      <t>ロウドウ</t>
    </rPh>
    <rPh sb="4" eb="6">
      <t>ジカン</t>
    </rPh>
    <phoneticPr fontId="4"/>
  </si>
  <si>
    <t>時間</t>
    <rPh sb="0" eb="2">
      <t>ジカン</t>
    </rPh>
    <phoneticPr fontId="4"/>
  </si>
  <si>
    <t>雇用労働時間</t>
    <rPh sb="0" eb="2">
      <t>コヨウ</t>
    </rPh>
    <rPh sb="2" eb="4">
      <t>ロウドウ</t>
    </rPh>
    <rPh sb="4" eb="6">
      <t>ジカン</t>
    </rPh>
    <phoneticPr fontId="4"/>
  </si>
  <si>
    <t>所要労働時間　⑧</t>
    <rPh sb="0" eb="2">
      <t>ショヨウ</t>
    </rPh>
    <rPh sb="2" eb="4">
      <t>ロウドウ</t>
    </rPh>
    <rPh sb="4" eb="6">
      <t>ジカン</t>
    </rPh>
    <phoneticPr fontId="4"/>
  </si>
  <si>
    <t>家族労働時間当たり所得　⑨=⑥÷家族労働時間</t>
    <rPh sb="0" eb="2">
      <t>カゾク</t>
    </rPh>
    <rPh sb="2" eb="4">
      <t>ロウドウ</t>
    </rPh>
    <rPh sb="4" eb="6">
      <t>ジカン</t>
    </rPh>
    <rPh sb="6" eb="7">
      <t>ア</t>
    </rPh>
    <rPh sb="9" eb="10">
      <t>ドコロ</t>
    </rPh>
    <rPh sb="10" eb="11">
      <t>エ</t>
    </rPh>
    <rPh sb="16" eb="18">
      <t>カゾク</t>
    </rPh>
    <rPh sb="18" eb="20">
      <t>ロウドウ</t>
    </rPh>
    <rPh sb="20" eb="22">
      <t>ジカン</t>
    </rPh>
    <phoneticPr fontId="4"/>
  </si>
  <si>
    <t>備　　　　　　　　　　　　　　　　　　　　考</t>
    <rPh sb="0" eb="1">
      <t>ソナエ</t>
    </rPh>
    <rPh sb="21" eb="22">
      <t>コウ</t>
    </rPh>
    <phoneticPr fontId="4"/>
  </si>
  <si>
    <t>区　　　　　　　　　　　　　　　　　　　　分</t>
    <rPh sb="0" eb="1">
      <t>ク</t>
    </rPh>
    <rPh sb="21" eb="22">
      <t>ブン</t>
    </rPh>
    <phoneticPr fontId="4"/>
  </si>
  <si>
    <t>売上原価（労賃を除く）</t>
    <rPh sb="0" eb="2">
      <t>ウリアゲ</t>
    </rPh>
    <rPh sb="2" eb="4">
      <t>ゲンカ</t>
    </rPh>
    <rPh sb="5" eb="7">
      <t>ロウチン</t>
    </rPh>
    <rPh sb="8" eb="9">
      <t>ノゾ</t>
    </rPh>
    <phoneticPr fontId="4"/>
  </si>
  <si>
    <t>販売費・一般管理費の</t>
    <rPh sb="0" eb="3">
      <t>ハンバイヒ</t>
    </rPh>
    <rPh sb="4" eb="6">
      <t>イッパン</t>
    </rPh>
    <rPh sb="6" eb="9">
      <t>カンリヒ</t>
    </rPh>
    <phoneticPr fontId="4"/>
  </si>
  <si>
    <t>（１）自給飼料費</t>
    <rPh sb="3" eb="5">
      <t>ジキュウ</t>
    </rPh>
    <rPh sb="5" eb="7">
      <t>シリョウ</t>
    </rPh>
    <rPh sb="7" eb="8">
      <t>ヒ</t>
    </rPh>
    <phoneticPr fontId="4"/>
  </si>
  <si>
    <t>種子</t>
    <rPh sb="0" eb="2">
      <t>シュシ</t>
    </rPh>
    <phoneticPr fontId="4"/>
  </si>
  <si>
    <t>（２）購入飼料費</t>
    <rPh sb="3" eb="5">
      <t>コウニュウ</t>
    </rPh>
    <rPh sb="5" eb="7">
      <t>シリョウ</t>
    </rPh>
    <rPh sb="7" eb="8">
      <t>ヒ</t>
    </rPh>
    <phoneticPr fontId="4"/>
  </si>
  <si>
    <t>購入粗飼料</t>
    <rPh sb="0" eb="2">
      <t>コウニュウ</t>
    </rPh>
    <rPh sb="2" eb="5">
      <t>ソシリョウ</t>
    </rPh>
    <phoneticPr fontId="4"/>
  </si>
  <si>
    <t>配合飼料</t>
    <rPh sb="0" eb="2">
      <t>ハイゴウ</t>
    </rPh>
    <rPh sb="2" eb="4">
      <t>シリョウ</t>
    </rPh>
    <phoneticPr fontId="4"/>
  </si>
  <si>
    <t>㎏</t>
    <phoneticPr fontId="4"/>
  </si>
  <si>
    <t>（ア）自給飼料費</t>
    <rPh sb="3" eb="5">
      <t>ジキュウ</t>
    </rPh>
    <rPh sb="5" eb="7">
      <t>シリョウ</t>
    </rPh>
    <rPh sb="7" eb="8">
      <t>ヒ</t>
    </rPh>
    <phoneticPr fontId="4"/>
  </si>
  <si>
    <t>自給飼料費</t>
    <rPh sb="0" eb="2">
      <t>ジキュウ</t>
    </rPh>
    <rPh sb="2" eb="4">
      <t>シリョウ</t>
    </rPh>
    <rPh sb="4" eb="5">
      <t>ヒ</t>
    </rPh>
    <phoneticPr fontId="4"/>
  </si>
  <si>
    <t>購入飼料費</t>
    <rPh sb="0" eb="2">
      <t>コウニュウ</t>
    </rPh>
    <rPh sb="2" eb="4">
      <t>シリョウ</t>
    </rPh>
    <rPh sb="4" eb="5">
      <t>ヒ</t>
    </rPh>
    <phoneticPr fontId="4"/>
  </si>
  <si>
    <t>（イ）購入飼料費</t>
    <rPh sb="3" eb="5">
      <t>コウニュウ</t>
    </rPh>
    <rPh sb="5" eb="7">
      <t>シリョウ</t>
    </rPh>
    <rPh sb="7" eb="8">
      <t>ヒ</t>
    </rPh>
    <phoneticPr fontId="4"/>
  </si>
  <si>
    <t>備　考</t>
    <rPh sb="0" eb="1">
      <t>ソナエ</t>
    </rPh>
    <rPh sb="2" eb="3">
      <t>コウ</t>
    </rPh>
    <phoneticPr fontId="4"/>
  </si>
  <si>
    <t>右表（イ）　</t>
    <phoneticPr fontId="4"/>
  </si>
  <si>
    <t>合　計</t>
    <rPh sb="0" eb="1">
      <t>ア</t>
    </rPh>
    <rPh sb="2" eb="3">
      <t>ケイ</t>
    </rPh>
    <phoneticPr fontId="4"/>
  </si>
  <si>
    <t>８　経費の算出基礎</t>
    <rPh sb="2" eb="4">
      <t>ケイヒ</t>
    </rPh>
    <rPh sb="5" eb="7">
      <t>サンシュツ</t>
    </rPh>
    <rPh sb="7" eb="9">
      <t>キソ</t>
    </rPh>
    <phoneticPr fontId="4"/>
  </si>
  <si>
    <t>全域</t>
    <rPh sb="0" eb="1">
      <t>ゼンイキ</t>
    </rPh>
    <phoneticPr fontId="3"/>
  </si>
  <si>
    <t>畑</t>
  </si>
  <si>
    <t>子牛販売収入</t>
    <rPh sb="0" eb="2">
      <t>コウシ</t>
    </rPh>
    <rPh sb="2" eb="4">
      <t>ハンバイ</t>
    </rPh>
    <rPh sb="4" eb="6">
      <t>シュウニュウ</t>
    </rPh>
    <phoneticPr fontId="4"/>
  </si>
  <si>
    <t>家畜</t>
    <rPh sb="0" eb="2">
      <t>カチク</t>
    </rPh>
    <phoneticPr fontId="4"/>
  </si>
  <si>
    <t>施設・機械</t>
    <rPh sb="0" eb="2">
      <t>シセツ</t>
    </rPh>
    <rPh sb="3" eb="5">
      <t>キカイ</t>
    </rPh>
    <phoneticPr fontId="4"/>
  </si>
  <si>
    <t>対象</t>
    <phoneticPr fontId="4"/>
  </si>
  <si>
    <t>１　対象経営の概要</t>
    <phoneticPr fontId="3"/>
  </si>
  <si>
    <t>保有労働力</t>
    <phoneticPr fontId="4"/>
  </si>
  <si>
    <t>作　   物　   別　   作  　付   　規　   模</t>
    <phoneticPr fontId="4"/>
  </si>
  <si>
    <t>経　営　耕　地　面　積</t>
    <phoneticPr fontId="4"/>
  </si>
  <si>
    <t>対 象 作 目</t>
    <phoneticPr fontId="4"/>
  </si>
  <si>
    <t>そ の 他 の 作 物</t>
    <phoneticPr fontId="4"/>
  </si>
  <si>
    <t>面   積</t>
    <phoneticPr fontId="4"/>
  </si>
  <si>
    <t>田</t>
    <phoneticPr fontId="4"/>
  </si>
  <si>
    <t>草  地</t>
    <phoneticPr fontId="4"/>
  </si>
  <si>
    <t>作     　目</t>
    <phoneticPr fontId="3"/>
  </si>
  <si>
    <t>面　積</t>
    <phoneticPr fontId="3"/>
  </si>
  <si>
    <t>凡例</t>
    <phoneticPr fontId="4"/>
  </si>
  <si>
    <t>収穫 ：</t>
    <phoneticPr fontId="4"/>
  </si>
  <si>
    <t>２　前提条件</t>
    <phoneticPr fontId="4"/>
  </si>
  <si>
    <t>圃場整備完了水田，1ha以上の団地化</t>
    <rPh sb="0" eb="1">
      <t>ホ</t>
    </rPh>
    <rPh sb="1" eb="2">
      <t>ジョウ</t>
    </rPh>
    <rPh sb="2" eb="4">
      <t>セイビ</t>
    </rPh>
    <rPh sb="4" eb="6">
      <t>カンリョウ</t>
    </rPh>
    <rPh sb="6" eb="8">
      <t>スイデン</t>
    </rPh>
    <rPh sb="12" eb="14">
      <t>イジョウ</t>
    </rPh>
    <rPh sb="15" eb="17">
      <t>ダンチ</t>
    </rPh>
    <rPh sb="17" eb="18">
      <t>カ</t>
    </rPh>
    <phoneticPr fontId="3"/>
  </si>
  <si>
    <t>常時飼養頭数</t>
    <rPh sb="0" eb="2">
      <t>ジョウジ</t>
    </rPh>
    <rPh sb="2" eb="4">
      <t>シヨウ</t>
    </rPh>
    <rPh sb="4" eb="6">
      <t>トウスウ</t>
    </rPh>
    <phoneticPr fontId="3"/>
  </si>
  <si>
    <t>肉用牛主要技術</t>
    <rPh sb="0" eb="2">
      <t>ニクヨウ</t>
    </rPh>
    <rPh sb="2" eb="3">
      <t>ウシ</t>
    </rPh>
    <rPh sb="3" eb="5">
      <t>シュヨウ</t>
    </rPh>
    <rPh sb="5" eb="7">
      <t>ギジュツ</t>
    </rPh>
    <phoneticPr fontId="3"/>
  </si>
  <si>
    <t>肉用牛：三次家畜市場</t>
    <rPh sb="0" eb="2">
      <t>ニクヨウ</t>
    </rPh>
    <rPh sb="2" eb="3">
      <t>ウシ</t>
    </rPh>
    <rPh sb="4" eb="6">
      <t>ミヨシ</t>
    </rPh>
    <rPh sb="6" eb="8">
      <t>カチク</t>
    </rPh>
    <rPh sb="8" eb="10">
      <t>シジョウ</t>
    </rPh>
    <phoneticPr fontId="3"/>
  </si>
  <si>
    <t>取得価格</t>
    <rPh sb="0" eb="2">
      <t>シュトク</t>
    </rPh>
    <phoneticPr fontId="4"/>
  </si>
  <si>
    <t>畜舎（新規取得）</t>
    <rPh sb="0" eb="2">
      <t>チクシャ</t>
    </rPh>
    <rPh sb="3" eb="5">
      <t>シンキ</t>
    </rPh>
    <rPh sb="5" eb="7">
      <t>シュトク</t>
    </rPh>
    <phoneticPr fontId="4"/>
  </si>
  <si>
    <t>堆肥舎（新規取得）</t>
    <rPh sb="0" eb="2">
      <t>タイヒ</t>
    </rPh>
    <rPh sb="2" eb="3">
      <t>シャ</t>
    </rPh>
    <rPh sb="4" eb="6">
      <t>シンキ</t>
    </rPh>
    <rPh sb="6" eb="8">
      <t>シュトク</t>
    </rPh>
    <phoneticPr fontId="4"/>
  </si>
  <si>
    <t>ロールベーラー</t>
  </si>
  <si>
    <t>ラッピングマシン</t>
  </si>
  <si>
    <t>ベールグリッパ</t>
  </si>
  <si>
    <t>鎮圧ローラー</t>
    <rPh sb="0" eb="2">
      <t>チンアツ</t>
    </rPh>
    <phoneticPr fontId="4"/>
  </si>
  <si>
    <t>繁殖牛</t>
    <rPh sb="0" eb="2">
      <t>ハンショク</t>
    </rPh>
    <rPh sb="2" eb="3">
      <t>ウシ</t>
    </rPh>
    <phoneticPr fontId="4"/>
  </si>
  <si>
    <t>ｺﾝｸﾘｰﾄ床，ﾌﾞﾛｯｸ壁，屋根等木造スレート</t>
    <rPh sb="6" eb="7">
      <t>ユカ</t>
    </rPh>
    <rPh sb="13" eb="14">
      <t>カベ</t>
    </rPh>
    <rPh sb="15" eb="17">
      <t>ヤネ</t>
    </rPh>
    <rPh sb="17" eb="18">
      <t>トウ</t>
    </rPh>
    <rPh sb="18" eb="20">
      <t>モクゾウ</t>
    </rPh>
    <phoneticPr fontId="4"/>
  </si>
  <si>
    <t>家畜共済</t>
    <rPh sb="0" eb="2">
      <t>カチク</t>
    </rPh>
    <rPh sb="2" eb="4">
      <t>キョウサイ</t>
    </rPh>
    <phoneticPr fontId="4"/>
  </si>
  <si>
    <t>農機具共済</t>
    <rPh sb="0" eb="3">
      <t>ノウキグ</t>
    </rPh>
    <rPh sb="3" eb="5">
      <t>キョウサイ</t>
    </rPh>
    <phoneticPr fontId="4"/>
  </si>
  <si>
    <t>建物共済</t>
    <rPh sb="0" eb="2">
      <t>タテモノ</t>
    </rPh>
    <rPh sb="2" eb="4">
      <t>キョウサイ</t>
    </rPh>
    <phoneticPr fontId="4"/>
  </si>
  <si>
    <t>数量</t>
    <rPh sb="0" eb="2">
      <t>スウリョウ</t>
    </rPh>
    <phoneticPr fontId="4"/>
  </si>
  <si>
    <t>繁殖雌牛</t>
    <rPh sb="0" eb="2">
      <t>ハンショク</t>
    </rPh>
    <rPh sb="2" eb="3">
      <t>メス</t>
    </rPh>
    <rPh sb="3" eb="4">
      <t>ウシ</t>
    </rPh>
    <phoneticPr fontId="4"/>
  </si>
  <si>
    <t>子牛</t>
    <rPh sb="0" eb="2">
      <t>コウシ</t>
    </rPh>
    <phoneticPr fontId="4"/>
  </si>
  <si>
    <t>掛金</t>
    <rPh sb="0" eb="2">
      <t>カケキン</t>
    </rPh>
    <phoneticPr fontId="6"/>
  </si>
  <si>
    <t>老廃牛販売収入</t>
    <rPh sb="0" eb="2">
      <t>ロウハイ</t>
    </rPh>
    <rPh sb="2" eb="3">
      <t>ギュウ</t>
    </rPh>
    <rPh sb="3" eb="5">
      <t>ハンバイ</t>
    </rPh>
    <rPh sb="5" eb="7">
      <t>シュウニュウ</t>
    </rPh>
    <phoneticPr fontId="4"/>
  </si>
  <si>
    <t>堆肥散布</t>
    <rPh sb="0" eb="2">
      <t>タイヒ</t>
    </rPh>
    <rPh sb="2" eb="4">
      <t>サンプ</t>
    </rPh>
    <phoneticPr fontId="4"/>
  </si>
  <si>
    <t>石灰資材散布</t>
    <rPh sb="0" eb="2">
      <t>セッカイ</t>
    </rPh>
    <rPh sb="2" eb="4">
      <t>シザイ</t>
    </rPh>
    <rPh sb="4" eb="6">
      <t>サンプ</t>
    </rPh>
    <phoneticPr fontId="4"/>
  </si>
  <si>
    <t>排水溝設置</t>
    <rPh sb="0" eb="2">
      <t>ハイスイ</t>
    </rPh>
    <rPh sb="2" eb="3">
      <t>ミゾ</t>
    </rPh>
    <rPh sb="3" eb="5">
      <t>セッチ</t>
    </rPh>
    <phoneticPr fontId="4"/>
  </si>
  <si>
    <t>追肥</t>
    <rPh sb="0" eb="2">
      <t>ツイヒ</t>
    </rPh>
    <phoneticPr fontId="4"/>
  </si>
  <si>
    <t>刈取・予乾（反転）</t>
    <rPh sb="0" eb="2">
      <t>カリト</t>
    </rPh>
    <rPh sb="3" eb="4">
      <t>ヨ</t>
    </rPh>
    <rPh sb="4" eb="5">
      <t>イヌイ</t>
    </rPh>
    <rPh sb="6" eb="8">
      <t>ハンテン</t>
    </rPh>
    <phoneticPr fontId="4"/>
  </si>
  <si>
    <t>梱包</t>
    <rPh sb="0" eb="2">
      <t>コンポウ</t>
    </rPh>
    <phoneticPr fontId="4"/>
  </si>
  <si>
    <t>運搬</t>
    <rPh sb="0" eb="2">
      <t>ウンパン</t>
    </rPh>
    <phoneticPr fontId="4"/>
  </si>
  <si>
    <t>10月上旬</t>
    <rPh sb="2" eb="3">
      <t>ガツ</t>
    </rPh>
    <rPh sb="3" eb="5">
      <t>ジョウジュン</t>
    </rPh>
    <phoneticPr fontId="4"/>
  </si>
  <si>
    <t>３月上旬</t>
    <rPh sb="1" eb="2">
      <t>ガツ</t>
    </rPh>
    <rPh sb="2" eb="4">
      <t>ジョウジュン</t>
    </rPh>
    <phoneticPr fontId="4"/>
  </si>
  <si>
    <t>ブロードキャスター・鎮圧ローラー</t>
    <rPh sb="10" eb="12">
      <t>チンアツ</t>
    </rPh>
    <phoneticPr fontId="4"/>
  </si>
  <si>
    <t>溝上機</t>
    <rPh sb="0" eb="1">
      <t>ミゾ</t>
    </rPh>
    <rPh sb="1" eb="2">
      <t>ア</t>
    </rPh>
    <rPh sb="2" eb="3">
      <t>キ</t>
    </rPh>
    <phoneticPr fontId="4"/>
  </si>
  <si>
    <t>堆肥　２トン</t>
    <rPh sb="0" eb="2">
      <t>タイヒ</t>
    </rPh>
    <phoneticPr fontId="4"/>
  </si>
  <si>
    <t>石灰質資材　　　　　　　　　100㎏</t>
    <rPh sb="0" eb="2">
      <t>セッカイ</t>
    </rPh>
    <rPh sb="2" eb="3">
      <t>シツ</t>
    </rPh>
    <rPh sb="3" eb="5">
      <t>シザイ</t>
    </rPh>
    <phoneticPr fontId="4"/>
  </si>
  <si>
    <t>種子３㎏</t>
    <rPh sb="0" eb="2">
      <t>シュシ</t>
    </rPh>
    <phoneticPr fontId="4"/>
  </si>
  <si>
    <t>化成肥料　　　　　　　　　　　　　　（Ｎ16，Ｋ16）　　　　　　　　　20㎏</t>
    <rPh sb="0" eb="2">
      <t>カセイ</t>
    </rPh>
    <rPh sb="2" eb="4">
      <t>ヒリョウ</t>
    </rPh>
    <phoneticPr fontId="4"/>
  </si>
  <si>
    <t>トワイン(1200ﾌｨｰﾄ１巻→50ﾛｰﾙ)</t>
    <rPh sb="14" eb="15">
      <t>カン</t>
    </rPh>
    <phoneticPr fontId="4"/>
  </si>
  <si>
    <t>ﾗｯﾌﾟﾌｨﾙﾑ（50㎝幅×1800ｍ１本→30ﾛｰﾙ）</t>
    <rPh sb="12" eb="13">
      <t>ハバ</t>
    </rPh>
    <rPh sb="20" eb="21">
      <t>ホン</t>
    </rPh>
    <phoneticPr fontId="4"/>
  </si>
  <si>
    <t>完熟堆肥使用</t>
    <rPh sb="0" eb="2">
      <t>カンジュク</t>
    </rPh>
    <rPh sb="2" eb="4">
      <t>タイヒ</t>
    </rPh>
    <rPh sb="4" eb="6">
      <t>シヨウ</t>
    </rPh>
    <phoneticPr fontId="4"/>
  </si>
  <si>
    <t>６　固定資本装備と減価償却費</t>
    <phoneticPr fontId="4"/>
  </si>
  <si>
    <t>本作目
負担割合</t>
    <phoneticPr fontId="4"/>
  </si>
  <si>
    <t>①（円）</t>
    <phoneticPr fontId="4"/>
  </si>
  <si>
    <t>②（％）</t>
    <phoneticPr fontId="4"/>
  </si>
  <si>
    <t>④ （％）</t>
    <phoneticPr fontId="4"/>
  </si>
  <si>
    <t>⑥（％）</t>
    <phoneticPr fontId="4"/>
  </si>
  <si>
    <t>⑧（年）</t>
    <phoneticPr fontId="4"/>
  </si>
  <si>
    <t>43ps</t>
    <phoneticPr fontId="4"/>
  </si>
  <si>
    <t>ダンプトラック</t>
    <phoneticPr fontId="4"/>
  </si>
  <si>
    <t>ブロードキャスタ</t>
    <phoneticPr fontId="4"/>
  </si>
  <si>
    <t>ロータリー</t>
    <phoneticPr fontId="4"/>
  </si>
  <si>
    <t>耕幅180㎝</t>
    <rPh sb="0" eb="1">
      <t>タガヤ</t>
    </rPh>
    <rPh sb="1" eb="2">
      <t>ハバ</t>
    </rPh>
    <phoneticPr fontId="4"/>
  </si>
  <si>
    <t>作業幅200㎝</t>
    <rPh sb="0" eb="2">
      <t>サギョウ</t>
    </rPh>
    <rPh sb="2" eb="3">
      <t>ハバ</t>
    </rPh>
    <phoneticPr fontId="4"/>
  </si>
  <si>
    <t>ディスクモア</t>
    <phoneticPr fontId="4"/>
  </si>
  <si>
    <t>作業幅125㎝</t>
    <rPh sb="0" eb="2">
      <t>サギョウ</t>
    </rPh>
    <rPh sb="2" eb="3">
      <t>ハバ</t>
    </rPh>
    <phoneticPr fontId="4"/>
  </si>
  <si>
    <t>テッターレーキ</t>
    <phoneticPr fontId="4"/>
  </si>
  <si>
    <t>径90㎝×高さ85㎝</t>
    <rPh sb="0" eb="1">
      <t>ケイ</t>
    </rPh>
    <rPh sb="5" eb="6">
      <t>タカ</t>
    </rPh>
    <phoneticPr fontId="4"/>
  </si>
  <si>
    <t>けん引式</t>
    <rPh sb="2" eb="3">
      <t>イン</t>
    </rPh>
    <rPh sb="3" eb="4">
      <t>シキ</t>
    </rPh>
    <phoneticPr fontId="4"/>
  </si>
  <si>
    <t>　　合　　計</t>
    <phoneticPr fontId="4"/>
  </si>
  <si>
    <t>フロントローダー</t>
    <phoneticPr fontId="4"/>
  </si>
  <si>
    <t>頭</t>
    <rPh sb="0" eb="1">
      <t>トウ</t>
    </rPh>
    <phoneticPr fontId="4"/>
  </si>
  <si>
    <t>飼料用カッター</t>
    <rPh sb="0" eb="2">
      <t>シリョウ</t>
    </rPh>
    <rPh sb="2" eb="3">
      <t>ヨウ</t>
    </rPh>
    <phoneticPr fontId="4"/>
  </si>
  <si>
    <t>（自家育成牛取得価格352,500円（15,000円×23.5ヶ月））</t>
    <rPh sb="1" eb="3">
      <t>ジカ</t>
    </rPh>
    <rPh sb="3" eb="5">
      <t>イクセイ</t>
    </rPh>
    <rPh sb="5" eb="6">
      <t>ウシ</t>
    </rPh>
    <rPh sb="6" eb="8">
      <t>シュトク</t>
    </rPh>
    <rPh sb="8" eb="10">
      <t>カカク</t>
    </rPh>
    <rPh sb="17" eb="18">
      <t>エン</t>
    </rPh>
    <rPh sb="25" eb="26">
      <t>エン</t>
    </rPh>
    <rPh sb="32" eb="33">
      <t>ゲツ</t>
    </rPh>
    <phoneticPr fontId="4"/>
  </si>
  <si>
    <t>ラッピング</t>
  </si>
  <si>
    <t>燃料費</t>
    <rPh sb="0" eb="3">
      <t>ネンリョウヒ</t>
    </rPh>
    <phoneticPr fontId="4"/>
  </si>
  <si>
    <t>ｲﾀﾘｱﾝﾗｲｸﾞﾗｽ</t>
    <phoneticPr fontId="4"/>
  </si>
  <si>
    <t>諸材料</t>
    <rPh sb="0" eb="1">
      <t>ショ</t>
    </rPh>
    <rPh sb="1" eb="3">
      <t>ザイリョウ</t>
    </rPh>
    <phoneticPr fontId="4"/>
  </si>
  <si>
    <t>トワイン</t>
    <phoneticPr fontId="4"/>
  </si>
  <si>
    <t>ラップフィルム</t>
    <phoneticPr fontId="4"/>
  </si>
  <si>
    <t>㎏</t>
  </si>
  <si>
    <t>㎏</t>
    <phoneticPr fontId="4"/>
  </si>
  <si>
    <t>石灰資材</t>
    <rPh sb="0" eb="2">
      <t>セッカイ</t>
    </rPh>
    <rPh sb="2" eb="4">
      <t>シザイ</t>
    </rPh>
    <phoneticPr fontId="4"/>
  </si>
  <si>
    <t>元肥</t>
    <rPh sb="0" eb="1">
      <t>モト</t>
    </rPh>
    <phoneticPr fontId="4"/>
  </si>
  <si>
    <t>マニュアスプレッダー</t>
    <phoneticPr fontId="4"/>
  </si>
  <si>
    <t>2ｔ</t>
  </si>
  <si>
    <t>ℓ</t>
    <phoneticPr fontId="4"/>
  </si>
  <si>
    <t>燃料</t>
    <rPh sb="0" eb="2">
      <t>ネンリョウ</t>
    </rPh>
    <phoneticPr fontId="4"/>
  </si>
  <si>
    <t>診療衛生費</t>
  </si>
  <si>
    <t>種付料</t>
    <rPh sb="0" eb="2">
      <t>タネツ</t>
    </rPh>
    <rPh sb="2" eb="3">
      <t>リョウ</t>
    </rPh>
    <phoneticPr fontId="4"/>
  </si>
  <si>
    <t>敷料費</t>
    <rPh sb="0" eb="2">
      <t>シキリョウ</t>
    </rPh>
    <rPh sb="2" eb="3">
      <t>ヒ</t>
    </rPh>
    <phoneticPr fontId="4"/>
  </si>
  <si>
    <t>支払消費税</t>
    <rPh sb="0" eb="2">
      <t>シハラ</t>
    </rPh>
    <rPh sb="2" eb="5">
      <t>ショウヒゼイ</t>
    </rPh>
    <phoneticPr fontId="4"/>
  </si>
  <si>
    <t>3000円×12か月</t>
    <rPh sb="4" eb="5">
      <t>エン</t>
    </rPh>
    <rPh sb="9" eb="10">
      <t>ゲツ</t>
    </rPh>
    <phoneticPr fontId="4"/>
  </si>
  <si>
    <t>８月下旬</t>
    <rPh sb="1" eb="2">
      <t>ガツ</t>
    </rPh>
    <rPh sb="2" eb="4">
      <t>ゲジュン</t>
    </rPh>
    <phoneticPr fontId="4"/>
  </si>
  <si>
    <t>耕起・整地</t>
    <rPh sb="0" eb="1">
      <t>タガヤ</t>
    </rPh>
    <rPh sb="3" eb="5">
      <t>セイチ</t>
    </rPh>
    <phoneticPr fontId="4"/>
  </si>
  <si>
    <t>施肥・播種・鎮圧</t>
    <rPh sb="0" eb="1">
      <t>セ</t>
    </rPh>
    <rPh sb="3" eb="5">
      <t>ハシュ</t>
    </rPh>
    <rPh sb="6" eb="8">
      <t>チンアツ</t>
    </rPh>
    <phoneticPr fontId="4"/>
  </si>
  <si>
    <t>反転・集草</t>
    <rPh sb="0" eb="2">
      <t>ハンテン</t>
    </rPh>
    <rPh sb="3" eb="4">
      <t>シュウ</t>
    </rPh>
    <rPh sb="4" eb="5">
      <t>クサ</t>
    </rPh>
    <phoneticPr fontId="4"/>
  </si>
  <si>
    <t>稲ワラ収集</t>
    <rPh sb="0" eb="1">
      <t>イネ</t>
    </rPh>
    <rPh sb="3" eb="5">
      <t>シュウシュウ</t>
    </rPh>
    <phoneticPr fontId="4"/>
  </si>
  <si>
    <t>トワイン</t>
  </si>
  <si>
    <t>ラップフィルム</t>
  </si>
  <si>
    <t>堆肥　1トン</t>
    <rPh sb="0" eb="2">
      <t>タイヒ</t>
    </rPh>
    <phoneticPr fontId="4"/>
  </si>
  <si>
    <t>諸材料（牧草）</t>
    <rPh sb="0" eb="1">
      <t>ショ</t>
    </rPh>
    <rPh sb="1" eb="3">
      <t>ザイリョウ</t>
    </rPh>
    <rPh sb="4" eb="6">
      <t>ボクソウ</t>
    </rPh>
    <phoneticPr fontId="4"/>
  </si>
  <si>
    <t>諸材料（ワラ）</t>
    <rPh sb="0" eb="1">
      <t>ショ</t>
    </rPh>
    <rPh sb="1" eb="3">
      <t>ザイリョウ</t>
    </rPh>
    <phoneticPr fontId="4"/>
  </si>
  <si>
    <t>ﾗｯﾌﾟﾌｨﾙﾑ（50㎝幅×1800ｍ１本→30ﾛｰﾙ）　　　　　　　　　　　　　　　　　　　　　　　　　　　（収集量の50％をﾗｯﾋﾟﾝｸﾞすると想定）</t>
    <rPh sb="12" eb="13">
      <t>ハバ</t>
    </rPh>
    <rPh sb="20" eb="21">
      <t>ホン</t>
    </rPh>
    <rPh sb="56" eb="58">
      <t>シュウシュウ</t>
    </rPh>
    <rPh sb="58" eb="59">
      <t>リョウ</t>
    </rPh>
    <rPh sb="74" eb="76">
      <t>ソウテイ</t>
    </rPh>
    <phoneticPr fontId="4"/>
  </si>
  <si>
    <t>補助金</t>
    <rPh sb="0" eb="3">
      <t>ホジョキン</t>
    </rPh>
    <phoneticPr fontId="4"/>
  </si>
  <si>
    <t>3000円/10a</t>
    <rPh sb="4" eb="5">
      <t>エン</t>
    </rPh>
    <phoneticPr fontId="4"/>
  </si>
  <si>
    <t>飼料調理給与</t>
    <rPh sb="0" eb="2">
      <t>シリョウ</t>
    </rPh>
    <rPh sb="2" eb="4">
      <t>チョウリ</t>
    </rPh>
    <rPh sb="4" eb="6">
      <t>キュウヨ</t>
    </rPh>
    <phoneticPr fontId="4"/>
  </si>
  <si>
    <t>敷料搬出入</t>
    <rPh sb="0" eb="2">
      <t>シキリョウ</t>
    </rPh>
    <rPh sb="2" eb="4">
      <t>ハンシュツ</t>
    </rPh>
    <rPh sb="4" eb="5">
      <t>イ</t>
    </rPh>
    <phoneticPr fontId="4"/>
  </si>
  <si>
    <t>自給（放牧）飼料生産</t>
    <rPh sb="0" eb="2">
      <t>ジキュウ</t>
    </rPh>
    <rPh sb="3" eb="5">
      <t>ホウボク</t>
    </rPh>
    <rPh sb="6" eb="8">
      <t>シリョウ</t>
    </rPh>
    <rPh sb="8" eb="10">
      <t>セイサン</t>
    </rPh>
    <phoneticPr fontId="4"/>
  </si>
  <si>
    <t>稲ワラ堆肥交換</t>
    <rPh sb="0" eb="1">
      <t>イネ</t>
    </rPh>
    <rPh sb="3" eb="5">
      <t>タイヒ</t>
    </rPh>
    <rPh sb="5" eb="7">
      <t>コウカン</t>
    </rPh>
    <phoneticPr fontId="4"/>
  </si>
  <si>
    <t>自給飼料作物：</t>
    <rPh sb="0" eb="2">
      <t>ジキュウ</t>
    </rPh>
    <rPh sb="2" eb="4">
      <t>シリョウ</t>
    </rPh>
    <rPh sb="4" eb="6">
      <t>サクモツ</t>
    </rPh>
    <phoneticPr fontId="4"/>
  </si>
  <si>
    <t>稲ワラ堆肥交換：</t>
    <rPh sb="0" eb="1">
      <t>イネ</t>
    </rPh>
    <rPh sb="3" eb="7">
      <t>タイヒコウカン</t>
    </rPh>
    <phoneticPr fontId="4"/>
  </si>
  <si>
    <t>飼養管理（通年）</t>
    <rPh sb="0" eb="2">
      <t>シヨウ</t>
    </rPh>
    <rPh sb="2" eb="4">
      <t>カンリ</t>
    </rPh>
    <rPh sb="5" eb="7">
      <t>ツウネン</t>
    </rPh>
    <phoneticPr fontId="4"/>
  </si>
  <si>
    <t>自給飼料作型</t>
    <rPh sb="0" eb="2">
      <t>ジキュウ</t>
    </rPh>
    <rPh sb="2" eb="4">
      <t>シリョウ</t>
    </rPh>
    <phoneticPr fontId="4"/>
  </si>
  <si>
    <t>稲ワラ</t>
    <rPh sb="0" eb="1">
      <t>イネ</t>
    </rPh>
    <phoneticPr fontId="4"/>
  </si>
  <si>
    <t>９月上旬～９月下旬</t>
    <rPh sb="1" eb="2">
      <t>ガツ</t>
    </rPh>
    <rPh sb="2" eb="4">
      <t>ジョウジュン</t>
    </rPh>
    <rPh sb="6" eb="7">
      <t>ガツ</t>
    </rPh>
    <rPh sb="7" eb="9">
      <t>ゲジュン</t>
    </rPh>
    <phoneticPr fontId="4"/>
  </si>
  <si>
    <t>稲ワラ収集+堆肥交換</t>
    <rPh sb="0" eb="1">
      <t>イネ</t>
    </rPh>
    <rPh sb="3" eb="5">
      <t>シュウシュウ</t>
    </rPh>
    <rPh sb="6" eb="8">
      <t>タイヒ</t>
    </rPh>
    <rPh sb="8" eb="10">
      <t>コウカン</t>
    </rPh>
    <phoneticPr fontId="4"/>
  </si>
  <si>
    <t>軽油（栽培）</t>
    <rPh sb="0" eb="2">
      <t>ケイユ</t>
    </rPh>
    <rPh sb="3" eb="5">
      <t>サイバイ</t>
    </rPh>
    <phoneticPr fontId="4"/>
  </si>
  <si>
    <t>軽油（収穫）</t>
    <rPh sb="0" eb="2">
      <t>ケイユ</t>
    </rPh>
    <rPh sb="3" eb="5">
      <t>シュウカク</t>
    </rPh>
    <phoneticPr fontId="4"/>
  </si>
  <si>
    <t>軽油（稲ワラ堆肥）</t>
    <rPh sb="0" eb="2">
      <t>ケイユ</t>
    </rPh>
    <rPh sb="3" eb="4">
      <t>イネ</t>
    </rPh>
    <rPh sb="6" eb="8">
      <t>タイヒ</t>
    </rPh>
    <phoneticPr fontId="4"/>
  </si>
  <si>
    <t>2t（中古）</t>
    <rPh sb="3" eb="5">
      <t>チュウコ</t>
    </rPh>
    <phoneticPr fontId="4"/>
  </si>
  <si>
    <t>260㍑</t>
    <phoneticPr fontId="4"/>
  </si>
  <si>
    <t>作業幅250㎝</t>
    <rPh sb="0" eb="2">
      <t>サギョウ</t>
    </rPh>
    <rPh sb="2" eb="3">
      <t>ハバ</t>
    </rPh>
    <phoneticPr fontId="4"/>
  </si>
  <si>
    <t>ｺﾝｸﾘｰﾄ床・木造</t>
    <rPh sb="6" eb="7">
      <t>ユカ</t>
    </rPh>
    <rPh sb="8" eb="10">
      <t>モクゾウ</t>
    </rPh>
    <phoneticPr fontId="4"/>
  </si>
  <si>
    <t>堆肥販売収入</t>
    <rPh sb="0" eb="2">
      <t>タイヒ</t>
    </rPh>
    <rPh sb="2" eb="4">
      <t>ハンバイ</t>
    </rPh>
    <rPh sb="4" eb="6">
      <t>シュウニュウ</t>
    </rPh>
    <phoneticPr fontId="4"/>
  </si>
  <si>
    <t>飼料作物</t>
    <rPh sb="0" eb="2">
      <t>シリョウ</t>
    </rPh>
    <rPh sb="2" eb="4">
      <t>サクモツ</t>
    </rPh>
    <phoneticPr fontId="3"/>
  </si>
  <si>
    <t>５　作業別・旬別作業時間（肉用牛繁殖牛50頭)</t>
    <rPh sb="13" eb="15">
      <t>ニクヨウ</t>
    </rPh>
    <rPh sb="15" eb="16">
      <t>ウシ</t>
    </rPh>
    <rPh sb="16" eb="18">
      <t>ハンショク</t>
    </rPh>
    <rPh sb="18" eb="19">
      <t>ウシ</t>
    </rPh>
    <rPh sb="21" eb="22">
      <t>トウ</t>
    </rPh>
    <phoneticPr fontId="4"/>
  </si>
  <si>
    <t>作　業　別</t>
    <phoneticPr fontId="4"/>
  </si>
  <si>
    <t>ｲﾀﾘｱﾝﾗｲｸﾞﾗｽ</t>
    <phoneticPr fontId="4"/>
  </si>
  <si>
    <t>耕起・整地</t>
    <rPh sb="0" eb="2">
      <t>コウキ</t>
    </rPh>
    <rPh sb="3" eb="5">
      <t>セイチ</t>
    </rPh>
    <phoneticPr fontId="4"/>
  </si>
  <si>
    <t>施肥・播種・鎮圧</t>
    <rPh sb="0" eb="1">
      <t>セ</t>
    </rPh>
    <rPh sb="1" eb="2">
      <t>ヒ</t>
    </rPh>
    <rPh sb="3" eb="5">
      <t>ハシュ</t>
    </rPh>
    <rPh sb="6" eb="8">
      <t>チンアツ</t>
    </rPh>
    <phoneticPr fontId="4"/>
  </si>
  <si>
    <t>収穫・調整</t>
    <rPh sb="0" eb="2">
      <t>シュウカク</t>
    </rPh>
    <rPh sb="3" eb="5">
      <t>チョウセイ</t>
    </rPh>
    <phoneticPr fontId="4"/>
  </si>
  <si>
    <t>収集・運搬等</t>
    <rPh sb="0" eb="2">
      <t>シュウシュウ</t>
    </rPh>
    <rPh sb="3" eb="5">
      <t>ウンパン</t>
    </rPh>
    <rPh sb="5" eb="6">
      <t>トウ</t>
    </rPh>
    <phoneticPr fontId="4"/>
  </si>
  <si>
    <t>旬　別　計</t>
    <phoneticPr fontId="4"/>
  </si>
  <si>
    <t>月　  　計</t>
    <phoneticPr fontId="4"/>
  </si>
  <si>
    <t>作　業　別</t>
    <phoneticPr fontId="4"/>
  </si>
  <si>
    <t>旬　別　計　①</t>
    <phoneticPr fontId="4"/>
  </si>
  <si>
    <t>月　  　計</t>
    <phoneticPr fontId="4"/>
  </si>
  <si>
    <t>Ａ</t>
    <phoneticPr fontId="4"/>
  </si>
  <si>
    <t>Ｂ</t>
    <phoneticPr fontId="4"/>
  </si>
  <si>
    <t>過不足労働力　③=②-①</t>
    <phoneticPr fontId="4"/>
  </si>
  <si>
    <t>雇用労働力</t>
    <phoneticPr fontId="4"/>
  </si>
  <si>
    <t>稲発酵粗飼料</t>
    <rPh sb="0" eb="1">
      <t>イネ</t>
    </rPh>
    <rPh sb="1" eb="3">
      <t>ハッコウ</t>
    </rPh>
    <rPh sb="3" eb="6">
      <t>ソシリョウ</t>
    </rPh>
    <phoneticPr fontId="4"/>
  </si>
  <si>
    <t>ﾛｰﾙ</t>
    <phoneticPr fontId="4"/>
  </si>
  <si>
    <t>単味飼料</t>
    <rPh sb="0" eb="2">
      <t>タンミ</t>
    </rPh>
    <rPh sb="2" eb="4">
      <t>シリョウ</t>
    </rPh>
    <phoneticPr fontId="4"/>
  </si>
  <si>
    <t>大豆粕</t>
    <rPh sb="0" eb="2">
      <t>ダイズ</t>
    </rPh>
    <rPh sb="2" eb="3">
      <t>カス</t>
    </rPh>
    <phoneticPr fontId="4"/>
  </si>
  <si>
    <t>数量は300㎏ﾛｰﾙ個数</t>
    <rPh sb="0" eb="2">
      <t>スウリョウ</t>
    </rPh>
    <rPh sb="10" eb="12">
      <t>コスウ</t>
    </rPh>
    <phoneticPr fontId="4"/>
  </si>
  <si>
    <t>その他（手入れ・運動等）</t>
    <rPh sb="2" eb="3">
      <t>タ</t>
    </rPh>
    <rPh sb="4" eb="6">
      <t>テイ</t>
    </rPh>
    <rPh sb="8" eb="10">
      <t>ウンドウ</t>
    </rPh>
    <rPh sb="10" eb="11">
      <t>トウ</t>
    </rPh>
    <phoneticPr fontId="4"/>
  </si>
  <si>
    <t>〇</t>
    <phoneticPr fontId="4"/>
  </si>
  <si>
    <t>木造，50頭規模，ﾌﾘｰﾊﾞｰﾝ</t>
    <rPh sb="0" eb="2">
      <t>モクゾウ</t>
    </rPh>
    <rPh sb="5" eb="6">
      <t>トウ</t>
    </rPh>
    <rPh sb="6" eb="8">
      <t>キボ</t>
    </rPh>
    <phoneticPr fontId="4"/>
  </si>
  <si>
    <t>受取共済金</t>
    <rPh sb="0" eb="1">
      <t>ウ</t>
    </rPh>
    <rPh sb="1" eb="2">
      <t>ト</t>
    </rPh>
    <rPh sb="2" eb="5">
      <t>キョウサイキン</t>
    </rPh>
    <phoneticPr fontId="4"/>
  </si>
  <si>
    <t>平均受精回数1.6回，精液＠2000，技術料（初回8000+２回目以降4800）</t>
    <phoneticPr fontId="4"/>
  </si>
  <si>
    <t>経費から差し引く育成費用</t>
    <phoneticPr fontId="4"/>
  </si>
  <si>
    <t>畜産経営診断(先進経営)全国集計（30頭以上）@2577</t>
    <rPh sb="20" eb="22">
      <t>イジョウ</t>
    </rPh>
    <phoneticPr fontId="4"/>
  </si>
  <si>
    <t>畜産経営診断(先進経営)全国集計（30頭以上）@9547</t>
    <rPh sb="0" eb="2">
      <t>チクサン</t>
    </rPh>
    <rPh sb="2" eb="4">
      <t>ケイエイ</t>
    </rPh>
    <rPh sb="4" eb="6">
      <t>シンダン</t>
    </rPh>
    <rPh sb="7" eb="9">
      <t>センシン</t>
    </rPh>
    <rPh sb="9" eb="11">
      <t>ケイエイ</t>
    </rPh>
    <rPh sb="12" eb="14">
      <t>ゼンコク</t>
    </rPh>
    <rPh sb="14" eb="16">
      <t>シュウケイ</t>
    </rPh>
    <rPh sb="19" eb="20">
      <t>トウ</t>
    </rPh>
    <rPh sb="20" eb="22">
      <t>イジョウ</t>
    </rPh>
    <phoneticPr fontId="4"/>
  </si>
  <si>
    <t>畜産経営診断(先進経営)全国集計（30頭以上）@13427</t>
    <rPh sb="0" eb="2">
      <t>チクサン</t>
    </rPh>
    <rPh sb="2" eb="4">
      <t>ケイエイ</t>
    </rPh>
    <rPh sb="4" eb="6">
      <t>シンダン</t>
    </rPh>
    <rPh sb="7" eb="9">
      <t>センシン</t>
    </rPh>
    <rPh sb="9" eb="11">
      <t>ケイエイ</t>
    </rPh>
    <rPh sb="12" eb="14">
      <t>ゼンコク</t>
    </rPh>
    <rPh sb="14" eb="16">
      <t>シュウケイ</t>
    </rPh>
    <rPh sb="19" eb="20">
      <t>トウ</t>
    </rPh>
    <rPh sb="20" eb="22">
      <t>イジョウ</t>
    </rPh>
    <phoneticPr fontId="4"/>
  </si>
  <si>
    <t>畜産経営診断(先進経営)全国集計（30頭以上）@3921</t>
    <rPh sb="0" eb="2">
      <t>チクサン</t>
    </rPh>
    <rPh sb="2" eb="4">
      <t>ケイエイ</t>
    </rPh>
    <rPh sb="4" eb="6">
      <t>シンダン</t>
    </rPh>
    <rPh sb="7" eb="9">
      <t>センシン</t>
    </rPh>
    <rPh sb="9" eb="11">
      <t>ケイエイ</t>
    </rPh>
    <rPh sb="12" eb="14">
      <t>ゼンコク</t>
    </rPh>
    <rPh sb="14" eb="16">
      <t>シュウケイ</t>
    </rPh>
    <rPh sb="19" eb="20">
      <t>トウ</t>
    </rPh>
    <rPh sb="20" eb="22">
      <t>イジョウ</t>
    </rPh>
    <phoneticPr fontId="4"/>
  </si>
  <si>
    <t>畜産経営診断(先進経営)全国集計（30頭以上）@1617</t>
    <rPh sb="0" eb="2">
      <t>チクサン</t>
    </rPh>
    <rPh sb="2" eb="4">
      <t>ケイエイ</t>
    </rPh>
    <rPh sb="4" eb="6">
      <t>シンダン</t>
    </rPh>
    <rPh sb="7" eb="9">
      <t>センシン</t>
    </rPh>
    <rPh sb="9" eb="11">
      <t>ケイエイ</t>
    </rPh>
    <rPh sb="12" eb="14">
      <t>ゼンコク</t>
    </rPh>
    <rPh sb="14" eb="16">
      <t>シュウケイ</t>
    </rPh>
    <rPh sb="19" eb="20">
      <t>トウ</t>
    </rPh>
    <rPh sb="20" eb="22">
      <t>イジョウ</t>
    </rPh>
    <phoneticPr fontId="4"/>
  </si>
  <si>
    <t>畜産経営診断(先進経営)全国集計（30頭以上）@11036</t>
    <rPh sb="0" eb="2">
      <t>チクサン</t>
    </rPh>
    <rPh sb="2" eb="4">
      <t>ケイエイ</t>
    </rPh>
    <rPh sb="4" eb="6">
      <t>シンダン</t>
    </rPh>
    <rPh sb="7" eb="9">
      <t>センシン</t>
    </rPh>
    <rPh sb="9" eb="11">
      <t>ケイエイ</t>
    </rPh>
    <rPh sb="12" eb="14">
      <t>ゼンコク</t>
    </rPh>
    <rPh sb="14" eb="16">
      <t>シュウケイ</t>
    </rPh>
    <rPh sb="19" eb="20">
      <t>トウ</t>
    </rPh>
    <rPh sb="20" eb="22">
      <t>イジョウ</t>
    </rPh>
    <phoneticPr fontId="4"/>
  </si>
  <si>
    <t>9.0ha（畜産部門・借地8.0ha）</t>
    <rPh sb="6" eb="8">
      <t>チクサン</t>
    </rPh>
    <rPh sb="8" eb="10">
      <t>ブモン</t>
    </rPh>
    <rPh sb="12" eb="13">
      <t>チ</t>
    </rPh>
    <phoneticPr fontId="4"/>
  </si>
  <si>
    <t>9.0ha</t>
    <phoneticPr fontId="4"/>
  </si>
  <si>
    <t>4.5ha</t>
    <phoneticPr fontId="4"/>
  </si>
  <si>
    <t>9.4ha</t>
    <phoneticPr fontId="4"/>
  </si>
  <si>
    <t>飼料用ヒエ</t>
    <rPh sb="0" eb="2">
      <t>シリョウ</t>
    </rPh>
    <rPh sb="2" eb="3">
      <t>ヨウ</t>
    </rPh>
    <phoneticPr fontId="4"/>
  </si>
  <si>
    <t>販売堆肥145ｔ　＠1500円</t>
    <rPh sb="0" eb="2">
      <t>ハンバイ</t>
    </rPh>
    <rPh sb="2" eb="4">
      <t>タイヒ</t>
    </rPh>
    <rPh sb="14" eb="15">
      <t>エン</t>
    </rPh>
    <phoneticPr fontId="4"/>
  </si>
  <si>
    <t xml:space="preserve">経営所得安定対策交付金：「飼料作物」35000円/10ａ×9.0ha +「水田放牧加算」13000円/10ａ×4.5ha    </t>
    <rPh sb="0" eb="2">
      <t>ケイエイ</t>
    </rPh>
    <rPh sb="2" eb="4">
      <t>ショトク</t>
    </rPh>
    <rPh sb="4" eb="6">
      <t>アンテイ</t>
    </rPh>
    <rPh sb="6" eb="8">
      <t>タイサク</t>
    </rPh>
    <rPh sb="8" eb="11">
      <t>コウフキン</t>
    </rPh>
    <rPh sb="13" eb="15">
      <t>シリョウ</t>
    </rPh>
    <rPh sb="15" eb="17">
      <t>サクモツ</t>
    </rPh>
    <rPh sb="23" eb="24">
      <t>エン</t>
    </rPh>
    <rPh sb="37" eb="39">
      <t>スイデン</t>
    </rPh>
    <rPh sb="39" eb="41">
      <t>ホウボク</t>
    </rPh>
    <rPh sb="41" eb="43">
      <t>カサン</t>
    </rPh>
    <rPh sb="49" eb="50">
      <t>エン</t>
    </rPh>
    <phoneticPr fontId="4"/>
  </si>
  <si>
    <t>ｲﾀﾘｱﾝﾗｲｸﾞﾗｽ9.0ha栽培（放牧利用4.5ha，採草利用4.5ha）</t>
    <rPh sb="16" eb="18">
      <t>サイバイ</t>
    </rPh>
    <rPh sb="19" eb="21">
      <t>ホウボク</t>
    </rPh>
    <rPh sb="21" eb="23">
      <t>リヨウ</t>
    </rPh>
    <rPh sb="30" eb="32">
      <t>リヨウ</t>
    </rPh>
    <rPh sb="32" eb="33">
      <t>３</t>
    </rPh>
    <phoneticPr fontId="4"/>
  </si>
  <si>
    <t>218,118円×5頭（H25年三次家畜市場平均価格（11才・8％税込換算））</t>
    <rPh sb="7" eb="8">
      <t>エン</t>
    </rPh>
    <rPh sb="10" eb="11">
      <t>トウ</t>
    </rPh>
    <phoneticPr fontId="4"/>
  </si>
  <si>
    <t>（15000円×12ヶ月）×（50頭/10年）×（23.5ヶ月/12ヶ月）</t>
    <phoneticPr fontId="4"/>
  </si>
  <si>
    <t>農器具舎（新規取得）</t>
    <rPh sb="0" eb="1">
      <t>ノウ</t>
    </rPh>
    <rPh sb="1" eb="2">
      <t>ウツワ</t>
    </rPh>
    <rPh sb="3" eb="4">
      <t>シャ</t>
    </rPh>
    <rPh sb="5" eb="7">
      <t>シンキ</t>
    </rPh>
    <rPh sb="7" eb="9">
      <t>シュトク</t>
    </rPh>
    <phoneticPr fontId="4"/>
  </si>
  <si>
    <r>
      <t>ｲﾀﾘｱﾝﾗｲｸﾞﾗｽ</t>
    </r>
    <r>
      <rPr>
        <sz val="8"/>
        <color indexed="8"/>
        <rFont val="ＭＳ Ｐゴシック"/>
        <family val="3"/>
        <charset val="128"/>
      </rPr>
      <t>（ｻｲﾚｰｼﾞ利用）</t>
    </r>
    <rPh sb="18" eb="19">
      <t>）</t>
    </rPh>
    <rPh sb="19" eb="20">
      <t>リヨウ</t>
    </rPh>
    <phoneticPr fontId="3"/>
  </si>
  <si>
    <t>繁殖牛50頭，育成牛10頭</t>
    <rPh sb="0" eb="2">
      <t>ハンショク</t>
    </rPh>
    <rPh sb="2" eb="3">
      <t>ウシ</t>
    </rPh>
    <rPh sb="5" eb="6">
      <t>トウ</t>
    </rPh>
    <rPh sb="7" eb="9">
      <t>イクセイ</t>
    </rPh>
    <rPh sb="9" eb="10">
      <t>ウシ</t>
    </rPh>
    <rPh sb="12" eb="13">
      <t>トウ</t>
    </rPh>
    <phoneticPr fontId="3"/>
  </si>
  <si>
    <t>借地8.0ha</t>
    <rPh sb="0" eb="2">
      <t>シャクチ</t>
    </rPh>
    <phoneticPr fontId="4"/>
  </si>
  <si>
    <t>イタリアンライグラス+飼料用ヒエ</t>
    <rPh sb="11" eb="13">
      <t>シリョウ</t>
    </rPh>
    <rPh sb="13" eb="14">
      <t>ヨウ</t>
    </rPh>
    <phoneticPr fontId="4"/>
  </si>
  <si>
    <t>放牧</t>
    <rPh sb="0" eb="2">
      <t>ホウボク</t>
    </rPh>
    <phoneticPr fontId="4"/>
  </si>
  <si>
    <t>飼料ヒエ播種</t>
    <rPh sb="0" eb="2">
      <t>シリョウ</t>
    </rPh>
    <rPh sb="4" eb="6">
      <t>ハシュ</t>
    </rPh>
    <phoneticPr fontId="4"/>
  </si>
  <si>
    <t>転牧</t>
    <rPh sb="0" eb="1">
      <t>テン</t>
    </rPh>
    <rPh sb="1" eb="2">
      <t>ボク</t>
    </rPh>
    <phoneticPr fontId="4"/>
  </si>
  <si>
    <t>９月上旬～10月上旬</t>
    <rPh sb="1" eb="2">
      <t>ガツ</t>
    </rPh>
    <rPh sb="2" eb="4">
      <t>ジョウジュン</t>
    </rPh>
    <rPh sb="7" eb="8">
      <t>ガツ</t>
    </rPh>
    <rPh sb="8" eb="10">
      <t>ジョウジュン</t>
    </rPh>
    <phoneticPr fontId="4"/>
  </si>
  <si>
    <t>３月中旬～９月上旬</t>
    <rPh sb="1" eb="2">
      <t>ガツ</t>
    </rPh>
    <rPh sb="2" eb="4">
      <t>チュウジュン</t>
    </rPh>
    <rPh sb="6" eb="7">
      <t>ガツ</t>
    </rPh>
    <rPh sb="7" eb="9">
      <t>ジョウジュン</t>
    </rPh>
    <phoneticPr fontId="4"/>
  </si>
  <si>
    <t>５月中旬～６月中旬</t>
    <rPh sb="1" eb="2">
      <t>ガツ</t>
    </rPh>
    <rPh sb="2" eb="4">
      <t>チュウジュン</t>
    </rPh>
    <rPh sb="6" eb="7">
      <t>ガツ</t>
    </rPh>
    <rPh sb="7" eb="9">
      <t>チュウジュン</t>
    </rPh>
    <phoneticPr fontId="4"/>
  </si>
  <si>
    <t>４月上旬～９月上旬</t>
    <rPh sb="1" eb="2">
      <t>ガツ</t>
    </rPh>
    <rPh sb="2" eb="4">
      <t>ジョウジュン</t>
    </rPh>
    <rPh sb="6" eb="7">
      <t>ガツ</t>
    </rPh>
    <rPh sb="7" eb="9">
      <t>ジョウジュン</t>
    </rPh>
    <phoneticPr fontId="4"/>
  </si>
  <si>
    <t>ブロードキャスター</t>
    <phoneticPr fontId="4"/>
  </si>
  <si>
    <t>ブロードキャスター・ロータリー</t>
    <phoneticPr fontId="4"/>
  </si>
  <si>
    <t>ブロードキャスター</t>
    <phoneticPr fontId="4"/>
  </si>
  <si>
    <t>電気牧柵，水槽</t>
    <rPh sb="0" eb="2">
      <t>デンキ</t>
    </rPh>
    <rPh sb="2" eb="4">
      <t>ボクサク</t>
    </rPh>
    <rPh sb="5" eb="7">
      <t>スイソウ</t>
    </rPh>
    <phoneticPr fontId="4"/>
  </si>
  <si>
    <t>ダンプトラック</t>
    <phoneticPr fontId="4"/>
  </si>
  <si>
    <t>⑨＝（⑤－⑦）÷⑧（円）</t>
    <phoneticPr fontId="4"/>
  </si>
  <si>
    <t>⑦＝⑤×⑥（円）</t>
    <rPh sb="6" eb="7">
      <t>エン</t>
    </rPh>
    <phoneticPr fontId="4"/>
  </si>
  <si>
    <t>⑤=③×④（円）</t>
    <phoneticPr fontId="4"/>
  </si>
  <si>
    <t>5000円/頭（子牛43.5頭+廃用牛5頭）</t>
    <phoneticPr fontId="4"/>
  </si>
  <si>
    <t>個別経営体</t>
    <rPh sb="0" eb="2">
      <t>コベツ</t>
    </rPh>
    <rPh sb="2" eb="5">
      <t>ケイエイタイ</t>
    </rPh>
    <phoneticPr fontId="3"/>
  </si>
  <si>
    <t>（子牛・老廃・堆肥販売収入）×100/108×2.4%</t>
    <rPh sb="1" eb="3">
      <t>コウシ</t>
    </rPh>
    <rPh sb="4" eb="6">
      <t>ロウハイ</t>
    </rPh>
    <rPh sb="7" eb="9">
      <t>タイヒ</t>
    </rPh>
    <rPh sb="9" eb="11">
      <t>ハンバイ</t>
    </rPh>
    <rPh sb="11" eb="13">
      <t>シュウニュウ</t>
    </rPh>
    <phoneticPr fontId="4"/>
  </si>
  <si>
    <t>（子牛・老廃販売収入）×（市場手数料4％+ＪＡ手数料0.5%）</t>
    <rPh sb="1" eb="3">
      <t>コウシ</t>
    </rPh>
    <rPh sb="4" eb="6">
      <t>ロウハイ</t>
    </rPh>
    <rPh sb="6" eb="8">
      <t>ハンバイ</t>
    </rPh>
    <rPh sb="8" eb="10">
      <t>シュウニュウ</t>
    </rPh>
    <phoneticPr fontId="4"/>
  </si>
  <si>
    <t>肉用牛（繁殖）50頭</t>
    <rPh sb="0" eb="2">
      <t>ニクヨウ</t>
    </rPh>
    <rPh sb="2" eb="3">
      <t>ウシ</t>
    </rPh>
    <rPh sb="4" eb="6">
      <t>ハンショク</t>
    </rPh>
    <rPh sb="9" eb="10">
      <t>トウ</t>
    </rPh>
    <phoneticPr fontId="3"/>
  </si>
  <si>
    <r>
      <t>ｲﾀﾘｱﾝﾗｲｸﾞﾗｽ+飼料用ﾋｴ</t>
    </r>
    <r>
      <rPr>
        <sz val="8"/>
        <color indexed="8"/>
        <rFont val="ＭＳ Ｐゴシック"/>
        <family val="3"/>
        <charset val="128"/>
      </rPr>
      <t>（放牧利用）</t>
    </r>
    <rPh sb="12" eb="14">
      <t>シリョウ</t>
    </rPh>
    <rPh sb="14" eb="15">
      <t>ヨウ</t>
    </rPh>
    <rPh sb="18" eb="20">
      <t>ホウボク</t>
    </rPh>
    <rPh sb="20" eb="22">
      <t>リヨウ</t>
    </rPh>
    <phoneticPr fontId="3"/>
  </si>
  <si>
    <t>〇</t>
  </si>
  <si>
    <t>30ps</t>
    <phoneticPr fontId="4"/>
  </si>
  <si>
    <t>耕幅161㎝</t>
    <rPh sb="0" eb="1">
      <t>タガヤ</t>
    </rPh>
    <rPh sb="1" eb="2">
      <t>ハバ</t>
    </rPh>
    <phoneticPr fontId="4"/>
  </si>
  <si>
    <t>放牧利用・稲発酵粗飼料利用</t>
    <rPh sb="0" eb="2">
      <t>ホウボク</t>
    </rPh>
    <rPh sb="2" eb="4">
      <t>リヨウ</t>
    </rPh>
    <rPh sb="5" eb="6">
      <t>イネ</t>
    </rPh>
    <rPh sb="6" eb="8">
      <t>ハッコウ</t>
    </rPh>
    <rPh sb="8" eb="11">
      <t>ソシリョウ</t>
    </rPh>
    <rPh sb="11" eb="13">
      <t>リヨウ</t>
    </rPh>
    <phoneticPr fontId="4"/>
  </si>
  <si>
    <t>イタリアンライグラス</t>
    <phoneticPr fontId="4"/>
  </si>
  <si>
    <t>堆肥を全面に均一に散布</t>
    <rPh sb="0" eb="2">
      <t>タイヒ</t>
    </rPh>
    <rPh sb="3" eb="5">
      <t>ゼンメン</t>
    </rPh>
    <rPh sb="6" eb="8">
      <t>キンイツ</t>
    </rPh>
    <rPh sb="9" eb="11">
      <t>サンプ</t>
    </rPh>
    <phoneticPr fontId="4"/>
  </si>
  <si>
    <t>丁寧な砕土・均平作業</t>
    <rPh sb="0" eb="2">
      <t>テイネイ</t>
    </rPh>
    <rPh sb="3" eb="5">
      <t>サイド</t>
    </rPh>
    <rPh sb="6" eb="8">
      <t>キンベイ</t>
    </rPh>
    <rPh sb="8" eb="10">
      <t>サギョウ</t>
    </rPh>
    <phoneticPr fontId="4"/>
  </si>
  <si>
    <t>必要に応じて額縁明渠等設置</t>
    <rPh sb="0" eb="2">
      <t>ヒツヨウ</t>
    </rPh>
    <rPh sb="3" eb="4">
      <t>オウ</t>
    </rPh>
    <rPh sb="6" eb="8">
      <t>ガクブチ</t>
    </rPh>
    <rPh sb="8" eb="10">
      <t>メイキョ</t>
    </rPh>
    <rPh sb="10" eb="11">
      <t>トウ</t>
    </rPh>
    <rPh sb="11" eb="13">
      <t>セッチ</t>
    </rPh>
    <phoneticPr fontId="4"/>
  </si>
  <si>
    <t>早春に実施</t>
    <rPh sb="0" eb="2">
      <t>ソウシュン</t>
    </rPh>
    <rPh sb="3" eb="5">
      <t>ジッシ</t>
    </rPh>
    <phoneticPr fontId="4"/>
  </si>
  <si>
    <t>高密度に梱包</t>
    <rPh sb="0" eb="3">
      <t>コウミツド</t>
    </rPh>
    <rPh sb="4" eb="6">
      <t>コンポウ</t>
    </rPh>
    <phoneticPr fontId="4"/>
  </si>
  <si>
    <t>６層被覆が基本</t>
    <rPh sb="1" eb="2">
      <t>ソウ</t>
    </rPh>
    <rPh sb="2" eb="4">
      <t>ヒフク</t>
    </rPh>
    <rPh sb="5" eb="7">
      <t>キホン</t>
    </rPh>
    <phoneticPr fontId="4"/>
  </si>
  <si>
    <t>２回刈（１番草５月上中旬，２番草６月上中旬）</t>
    <rPh sb="10" eb="11">
      <t>ナカ</t>
    </rPh>
    <rPh sb="19" eb="20">
      <t>ナカ</t>
    </rPh>
    <phoneticPr fontId="4"/>
  </si>
  <si>
    <t>フロントローダー・マニュアスプレッダー</t>
    <phoneticPr fontId="4"/>
  </si>
  <si>
    <t>ブロードキャスター</t>
    <phoneticPr fontId="4"/>
  </si>
  <si>
    <t>ロータリー</t>
    <phoneticPr fontId="4"/>
  </si>
  <si>
    <t>モアー・テッダーレーキ</t>
    <phoneticPr fontId="4"/>
  </si>
  <si>
    <t>ロールベーラ（90㎝×80㎝）</t>
    <phoneticPr fontId="4"/>
  </si>
  <si>
    <t>ダンプトラック2ｔ・フロントローダー</t>
    <phoneticPr fontId="4"/>
  </si>
  <si>
    <t>ラッピングマシン・ベールグラブ</t>
    <phoneticPr fontId="4"/>
  </si>
  <si>
    <t>適期播種</t>
    <rPh sb="0" eb="2">
      <t>テキキ</t>
    </rPh>
    <rPh sb="2" eb="4">
      <t>ハシュ</t>
    </rPh>
    <phoneticPr fontId="4"/>
  </si>
  <si>
    <t>適期刈取と，予乾による適切な水分調整</t>
    <rPh sb="0" eb="2">
      <t>テキキ</t>
    </rPh>
    <rPh sb="2" eb="3">
      <t>カ</t>
    </rPh>
    <rPh sb="3" eb="4">
      <t>ト</t>
    </rPh>
    <rPh sb="6" eb="7">
      <t>ヨ</t>
    </rPh>
    <rPh sb="7" eb="8">
      <t>イヌイ</t>
    </rPh>
    <rPh sb="11" eb="13">
      <t>テキセツ</t>
    </rPh>
    <rPh sb="14" eb="16">
      <t>スイブン</t>
    </rPh>
    <rPh sb="16" eb="18">
      <t>チョウセイ</t>
    </rPh>
    <phoneticPr fontId="4"/>
  </si>
  <si>
    <t>10月上旬～10月下旬</t>
    <rPh sb="2" eb="3">
      <t>ガツ</t>
    </rPh>
    <rPh sb="3" eb="5">
      <t>ジョウジュン</t>
    </rPh>
    <rPh sb="8" eb="9">
      <t>ガツ</t>
    </rPh>
    <rPh sb="9" eb="11">
      <t>ゲジュン</t>
    </rPh>
    <phoneticPr fontId="4"/>
  </si>
  <si>
    <t>11月上中旬</t>
    <rPh sb="2" eb="3">
      <t>ガツ</t>
    </rPh>
    <rPh sb="3" eb="4">
      <t>ウエ</t>
    </rPh>
    <rPh sb="4" eb="6">
      <t>チュウジュン</t>
    </rPh>
    <phoneticPr fontId="4"/>
  </si>
  <si>
    <t>テッダーレーキ</t>
    <phoneticPr fontId="4"/>
  </si>
  <si>
    <t>ロールベーラ（90㎝×80㎝）</t>
    <phoneticPr fontId="4"/>
  </si>
  <si>
    <t>ダンプトラック2ｔ・フロントローダー</t>
    <phoneticPr fontId="4"/>
  </si>
  <si>
    <t>ラッピングマシン・ベールグラブ</t>
    <phoneticPr fontId="4"/>
  </si>
  <si>
    <t>ダンプトラック・フロントローダー・マニュアスプレッダー</t>
    <phoneticPr fontId="4"/>
  </si>
  <si>
    <t>的確な反転・集草作業実施</t>
    <rPh sb="0" eb="2">
      <t>テキカク</t>
    </rPh>
    <rPh sb="3" eb="5">
      <t>ハンテン</t>
    </rPh>
    <rPh sb="6" eb="7">
      <t>シュウ</t>
    </rPh>
    <rPh sb="7" eb="8">
      <t>クサ</t>
    </rPh>
    <rPh sb="8" eb="10">
      <t>サギョウ</t>
    </rPh>
    <rPh sb="10" eb="12">
      <t>ジッシ</t>
    </rPh>
    <phoneticPr fontId="4"/>
  </si>
  <si>
    <t>丁寧な採土・均平作業</t>
    <rPh sb="0" eb="2">
      <t>テイネイ</t>
    </rPh>
    <rPh sb="3" eb="5">
      <t>サイド</t>
    </rPh>
    <rPh sb="6" eb="8">
      <t>キンベイ</t>
    </rPh>
    <rPh sb="8" eb="10">
      <t>サギョウ</t>
    </rPh>
    <phoneticPr fontId="4"/>
  </si>
  <si>
    <t>均一に播種</t>
    <rPh sb="0" eb="2">
      <t>キンイツ</t>
    </rPh>
    <rPh sb="3" eb="5">
      <t>ハシュ</t>
    </rPh>
    <phoneticPr fontId="4"/>
  </si>
  <si>
    <t>播種後，鎮圧代わりに牛に踏ませる</t>
    <rPh sb="0" eb="2">
      <t>ハシュ</t>
    </rPh>
    <rPh sb="2" eb="3">
      <t>ゴ</t>
    </rPh>
    <rPh sb="4" eb="6">
      <t>チンアツ</t>
    </rPh>
    <rPh sb="6" eb="7">
      <t>ガ</t>
    </rPh>
    <rPh sb="10" eb="11">
      <t>ウシ</t>
    </rPh>
    <rPh sb="12" eb="13">
      <t>フ</t>
    </rPh>
    <phoneticPr fontId="4"/>
  </si>
  <si>
    <t>残草の状況により随時転牧</t>
    <rPh sb="0" eb="1">
      <t>ザン</t>
    </rPh>
    <rPh sb="1" eb="2">
      <t>クサ</t>
    </rPh>
    <rPh sb="3" eb="5">
      <t>ジョウキョウ</t>
    </rPh>
    <rPh sb="8" eb="10">
      <t>ズイジ</t>
    </rPh>
    <rPh sb="10" eb="11">
      <t>テン</t>
    </rPh>
    <rPh sb="11" eb="12">
      <t>ボク</t>
    </rPh>
    <phoneticPr fontId="4"/>
  </si>
  <si>
    <t>丁寧な作業により梱包密度を高める</t>
    <rPh sb="0" eb="2">
      <t>テイネイ</t>
    </rPh>
    <rPh sb="3" eb="5">
      <t>サギョウ</t>
    </rPh>
    <rPh sb="8" eb="10">
      <t>コンポウ</t>
    </rPh>
    <rPh sb="10" eb="12">
      <t>ミツド</t>
    </rPh>
    <rPh sb="13" eb="14">
      <t>タカ</t>
    </rPh>
    <phoneticPr fontId="4"/>
  </si>
  <si>
    <t>梱包後半日以内に密封する</t>
    <rPh sb="0" eb="2">
      <t>コンポウ</t>
    </rPh>
    <rPh sb="2" eb="3">
      <t>ゴ</t>
    </rPh>
    <rPh sb="3" eb="5">
      <t>ハンニチ</t>
    </rPh>
    <rPh sb="5" eb="7">
      <t>イナイ</t>
    </rPh>
    <rPh sb="8" eb="10">
      <t>ミップウ</t>
    </rPh>
    <phoneticPr fontId="4"/>
  </si>
  <si>
    <t>適切なタイミングで転牧実施</t>
    <rPh sb="0" eb="2">
      <t>テキセツ</t>
    </rPh>
    <rPh sb="9" eb="10">
      <t>テン</t>
    </rPh>
    <rPh sb="10" eb="11">
      <t>ボク</t>
    </rPh>
    <rPh sb="11" eb="13">
      <t>ジッシ</t>
    </rPh>
    <phoneticPr fontId="4"/>
  </si>
  <si>
    <t>6層被覆が基本</t>
    <rPh sb="1" eb="2">
      <t>ソウ</t>
    </rPh>
    <rPh sb="2" eb="4">
      <t>ヒフク</t>
    </rPh>
    <rPh sb="5" eb="7">
      <t>キホン</t>
    </rPh>
    <phoneticPr fontId="4"/>
  </si>
  <si>
    <t>乾燥が不十分な場合は速やかに密封する</t>
    <rPh sb="0" eb="2">
      <t>カンソウ</t>
    </rPh>
    <rPh sb="3" eb="6">
      <t>フジュウブン</t>
    </rPh>
    <rPh sb="7" eb="9">
      <t>バアイ</t>
    </rPh>
    <rPh sb="10" eb="11">
      <t>スミ</t>
    </rPh>
    <rPh sb="14" eb="16">
      <t>ミップウ</t>
    </rPh>
    <phoneticPr fontId="4"/>
  </si>
  <si>
    <t>天候及び圃場条件と稲ワラの乾燥状況を勘案して，的確な作業を行う</t>
    <rPh sb="0" eb="2">
      <t>テンコウ</t>
    </rPh>
    <rPh sb="2" eb="3">
      <t>オヨ</t>
    </rPh>
    <rPh sb="4" eb="6">
      <t>ホジョウ</t>
    </rPh>
    <rPh sb="6" eb="8">
      <t>ジョウケン</t>
    </rPh>
    <rPh sb="9" eb="10">
      <t>イネ</t>
    </rPh>
    <rPh sb="13" eb="15">
      <t>カンソウ</t>
    </rPh>
    <rPh sb="15" eb="17">
      <t>ジョウキョウ</t>
    </rPh>
    <rPh sb="18" eb="20">
      <t>カンアン</t>
    </rPh>
    <rPh sb="23" eb="25">
      <t>テキカク</t>
    </rPh>
    <rPh sb="26" eb="28">
      <t>サギョウ</t>
    </rPh>
    <rPh sb="29" eb="30">
      <t>オコナ</t>
    </rPh>
    <phoneticPr fontId="4"/>
  </si>
  <si>
    <t>堆肥を全面に均一散布</t>
    <rPh sb="0" eb="2">
      <t>タイヒ</t>
    </rPh>
    <rPh sb="3" eb="5">
      <t>ゼンメン</t>
    </rPh>
    <rPh sb="6" eb="8">
      <t>キンイツ</t>
    </rPh>
    <rPh sb="8" eb="10">
      <t>サンプ</t>
    </rPh>
    <phoneticPr fontId="4"/>
  </si>
  <si>
    <t>石灰質資材を全面に均一散布</t>
    <rPh sb="0" eb="3">
      <t>セッカイシツ</t>
    </rPh>
    <rPh sb="3" eb="5">
      <t>シザイ</t>
    </rPh>
    <rPh sb="6" eb="8">
      <t>ゼンメン</t>
    </rPh>
    <rPh sb="9" eb="11">
      <t>キンイツ</t>
    </rPh>
    <rPh sb="11" eb="13">
      <t>サンプ</t>
    </rPh>
    <phoneticPr fontId="4"/>
  </si>
  <si>
    <t>３－１　標準技術（採草）</t>
    <rPh sb="4" eb="6">
      <t>ヒョウジュン</t>
    </rPh>
    <rPh sb="6" eb="8">
      <t>ギジュツ</t>
    </rPh>
    <rPh sb="9" eb="11">
      <t>サイソウ</t>
    </rPh>
    <phoneticPr fontId="4"/>
  </si>
  <si>
    <t>県奨励品種使用・均一散布後鎮圧</t>
    <rPh sb="0" eb="1">
      <t>ケン</t>
    </rPh>
    <rPh sb="1" eb="3">
      <t>ショウレイ</t>
    </rPh>
    <rPh sb="3" eb="5">
      <t>ヒンシュ</t>
    </rPh>
    <rPh sb="5" eb="7">
      <t>シヨウ</t>
    </rPh>
    <rPh sb="8" eb="10">
      <t>キンイツ</t>
    </rPh>
    <rPh sb="10" eb="12">
      <t>サンプ</t>
    </rPh>
    <rPh sb="12" eb="13">
      <t>ゴ</t>
    </rPh>
    <rPh sb="13" eb="15">
      <t>チンアツ</t>
    </rPh>
    <phoneticPr fontId="4"/>
  </si>
  <si>
    <t>適期（出穂期）に刈取・水分50～60％に予乾</t>
    <rPh sb="0" eb="2">
      <t>テキキ</t>
    </rPh>
    <rPh sb="3" eb="4">
      <t>デ</t>
    </rPh>
    <rPh sb="4" eb="5">
      <t>ホ</t>
    </rPh>
    <rPh sb="5" eb="6">
      <t>キ</t>
    </rPh>
    <rPh sb="8" eb="9">
      <t>カ</t>
    </rPh>
    <rPh sb="9" eb="10">
      <t>ト</t>
    </rPh>
    <rPh sb="11" eb="13">
      <t>スイブン</t>
    </rPh>
    <rPh sb="20" eb="21">
      <t>ヨ</t>
    </rPh>
    <rPh sb="21" eb="22">
      <t>イヌイ</t>
    </rPh>
    <phoneticPr fontId="4"/>
  </si>
  <si>
    <t>化成肥料　　　　　　　　　　　　　（ｵｰﾙ16）40㎏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種子３㎏</t>
    <rPh sb="133" eb="135">
      <t>シュシ</t>
    </rPh>
    <phoneticPr fontId="4"/>
  </si>
  <si>
    <t>３－２　標準技術（放牧）</t>
    <rPh sb="4" eb="6">
      <t>ヒョウジュン</t>
    </rPh>
    <rPh sb="6" eb="8">
      <t>ギジュツ</t>
    </rPh>
    <rPh sb="9" eb="11">
      <t>ホウボク</t>
    </rPh>
    <phoneticPr fontId="4"/>
  </si>
  <si>
    <t>電気柵設置・飲み水確保等</t>
    <rPh sb="0" eb="2">
      <t>デンキ</t>
    </rPh>
    <rPh sb="2" eb="3">
      <t>サク</t>
    </rPh>
    <rPh sb="3" eb="5">
      <t>セッチ</t>
    </rPh>
    <rPh sb="6" eb="9">
      <t>ノミミズ</t>
    </rPh>
    <rPh sb="9" eb="11">
      <t>カクホ</t>
    </rPh>
    <rPh sb="11" eb="12">
      <t>トウ</t>
    </rPh>
    <phoneticPr fontId="4"/>
  </si>
  <si>
    <t>化成肥料　　　　　　　　　　　　　（ｵｰﾙ16）40㎏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種子３㎏</t>
    <rPh sb="124" eb="126">
      <t>シュシ</t>
    </rPh>
    <phoneticPr fontId="4"/>
  </si>
  <si>
    <t>適期播種</t>
    <rPh sb="0" eb="2">
      <t>テキキ</t>
    </rPh>
    <rPh sb="2" eb="4">
      <t>ハシュ</t>
    </rPh>
    <phoneticPr fontId="4"/>
  </si>
  <si>
    <t>３－３　標準技術（稲ワラ収集）</t>
    <rPh sb="4" eb="6">
      <t>ヒョウジュン</t>
    </rPh>
    <rPh sb="6" eb="8">
      <t>ギジュツ</t>
    </rPh>
    <rPh sb="9" eb="10">
      <t>イネ</t>
    </rPh>
    <rPh sb="12" eb="14">
      <t>シュウシュウ</t>
    </rPh>
    <phoneticPr fontId="4"/>
  </si>
  <si>
    <t>７　経営収支</t>
    <phoneticPr fontId="4"/>
  </si>
  <si>
    <t>肉用牛</t>
    <rPh sb="0" eb="3">
      <t>ニクヨウギュウ</t>
    </rPh>
    <phoneticPr fontId="4"/>
  </si>
  <si>
    <t>繁殖経営</t>
    <rPh sb="0" eb="2">
      <t>ハンショク</t>
    </rPh>
    <rPh sb="2" eb="4">
      <t>ケイエイ</t>
    </rPh>
    <phoneticPr fontId="4"/>
  </si>
  <si>
    <t>・繁殖牛舎（50頭程度）　　　　　　　　　　　　　　　　　　　　　　　　　　　　　　　　　　　　　　　　　　　　　　　　　　　　　　　　　　　　　　・ｽｷｯﾄﾞｽﾃｱﾛｰﾀﾞ使用　　　　　　　　　　　　　　　　　　　　　　　　・ｻｲﾚｰｼﾞ調整は，径90㎝×高さ80cmﾛｰﾙﾍﾞｰﾙ機械体系　　　　　　　　　　　　　　　　　　　　　</t>
    <rPh sb="1" eb="3">
      <t>ハンショク</t>
    </rPh>
    <rPh sb="3" eb="5">
      <t>ギュウシャ</t>
    </rPh>
    <rPh sb="8" eb="9">
      <t>トウ</t>
    </rPh>
    <rPh sb="9" eb="11">
      <t>テイド</t>
    </rPh>
    <rPh sb="87" eb="89">
      <t>シヨウ</t>
    </rPh>
    <rPh sb="120" eb="122">
      <t>チョウセイ</t>
    </rPh>
    <rPh sb="129" eb="130">
      <t>タカ</t>
    </rPh>
    <rPh sb="142" eb="144">
      <t>キカイ</t>
    </rPh>
    <rPh sb="144" eb="146">
      <t>タイケイ</t>
    </rPh>
    <phoneticPr fontId="3"/>
  </si>
  <si>
    <t>○：播種　</t>
    <phoneticPr fontId="4"/>
  </si>
  <si>
    <t>2.5人</t>
  </si>
  <si>
    <t>家族労働力2.5人</t>
    <rPh sb="0" eb="2">
      <t>カゾク</t>
    </rPh>
    <rPh sb="2" eb="4">
      <t>ロウドウ</t>
    </rPh>
    <rPh sb="4" eb="5">
      <t>リョク</t>
    </rPh>
    <rPh sb="8" eb="9">
      <t>ニン</t>
    </rPh>
    <phoneticPr fontId="3"/>
  </si>
  <si>
    <t>３－３　標準技術（稲わら収集）は434Ｐを参照</t>
    <rPh sb="4" eb="6">
      <t>ヒョウジュン</t>
    </rPh>
    <rPh sb="6" eb="8">
      <t>ギジュツ</t>
    </rPh>
    <rPh sb="9" eb="10">
      <t>イナ</t>
    </rPh>
    <rPh sb="12" eb="14">
      <t>シュウシュウ</t>
    </rPh>
    <rPh sb="21" eb="23">
      <t>サンショウ</t>
    </rPh>
    <phoneticPr fontId="4"/>
  </si>
  <si>
    <t>良質乾草</t>
    <rPh sb="0" eb="2">
      <t>リョウシツ</t>
    </rPh>
    <rPh sb="2" eb="4">
      <t>カンソウ</t>
    </rPh>
    <phoneticPr fontId="4"/>
  </si>
  <si>
    <t>子牛用配合飼料</t>
    <rPh sb="0" eb="2">
      <t>コウシ</t>
    </rPh>
    <rPh sb="2" eb="3">
      <t>ヨウ</t>
    </rPh>
    <rPh sb="3" eb="5">
      <t>ハイゴウ</t>
    </rPh>
    <rPh sb="5" eb="7">
      <t>シリョウ</t>
    </rPh>
    <phoneticPr fontId="4"/>
  </si>
  <si>
    <t>繁殖牛用配合飼料</t>
    <rPh sb="0" eb="2">
      <t>ハンショク</t>
    </rPh>
    <rPh sb="2" eb="3">
      <t>ウシ</t>
    </rPh>
    <rPh sb="3" eb="4">
      <t>ヨウ</t>
    </rPh>
    <rPh sb="4" eb="6">
      <t>ハイゴウ</t>
    </rPh>
    <rPh sb="6" eb="8">
      <t>シリョウ</t>
    </rPh>
    <phoneticPr fontId="4"/>
  </si>
  <si>
    <t>育成牛用配合飼料</t>
    <rPh sb="0" eb="2">
      <t>イクセイ</t>
    </rPh>
    <rPh sb="2" eb="3">
      <t>ウシ</t>
    </rPh>
    <rPh sb="3" eb="4">
      <t>ヨウ</t>
    </rPh>
    <rPh sb="4" eb="6">
      <t>ハイゴウ</t>
    </rPh>
    <rPh sb="6" eb="8">
      <t>シリョウ</t>
    </rPh>
    <phoneticPr fontId="4"/>
  </si>
  <si>
    <t>・維持期の繁殖牛の一部（60％程度）を春～秋の半年間放牧，他は全て舎飼とする。　　　　　　　　　　　　　　　　　　　　　　　　　・維持期の繁殖牛は，冬期～春期の半年間，稲発酵粗飼料（購入）を給与する。　　　　　　　　　　　　　　　　　　　・分娩間隔：12.5ヶ月　　　　　　　　　　　　　　　　　　　　　　　　　　　　　　　　　　　　　　　　　　　　　　　　　　　　　　　　　　　　　　　・初産月齢：23.5ヶ月　　　　　　　　　　　　　　　　　　　　　　　　　　　　　　　　　　　　　　　　　　　　　　　　　　　　　　　　　　　・繁殖牛飼養年数：10年　　　　　　　　　　　　　　　　　　　　　　　　　　　　　　　　　　　　　　　　　　　　　　　　　　　　　　　　　　　　　　・平均授精回数：1.6回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・子牛育成方式：推奨「子牛育成マニュアル」による（90日齢離乳）　　　　　　　　　　　                                                                               ・子牛事故率３％（流産・死産も含む）</t>
    <rPh sb="1" eb="3">
      <t>イジ</t>
    </rPh>
    <rPh sb="3" eb="4">
      <t>キ</t>
    </rPh>
    <rPh sb="5" eb="7">
      <t>ハンショク</t>
    </rPh>
    <rPh sb="7" eb="8">
      <t>ウシ</t>
    </rPh>
    <rPh sb="9" eb="11">
      <t>イチブ</t>
    </rPh>
    <rPh sb="15" eb="17">
      <t>テイド</t>
    </rPh>
    <rPh sb="19" eb="20">
      <t>ハル</t>
    </rPh>
    <rPh sb="21" eb="22">
      <t>アキ</t>
    </rPh>
    <rPh sb="23" eb="26">
      <t>ハントシカン</t>
    </rPh>
    <rPh sb="26" eb="28">
      <t>ホウボク</t>
    </rPh>
    <rPh sb="29" eb="30">
      <t>ホカ</t>
    </rPh>
    <rPh sb="31" eb="32">
      <t>スベ</t>
    </rPh>
    <rPh sb="33" eb="34">
      <t>シャ</t>
    </rPh>
    <rPh sb="34" eb="35">
      <t>カ</t>
    </rPh>
    <rPh sb="65" eb="67">
      <t>イジ</t>
    </rPh>
    <rPh sb="67" eb="68">
      <t>キ</t>
    </rPh>
    <rPh sb="69" eb="71">
      <t>ハンショク</t>
    </rPh>
    <rPh sb="71" eb="72">
      <t>ウシ</t>
    </rPh>
    <rPh sb="74" eb="76">
      <t>トウキ</t>
    </rPh>
    <rPh sb="77" eb="79">
      <t>シュンキ</t>
    </rPh>
    <rPh sb="80" eb="83">
      <t>ハントシカン</t>
    </rPh>
    <rPh sb="84" eb="85">
      <t>イネ</t>
    </rPh>
    <rPh sb="85" eb="87">
      <t>ハッコウ</t>
    </rPh>
    <rPh sb="87" eb="90">
      <t>ソシリョウ</t>
    </rPh>
    <rPh sb="91" eb="93">
      <t>コウニュウ</t>
    </rPh>
    <rPh sb="95" eb="97">
      <t>キュウヨ</t>
    </rPh>
    <rPh sb="120" eb="122">
      <t>ブンベン</t>
    </rPh>
    <rPh sb="122" eb="124">
      <t>カンカク</t>
    </rPh>
    <rPh sb="130" eb="131">
      <t>ゲツ</t>
    </rPh>
    <rPh sb="195" eb="196">
      <t>ショ</t>
    </rPh>
    <rPh sb="196" eb="197">
      <t>サン</t>
    </rPh>
    <rPh sb="197" eb="199">
      <t>ゲツレイ</t>
    </rPh>
    <rPh sb="205" eb="206">
      <t>ゲツ</t>
    </rPh>
    <rPh sb="266" eb="268">
      <t>ハンショク</t>
    </rPh>
    <rPh sb="268" eb="269">
      <t>ウシ</t>
    </rPh>
    <rPh sb="269" eb="271">
      <t>シヨウ</t>
    </rPh>
    <rPh sb="271" eb="273">
      <t>ネンスウ</t>
    </rPh>
    <rPh sb="276" eb="277">
      <t>ネン</t>
    </rPh>
    <rPh sb="340" eb="342">
      <t>ヘイキン</t>
    </rPh>
    <rPh sb="342" eb="344">
      <t>ジュセイ</t>
    </rPh>
    <rPh sb="344" eb="346">
      <t>カイスウ</t>
    </rPh>
    <rPh sb="350" eb="351">
      <t>カイ</t>
    </rPh>
    <rPh sb="480" eb="482">
      <t>コウシ</t>
    </rPh>
    <rPh sb="482" eb="484">
      <t>イクセイ</t>
    </rPh>
    <rPh sb="484" eb="486">
      <t>ホウシキ</t>
    </rPh>
    <rPh sb="487" eb="489">
      <t>スイショウ</t>
    </rPh>
    <rPh sb="490" eb="492">
      <t>コウシ</t>
    </rPh>
    <rPh sb="492" eb="494">
      <t>イクセイ</t>
    </rPh>
    <rPh sb="506" eb="508">
      <t>ニチレイ</t>
    </rPh>
    <rPh sb="508" eb="510">
      <t>リニュウ</t>
    </rPh>
    <rPh sb="602" eb="604">
      <t>コウシ</t>
    </rPh>
    <rPh sb="604" eb="606">
      <t>ジコ</t>
    </rPh>
    <rPh sb="606" eb="607">
      <t>リツ</t>
    </rPh>
    <rPh sb="610" eb="612">
      <t>リュウザン</t>
    </rPh>
    <rPh sb="613" eb="615">
      <t>シザン</t>
    </rPh>
    <rPh sb="616" eb="617">
      <t>フク</t>
    </rPh>
    <phoneticPr fontId="3"/>
  </si>
  <si>
    <t xml:space="preserve">雌：425,375円×20頭　　去勢：507,487円×23.5頭
（H23～25年三次家畜市場子牛市場平均価格(8％税込換算)×1.05（推奨「子牛育成ﾏﾆｭｱﾙ」加算））    </t>
    <rPh sb="0" eb="1">
      <t>メス</t>
    </rPh>
    <rPh sb="9" eb="10">
      <t>エン</t>
    </rPh>
    <rPh sb="13" eb="14">
      <t>トウ</t>
    </rPh>
    <rPh sb="16" eb="18">
      <t>キョセイ</t>
    </rPh>
    <rPh sb="26" eb="27">
      <t>エン</t>
    </rPh>
    <rPh sb="32" eb="33">
      <t>トウ</t>
    </rPh>
    <rPh sb="48" eb="50">
      <t>コウシ</t>
    </rPh>
    <rPh sb="50" eb="52">
      <t>シジョウ</t>
    </rPh>
    <rPh sb="59" eb="61">
      <t>ゼイコミ</t>
    </rPh>
    <rPh sb="61" eb="63">
      <t>カンザン</t>
    </rPh>
    <rPh sb="70" eb="72">
      <t>スイショウ</t>
    </rPh>
    <rPh sb="73" eb="75">
      <t>コウシ</t>
    </rPh>
    <rPh sb="75" eb="77">
      <t>イクセイ</t>
    </rPh>
    <rPh sb="83" eb="85">
      <t>カサン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</si>
</sst>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#,##0_);[Red]\(#,##0\)"/>
    <numFmt numFmtId="177" formatCode="#,##0;&quot;▲ &quot;#,##0"/>
    <numFmt numFmtId="178" formatCode="#,##0.0;&quot;▲ &quot;#,##0.0"/>
    <numFmt numFmtId="179" formatCode="#,##0.0_);[Red]\(#,##0.0\)"/>
    <numFmt numFmtId="180" formatCode="0\ &quot;年&quot;"/>
    <numFmt numFmtId="181" formatCode="#,##0;&quot;△ &quot;#,##0"/>
    <numFmt numFmtId="182" formatCode="0.0%"/>
    <numFmt numFmtId="183" formatCode="0.0_);[Red]\(0.0\)"/>
    <numFmt numFmtId="184" formatCode="#,##0.0_ ;[Red]\-#,##0.0\ "/>
    <numFmt numFmtId="185" formatCode="00&quot;a&quot;"/>
    <numFmt numFmtId="186" formatCode="#,##0_ "/>
    <numFmt numFmtId="187" formatCode="0.0;[Red]0.0"/>
    <numFmt numFmtId="188" formatCode="#,##0.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278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hair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medium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medium">
        <color indexed="8"/>
      </right>
      <top style="double">
        <color indexed="64"/>
      </top>
      <bottom style="thin">
        <color indexed="8"/>
      </bottom>
      <diagonal/>
    </border>
    <border>
      <left style="medium">
        <color indexed="8"/>
      </left>
      <right/>
      <top style="double">
        <color indexed="64"/>
      </top>
      <bottom style="medium">
        <color indexed="8"/>
      </bottom>
      <diagonal/>
    </border>
    <border>
      <left/>
      <right style="thin">
        <color indexed="8"/>
      </right>
      <top style="double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8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/>
    <xf numFmtId="37" fontId="14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914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6" fontId="5" fillId="0" borderId="76" xfId="0" applyNumberFormat="1" applyFont="1" applyBorder="1" applyAlignment="1">
      <alignment horizontal="center" vertical="center" shrinkToFit="1"/>
    </xf>
    <xf numFmtId="176" fontId="0" fillId="0" borderId="76" xfId="0" applyNumberFormat="1" applyBorder="1" applyAlignment="1">
      <alignment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67" xfId="0" applyFont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0" fontId="0" fillId="0" borderId="33" xfId="0" applyFont="1" applyBorder="1" applyAlignment="1">
      <alignment vertical="center" wrapText="1"/>
    </xf>
    <xf numFmtId="0" fontId="0" fillId="0" borderId="59" xfId="0" applyFont="1" applyBorder="1" applyAlignment="1">
      <alignment vertical="center"/>
    </xf>
    <xf numFmtId="181" fontId="0" fillId="0" borderId="35" xfId="0" applyNumberFormat="1" applyFont="1" applyBorder="1" applyAlignment="1">
      <alignment horizontal="right" vertical="center"/>
    </xf>
    <xf numFmtId="0" fontId="0" fillId="0" borderId="32" xfId="0" applyFont="1" applyBorder="1" applyAlignment="1">
      <alignment vertical="center"/>
    </xf>
    <xf numFmtId="0" fontId="0" fillId="0" borderId="37" xfId="0" applyFont="1" applyBorder="1" applyAlignment="1">
      <alignment vertical="center"/>
    </xf>
    <xf numFmtId="181" fontId="0" fillId="0" borderId="37" xfId="0" applyNumberFormat="1" applyFont="1" applyBorder="1" applyAlignment="1">
      <alignment horizontal="right" vertical="center"/>
    </xf>
    <xf numFmtId="181" fontId="0" fillId="3" borderId="37" xfId="0" applyNumberFormat="1" applyFont="1" applyFill="1" applyBorder="1" applyAlignment="1">
      <alignment horizontal="right" vertical="center"/>
    </xf>
    <xf numFmtId="181" fontId="0" fillId="3" borderId="39" xfId="0" applyNumberFormat="1" applyFont="1" applyFill="1" applyBorder="1" applyAlignment="1">
      <alignment horizontal="right" vertical="center"/>
    </xf>
    <xf numFmtId="181" fontId="0" fillId="0" borderId="24" xfId="0" applyNumberFormat="1" applyFont="1" applyBorder="1" applyAlignment="1">
      <alignment horizontal="right" vertical="center"/>
    </xf>
    <xf numFmtId="181" fontId="0" fillId="0" borderId="32" xfId="0" applyNumberFormat="1" applyFont="1" applyBorder="1" applyAlignment="1">
      <alignment horizontal="right" vertical="center"/>
    </xf>
    <xf numFmtId="0" fontId="9" fillId="0" borderId="37" xfId="0" applyFont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0" fontId="0" fillId="0" borderId="37" xfId="0" applyFont="1" applyFill="1" applyBorder="1" applyAlignment="1">
      <alignment vertical="center"/>
    </xf>
    <xf numFmtId="176" fontId="0" fillId="0" borderId="1" xfId="0" applyNumberFormat="1" applyFont="1" applyBorder="1" applyAlignment="1">
      <alignment vertical="center" shrinkToFit="1"/>
    </xf>
    <xf numFmtId="176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left" vertical="center"/>
    </xf>
    <xf numFmtId="176" fontId="0" fillId="0" borderId="76" xfId="0" applyNumberFormat="1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176" fontId="0" fillId="0" borderId="72" xfId="0" applyNumberFormat="1" applyFont="1" applyBorder="1" applyAlignment="1">
      <alignment horizontal="center" vertical="center" shrinkToFit="1"/>
    </xf>
    <xf numFmtId="176" fontId="0" fillId="0" borderId="73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horizontal="left" vertical="center" shrinkToFit="1"/>
    </xf>
    <xf numFmtId="179" fontId="0" fillId="0" borderId="19" xfId="0" applyNumberFormat="1" applyFont="1" applyFill="1" applyBorder="1" applyAlignment="1">
      <alignment vertical="center" shrinkToFit="1"/>
    </xf>
    <xf numFmtId="176" fontId="0" fillId="0" borderId="62" xfId="0" applyNumberFormat="1" applyFont="1" applyBorder="1" applyAlignment="1">
      <alignment horizontal="center" vertical="center"/>
    </xf>
    <xf numFmtId="176" fontId="0" fillId="0" borderId="61" xfId="0" applyNumberFormat="1" applyFont="1" applyBorder="1" applyAlignment="1">
      <alignment horizontal="center" vertical="center"/>
    </xf>
    <xf numFmtId="176" fontId="0" fillId="0" borderId="30" xfId="0" applyNumberFormat="1" applyFont="1" applyBorder="1" applyAlignment="1">
      <alignment vertical="center"/>
    </xf>
    <xf numFmtId="179" fontId="0" fillId="0" borderId="61" xfId="0" applyNumberFormat="1" applyFont="1" applyBorder="1" applyAlignment="1">
      <alignment vertical="center" shrinkToFit="1"/>
    </xf>
    <xf numFmtId="179" fontId="0" fillId="0" borderId="2" xfId="0" applyNumberFormat="1" applyFont="1" applyBorder="1" applyAlignment="1">
      <alignment vertical="center" shrinkToFit="1"/>
    </xf>
    <xf numFmtId="179" fontId="0" fillId="0" borderId="62" xfId="0" applyNumberFormat="1" applyFont="1" applyBorder="1" applyAlignment="1">
      <alignment vertical="center" shrinkToFit="1"/>
    </xf>
    <xf numFmtId="179" fontId="0" fillId="0" borderId="19" xfId="0" applyNumberFormat="1" applyFont="1" applyBorder="1" applyAlignment="1">
      <alignment vertical="center" shrinkToFit="1"/>
    </xf>
    <xf numFmtId="179" fontId="0" fillId="0" borderId="18" xfId="0" applyNumberFormat="1" applyFont="1" applyBorder="1" applyAlignment="1">
      <alignment vertical="center" shrinkToFit="1"/>
    </xf>
    <xf numFmtId="179" fontId="0" fillId="0" borderId="64" xfId="0" applyNumberFormat="1" applyFont="1" applyBorder="1" applyAlignment="1">
      <alignment vertical="center" shrinkToFit="1"/>
    </xf>
    <xf numFmtId="0" fontId="1" fillId="0" borderId="0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8" fillId="0" borderId="66" xfId="2" applyFont="1" applyBorder="1" applyAlignment="1">
      <alignment vertical="center" wrapText="1"/>
    </xf>
    <xf numFmtId="0" fontId="8" fillId="0" borderId="66" xfId="2" applyFont="1" applyBorder="1" applyAlignment="1">
      <alignment horizontal="center" vertical="center" wrapText="1"/>
    </xf>
    <xf numFmtId="0" fontId="1" fillId="0" borderId="66" xfId="2" applyFont="1" applyBorder="1" applyAlignment="1">
      <alignment horizontal="center" vertical="center" wrapText="1"/>
    </xf>
    <xf numFmtId="0" fontId="11" fillId="0" borderId="0" xfId="2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8" fillId="0" borderId="0" xfId="2" applyFont="1" applyAlignment="1">
      <alignment horizontal="justify" vertical="center"/>
    </xf>
    <xf numFmtId="0" fontId="8" fillId="0" borderId="23" xfId="2" applyFont="1" applyBorder="1" applyAlignment="1">
      <alignment horizontal="right" vertical="center" wrapText="1"/>
    </xf>
    <xf numFmtId="0" fontId="1" fillId="0" borderId="98" xfId="2" applyFont="1" applyBorder="1" applyAlignment="1">
      <alignment horizontal="center" vertical="center" wrapText="1"/>
    </xf>
    <xf numFmtId="0" fontId="1" fillId="0" borderId="27" xfId="2" applyFont="1" applyBorder="1" applyAlignment="1">
      <alignment horizontal="center" vertical="center" wrapText="1"/>
    </xf>
    <xf numFmtId="0" fontId="1" fillId="0" borderId="28" xfId="2" applyFont="1" applyBorder="1" applyAlignment="1">
      <alignment horizontal="center" vertical="center" wrapText="1"/>
    </xf>
    <xf numFmtId="0" fontId="1" fillId="0" borderId="46" xfId="2" applyFont="1" applyBorder="1" applyAlignment="1">
      <alignment horizontal="center" vertical="center" wrapText="1"/>
    </xf>
    <xf numFmtId="0" fontId="1" fillId="0" borderId="102" xfId="2" applyFont="1" applyBorder="1" applyAlignment="1">
      <alignment horizontal="center" vertical="center" wrapText="1"/>
    </xf>
    <xf numFmtId="0" fontId="1" fillId="0" borderId="103" xfId="2" applyFont="1" applyBorder="1" applyAlignment="1">
      <alignment horizontal="center" vertical="center" wrapText="1"/>
    </xf>
    <xf numFmtId="0" fontId="8" fillId="0" borderId="76" xfId="2" applyFont="1" applyBorder="1" applyAlignment="1">
      <alignment horizontal="left" vertical="center" wrapText="1"/>
    </xf>
    <xf numFmtId="0" fontId="8" fillId="0" borderId="30" xfId="2" applyFont="1" applyBorder="1" applyAlignment="1">
      <alignment vertical="center" wrapText="1"/>
    </xf>
    <xf numFmtId="0" fontId="1" fillId="0" borderId="0" xfId="2" applyFont="1" applyAlignment="1">
      <alignment vertical="center" wrapText="1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4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 shrinkToFit="1"/>
    </xf>
    <xf numFmtId="177" fontId="0" fillId="0" borderId="10" xfId="0" applyNumberFormat="1" applyFont="1" applyBorder="1" applyAlignment="1">
      <alignment vertical="center" shrinkToFit="1"/>
    </xf>
    <xf numFmtId="177" fontId="0" fillId="2" borderId="10" xfId="0" applyNumberFormat="1" applyFont="1" applyFill="1" applyBorder="1" applyAlignment="1">
      <alignment horizontal="center" vertical="center" shrinkToFit="1"/>
    </xf>
    <xf numFmtId="177" fontId="0" fillId="2" borderId="93" xfId="0" applyNumberFormat="1" applyFont="1" applyFill="1" applyBorder="1" applyAlignment="1">
      <alignment vertical="center" shrinkToFit="1"/>
    </xf>
    <xf numFmtId="178" fontId="0" fillId="2" borderId="93" xfId="0" applyNumberFormat="1" applyFont="1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77" fontId="0" fillId="2" borderId="17" xfId="0" applyNumberFormat="1" applyFont="1" applyFill="1" applyBorder="1" applyAlignment="1">
      <alignment vertical="center"/>
    </xf>
    <xf numFmtId="177" fontId="0" fillId="2" borderId="11" xfId="0" applyNumberFormat="1" applyFont="1" applyFill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horizontal="left" vertical="center"/>
    </xf>
    <xf numFmtId="177" fontId="0" fillId="0" borderId="15" xfId="0" applyNumberFormat="1" applyFont="1" applyBorder="1" applyAlignment="1">
      <alignment vertical="center"/>
    </xf>
    <xf numFmtId="177" fontId="0" fillId="0" borderId="0" xfId="3" applyNumberFormat="1" applyFont="1" applyAlignment="1">
      <alignment vertical="center"/>
    </xf>
    <xf numFmtId="177" fontId="0" fillId="0" borderId="0" xfId="3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 shrinkToFit="1"/>
    </xf>
    <xf numFmtId="177" fontId="0" fillId="0" borderId="0" xfId="0" applyNumberFormat="1" applyFont="1" applyBorder="1" applyAlignment="1">
      <alignment horizontal="center" vertical="center" shrinkToFit="1"/>
    </xf>
    <xf numFmtId="177" fontId="0" fillId="0" borderId="0" xfId="3" applyNumberFormat="1" applyFont="1" applyBorder="1" applyAlignment="1">
      <alignment horizontal="right" vertical="center"/>
    </xf>
    <xf numFmtId="177" fontId="0" fillId="2" borderId="18" xfId="0" applyNumberFormat="1" applyFont="1" applyFill="1" applyBorder="1" applyAlignment="1">
      <alignment vertical="center"/>
    </xf>
    <xf numFmtId="177" fontId="0" fillId="2" borderId="19" xfId="0" applyNumberFormat="1" applyFont="1" applyFill="1" applyBorder="1" applyAlignment="1">
      <alignment vertical="center"/>
    </xf>
    <xf numFmtId="177" fontId="0" fillId="0" borderId="0" xfId="3" applyNumberFormat="1" applyFont="1" applyFill="1" applyBorder="1" applyAlignment="1">
      <alignment vertical="center"/>
    </xf>
    <xf numFmtId="181" fontId="0" fillId="0" borderId="0" xfId="0" applyNumberFormat="1" applyFont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left" vertical="center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2" borderId="1" xfId="0" applyNumberFormat="1" applyFont="1" applyFill="1" applyBorder="1" applyAlignment="1">
      <alignment vertical="center" shrinkToFit="1"/>
    </xf>
    <xf numFmtId="177" fontId="0" fillId="0" borderId="1" xfId="3" applyNumberFormat="1" applyFont="1" applyBorder="1" applyAlignment="1">
      <alignment vertical="center" shrinkToFit="1"/>
    </xf>
    <xf numFmtId="177" fontId="0" fillId="0" borderId="76" xfId="0" applyNumberFormat="1" applyFont="1" applyFill="1" applyBorder="1" applyAlignment="1">
      <alignment vertical="center"/>
    </xf>
    <xf numFmtId="177" fontId="0" fillId="0" borderId="76" xfId="0" applyNumberFormat="1" applyFont="1" applyBorder="1" applyAlignment="1">
      <alignment vertical="center" shrinkToFit="1"/>
    </xf>
    <xf numFmtId="177" fontId="0" fillId="0" borderId="13" xfId="0" applyNumberFormat="1" applyFont="1" applyBorder="1" applyAlignment="1">
      <alignment vertical="center" shrinkToFit="1"/>
    </xf>
    <xf numFmtId="176" fontId="0" fillId="0" borderId="95" xfId="0" applyNumberFormat="1" applyFont="1" applyBorder="1" applyAlignment="1">
      <alignment horizontal="center" vertical="center" shrinkToFit="1"/>
    </xf>
    <xf numFmtId="176" fontId="0" fillId="0" borderId="66" xfId="0" applyNumberFormat="1" applyFont="1" applyBorder="1" applyAlignment="1">
      <alignment vertical="center" shrinkToFit="1"/>
    </xf>
    <xf numFmtId="176" fontId="0" fillId="0" borderId="2" xfId="0" applyNumberFormat="1" applyFont="1" applyBorder="1" applyAlignment="1">
      <alignment vertical="center" shrinkToFit="1"/>
    </xf>
    <xf numFmtId="176" fontId="0" fillId="2" borderId="93" xfId="0" applyNumberFormat="1" applyFont="1" applyFill="1" applyBorder="1" applyAlignment="1">
      <alignment vertical="center" shrinkToFit="1"/>
    </xf>
    <xf numFmtId="176" fontId="0" fillId="2" borderId="105" xfId="0" applyNumberFormat="1" applyFont="1" applyFill="1" applyBorder="1" applyAlignment="1">
      <alignment vertical="center" shrinkToFit="1"/>
    </xf>
    <xf numFmtId="176" fontId="0" fillId="2" borderId="11" xfId="0" applyNumberFormat="1" applyFont="1" applyFill="1" applyBorder="1" applyAlignment="1">
      <alignment horizontal="center" vertical="center" shrinkToFit="1"/>
    </xf>
    <xf numFmtId="176" fontId="0" fillId="2" borderId="11" xfId="0" applyNumberFormat="1" applyFont="1" applyFill="1" applyBorder="1" applyAlignment="1">
      <alignment vertical="center" shrinkToFit="1"/>
    </xf>
    <xf numFmtId="176" fontId="0" fillId="2" borderId="106" xfId="0" applyNumberFormat="1" applyFont="1" applyFill="1" applyBorder="1" applyAlignment="1">
      <alignment vertical="center" shrinkToFit="1"/>
    </xf>
    <xf numFmtId="176" fontId="0" fillId="2" borderId="19" xfId="0" applyNumberFormat="1" applyFont="1" applyFill="1" applyBorder="1" applyAlignment="1">
      <alignment vertical="center" shrinkToFit="1"/>
    </xf>
    <xf numFmtId="176" fontId="0" fillId="2" borderId="64" xfId="0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vertical="center" shrinkToFit="1"/>
    </xf>
    <xf numFmtId="176" fontId="0" fillId="0" borderId="52" xfId="0" applyNumberFormat="1" applyFont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left" vertical="center"/>
    </xf>
    <xf numFmtId="176" fontId="0" fillId="5" borderId="19" xfId="0" applyNumberFormat="1" applyFont="1" applyFill="1" applyBorder="1" applyAlignment="1">
      <alignment vertical="center" shrinkToFit="1"/>
    </xf>
    <xf numFmtId="176" fontId="0" fillId="5" borderId="105" xfId="0" applyNumberFormat="1" applyFont="1" applyFill="1" applyBorder="1" applyAlignment="1">
      <alignment vertical="center" shrinkToFit="1"/>
    </xf>
    <xf numFmtId="179" fontId="0" fillId="0" borderId="110" xfId="0" applyNumberFormat="1" applyFont="1" applyBorder="1" applyAlignment="1">
      <alignment horizontal="center" vertical="center" shrinkToFit="1"/>
    </xf>
    <xf numFmtId="176" fontId="0" fillId="5" borderId="97" xfId="0" applyNumberFormat="1" applyFont="1" applyFill="1" applyBorder="1" applyAlignment="1">
      <alignment vertical="center" shrinkToFit="1"/>
    </xf>
    <xf numFmtId="179" fontId="0" fillId="0" borderId="113" xfId="0" applyNumberFormat="1" applyFont="1" applyBorder="1" applyAlignment="1">
      <alignment horizontal="center" vertical="center" shrinkToFit="1"/>
    </xf>
    <xf numFmtId="183" fontId="0" fillId="0" borderId="1" xfId="0" applyNumberFormat="1" applyFont="1" applyBorder="1" applyAlignment="1">
      <alignment vertical="center" shrinkToFit="1"/>
    </xf>
    <xf numFmtId="183" fontId="0" fillId="5" borderId="93" xfId="0" applyNumberFormat="1" applyFont="1" applyFill="1" applyBorder="1" applyAlignment="1">
      <alignment vertical="center" shrinkToFit="1"/>
    </xf>
    <xf numFmtId="183" fontId="0" fillId="5" borderId="49" xfId="0" applyNumberFormat="1" applyFont="1" applyFill="1" applyBorder="1" applyAlignment="1">
      <alignment vertical="center" shrinkToFit="1"/>
    </xf>
    <xf numFmtId="183" fontId="0" fillId="5" borderId="22" xfId="0" applyNumberFormat="1" applyFont="1" applyFill="1" applyBorder="1" applyAlignment="1">
      <alignment vertical="center" shrinkToFit="1"/>
    </xf>
    <xf numFmtId="183" fontId="0" fillId="5" borderId="107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183" fontId="0" fillId="5" borderId="96" xfId="0" applyNumberFormat="1" applyFont="1" applyFill="1" applyBorder="1" applyAlignment="1">
      <alignment vertical="center" shrinkToFit="1"/>
    </xf>
    <xf numFmtId="183" fontId="0" fillId="5" borderId="115" xfId="0" applyNumberFormat="1" applyFont="1" applyFill="1" applyBorder="1" applyAlignment="1">
      <alignment vertical="center" shrinkToFit="1"/>
    </xf>
    <xf numFmtId="177" fontId="0" fillId="0" borderId="66" xfId="0" applyNumberFormat="1" applyFont="1" applyBorder="1" applyAlignment="1">
      <alignment vertical="center" shrinkToFit="1"/>
    </xf>
    <xf numFmtId="177" fontId="0" fillId="2" borderId="116" xfId="0" applyNumberFormat="1" applyFont="1" applyFill="1" applyBorder="1" applyAlignment="1">
      <alignment vertical="center" shrinkToFit="1"/>
    </xf>
    <xf numFmtId="177" fontId="0" fillId="2" borderId="96" xfId="0" applyNumberFormat="1" applyFont="1" applyFill="1" applyBorder="1" applyAlignment="1">
      <alignment vertical="center" shrinkToFit="1"/>
    </xf>
    <xf numFmtId="177" fontId="0" fillId="2" borderId="97" xfId="0" applyNumberFormat="1" applyFont="1" applyFill="1" applyBorder="1" applyAlignment="1">
      <alignment vertical="center" shrinkToFit="1"/>
    </xf>
    <xf numFmtId="177" fontId="0" fillId="2" borderId="107" xfId="0" applyNumberFormat="1" applyFont="1" applyFill="1" applyBorder="1" applyAlignment="1">
      <alignment vertical="center" shrinkToFit="1"/>
    </xf>
    <xf numFmtId="177" fontId="0" fillId="0" borderId="76" xfId="0" applyNumberFormat="1" applyFont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7" fontId="0" fillId="0" borderId="122" xfId="0" applyNumberFormat="1" applyFill="1" applyBorder="1" applyAlignment="1">
      <alignment vertical="center"/>
    </xf>
    <xf numFmtId="177" fontId="0" fillId="5" borderId="123" xfId="0" applyNumberFormat="1" applyFont="1" applyFill="1" applyBorder="1" applyAlignment="1">
      <alignment vertical="center" shrinkToFit="1"/>
    </xf>
    <xf numFmtId="177" fontId="0" fillId="0" borderId="123" xfId="3" applyNumberFormat="1" applyFont="1" applyBorder="1" applyAlignment="1">
      <alignment vertical="center"/>
    </xf>
    <xf numFmtId="177" fontId="0" fillId="0" borderId="90" xfId="3" applyNumberFormat="1" applyFont="1" applyBorder="1" applyAlignment="1">
      <alignment horizontal="right" vertical="center"/>
    </xf>
    <xf numFmtId="177" fontId="0" fillId="0" borderId="90" xfId="3" applyNumberFormat="1" applyFont="1" applyBorder="1" applyAlignment="1">
      <alignment horizontal="left" vertical="center" shrinkToFit="1"/>
    </xf>
    <xf numFmtId="177" fontId="0" fillId="0" borderId="124" xfId="0" applyNumberFormat="1" applyFont="1" applyBorder="1" applyAlignment="1">
      <alignment vertical="center"/>
    </xf>
    <xf numFmtId="177" fontId="0" fillId="0" borderId="125" xfId="0" applyNumberFormat="1" applyFont="1" applyBorder="1" applyAlignment="1">
      <alignment vertical="center"/>
    </xf>
    <xf numFmtId="177" fontId="0" fillId="0" borderId="126" xfId="0" applyNumberFormat="1" applyFont="1" applyBorder="1" applyAlignment="1">
      <alignment vertical="center"/>
    </xf>
    <xf numFmtId="177" fontId="0" fillId="0" borderId="122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horizontal="left" vertical="center"/>
    </xf>
    <xf numFmtId="177" fontId="0" fillId="0" borderId="125" xfId="3" applyNumberFormat="1" applyFont="1" applyBorder="1" applyAlignment="1">
      <alignment vertical="center" shrinkToFit="1"/>
    </xf>
    <xf numFmtId="177" fontId="0" fillId="0" borderId="125" xfId="0" applyNumberFormat="1" applyFont="1" applyFill="1" applyBorder="1" applyAlignment="1">
      <alignment vertical="center"/>
    </xf>
    <xf numFmtId="177" fontId="0" fillId="0" borderId="122" xfId="0" applyNumberFormat="1" applyFont="1" applyFill="1" applyBorder="1" applyAlignment="1">
      <alignment horizontal="center" vertical="center"/>
    </xf>
    <xf numFmtId="177" fontId="0" fillId="0" borderId="122" xfId="0" applyNumberFormat="1" applyFont="1" applyFill="1" applyBorder="1" applyAlignment="1">
      <alignment vertical="center"/>
    </xf>
    <xf numFmtId="177" fontId="0" fillId="0" borderId="125" xfId="0" applyNumberFormat="1" applyFill="1" applyBorder="1" applyAlignment="1">
      <alignment vertical="center"/>
    </xf>
    <xf numFmtId="178" fontId="0" fillId="0" borderId="122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9" fontId="0" fillId="0" borderId="14" xfId="0" applyNumberFormat="1" applyFont="1" applyFill="1" applyBorder="1" applyAlignment="1">
      <alignment vertical="center"/>
    </xf>
    <xf numFmtId="177" fontId="0" fillId="0" borderId="13" xfId="0" applyNumberFormat="1" applyFill="1" applyBorder="1" applyAlignment="1">
      <alignment vertical="center"/>
    </xf>
    <xf numFmtId="177" fontId="0" fillId="0" borderId="46" xfId="0" applyNumberFormat="1" applyFont="1" applyFill="1" applyBorder="1" applyAlignment="1">
      <alignment vertical="center"/>
    </xf>
    <xf numFmtId="177" fontId="0" fillId="0" borderId="21" xfId="0" applyNumberFormat="1" applyFill="1" applyBorder="1" applyAlignment="1">
      <alignment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125" xfId="0" applyNumberFormat="1" applyFont="1" applyFill="1" applyBorder="1" applyAlignment="1">
      <alignment vertical="center" shrinkToFit="1"/>
    </xf>
    <xf numFmtId="177" fontId="0" fillId="0" borderId="10" xfId="0" applyNumberFormat="1" applyFont="1" applyFill="1" applyBorder="1" applyAlignment="1">
      <alignment vertical="center" shrinkToFit="1"/>
    </xf>
    <xf numFmtId="177" fontId="0" fillId="0" borderId="65" xfId="0" applyNumberFormat="1" applyFont="1" applyFill="1" applyBorder="1" applyAlignment="1">
      <alignment vertical="center" shrinkToFit="1"/>
    </xf>
    <xf numFmtId="177" fontId="0" fillId="0" borderId="76" xfId="0" applyNumberFormat="1" applyFont="1" applyFill="1" applyBorder="1" applyAlignment="1">
      <alignment vertical="center" shrinkToFit="1"/>
    </xf>
    <xf numFmtId="177" fontId="0" fillId="0" borderId="9" xfId="0" applyNumberFormat="1" applyFill="1" applyBorder="1" applyAlignment="1">
      <alignment vertical="center" shrinkToFit="1"/>
    </xf>
    <xf numFmtId="177" fontId="0" fillId="0" borderId="46" xfId="0" applyNumberFormat="1" applyFont="1" applyFill="1" applyBorder="1" applyAlignment="1">
      <alignment vertical="center" shrinkToFit="1"/>
    </xf>
    <xf numFmtId="177" fontId="0" fillId="0" borderId="8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/>
    </xf>
    <xf numFmtId="177" fontId="0" fillId="0" borderId="126" xfId="0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 shrinkToFit="1"/>
    </xf>
    <xf numFmtId="177" fontId="0" fillId="0" borderId="122" xfId="3" applyNumberFormat="1" applyFont="1" applyFill="1" applyBorder="1" applyAlignment="1">
      <alignment vertical="center"/>
    </xf>
    <xf numFmtId="0" fontId="0" fillId="0" borderId="14" xfId="3" applyFont="1" applyFill="1" applyBorder="1" applyAlignment="1">
      <alignment vertical="center" shrinkToFit="1"/>
    </xf>
    <xf numFmtId="0" fontId="0" fillId="0" borderId="15" xfId="3" applyFont="1" applyFill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left" vertical="center"/>
    </xf>
    <xf numFmtId="178" fontId="0" fillId="0" borderId="14" xfId="0" applyNumberFormat="1" applyFont="1" applyFill="1" applyBorder="1" applyAlignment="1">
      <alignment horizontal="left" vertical="center"/>
    </xf>
    <xf numFmtId="177" fontId="0" fillId="0" borderId="14" xfId="3" applyNumberFormat="1" applyFont="1" applyFill="1" applyBorder="1" applyAlignment="1">
      <alignment vertical="center" shrinkToFit="1"/>
    </xf>
    <xf numFmtId="178" fontId="0" fillId="0" borderId="125" xfId="0" applyNumberFormat="1" applyFont="1" applyFill="1" applyBorder="1" applyAlignment="1">
      <alignment horizontal="left" vertical="center"/>
    </xf>
    <xf numFmtId="177" fontId="0" fillId="0" borderId="125" xfId="3" applyNumberFormat="1" applyFont="1" applyFill="1" applyBorder="1" applyAlignment="1">
      <alignment vertical="center" shrinkToFit="1"/>
    </xf>
    <xf numFmtId="178" fontId="0" fillId="0" borderId="126" xfId="0" applyNumberFormat="1" applyFont="1" applyFill="1" applyBorder="1" applyAlignment="1">
      <alignment horizontal="left" vertical="center"/>
    </xf>
    <xf numFmtId="177" fontId="0" fillId="0" borderId="1" xfId="3" applyNumberFormat="1" applyFont="1" applyFill="1" applyBorder="1" applyAlignment="1">
      <alignment vertical="center" shrinkToFit="1"/>
    </xf>
    <xf numFmtId="182" fontId="0" fillId="0" borderId="14" xfId="0" applyNumberFormat="1" applyFont="1" applyFill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7" fontId="0" fillId="0" borderId="128" xfId="3" applyNumberFormat="1" applyFont="1" applyBorder="1" applyAlignment="1">
      <alignment horizontal="center" vertical="center" shrinkToFit="1"/>
    </xf>
    <xf numFmtId="177" fontId="0" fillId="0" borderId="67" xfId="3" applyNumberFormat="1" applyFont="1" applyBorder="1" applyAlignment="1">
      <alignment horizontal="center" vertical="center" shrinkToFit="1"/>
    </xf>
    <xf numFmtId="176" fontId="0" fillId="2" borderId="47" xfId="0" applyNumberFormat="1" applyFont="1" applyFill="1" applyBorder="1" applyAlignment="1">
      <alignment horizontal="center" vertical="center" shrinkToFit="1"/>
    </xf>
    <xf numFmtId="177" fontId="0" fillId="2" borderId="47" xfId="0" applyNumberFormat="1" applyFont="1" applyFill="1" applyBorder="1" applyAlignment="1">
      <alignment vertical="center" shrinkToFit="1"/>
    </xf>
    <xf numFmtId="177" fontId="0" fillId="0" borderId="133" xfId="3" applyNumberFormat="1" applyFont="1" applyBorder="1" applyAlignment="1">
      <alignment vertical="center" shrinkToFit="1"/>
    </xf>
    <xf numFmtId="176" fontId="0" fillId="0" borderId="133" xfId="0" applyNumberFormat="1" applyFont="1" applyBorder="1" applyAlignment="1">
      <alignment vertical="center"/>
    </xf>
    <xf numFmtId="177" fontId="0" fillId="0" borderId="24" xfId="3" applyNumberFormat="1" applyFont="1" applyBorder="1" applyAlignment="1">
      <alignment vertical="center" shrinkToFit="1"/>
    </xf>
    <xf numFmtId="177" fontId="0" fillId="0" borderId="24" xfId="3" applyNumberFormat="1" applyFont="1" applyFill="1" applyBorder="1" applyAlignment="1">
      <alignment vertical="center" shrinkToFit="1"/>
    </xf>
    <xf numFmtId="176" fontId="0" fillId="2" borderId="38" xfId="0" applyNumberFormat="1" applyFont="1" applyFill="1" applyBorder="1" applyAlignment="1">
      <alignment horizontal="center" vertical="center" shrinkToFit="1"/>
    </xf>
    <xf numFmtId="177" fontId="0" fillId="2" borderId="38" xfId="0" applyNumberFormat="1" applyFont="1" applyFill="1" applyBorder="1" applyAlignment="1">
      <alignment vertical="center" shrinkToFit="1"/>
    </xf>
    <xf numFmtId="176" fontId="0" fillId="2" borderId="131" xfId="0" applyNumberFormat="1" applyFont="1" applyFill="1" applyBorder="1" applyAlignment="1">
      <alignment vertical="center" shrinkToFit="1"/>
    </xf>
    <xf numFmtId="176" fontId="0" fillId="2" borderId="60" xfId="0" applyNumberFormat="1" applyFont="1" applyFill="1" applyBorder="1" applyAlignment="1">
      <alignment vertical="center" shrinkToFit="1"/>
    </xf>
    <xf numFmtId="176" fontId="0" fillId="2" borderId="97" xfId="0" applyNumberFormat="1" applyFont="1" applyFill="1" applyBorder="1" applyAlignment="1">
      <alignment vertical="center" shrinkToFit="1"/>
    </xf>
    <xf numFmtId="177" fontId="0" fillId="0" borderId="35" xfId="3" applyNumberFormat="1" applyFont="1" applyBorder="1" applyAlignment="1">
      <alignment horizontal="center" vertical="center" shrinkToFit="1"/>
    </xf>
    <xf numFmtId="176" fontId="0" fillId="0" borderId="57" xfId="0" applyNumberFormat="1" applyFont="1" applyBorder="1" applyAlignment="1">
      <alignment vertical="center"/>
    </xf>
    <xf numFmtId="177" fontId="0" fillId="2" borderId="47" xfId="3" applyNumberFormat="1" applyFont="1" applyFill="1" applyBorder="1" applyAlignment="1">
      <alignment horizontal="center" vertical="center" shrinkToFit="1"/>
    </xf>
    <xf numFmtId="177" fontId="0" fillId="2" borderId="47" xfId="3" applyNumberFormat="1" applyFont="1" applyFill="1" applyBorder="1" applyAlignment="1">
      <alignment vertical="center" shrinkToFit="1"/>
    </xf>
    <xf numFmtId="176" fontId="0" fillId="5" borderId="131" xfId="0" applyNumberFormat="1" applyFont="1" applyFill="1" applyBorder="1" applyAlignment="1">
      <alignment vertical="center"/>
    </xf>
    <xf numFmtId="176" fontId="0" fillId="0" borderId="133" xfId="3" applyNumberFormat="1" applyFont="1" applyFill="1" applyBorder="1" applyAlignment="1">
      <alignment vertical="center" shrinkToFit="1"/>
    </xf>
    <xf numFmtId="176" fontId="0" fillId="0" borderId="24" xfId="3" applyNumberFormat="1" applyFont="1" applyFill="1" applyBorder="1" applyAlignment="1">
      <alignment vertical="center" shrinkToFit="1"/>
    </xf>
    <xf numFmtId="176" fontId="0" fillId="0" borderId="94" xfId="0" applyNumberFormat="1" applyFont="1" applyBorder="1" applyAlignment="1">
      <alignment vertical="center" shrinkToFit="1"/>
    </xf>
    <xf numFmtId="177" fontId="0" fillId="0" borderId="94" xfId="0" applyNumberFormat="1" applyFont="1" applyBorder="1" applyAlignment="1">
      <alignment horizontal="center" vertical="center" shrinkToFit="1"/>
    </xf>
    <xf numFmtId="177" fontId="0" fillId="0" borderId="52" xfId="0" applyNumberFormat="1" applyFont="1" applyBorder="1" applyAlignment="1">
      <alignment horizontal="center" vertical="center" shrinkToFit="1"/>
    </xf>
    <xf numFmtId="177" fontId="0" fillId="0" borderId="95" xfId="0" applyNumberFormat="1" applyFont="1" applyBorder="1" applyAlignment="1">
      <alignment horizontal="center" vertical="center" shrinkToFit="1"/>
    </xf>
    <xf numFmtId="177" fontId="0" fillId="0" borderId="75" xfId="0" applyNumberFormat="1" applyFont="1" applyBorder="1" applyAlignment="1">
      <alignment vertical="center" shrinkToFit="1"/>
    </xf>
    <xf numFmtId="176" fontId="0" fillId="5" borderId="93" xfId="0" applyNumberFormat="1" applyFont="1" applyFill="1" applyBorder="1" applyAlignment="1">
      <alignment horizontal="center" vertical="center" shrinkToFit="1"/>
    </xf>
    <xf numFmtId="176" fontId="0" fillId="5" borderId="107" xfId="0" applyNumberFormat="1" applyFont="1" applyFill="1" applyBorder="1" applyAlignment="1">
      <alignment horizontal="center" vertical="center" shrinkToFit="1"/>
    </xf>
    <xf numFmtId="177" fontId="0" fillId="0" borderId="91" xfId="0" applyNumberFormat="1" applyFont="1" applyBorder="1" applyAlignment="1">
      <alignment horizontal="center" vertical="center" shrinkToFit="1"/>
    </xf>
    <xf numFmtId="177" fontId="0" fillId="2" borderId="116" xfId="0" applyNumberFormat="1" applyFont="1" applyFill="1" applyBorder="1" applyAlignment="1">
      <alignment horizontal="center" vertical="center" shrinkToFit="1"/>
    </xf>
    <xf numFmtId="177" fontId="0" fillId="0" borderId="56" xfId="0" applyNumberFormat="1" applyFont="1" applyBorder="1" applyAlignment="1">
      <alignment horizontal="center" vertical="center" shrinkToFit="1"/>
    </xf>
    <xf numFmtId="176" fontId="0" fillId="0" borderId="134" xfId="0" applyNumberFormat="1" applyFont="1" applyBorder="1" applyAlignment="1">
      <alignment vertical="center"/>
    </xf>
    <xf numFmtId="176" fontId="0" fillId="0" borderId="135" xfId="0" applyNumberFormat="1" applyFont="1" applyBorder="1" applyAlignment="1">
      <alignment vertical="center"/>
    </xf>
    <xf numFmtId="176" fontId="0" fillId="0" borderId="114" xfId="0" applyNumberFormat="1" applyFont="1" applyBorder="1" applyAlignment="1">
      <alignment vertical="center"/>
    </xf>
    <xf numFmtId="179" fontId="0" fillId="0" borderId="24" xfId="0" applyNumberFormat="1" applyFont="1" applyFill="1" applyBorder="1" applyAlignment="1">
      <alignment vertical="center"/>
    </xf>
    <xf numFmtId="9" fontId="0" fillId="0" borderId="24" xfId="3" applyNumberFormat="1" applyFont="1" applyFill="1" applyBorder="1" applyAlignment="1">
      <alignment vertical="center" shrinkToFit="1"/>
    </xf>
    <xf numFmtId="3" fontId="0" fillId="0" borderId="24" xfId="5" applyNumberFormat="1" applyFont="1" applyFill="1" applyBorder="1" applyAlignment="1">
      <alignment vertical="center" shrinkToFit="1"/>
    </xf>
    <xf numFmtId="176" fontId="0" fillId="0" borderId="57" xfId="0" applyNumberFormat="1" applyFont="1" applyBorder="1" applyAlignment="1">
      <alignment vertical="center" shrinkToFit="1"/>
    </xf>
    <xf numFmtId="177" fontId="0" fillId="2" borderId="140" xfId="0" applyNumberFormat="1" applyFont="1" applyFill="1" applyBorder="1" applyAlignment="1">
      <alignment vertical="center" shrinkToFit="1"/>
    </xf>
    <xf numFmtId="176" fontId="0" fillId="2" borderId="141" xfId="0" applyNumberFormat="1" applyFont="1" applyFill="1" applyBorder="1" applyAlignment="1">
      <alignment vertical="center" shrinkToFit="1"/>
    </xf>
    <xf numFmtId="177" fontId="0" fillId="2" borderId="137" xfId="3" applyNumberFormat="1" applyFont="1" applyFill="1" applyBorder="1" applyAlignment="1">
      <alignment horizontal="center" vertical="center" shrinkToFit="1"/>
    </xf>
    <xf numFmtId="177" fontId="0" fillId="2" borderId="137" xfId="3" applyNumberFormat="1" applyFont="1" applyFill="1" applyBorder="1" applyAlignment="1">
      <alignment vertical="center" shrinkToFit="1"/>
    </xf>
    <xf numFmtId="176" fontId="0" fillId="5" borderId="142" xfId="0" applyNumberFormat="1" applyFont="1" applyFill="1" applyBorder="1" applyAlignment="1">
      <alignment vertical="center"/>
    </xf>
    <xf numFmtId="177" fontId="0" fillId="0" borderId="145" xfId="0" applyNumberFormat="1" applyFont="1" applyFill="1" applyBorder="1" applyAlignment="1">
      <alignment vertical="center" shrinkToFit="1"/>
    </xf>
    <xf numFmtId="177" fontId="0" fillId="0" borderId="146" xfId="0" applyNumberFormat="1" applyFont="1" applyFill="1" applyBorder="1" applyAlignment="1">
      <alignment vertical="center" shrinkToFit="1"/>
    </xf>
    <xf numFmtId="177" fontId="0" fillId="0" borderId="138" xfId="0" applyNumberFormat="1" applyFill="1" applyBorder="1" applyAlignment="1">
      <alignment vertical="center"/>
    </xf>
    <xf numFmtId="181" fontId="0" fillId="0" borderId="110" xfId="0" applyNumberFormat="1" applyFont="1" applyBorder="1" applyAlignment="1">
      <alignment horizontal="right" vertical="center"/>
    </xf>
    <xf numFmtId="0" fontId="0" fillId="0" borderId="0" xfId="2" applyFont="1" applyAlignment="1">
      <alignment vertical="center"/>
    </xf>
    <xf numFmtId="179" fontId="0" fillId="0" borderId="0" xfId="0" applyNumberFormat="1" applyFont="1" applyBorder="1" applyAlignment="1">
      <alignment vertical="center" shrinkToFit="1"/>
    </xf>
    <xf numFmtId="176" fontId="0" fillId="0" borderId="76" xfId="0" applyNumberFormat="1" applyBorder="1" applyAlignment="1">
      <alignment vertical="center"/>
    </xf>
    <xf numFmtId="176" fontId="0" fillId="0" borderId="76" xfId="0" applyNumberFormat="1" applyFont="1" applyBorder="1" applyAlignment="1">
      <alignment vertical="center"/>
    </xf>
    <xf numFmtId="179" fontId="0" fillId="0" borderId="149" xfId="0" applyNumberFormat="1" applyFont="1" applyBorder="1" applyAlignment="1">
      <alignment vertical="center" shrinkToFit="1"/>
    </xf>
    <xf numFmtId="176" fontId="0" fillId="0" borderId="69" xfId="0" applyNumberFormat="1" applyBorder="1" applyAlignment="1">
      <alignment vertical="center"/>
    </xf>
    <xf numFmtId="179" fontId="0" fillId="0" borderId="12" xfId="0" applyNumberFormat="1" applyFont="1" applyBorder="1" applyAlignment="1">
      <alignment vertical="center" shrinkToFit="1"/>
    </xf>
    <xf numFmtId="179" fontId="0" fillId="0" borderId="150" xfId="0" applyNumberFormat="1" applyFont="1" applyBorder="1" applyAlignment="1">
      <alignment vertical="center" shrinkToFit="1"/>
    </xf>
    <xf numFmtId="179" fontId="0" fillId="0" borderId="151" xfId="0" applyNumberFormat="1" applyFont="1" applyBorder="1" applyAlignment="1">
      <alignment vertical="center" shrinkToFit="1"/>
    </xf>
    <xf numFmtId="179" fontId="0" fillId="0" borderId="122" xfId="0" applyNumberFormat="1" applyFont="1" applyBorder="1" applyAlignment="1">
      <alignment vertical="center" shrinkToFit="1"/>
    </xf>
    <xf numFmtId="179" fontId="0" fillId="0" borderId="11" xfId="0" applyNumberFormat="1" applyFont="1" applyBorder="1" applyAlignment="1">
      <alignment vertical="center" shrinkToFit="1"/>
    </xf>
    <xf numFmtId="179" fontId="0" fillId="0" borderId="152" xfId="0" applyNumberFormat="1" applyFont="1" applyBorder="1" applyAlignment="1">
      <alignment vertical="center" shrinkToFit="1"/>
    </xf>
    <xf numFmtId="179" fontId="0" fillId="0" borderId="106" xfId="0" applyNumberFormat="1" applyFont="1" applyBorder="1" applyAlignment="1">
      <alignment vertical="center" shrinkToFit="1"/>
    </xf>
    <xf numFmtId="184" fontId="0" fillId="0" borderId="12" xfId="0" applyNumberFormat="1" applyFont="1" applyBorder="1" applyAlignment="1">
      <alignment vertical="center" shrinkToFit="1"/>
    </xf>
    <xf numFmtId="184" fontId="0" fillId="0" borderId="150" xfId="0" applyNumberFormat="1" applyFont="1" applyBorder="1" applyAlignment="1">
      <alignment vertical="center" shrinkToFit="1"/>
    </xf>
    <xf numFmtId="184" fontId="13" fillId="0" borderId="150" xfId="0" applyNumberFormat="1" applyFont="1" applyBorder="1" applyAlignment="1">
      <alignment vertical="center" shrinkToFit="1"/>
    </xf>
    <xf numFmtId="0" fontId="1" fillId="0" borderId="0" xfId="2" applyFont="1" applyAlignment="1">
      <alignment horizontal="right" vertical="center"/>
    </xf>
    <xf numFmtId="177" fontId="0" fillId="0" borderId="13" xfId="0" applyNumberFormat="1" applyFill="1" applyBorder="1" applyAlignment="1">
      <alignment vertical="center" shrinkToFit="1"/>
    </xf>
    <xf numFmtId="0" fontId="0" fillId="0" borderId="0" xfId="2" applyFont="1" applyAlignment="1">
      <alignment horizontal="right" vertical="center"/>
    </xf>
    <xf numFmtId="176" fontId="0" fillId="0" borderId="76" xfId="0" applyNumberFormat="1" applyFont="1" applyBorder="1" applyAlignment="1">
      <alignment vertical="center" shrinkToFit="1"/>
    </xf>
    <xf numFmtId="9" fontId="0" fillId="0" borderId="76" xfId="0" applyNumberFormat="1" applyFont="1" applyBorder="1" applyAlignment="1">
      <alignment vertical="center" shrinkToFit="1"/>
    </xf>
    <xf numFmtId="182" fontId="0" fillId="0" borderId="76" xfId="4" applyNumberFormat="1" applyFont="1" applyBorder="1" applyAlignment="1">
      <alignment vertical="center" shrinkToFit="1"/>
    </xf>
    <xf numFmtId="176" fontId="0" fillId="0" borderId="76" xfId="0" applyNumberFormat="1" applyFont="1" applyBorder="1" applyAlignment="1">
      <alignment horizontal="right" vertical="center" shrinkToFit="1"/>
    </xf>
    <xf numFmtId="49" fontId="0" fillId="0" borderId="76" xfId="0" applyNumberFormat="1" applyFont="1" applyBorder="1" applyAlignment="1">
      <alignment vertical="center" shrinkToFit="1"/>
    </xf>
    <xf numFmtId="176" fontId="0" fillId="2" borderId="76" xfId="0" applyNumberFormat="1" applyFont="1" applyFill="1" applyBorder="1" applyAlignment="1">
      <alignment vertical="center" shrinkToFit="1"/>
    </xf>
    <xf numFmtId="176" fontId="0" fillId="2" borderId="76" xfId="0" applyNumberFormat="1" applyFont="1" applyFill="1" applyBorder="1" applyAlignment="1">
      <alignment horizontal="left" vertical="center" shrinkToFit="1"/>
    </xf>
    <xf numFmtId="179" fontId="0" fillId="2" borderId="76" xfId="0" applyNumberFormat="1" applyFont="1" applyFill="1" applyBorder="1" applyAlignment="1">
      <alignment vertical="center" shrinkToFit="1"/>
    </xf>
    <xf numFmtId="9" fontId="0" fillId="0" borderId="76" xfId="4" applyFont="1" applyBorder="1" applyAlignment="1">
      <alignment vertical="center" shrinkToFit="1"/>
    </xf>
    <xf numFmtId="177" fontId="0" fillId="0" borderId="7" xfId="0" applyNumberFormat="1" applyFill="1" applyBorder="1" applyAlignment="1">
      <alignment vertical="center" shrinkToFit="1"/>
    </xf>
    <xf numFmtId="177" fontId="0" fillId="0" borderId="7" xfId="0" applyNumberFormat="1" applyFill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horizontal="center" vertical="center" shrinkToFit="1"/>
    </xf>
    <xf numFmtId="177" fontId="0" fillId="0" borderId="5" xfId="0" applyNumberFormat="1" applyBorder="1" applyAlignment="1">
      <alignment horizontal="center" vertical="center" shrinkToFit="1"/>
    </xf>
    <xf numFmtId="177" fontId="0" fillId="0" borderId="76" xfId="0" applyNumberFormat="1" applyBorder="1" applyAlignment="1">
      <alignment horizontal="center" vertical="center" shrinkToFit="1"/>
    </xf>
    <xf numFmtId="176" fontId="0" fillId="0" borderId="76" xfId="0" applyNumberFormat="1" applyBorder="1" applyAlignment="1">
      <alignment horizontal="center" vertical="center" shrinkToFit="1"/>
    </xf>
    <xf numFmtId="177" fontId="0" fillId="0" borderId="35" xfId="0" applyNumberFormat="1" applyBorder="1" applyAlignment="1">
      <alignment horizontal="center" vertical="center" shrinkToFit="1"/>
    </xf>
    <xf numFmtId="177" fontId="0" fillId="0" borderId="67" xfId="0" applyNumberFormat="1" applyBorder="1" applyAlignment="1">
      <alignment horizontal="center" vertical="center" shrinkToFit="1"/>
    </xf>
    <xf numFmtId="177" fontId="0" fillId="0" borderId="46" xfId="0" applyNumberFormat="1" applyFill="1" applyBorder="1" applyAlignment="1">
      <alignment vertical="center"/>
    </xf>
    <xf numFmtId="177" fontId="0" fillId="0" borderId="12" xfId="0" applyNumberFormat="1" applyFill="1" applyBorder="1" applyAlignment="1">
      <alignment horizontal="center" vertical="center" shrinkToFit="1"/>
    </xf>
    <xf numFmtId="0" fontId="0" fillId="0" borderId="24" xfId="0" applyFont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177" fontId="0" fillId="0" borderId="76" xfId="0" applyNumberFormat="1" applyFont="1" applyBorder="1" applyAlignment="1">
      <alignment horizontal="center" vertical="center" shrinkToFit="1"/>
    </xf>
    <xf numFmtId="177" fontId="0" fillId="0" borderId="138" xfId="0" applyNumberFormat="1" applyFont="1" applyFill="1" applyBorder="1" applyAlignment="1">
      <alignment vertical="center"/>
    </xf>
    <xf numFmtId="177" fontId="0" fillId="0" borderId="145" xfId="0" applyNumberFormat="1" applyFont="1" applyFill="1" applyBorder="1" applyAlignment="1">
      <alignment vertical="center"/>
    </xf>
    <xf numFmtId="177" fontId="0" fillId="0" borderId="146" xfId="0" applyNumberFormat="1" applyFont="1" applyFill="1" applyBorder="1" applyAlignment="1">
      <alignment vertical="center"/>
    </xf>
    <xf numFmtId="177" fontId="0" fillId="0" borderId="138" xfId="0" applyNumberFormat="1" applyFont="1" applyBorder="1" applyAlignment="1">
      <alignment vertical="center" shrinkToFit="1"/>
    </xf>
    <xf numFmtId="176" fontId="0" fillId="0" borderId="122" xfId="0" applyNumberFormat="1" applyFont="1" applyBorder="1" applyAlignment="1">
      <alignment vertical="center" shrinkToFit="1"/>
    </xf>
    <xf numFmtId="185" fontId="0" fillId="0" borderId="68" xfId="0" applyNumberFormat="1" applyFont="1" applyBorder="1" applyAlignment="1">
      <alignment horizontal="center" vertical="center"/>
    </xf>
    <xf numFmtId="0" fontId="0" fillId="0" borderId="154" xfId="0" applyFont="1" applyBorder="1" applyAlignment="1">
      <alignment horizontal="center" vertical="center"/>
    </xf>
    <xf numFmtId="181" fontId="0" fillId="0" borderId="154" xfId="0" applyNumberFormat="1" applyFont="1" applyBorder="1" applyAlignment="1">
      <alignment horizontal="right" vertical="center"/>
    </xf>
    <xf numFmtId="181" fontId="0" fillId="4" borderId="39" xfId="0" applyNumberFormat="1" applyFont="1" applyFill="1" applyBorder="1" applyAlignment="1">
      <alignment horizontal="right" vertical="center"/>
    </xf>
    <xf numFmtId="181" fontId="0" fillId="0" borderId="37" xfId="0" applyNumberFormat="1" applyFont="1" applyFill="1" applyBorder="1" applyAlignment="1">
      <alignment horizontal="right" vertical="center"/>
    </xf>
    <xf numFmtId="181" fontId="0" fillId="6" borderId="37" xfId="0" applyNumberFormat="1" applyFont="1" applyFill="1" applyBorder="1" applyAlignment="1">
      <alignment horizontal="right" vertical="center"/>
    </xf>
    <xf numFmtId="181" fontId="0" fillId="6" borderId="40" xfId="1" applyNumberFormat="1" applyFont="1" applyFill="1" applyBorder="1" applyAlignment="1">
      <alignment horizontal="right" vertical="center"/>
    </xf>
    <xf numFmtId="181" fontId="0" fillId="0" borderId="36" xfId="0" applyNumberFormat="1" applyFont="1" applyBorder="1" applyAlignment="1">
      <alignment vertical="center"/>
    </xf>
    <xf numFmtId="181" fontId="0" fillId="0" borderId="158" xfId="0" applyNumberFormat="1" applyFont="1" applyBorder="1" applyAlignment="1">
      <alignment vertical="center"/>
    </xf>
    <xf numFmtId="181" fontId="0" fillId="3" borderId="24" xfId="1" applyNumberFormat="1" applyFont="1" applyFill="1" applyBorder="1" applyAlignment="1">
      <alignment horizontal="right" vertical="center"/>
    </xf>
    <xf numFmtId="181" fontId="0" fillId="0" borderId="36" xfId="0" applyNumberFormat="1" applyFont="1" applyBorder="1" applyAlignment="1">
      <alignment horizontal="right" vertical="center"/>
    </xf>
    <xf numFmtId="182" fontId="0" fillId="3" borderId="24" xfId="1" applyNumberFormat="1" applyFont="1" applyFill="1" applyBorder="1" applyAlignment="1">
      <alignment horizontal="right" vertical="center"/>
    </xf>
    <xf numFmtId="181" fontId="0" fillId="3" borderId="45" xfId="1" applyNumberFormat="1" applyFont="1" applyFill="1" applyBorder="1" applyAlignment="1">
      <alignment horizontal="right" vertical="center"/>
    </xf>
    <xf numFmtId="0" fontId="0" fillId="0" borderId="155" xfId="0" applyFont="1" applyBorder="1" applyAlignment="1">
      <alignment horizontal="center" vertical="center"/>
    </xf>
    <xf numFmtId="185" fontId="0" fillId="0" borderId="118" xfId="0" applyNumberFormat="1" applyFont="1" applyBorder="1" applyAlignment="1">
      <alignment horizontal="center" vertical="center"/>
    </xf>
    <xf numFmtId="181" fontId="0" fillId="0" borderId="155" xfId="0" applyNumberFormat="1" applyFont="1" applyBorder="1" applyAlignment="1">
      <alignment horizontal="right" vertical="center"/>
    </xf>
    <xf numFmtId="181" fontId="0" fillId="4" borderId="164" xfId="0" applyNumberFormat="1" applyFont="1" applyFill="1" applyBorder="1" applyAlignment="1">
      <alignment horizontal="right" vertical="center"/>
    </xf>
    <xf numFmtId="181" fontId="0" fillId="0" borderId="36" xfId="0" applyNumberFormat="1" applyFont="1" applyFill="1" applyBorder="1" applyAlignment="1">
      <alignment horizontal="right" vertical="center"/>
    </xf>
    <xf numFmtId="181" fontId="0" fillId="6" borderId="50" xfId="1" applyNumberFormat="1" applyFont="1" applyFill="1" applyBorder="1" applyAlignment="1">
      <alignment horizontal="right" vertical="center"/>
    </xf>
    <xf numFmtId="181" fontId="0" fillId="3" borderId="32" xfId="1" applyNumberFormat="1" applyFont="1" applyFill="1" applyBorder="1" applyAlignment="1">
      <alignment horizontal="right" vertical="center"/>
    </xf>
    <xf numFmtId="182" fontId="0" fillId="3" borderId="32" xfId="1" applyNumberFormat="1" applyFont="1" applyFill="1" applyBorder="1" applyAlignment="1">
      <alignment horizontal="right" vertical="center"/>
    </xf>
    <xf numFmtId="181" fontId="0" fillId="3" borderId="43" xfId="1" applyNumberFormat="1" applyFont="1" applyFill="1" applyBorder="1" applyAlignment="1">
      <alignment horizontal="right" vertical="center"/>
    </xf>
    <xf numFmtId="181" fontId="0" fillId="4" borderId="137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77" fontId="0" fillId="0" borderId="122" xfId="3" applyNumberFormat="1" applyFont="1" applyFill="1" applyBorder="1" applyAlignment="1">
      <alignment vertical="center" shrinkToFit="1"/>
    </xf>
    <xf numFmtId="176" fontId="0" fillId="0" borderId="167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wrapText="1" shrinkToFit="1"/>
    </xf>
    <xf numFmtId="176" fontId="0" fillId="2" borderId="2" xfId="0" applyNumberFormat="1" applyFont="1" applyFill="1" applyBorder="1" applyAlignment="1">
      <alignment vertical="center" shrinkToFit="1"/>
    </xf>
    <xf numFmtId="176" fontId="0" fillId="0" borderId="64" xfId="0" applyNumberFormat="1" applyFont="1" applyFill="1" applyBorder="1" applyAlignment="1">
      <alignment vertical="center" shrinkToFit="1"/>
    </xf>
    <xf numFmtId="177" fontId="0" fillId="7" borderId="122" xfId="0" applyNumberFormat="1" applyFill="1" applyBorder="1" applyAlignment="1">
      <alignment vertical="center"/>
    </xf>
    <xf numFmtId="177" fontId="0" fillId="7" borderId="100" xfId="0" applyNumberFormat="1" applyFont="1" applyFill="1" applyBorder="1" applyAlignment="1">
      <alignment vertical="center"/>
    </xf>
    <xf numFmtId="177" fontId="0" fillId="7" borderId="122" xfId="0" applyNumberFormat="1" applyFill="1" applyBorder="1" applyAlignment="1">
      <alignment horizontal="center" vertical="center"/>
    </xf>
    <xf numFmtId="177" fontId="0" fillId="7" borderId="122" xfId="0" applyNumberFormat="1" applyFont="1" applyFill="1" applyBorder="1" applyAlignment="1">
      <alignment horizontal="center" vertical="center"/>
    </xf>
    <xf numFmtId="177" fontId="0" fillId="7" borderId="117" xfId="0" applyNumberFormat="1" applyFont="1" applyFill="1" applyBorder="1" applyAlignment="1">
      <alignment vertical="center"/>
    </xf>
    <xf numFmtId="177" fontId="0" fillId="7" borderId="168" xfId="0" applyNumberFormat="1" applyFont="1" applyFill="1" applyBorder="1" applyAlignment="1">
      <alignment vertical="center"/>
    </xf>
    <xf numFmtId="177" fontId="0" fillId="0" borderId="25" xfId="0" applyNumberFormat="1" applyFill="1" applyBorder="1" applyAlignment="1">
      <alignment vertical="center"/>
    </xf>
    <xf numFmtId="177" fontId="0" fillId="0" borderId="98" xfId="0" applyNumberFormat="1" applyFont="1" applyFill="1" applyBorder="1" applyAlignment="1">
      <alignment vertical="center"/>
    </xf>
    <xf numFmtId="177" fontId="0" fillId="0" borderId="10" xfId="0" applyNumberFormat="1" applyFill="1" applyBorder="1" applyAlignment="1">
      <alignment vertical="center"/>
    </xf>
    <xf numFmtId="178" fontId="0" fillId="0" borderId="10" xfId="0" applyNumberFormat="1" applyFont="1" applyFill="1" applyBorder="1" applyAlignment="1">
      <alignment vertical="center"/>
    </xf>
    <xf numFmtId="177" fontId="0" fillId="0" borderId="10" xfId="0" applyNumberFormat="1" applyFont="1" applyFill="1" applyBorder="1" applyAlignment="1">
      <alignment vertical="center"/>
    </xf>
    <xf numFmtId="177" fontId="0" fillId="0" borderId="24" xfId="0" applyNumberFormat="1" applyFont="1" applyBorder="1" applyAlignment="1">
      <alignment vertical="center"/>
    </xf>
    <xf numFmtId="177" fontId="0" fillId="0" borderId="32" xfId="0" applyNumberFormat="1" applyFont="1" applyBorder="1" applyAlignment="1">
      <alignment vertical="center"/>
    </xf>
    <xf numFmtId="177" fontId="0" fillId="0" borderId="37" xfId="0" applyNumberFormat="1" applyFont="1" applyBorder="1" applyAlignment="1">
      <alignment vertical="center"/>
    </xf>
    <xf numFmtId="177" fontId="0" fillId="0" borderId="98" xfId="0" applyNumberFormat="1" applyFont="1" applyBorder="1" applyAlignment="1">
      <alignment vertical="center"/>
    </xf>
    <xf numFmtId="177" fontId="0" fillId="0" borderId="23" xfId="0" applyNumberFormat="1" applyFont="1" applyBorder="1" applyAlignment="1">
      <alignment vertical="center"/>
    </xf>
    <xf numFmtId="177" fontId="0" fillId="0" borderId="174" xfId="0" applyNumberFormat="1" applyFont="1" applyBorder="1" applyAlignment="1">
      <alignment vertical="center"/>
    </xf>
    <xf numFmtId="177" fontId="0" fillId="0" borderId="173" xfId="0" applyNumberFormat="1" applyFont="1" applyBorder="1" applyAlignment="1">
      <alignment vertical="center"/>
    </xf>
    <xf numFmtId="177" fontId="0" fillId="0" borderId="175" xfId="0" applyNumberFormat="1" applyFont="1" applyFill="1" applyBorder="1" applyAlignment="1">
      <alignment vertical="center"/>
    </xf>
    <xf numFmtId="177" fontId="0" fillId="0" borderId="172" xfId="0" applyNumberFormat="1" applyFont="1" applyFill="1" applyBorder="1" applyAlignment="1">
      <alignment vertical="center"/>
    </xf>
    <xf numFmtId="176" fontId="0" fillId="0" borderId="117" xfId="0" applyNumberFormat="1" applyFont="1" applyBorder="1" applyAlignment="1">
      <alignment vertical="center" shrinkToFit="1"/>
    </xf>
    <xf numFmtId="176" fontId="0" fillId="0" borderId="117" xfId="0" applyNumberFormat="1" applyFont="1" applyBorder="1" applyAlignment="1">
      <alignment horizontal="center" vertical="center" shrinkToFit="1"/>
    </xf>
    <xf numFmtId="176" fontId="0" fillId="0" borderId="169" xfId="0" applyNumberFormat="1" applyFont="1" applyBorder="1" applyAlignment="1">
      <alignment vertical="center" shrinkToFit="1"/>
    </xf>
    <xf numFmtId="181" fontId="0" fillId="0" borderId="32" xfId="0" applyNumberFormat="1" applyFont="1" applyBorder="1" applyAlignment="1">
      <alignment vertical="center"/>
    </xf>
    <xf numFmtId="181" fontId="0" fillId="0" borderId="36" xfId="0" applyNumberFormat="1" applyFont="1" applyBorder="1" applyAlignment="1">
      <alignment vertical="center"/>
    </xf>
    <xf numFmtId="181" fontId="0" fillId="0" borderId="158" xfId="0" applyNumberFormat="1" applyFont="1" applyBorder="1" applyAlignment="1">
      <alignment vertical="center"/>
    </xf>
    <xf numFmtId="0" fontId="0" fillId="4" borderId="32" xfId="0" applyFont="1" applyFill="1" applyBorder="1" applyAlignment="1">
      <alignment horizontal="center" vertical="center"/>
    </xf>
    <xf numFmtId="0" fontId="0" fillId="4" borderId="37" xfId="0" applyFont="1" applyFill="1" applyBorder="1" applyAlignment="1">
      <alignment horizontal="center" vertical="center"/>
    </xf>
    <xf numFmtId="0" fontId="0" fillId="0" borderId="26" xfId="2" applyFont="1" applyBorder="1" applyAlignment="1">
      <alignment horizontal="center" vertical="center" wrapText="1"/>
    </xf>
    <xf numFmtId="0" fontId="0" fillId="0" borderId="25" xfId="2" applyFont="1" applyBorder="1" applyAlignment="1">
      <alignment horizontal="center" vertical="center" wrapText="1"/>
    </xf>
    <xf numFmtId="0" fontId="1" fillId="0" borderId="145" xfId="2" applyFont="1" applyBorder="1" applyAlignment="1">
      <alignment horizontal="center" vertical="center" wrapText="1"/>
    </xf>
    <xf numFmtId="0" fontId="0" fillId="0" borderId="103" xfId="2" applyFont="1" applyBorder="1" applyAlignment="1">
      <alignment horizontal="center" vertical="center" wrapText="1"/>
    </xf>
    <xf numFmtId="0" fontId="0" fillId="0" borderId="46" xfId="2" applyFont="1" applyBorder="1" applyAlignment="1">
      <alignment horizontal="center"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0" fillId="0" borderId="187" xfId="0" applyFont="1" applyBorder="1" applyAlignment="1">
      <alignment vertical="center" wrapText="1"/>
    </xf>
    <xf numFmtId="0" fontId="0" fillId="0" borderId="188" xfId="0" applyFont="1" applyBorder="1" applyAlignment="1">
      <alignment vertical="center"/>
    </xf>
    <xf numFmtId="181" fontId="0" fillId="0" borderId="188" xfId="0" applyNumberFormat="1" applyFont="1" applyBorder="1" applyAlignment="1">
      <alignment horizontal="right" vertical="center"/>
    </xf>
    <xf numFmtId="0" fontId="0" fillId="0" borderId="193" xfId="0" applyFont="1" applyBorder="1" applyAlignment="1">
      <alignment horizontal="left" vertical="center"/>
    </xf>
    <xf numFmtId="0" fontId="0" fillId="0" borderId="113" xfId="0" applyFont="1" applyBorder="1" applyAlignment="1">
      <alignment horizontal="left" vertical="center"/>
    </xf>
    <xf numFmtId="0" fontId="8" fillId="0" borderId="195" xfId="0" applyFont="1" applyBorder="1" applyAlignment="1">
      <alignment horizontal="center" vertical="center" shrinkToFit="1"/>
    </xf>
    <xf numFmtId="0" fontId="8" fillId="0" borderId="198" xfId="0" applyFont="1" applyBorder="1" applyAlignment="1">
      <alignment horizontal="center" vertical="center" shrinkToFit="1"/>
    </xf>
    <xf numFmtId="0" fontId="8" fillId="0" borderId="209" xfId="2" applyFont="1" applyBorder="1" applyAlignment="1">
      <alignment horizontal="center" vertical="center" wrapText="1"/>
    </xf>
    <xf numFmtId="0" fontId="1" fillId="0" borderId="138" xfId="2" applyFont="1" applyBorder="1" applyAlignment="1">
      <alignment horizontal="center" vertical="center" wrapText="1"/>
    </xf>
    <xf numFmtId="0" fontId="1" fillId="0" borderId="146" xfId="2" applyFont="1" applyBorder="1" applyAlignment="1">
      <alignment horizontal="center" vertical="center" wrapText="1"/>
    </xf>
    <xf numFmtId="0" fontId="0" fillId="0" borderId="145" xfId="2" applyFont="1" applyBorder="1" applyAlignment="1">
      <alignment horizontal="center" vertical="center" wrapText="1"/>
    </xf>
    <xf numFmtId="176" fontId="0" fillId="0" borderId="18" xfId="0" applyNumberFormat="1" applyFont="1" applyBorder="1" applyAlignment="1">
      <alignment vertical="center"/>
    </xf>
    <xf numFmtId="176" fontId="0" fillId="0" borderId="223" xfId="0" applyNumberFormat="1" applyFont="1" applyBorder="1" applyAlignment="1">
      <alignment horizontal="center" vertical="center" shrinkToFit="1"/>
    </xf>
    <xf numFmtId="179" fontId="0" fillId="0" borderId="223" xfId="0" applyNumberFormat="1" applyFont="1" applyBorder="1" applyAlignment="1">
      <alignment horizontal="center" vertical="center" shrinkToFit="1"/>
    </xf>
    <xf numFmtId="176" fontId="5" fillId="0" borderId="122" xfId="0" applyNumberFormat="1" applyFont="1" applyBorder="1" applyAlignment="1">
      <alignment horizontal="center" vertical="center" shrinkToFit="1"/>
    </xf>
    <xf numFmtId="179" fontId="5" fillId="0" borderId="122" xfId="0" applyNumberFormat="1" applyFont="1" applyBorder="1" applyAlignment="1">
      <alignment horizontal="center" vertical="center" shrinkToFit="1"/>
    </xf>
    <xf numFmtId="9" fontId="0" fillId="0" borderId="122" xfId="0" applyNumberFormat="1" applyFont="1" applyBorder="1" applyAlignment="1">
      <alignment vertical="center" shrinkToFit="1"/>
    </xf>
    <xf numFmtId="176" fontId="0" fillId="0" borderId="122" xfId="0" applyNumberFormat="1" applyFont="1" applyBorder="1" applyAlignment="1">
      <alignment horizontal="center" vertical="center" shrinkToFit="1"/>
    </xf>
    <xf numFmtId="182" fontId="0" fillId="0" borderId="122" xfId="4" applyNumberFormat="1" applyFont="1" applyBorder="1" applyAlignment="1">
      <alignment vertical="center" shrinkToFit="1"/>
    </xf>
    <xf numFmtId="176" fontId="0" fillId="2" borderId="122" xfId="0" applyNumberFormat="1" applyFont="1" applyFill="1" applyBorder="1" applyAlignment="1">
      <alignment horizontal="center" vertical="center" shrinkToFit="1"/>
    </xf>
    <xf numFmtId="176" fontId="0" fillId="2" borderId="122" xfId="0" applyNumberFormat="1" applyFont="1" applyFill="1" applyBorder="1" applyAlignment="1">
      <alignment vertical="center" shrinkToFit="1"/>
    </xf>
    <xf numFmtId="176" fontId="0" fillId="2" borderId="122" xfId="0" applyNumberFormat="1" applyFont="1" applyFill="1" applyBorder="1" applyAlignment="1">
      <alignment horizontal="left" vertical="center" shrinkToFit="1"/>
    </xf>
    <xf numFmtId="179" fontId="0" fillId="2" borderId="122" xfId="0" applyNumberFormat="1" applyFont="1" applyFill="1" applyBorder="1" applyAlignment="1">
      <alignment vertical="center" shrinkToFit="1"/>
    </xf>
    <xf numFmtId="9" fontId="0" fillId="0" borderId="122" xfId="0" applyNumberFormat="1" applyFont="1" applyFill="1" applyBorder="1" applyAlignment="1">
      <alignment vertical="center" shrinkToFit="1"/>
    </xf>
    <xf numFmtId="176" fontId="0" fillId="0" borderId="122" xfId="0" applyNumberFormat="1" applyFont="1" applyFill="1" applyBorder="1" applyAlignment="1">
      <alignment vertical="center" shrinkToFit="1"/>
    </xf>
    <xf numFmtId="9" fontId="0" fillId="0" borderId="122" xfId="4" applyFont="1" applyBorder="1" applyAlignment="1">
      <alignment vertical="center" shrinkToFit="1"/>
    </xf>
    <xf numFmtId="176" fontId="0" fillId="2" borderId="207" xfId="0" applyNumberFormat="1" applyFont="1" applyFill="1" applyBorder="1" applyAlignment="1">
      <alignment vertical="center" shrinkToFit="1"/>
    </xf>
    <xf numFmtId="181" fontId="0" fillId="0" borderId="32" xfId="0" applyNumberFormat="1" applyFont="1" applyBorder="1" applyAlignment="1">
      <alignment vertical="center"/>
    </xf>
    <xf numFmtId="181" fontId="0" fillId="0" borderId="36" xfId="0" applyNumberFormat="1" applyFont="1" applyBorder="1" applyAlignment="1">
      <alignment vertical="center"/>
    </xf>
    <xf numFmtId="181" fontId="0" fillId="0" borderId="158" xfId="0" applyNumberFormat="1" applyFont="1" applyBorder="1" applyAlignment="1">
      <alignment vertical="center"/>
    </xf>
    <xf numFmtId="181" fontId="0" fillId="0" borderId="32" xfId="0" applyNumberFormat="1" applyFont="1" applyBorder="1" applyAlignment="1">
      <alignment vertical="center"/>
    </xf>
    <xf numFmtId="181" fontId="0" fillId="0" borderId="36" xfId="0" applyNumberFormat="1" applyFont="1" applyBorder="1" applyAlignment="1">
      <alignment vertical="center"/>
    </xf>
    <xf numFmtId="181" fontId="0" fillId="0" borderId="158" xfId="0" applyNumberFormat="1" applyFont="1" applyBorder="1" applyAlignment="1">
      <alignment vertical="center"/>
    </xf>
    <xf numFmtId="177" fontId="0" fillId="0" borderId="122" xfId="0" applyNumberFormat="1" applyFont="1" applyFill="1" applyBorder="1" applyAlignment="1">
      <alignment horizontal="center" vertical="center"/>
    </xf>
    <xf numFmtId="177" fontId="17" fillId="0" borderId="8" xfId="0" applyNumberFormat="1" applyFont="1" applyFill="1" applyBorder="1" applyAlignment="1">
      <alignment vertical="center"/>
    </xf>
    <xf numFmtId="177" fontId="0" fillId="0" borderId="122" xfId="3" applyNumberFormat="1" applyFont="1" applyBorder="1" applyAlignment="1">
      <alignment vertical="center" shrinkToFit="1"/>
    </xf>
    <xf numFmtId="181" fontId="0" fillId="0" borderId="32" xfId="0" applyNumberFormat="1" applyFont="1" applyBorder="1" applyAlignment="1">
      <alignment vertical="center"/>
    </xf>
    <xf numFmtId="181" fontId="0" fillId="0" borderId="36" xfId="0" applyNumberFormat="1" applyFont="1" applyBorder="1" applyAlignment="1">
      <alignment vertical="center"/>
    </xf>
    <xf numFmtId="181" fontId="0" fillId="0" borderId="158" xfId="0" applyNumberFormat="1" applyFont="1" applyBorder="1" applyAlignment="1">
      <alignment vertical="center"/>
    </xf>
    <xf numFmtId="181" fontId="0" fillId="0" borderId="231" xfId="0" applyNumberFormat="1" applyFont="1" applyBorder="1" applyAlignment="1">
      <alignment horizontal="right" vertical="center"/>
    </xf>
    <xf numFmtId="177" fontId="0" fillId="0" borderId="14" xfId="0" applyNumberFormat="1" applyFill="1" applyBorder="1" applyAlignment="1">
      <alignment vertical="center"/>
    </xf>
    <xf numFmtId="181" fontId="0" fillId="0" borderId="232" xfId="0" applyNumberFormat="1" applyFont="1" applyBorder="1" applyAlignment="1">
      <alignment horizontal="right" vertical="center"/>
    </xf>
    <xf numFmtId="181" fontId="0" fillId="0" borderId="233" xfId="0" applyNumberFormat="1" applyFont="1" applyBorder="1" applyAlignment="1">
      <alignment horizontal="right" vertical="center"/>
    </xf>
    <xf numFmtId="186" fontId="0" fillId="0" borderId="46" xfId="0" applyNumberFormat="1" applyFont="1" applyBorder="1" applyAlignment="1">
      <alignment horizontal="center" vertical="center"/>
    </xf>
    <xf numFmtId="176" fontId="0" fillId="0" borderId="207" xfId="0" applyNumberFormat="1" applyFont="1" applyBorder="1" applyAlignment="1">
      <alignment horizontal="center" vertical="center"/>
    </xf>
    <xf numFmtId="176" fontId="0" fillId="0" borderId="30" xfId="0" applyNumberFormat="1" applyFont="1" applyBorder="1" applyAlignment="1">
      <alignment horizontal="center" vertical="center"/>
    </xf>
    <xf numFmtId="176" fontId="0" fillId="0" borderId="207" xfId="0" applyNumberFormat="1" applyFont="1" applyBorder="1" applyAlignment="1">
      <alignment vertical="center"/>
    </xf>
    <xf numFmtId="0" fontId="1" fillId="0" borderId="46" xfId="2" applyFont="1" applyBorder="1" applyAlignment="1">
      <alignment horizontal="right" vertical="center" wrapText="1"/>
    </xf>
    <xf numFmtId="0" fontId="0" fillId="0" borderId="234" xfId="0" applyFont="1" applyBorder="1" applyAlignment="1">
      <alignment vertical="center"/>
    </xf>
    <xf numFmtId="181" fontId="0" fillId="0" borderId="234" xfId="0" applyNumberFormat="1" applyFont="1" applyBorder="1" applyAlignment="1">
      <alignment horizontal="right" vertical="center"/>
    </xf>
    <xf numFmtId="181" fontId="0" fillId="0" borderId="235" xfId="0" applyNumberFormat="1" applyFont="1" applyBorder="1" applyAlignment="1">
      <alignment horizontal="right" vertical="center"/>
    </xf>
    <xf numFmtId="177" fontId="0" fillId="0" borderId="122" xfId="0" applyNumberFormat="1" applyFont="1" applyFill="1" applyBorder="1" applyAlignment="1">
      <alignment vertical="center" shrinkToFit="1"/>
    </xf>
    <xf numFmtId="177" fontId="0" fillId="0" borderId="166" xfId="0" applyNumberFormat="1" applyFill="1" applyBorder="1" applyAlignment="1">
      <alignment horizontal="center" vertical="center" shrinkToFit="1"/>
    </xf>
    <xf numFmtId="177" fontId="0" fillId="0" borderId="122" xfId="0" applyNumberFormat="1" applyFill="1" applyBorder="1" applyAlignment="1">
      <alignment horizontal="center" vertical="center" shrinkToFit="1"/>
    </xf>
    <xf numFmtId="177" fontId="0" fillId="0" borderId="122" xfId="0" applyNumberFormat="1" applyFont="1" applyFill="1" applyBorder="1" applyAlignment="1">
      <alignment horizontal="center" vertical="center" shrinkToFit="1"/>
    </xf>
    <xf numFmtId="177" fontId="0" fillId="0" borderId="126" xfId="0" applyNumberFormat="1" applyFont="1" applyFill="1" applyBorder="1" applyAlignment="1">
      <alignment horizontal="center" vertical="center" shrinkToFit="1"/>
    </xf>
    <xf numFmtId="0" fontId="1" fillId="0" borderId="138" xfId="2" applyFont="1" applyBorder="1" applyAlignment="1">
      <alignment horizontal="left" vertical="center" wrapText="1"/>
    </xf>
    <xf numFmtId="176" fontId="0" fillId="0" borderId="119" xfId="0" applyNumberFormat="1" applyFont="1" applyBorder="1" applyAlignment="1">
      <alignment horizontal="center" vertical="center"/>
    </xf>
    <xf numFmtId="176" fontId="0" fillId="0" borderId="98" xfId="0" applyNumberFormat="1" applyFont="1" applyBorder="1" applyAlignment="1">
      <alignment horizontal="center" vertical="center"/>
    </xf>
    <xf numFmtId="176" fontId="0" fillId="0" borderId="65" xfId="0" applyNumberFormat="1" applyFont="1" applyBorder="1" applyAlignment="1">
      <alignment horizontal="center" vertical="center"/>
    </xf>
    <xf numFmtId="176" fontId="0" fillId="0" borderId="46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176" fontId="0" fillId="0" borderId="122" xfId="0" applyNumberFormat="1" applyFont="1" applyBorder="1" applyAlignment="1">
      <alignment horizontal="center" vertical="center"/>
    </xf>
    <xf numFmtId="176" fontId="0" fillId="0" borderId="236" xfId="0" applyNumberFormat="1" applyFont="1" applyBorder="1" applyAlignment="1">
      <alignment horizontal="center" vertical="center"/>
    </xf>
    <xf numFmtId="176" fontId="0" fillId="0" borderId="125" xfId="0" applyNumberFormat="1" applyFont="1" applyBorder="1" applyAlignment="1">
      <alignment horizontal="center" vertical="center"/>
    </xf>
    <xf numFmtId="176" fontId="0" fillId="0" borderId="122" xfId="0" applyNumberFormat="1" applyFont="1" applyBorder="1" applyAlignment="1">
      <alignment vertical="center"/>
    </xf>
    <xf numFmtId="176" fontId="0" fillId="0" borderId="125" xfId="0" applyNumberFormat="1" applyFont="1" applyBorder="1" applyAlignment="1">
      <alignment vertical="center"/>
    </xf>
    <xf numFmtId="176" fontId="0" fillId="0" borderId="126" xfId="0" applyNumberFormat="1" applyFont="1" applyBorder="1" applyAlignment="1">
      <alignment vertical="center"/>
    </xf>
    <xf numFmtId="179" fontId="0" fillId="0" borderId="125" xfId="0" applyNumberFormat="1" applyFont="1" applyBorder="1" applyAlignment="1">
      <alignment vertical="center" shrinkToFit="1"/>
    </xf>
    <xf numFmtId="0" fontId="0" fillId="0" borderId="46" xfId="0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179" fontId="0" fillId="0" borderId="207" xfId="0" applyNumberFormat="1" applyFont="1" applyBorder="1" applyAlignment="1">
      <alignment vertical="center" shrinkToFit="1"/>
    </xf>
    <xf numFmtId="176" fontId="0" fillId="0" borderId="237" xfId="0" applyNumberFormat="1" applyBorder="1" applyAlignment="1">
      <alignment horizontal="center" vertical="center"/>
    </xf>
    <xf numFmtId="179" fontId="0" fillId="0" borderId="240" xfId="0" applyNumberFormat="1" applyFont="1" applyBorder="1" applyAlignment="1">
      <alignment vertical="center" shrinkToFit="1"/>
    </xf>
    <xf numFmtId="179" fontId="0" fillId="0" borderId="241" xfId="0" applyNumberFormat="1" applyFont="1" applyBorder="1" applyAlignment="1">
      <alignment vertical="center" shrinkToFit="1"/>
    </xf>
    <xf numFmtId="187" fontId="0" fillId="0" borderId="240" xfId="0" applyNumberFormat="1" applyFont="1" applyBorder="1" applyAlignment="1">
      <alignment vertical="center" shrinkToFit="1"/>
    </xf>
    <xf numFmtId="187" fontId="0" fillId="0" borderId="241" xfId="0" applyNumberFormat="1" applyFont="1" applyBorder="1" applyAlignment="1">
      <alignment vertical="center" shrinkToFit="1"/>
    </xf>
    <xf numFmtId="187" fontId="0" fillId="0" borderId="242" xfId="0" applyNumberFormat="1" applyFont="1" applyBorder="1" applyAlignment="1">
      <alignment vertical="center" shrinkToFit="1"/>
    </xf>
    <xf numFmtId="177" fontId="0" fillId="0" borderId="138" xfId="0" applyNumberFormat="1" applyFill="1" applyBorder="1" applyAlignment="1">
      <alignment vertical="center"/>
    </xf>
    <xf numFmtId="177" fontId="0" fillId="0" borderId="16" xfId="0" applyNumberFormat="1" applyFont="1" applyFill="1" applyBorder="1" applyAlignment="1">
      <alignment vertical="center" shrinkToFit="1"/>
    </xf>
    <xf numFmtId="176" fontId="0" fillId="0" borderId="46" xfId="0" applyNumberFormat="1" applyFont="1" applyBorder="1" applyAlignment="1">
      <alignment horizontal="center" vertical="center" shrinkToFit="1"/>
    </xf>
    <xf numFmtId="176" fontId="4" fillId="0" borderId="65" xfId="0" applyNumberFormat="1" applyFont="1" applyBorder="1" applyAlignment="1">
      <alignment horizontal="center" vertical="center" textRotation="255" wrapText="1"/>
    </xf>
    <xf numFmtId="0" fontId="0" fillId="0" borderId="65" xfId="0" applyBorder="1" applyAlignment="1">
      <alignment horizontal="center" vertical="center" textRotation="255" wrapText="1"/>
    </xf>
    <xf numFmtId="0" fontId="0" fillId="0" borderId="98" xfId="2" applyFont="1" applyBorder="1" applyAlignment="1">
      <alignment horizontal="center" vertical="center" wrapText="1"/>
    </xf>
    <xf numFmtId="177" fontId="0" fillId="0" borderId="247" xfId="0" applyNumberFormat="1" applyFont="1" applyFill="1" applyBorder="1" applyAlignment="1">
      <alignment vertical="center" shrinkToFit="1"/>
    </xf>
    <xf numFmtId="177" fontId="0" fillId="0" borderId="165" xfId="0" applyNumberFormat="1" applyFont="1" applyFill="1" applyBorder="1" applyAlignment="1">
      <alignment vertical="center" shrinkToFit="1"/>
    </xf>
    <xf numFmtId="177" fontId="0" fillId="2" borderId="244" xfId="0" applyNumberFormat="1" applyFill="1" applyBorder="1" applyAlignment="1">
      <alignment vertical="center" shrinkToFit="1"/>
    </xf>
    <xf numFmtId="177" fontId="0" fillId="2" borderId="245" xfId="0" applyNumberFormat="1" applyFill="1" applyBorder="1" applyAlignment="1">
      <alignment vertical="center" shrinkToFit="1"/>
    </xf>
    <xf numFmtId="0" fontId="0" fillId="0" borderId="230" xfId="0" applyFont="1" applyBorder="1" applyAlignment="1">
      <alignment vertical="center"/>
    </xf>
    <xf numFmtId="0" fontId="0" fillId="0" borderId="189" xfId="0" applyFont="1" applyBorder="1" applyAlignment="1">
      <alignment vertical="center"/>
    </xf>
    <xf numFmtId="0" fontId="0" fillId="0" borderId="213" xfId="0" applyFont="1" applyBorder="1" applyAlignment="1">
      <alignment vertical="center"/>
    </xf>
    <xf numFmtId="0" fontId="0" fillId="5" borderId="43" xfId="0" applyFill="1" applyBorder="1" applyAlignment="1">
      <alignment vertical="center"/>
    </xf>
    <xf numFmtId="0" fontId="0" fillId="5" borderId="243" xfId="0" applyFont="1" applyFill="1" applyBorder="1" applyAlignment="1">
      <alignment vertical="center"/>
    </xf>
    <xf numFmtId="177" fontId="0" fillId="0" borderId="249" xfId="0" applyNumberFormat="1" applyFill="1" applyBorder="1" applyAlignment="1">
      <alignment vertical="center"/>
    </xf>
    <xf numFmtId="177" fontId="0" fillId="0" borderId="250" xfId="0" applyNumberFormat="1" applyFont="1" applyFill="1" applyBorder="1" applyAlignment="1">
      <alignment vertical="center" shrinkToFit="1"/>
    </xf>
    <xf numFmtId="177" fontId="5" fillId="0" borderId="122" xfId="0" applyNumberFormat="1" applyFont="1" applyFill="1" applyBorder="1" applyAlignment="1">
      <alignment vertical="center"/>
    </xf>
    <xf numFmtId="181" fontId="0" fillId="0" borderId="122" xfId="0" applyNumberFormat="1" applyFont="1" applyFill="1" applyBorder="1" applyAlignment="1">
      <alignment vertical="center" shrinkToFit="1"/>
    </xf>
    <xf numFmtId="0" fontId="8" fillId="0" borderId="257" xfId="2" applyFont="1" applyBorder="1" applyAlignment="1">
      <alignment horizontal="center" vertical="center" wrapText="1"/>
    </xf>
    <xf numFmtId="0" fontId="8" fillId="0" borderId="259" xfId="2" applyFont="1" applyBorder="1" applyAlignment="1">
      <alignment horizontal="center" vertical="center" wrapText="1"/>
    </xf>
    <xf numFmtId="0" fontId="8" fillId="0" borderId="259" xfId="2" applyFont="1" applyBorder="1" applyAlignment="1">
      <alignment vertical="center" wrapText="1"/>
    </xf>
    <xf numFmtId="0" fontId="0" fillId="0" borderId="259" xfId="0" applyBorder="1" applyAlignment="1">
      <alignment horizontal="center" vertical="center" wrapText="1"/>
    </xf>
    <xf numFmtId="0" fontId="0" fillId="0" borderId="259" xfId="2" applyFont="1" applyBorder="1" applyAlignment="1">
      <alignment horizontal="center" vertical="center" wrapText="1"/>
    </xf>
    <xf numFmtId="0" fontId="0" fillId="0" borderId="259" xfId="2" applyFont="1" applyBorder="1" applyAlignment="1">
      <alignment vertical="center" wrapText="1"/>
    </xf>
    <xf numFmtId="0" fontId="8" fillId="0" borderId="260" xfId="2" applyFont="1" applyBorder="1" applyAlignment="1">
      <alignment vertical="center" wrapText="1"/>
    </xf>
    <xf numFmtId="0" fontId="8" fillId="0" borderId="259" xfId="2" applyFont="1" applyBorder="1" applyAlignment="1">
      <alignment horizontal="center" vertical="center"/>
    </xf>
    <xf numFmtId="0" fontId="1" fillId="0" borderId="259" xfId="2" applyFont="1" applyBorder="1" applyAlignment="1">
      <alignment horizontal="center" vertical="center" wrapText="1"/>
    </xf>
    <xf numFmtId="0" fontId="8" fillId="0" borderId="260" xfId="2" applyFont="1" applyBorder="1" applyAlignment="1">
      <alignment horizontal="center" vertical="center" wrapText="1"/>
    </xf>
    <xf numFmtId="177" fontId="0" fillId="0" borderId="251" xfId="0" applyNumberFormat="1" applyFill="1" applyBorder="1" applyAlignment="1">
      <alignment vertical="center"/>
    </xf>
    <xf numFmtId="0" fontId="1" fillId="0" borderId="138" xfId="2" applyFont="1" applyBorder="1" applyAlignment="1">
      <alignment horizontal="left" vertical="center" wrapText="1"/>
    </xf>
    <xf numFmtId="0" fontId="1" fillId="0" borderId="26" xfId="2" applyFont="1" applyBorder="1" applyAlignment="1">
      <alignment horizontal="center" vertical="center" wrapText="1"/>
    </xf>
    <xf numFmtId="0" fontId="0" fillId="0" borderId="249" xfId="2" applyFont="1" applyBorder="1" applyAlignment="1">
      <alignment horizontal="center" vertical="center" wrapText="1"/>
    </xf>
    <xf numFmtId="0" fontId="1" fillId="0" borderId="251" xfId="2" applyFont="1" applyBorder="1" applyAlignment="1">
      <alignment horizontal="center" vertical="center" wrapText="1"/>
    </xf>
    <xf numFmtId="188" fontId="0" fillId="0" borderId="151" xfId="0" applyNumberFormat="1" applyFont="1" applyBorder="1" applyAlignment="1">
      <alignment vertical="center" shrinkToFit="1"/>
    </xf>
    <xf numFmtId="181" fontId="0" fillId="0" borderId="32" xfId="0" applyNumberFormat="1" applyFont="1" applyBorder="1" applyAlignment="1">
      <alignment vertical="center"/>
    </xf>
    <xf numFmtId="181" fontId="0" fillId="0" borderId="36" xfId="0" applyNumberFormat="1" applyFont="1" applyBorder="1" applyAlignment="1">
      <alignment vertical="center"/>
    </xf>
    <xf numFmtId="181" fontId="0" fillId="0" borderId="158" xfId="0" applyNumberFormat="1" applyFont="1" applyBorder="1" applyAlignment="1">
      <alignment vertical="center"/>
    </xf>
    <xf numFmtId="177" fontId="0" fillId="0" borderId="122" xfId="0" quotePrefix="1" applyNumberFormat="1" applyFill="1" applyBorder="1" applyAlignment="1">
      <alignment vertical="center"/>
    </xf>
    <xf numFmtId="182" fontId="0" fillId="0" borderId="36" xfId="4" applyNumberFormat="1" applyFont="1" applyBorder="1" applyAlignment="1">
      <alignment vertical="center"/>
    </xf>
    <xf numFmtId="181" fontId="0" fillId="0" borderId="233" xfId="0" applyNumberFormat="1" applyFont="1" applyBorder="1" applyAlignment="1">
      <alignment vertical="center"/>
    </xf>
    <xf numFmtId="0" fontId="8" fillId="0" borderId="259" xfId="2" applyFont="1" applyBorder="1" applyAlignment="1">
      <alignment horizontal="left" vertical="center" wrapText="1"/>
    </xf>
    <xf numFmtId="0" fontId="0" fillId="0" borderId="259" xfId="0" applyBorder="1" applyAlignment="1">
      <alignment horizontal="left" vertical="center" wrapText="1"/>
    </xf>
    <xf numFmtId="0" fontId="8" fillId="0" borderId="271" xfId="2" applyFont="1" applyBorder="1" applyAlignment="1">
      <alignment horizontal="center" vertical="center" wrapText="1"/>
    </xf>
    <xf numFmtId="0" fontId="8" fillId="0" borderId="272" xfId="2" applyFont="1" applyBorder="1" applyAlignment="1">
      <alignment horizontal="center" vertical="center" wrapText="1"/>
    </xf>
    <xf numFmtId="0" fontId="0" fillId="0" borderId="253" xfId="0" applyBorder="1" applyAlignment="1">
      <alignment horizontal="center" vertical="center" wrapText="1"/>
    </xf>
    <xf numFmtId="0" fontId="1" fillId="0" borderId="66" xfId="2" applyFont="1" applyBorder="1" applyAlignment="1">
      <alignment vertical="center"/>
    </xf>
    <xf numFmtId="0" fontId="8" fillId="0" borderId="140" xfId="2" applyFont="1" applyBorder="1" applyAlignment="1">
      <alignment vertical="center" wrapText="1"/>
    </xf>
    <xf numFmtId="0" fontId="8" fillId="0" borderId="140" xfId="2" applyFont="1" applyBorder="1" applyAlignment="1">
      <alignment horizontal="right" vertical="center" wrapText="1"/>
    </xf>
    <xf numFmtId="0" fontId="1" fillId="0" borderId="140" xfId="2" applyFont="1" applyBorder="1" applyAlignment="1">
      <alignment horizontal="center" vertical="center" wrapText="1"/>
    </xf>
    <xf numFmtId="0" fontId="0" fillId="0" borderId="140" xfId="2" applyFont="1" applyBorder="1" applyAlignment="1">
      <alignment horizontal="center" vertical="center" wrapText="1"/>
    </xf>
    <xf numFmtId="0" fontId="1" fillId="0" borderId="242" xfId="2" applyFont="1" applyBorder="1" applyAlignment="1">
      <alignment horizontal="center" vertical="center" wrapText="1"/>
    </xf>
    <xf numFmtId="0" fontId="8" fillId="0" borderId="271" xfId="2" applyFont="1" applyBorder="1" applyAlignment="1">
      <alignment horizontal="center" vertical="center" wrapText="1"/>
    </xf>
    <xf numFmtId="0" fontId="8" fillId="0" borderId="256" xfId="2" applyFont="1" applyBorder="1" applyAlignment="1">
      <alignment horizontal="center" vertical="center" wrapText="1"/>
    </xf>
    <xf numFmtId="0" fontId="8" fillId="0" borderId="271" xfId="2" applyFont="1" applyBorder="1" applyAlignment="1">
      <alignment horizontal="center" vertical="center" wrapText="1"/>
    </xf>
    <xf numFmtId="0" fontId="0" fillId="0" borderId="260" xfId="0" applyBorder="1" applyAlignment="1">
      <alignment vertical="center" wrapText="1"/>
    </xf>
    <xf numFmtId="0" fontId="0" fillId="0" borderId="265" xfId="2" applyFont="1" applyBorder="1" applyAlignment="1">
      <alignment horizontal="left" vertical="center" wrapText="1"/>
    </xf>
    <xf numFmtId="0" fontId="0" fillId="0" borderId="266" xfId="2" applyFont="1" applyBorder="1" applyAlignment="1">
      <alignment horizontal="left" vertical="center" wrapText="1"/>
    </xf>
    <xf numFmtId="0" fontId="8" fillId="0" borderId="276" xfId="2" applyFont="1" applyBorder="1" applyAlignment="1">
      <alignment horizontal="center" vertical="center" wrapText="1"/>
    </xf>
    <xf numFmtId="0" fontId="8" fillId="0" borderId="249" xfId="2" applyFont="1" applyBorder="1" applyAlignment="1">
      <alignment vertical="center" wrapText="1"/>
    </xf>
    <xf numFmtId="0" fontId="0" fillId="0" borderId="259" xfId="2" applyFont="1" applyBorder="1" applyAlignment="1">
      <alignment horizontal="center" vertical="center" shrinkToFit="1"/>
    </xf>
    <xf numFmtId="0" fontId="8" fillId="0" borderId="259" xfId="2" applyFont="1" applyBorder="1" applyAlignment="1">
      <alignment horizontal="right" vertical="center" wrapText="1"/>
    </xf>
    <xf numFmtId="0" fontId="0" fillId="0" borderId="140" xfId="2" applyFont="1" applyBorder="1" applyAlignment="1">
      <alignment horizontal="left" vertical="center" wrapText="1"/>
    </xf>
    <xf numFmtId="181" fontId="0" fillId="0" borderId="36" xfId="0" applyNumberFormat="1" applyFont="1" applyFill="1" applyBorder="1" applyAlignment="1">
      <alignment vertical="center"/>
    </xf>
    <xf numFmtId="182" fontId="0" fillId="0" borderId="125" xfId="0" applyNumberFormat="1" applyFont="1" applyFill="1" applyBorder="1" applyAlignment="1">
      <alignment vertical="center"/>
    </xf>
    <xf numFmtId="0" fontId="0" fillId="0" borderId="247" xfId="0" applyBorder="1" applyAlignment="1">
      <alignment horizontal="left" vertical="center" wrapText="1"/>
    </xf>
    <xf numFmtId="0" fontId="0" fillId="0" borderId="253" xfId="0" applyBorder="1" applyAlignment="1">
      <alignment horizontal="left" vertical="center" wrapText="1"/>
    </xf>
    <xf numFmtId="0" fontId="8" fillId="0" borderId="254" xfId="2" applyFont="1" applyBorder="1" applyAlignment="1">
      <alignment horizontal="left" vertical="center" wrapText="1"/>
    </xf>
    <xf numFmtId="0" fontId="0" fillId="0" borderId="259" xfId="2" applyFont="1" applyBorder="1" applyAlignment="1">
      <alignment horizontal="left" vertical="center" wrapText="1"/>
    </xf>
    <xf numFmtId="0" fontId="1" fillId="0" borderId="259" xfId="2" applyFont="1" applyBorder="1" applyAlignment="1">
      <alignment horizontal="left" vertical="center" wrapText="1"/>
    </xf>
    <xf numFmtId="0" fontId="1" fillId="0" borderId="260" xfId="2" applyFont="1" applyBorder="1" applyAlignment="1">
      <alignment horizontal="left" vertical="center" wrapText="1"/>
    </xf>
    <xf numFmtId="0" fontId="8" fillId="0" borderId="265" xfId="2" applyFont="1" applyBorder="1" applyAlignment="1">
      <alignment horizontal="left" vertical="center" wrapText="1"/>
    </xf>
    <xf numFmtId="0" fontId="1" fillId="0" borderId="265" xfId="2" applyFont="1" applyBorder="1" applyAlignment="1">
      <alignment horizontal="left" vertical="center" wrapText="1"/>
    </xf>
    <xf numFmtId="0" fontId="8" fillId="0" borderId="140" xfId="2" applyFont="1" applyBorder="1" applyAlignment="1">
      <alignment horizontal="left" vertical="center" wrapText="1"/>
    </xf>
    <xf numFmtId="0" fontId="1" fillId="0" borderId="140" xfId="2" applyFont="1" applyBorder="1" applyAlignment="1">
      <alignment horizontal="left" vertical="center" wrapText="1"/>
    </xf>
    <xf numFmtId="0" fontId="0" fillId="0" borderId="0" xfId="2" applyFont="1" applyBorder="1" applyAlignment="1">
      <alignment vertical="center"/>
    </xf>
    <xf numFmtId="0" fontId="8" fillId="0" borderId="138" xfId="2" applyFont="1" applyBorder="1" applyAlignment="1">
      <alignment horizontal="center" vertical="center" wrapText="1"/>
    </xf>
    <xf numFmtId="0" fontId="8" fillId="0" borderId="145" xfId="2" applyFont="1" applyBorder="1" applyAlignment="1">
      <alignment horizontal="center" vertical="center" wrapText="1"/>
    </xf>
    <xf numFmtId="0" fontId="8" fillId="0" borderId="146" xfId="2" applyFont="1" applyBorder="1" applyAlignment="1">
      <alignment horizontal="center" vertical="center" wrapText="1"/>
    </xf>
    <xf numFmtId="0" fontId="8" fillId="0" borderId="85" xfId="0" quotePrefix="1" applyFont="1" applyBorder="1" applyAlignment="1">
      <alignment horizontal="center" vertical="center" shrinkToFit="1"/>
    </xf>
    <xf numFmtId="0" fontId="8" fillId="0" borderId="85" xfId="0" applyFont="1" applyBorder="1" applyAlignment="1">
      <alignment horizontal="center" vertical="center" shrinkToFit="1"/>
    </xf>
    <xf numFmtId="0" fontId="8" fillId="0" borderId="86" xfId="0" applyFont="1" applyBorder="1" applyAlignment="1">
      <alignment horizontal="center" vertical="center" shrinkToFit="1"/>
    </xf>
    <xf numFmtId="0" fontId="8" fillId="0" borderId="196" xfId="0" applyFont="1" applyBorder="1" applyAlignment="1">
      <alignment horizontal="center" vertical="center" shrinkToFit="1"/>
    </xf>
    <xf numFmtId="0" fontId="8" fillId="0" borderId="197" xfId="0" applyFont="1" applyBorder="1" applyAlignment="1">
      <alignment horizontal="center" vertical="center" shrinkToFit="1"/>
    </xf>
    <xf numFmtId="0" fontId="8" fillId="0" borderId="199" xfId="0" applyFont="1" applyBorder="1" applyAlignment="1">
      <alignment horizontal="center" vertical="center" shrinkToFit="1"/>
    </xf>
    <xf numFmtId="0" fontId="1" fillId="0" borderId="196" xfId="0" applyFont="1" applyBorder="1" applyAlignment="1">
      <alignment horizontal="center" vertical="center" shrinkToFit="1"/>
    </xf>
    <xf numFmtId="0" fontId="1" fillId="0" borderId="199" xfId="0" applyFont="1" applyBorder="1" applyAlignment="1">
      <alignment horizontal="center" vertical="center" shrinkToFit="1"/>
    </xf>
    <xf numFmtId="0" fontId="1" fillId="0" borderId="197" xfId="0" applyFont="1" applyBorder="1" applyAlignment="1">
      <alignment horizontal="center" vertical="center" shrinkToFit="1"/>
    </xf>
    <xf numFmtId="0" fontId="8" fillId="0" borderId="273" xfId="0" applyFont="1" applyBorder="1" applyAlignment="1">
      <alignment horizontal="center" vertical="center" wrapText="1"/>
    </xf>
    <xf numFmtId="0" fontId="1" fillId="0" borderId="274" xfId="0" applyFont="1" applyBorder="1" applyAlignment="1">
      <alignment horizontal="center" vertical="center" wrapText="1"/>
    </xf>
    <xf numFmtId="0" fontId="1" fillId="0" borderId="275" xfId="0" applyFont="1" applyBorder="1" applyAlignment="1">
      <alignment horizontal="center" vertical="center" wrapText="1"/>
    </xf>
    <xf numFmtId="0" fontId="8" fillId="0" borderId="198" xfId="0" applyFont="1" applyBorder="1" applyAlignment="1">
      <alignment horizontal="center" vertical="center" shrinkToFit="1"/>
    </xf>
    <xf numFmtId="0" fontId="1" fillId="0" borderId="198" xfId="0" applyFont="1" applyBorder="1" applyAlignment="1">
      <alignment horizontal="center" vertical="center" shrinkToFit="1"/>
    </xf>
    <xf numFmtId="0" fontId="8" fillId="0" borderId="200" xfId="2" applyFont="1" applyBorder="1" applyAlignment="1">
      <alignment horizontal="center" vertical="center" wrapText="1"/>
    </xf>
    <xf numFmtId="0" fontId="8" fillId="0" borderId="201" xfId="2" applyFont="1" applyBorder="1" applyAlignment="1">
      <alignment horizontal="center" vertical="center" wrapText="1"/>
    </xf>
    <xf numFmtId="0" fontId="8" fillId="0" borderId="276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277" xfId="2" applyFont="1" applyBorder="1" applyAlignment="1">
      <alignment horizontal="center" vertical="center" wrapText="1"/>
    </xf>
    <xf numFmtId="0" fontId="8" fillId="0" borderId="202" xfId="2" applyFont="1" applyBorder="1" applyAlignment="1">
      <alignment horizontal="center" vertical="center" wrapText="1"/>
    </xf>
    <xf numFmtId="0" fontId="8" fillId="0" borderId="204" xfId="2" applyFont="1" applyBorder="1" applyAlignment="1">
      <alignment horizontal="center" vertical="center" wrapText="1"/>
    </xf>
    <xf numFmtId="0" fontId="8" fillId="0" borderId="75" xfId="2" applyFont="1" applyBorder="1" applyAlignment="1">
      <alignment horizontal="center" vertical="center" wrapText="1"/>
    </xf>
    <xf numFmtId="0" fontId="8" fillId="0" borderId="76" xfId="2" applyFont="1" applyBorder="1" applyAlignment="1">
      <alignment horizontal="center" vertical="center" wrapText="1"/>
    </xf>
    <xf numFmtId="0" fontId="8" fillId="0" borderId="46" xfId="2" applyFont="1" applyBorder="1" applyAlignment="1">
      <alignment horizontal="center" vertical="center" wrapText="1"/>
    </xf>
    <xf numFmtId="0" fontId="8" fillId="0" borderId="119" xfId="2" applyFont="1" applyBorder="1" applyAlignment="1">
      <alignment horizontal="center" vertical="center" wrapText="1"/>
    </xf>
    <xf numFmtId="0" fontId="8" fillId="0" borderId="98" xfId="2" applyFont="1" applyBorder="1" applyAlignment="1">
      <alignment horizontal="center" vertical="center" wrapText="1"/>
    </xf>
    <xf numFmtId="0" fontId="0" fillId="0" borderId="166" xfId="0" applyBorder="1" applyAlignment="1">
      <alignment horizontal="center" vertical="center" wrapText="1"/>
    </xf>
    <xf numFmtId="0" fontId="0" fillId="0" borderId="205" xfId="0" applyBorder="1" applyAlignment="1">
      <alignment horizontal="center" vertical="center" wrapText="1"/>
    </xf>
    <xf numFmtId="0" fontId="8" fillId="0" borderId="10" xfId="2" applyFont="1" applyBorder="1" applyAlignment="1">
      <alignment vertical="center" wrapText="1"/>
    </xf>
    <xf numFmtId="0" fontId="8" fillId="0" borderId="0" xfId="2" applyFont="1" applyBorder="1" applyAlignment="1">
      <alignment vertical="center" wrapText="1"/>
    </xf>
    <xf numFmtId="0" fontId="8" fillId="0" borderId="25" xfId="2" applyFont="1" applyBorder="1" applyAlignment="1">
      <alignment horizontal="center" vertical="center" wrapText="1"/>
    </xf>
    <xf numFmtId="0" fontId="8" fillId="0" borderId="26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 wrapText="1"/>
    </xf>
    <xf numFmtId="0" fontId="8" fillId="0" borderId="71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30" xfId="2" applyFont="1" applyBorder="1" applyAlignment="1">
      <alignment horizontal="center" vertical="center" wrapText="1"/>
    </xf>
    <xf numFmtId="0" fontId="0" fillId="0" borderId="138" xfId="2" applyFont="1" applyBorder="1" applyAlignment="1">
      <alignment horizontal="left" vertical="center" wrapText="1"/>
    </xf>
    <xf numFmtId="0" fontId="1" fillId="0" borderId="145" xfId="2" applyFont="1" applyBorder="1" applyAlignment="1">
      <alignment horizontal="left" vertical="center" wrapText="1"/>
    </xf>
    <xf numFmtId="0" fontId="1" fillId="0" borderId="46" xfId="2" applyFont="1" applyBorder="1" applyAlignment="1">
      <alignment horizontal="left" vertical="center" wrapText="1"/>
    </xf>
    <xf numFmtId="0" fontId="1" fillId="0" borderId="76" xfId="2" applyFont="1" applyBorder="1" applyAlignment="1">
      <alignment horizontal="center" vertical="center" wrapText="1"/>
    </xf>
    <xf numFmtId="0" fontId="1" fillId="0" borderId="138" xfId="2" applyFont="1" applyBorder="1" applyAlignment="1">
      <alignment horizontal="center" vertical="center" wrapText="1"/>
    </xf>
    <xf numFmtId="0" fontId="1" fillId="0" borderId="138" xfId="2" applyFont="1" applyBorder="1" applyAlignment="1">
      <alignment horizontal="left" vertical="center" wrapText="1"/>
    </xf>
    <xf numFmtId="0" fontId="8" fillId="0" borderId="18" xfId="2" applyFont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 wrapText="1"/>
    </xf>
    <xf numFmtId="0" fontId="8" fillId="0" borderId="138" xfId="2" applyFont="1" applyBorder="1" applyAlignment="1">
      <alignment vertical="center" wrapText="1"/>
    </xf>
    <xf numFmtId="0" fontId="8" fillId="0" borderId="145" xfId="2" applyFont="1" applyBorder="1" applyAlignment="1">
      <alignment vertical="center" wrapText="1"/>
    </xf>
    <xf numFmtId="0" fontId="8" fillId="0" borderId="31" xfId="2" applyFont="1" applyBorder="1" applyAlignment="1">
      <alignment horizontal="center" vertical="center" wrapText="1"/>
    </xf>
    <xf numFmtId="0" fontId="8" fillId="0" borderId="206" xfId="2" applyFont="1" applyBorder="1" applyAlignment="1">
      <alignment horizontal="center" vertical="center" wrapText="1"/>
    </xf>
    <xf numFmtId="0" fontId="1" fillId="0" borderId="206" xfId="2" applyFont="1" applyBorder="1" applyAlignment="1">
      <alignment horizontal="center" vertical="center" wrapText="1"/>
    </xf>
    <xf numFmtId="0" fontId="1" fillId="0" borderId="207" xfId="2" applyFont="1" applyBorder="1" applyAlignment="1">
      <alignment horizontal="center" vertical="center" wrapText="1"/>
    </xf>
    <xf numFmtId="0" fontId="8" fillId="0" borderId="19" xfId="2" applyFont="1" applyBorder="1" applyAlignment="1">
      <alignment vertical="center" wrapText="1"/>
    </xf>
    <xf numFmtId="0" fontId="8" fillId="0" borderId="18" xfId="2" applyFont="1" applyBorder="1" applyAlignment="1">
      <alignment vertical="center" wrapText="1"/>
    </xf>
    <xf numFmtId="0" fontId="8" fillId="0" borderId="19" xfId="2" applyFont="1" applyBorder="1" applyAlignment="1">
      <alignment horizontal="center" vertical="center" wrapText="1"/>
    </xf>
    <xf numFmtId="0" fontId="1" fillId="0" borderId="19" xfId="2" applyFont="1" applyBorder="1" applyAlignment="1">
      <alignment horizontal="left" vertical="center" wrapText="1"/>
    </xf>
    <xf numFmtId="0" fontId="1" fillId="0" borderId="18" xfId="2" applyFont="1" applyBorder="1" applyAlignment="1">
      <alignment horizontal="left" vertical="center" wrapText="1"/>
    </xf>
    <xf numFmtId="0" fontId="1" fillId="0" borderId="99" xfId="2" applyFont="1" applyBorder="1" applyAlignment="1">
      <alignment horizontal="left" vertical="center" wrapText="1"/>
    </xf>
    <xf numFmtId="0" fontId="8" fillId="0" borderId="203" xfId="2" applyFont="1" applyBorder="1" applyAlignment="1">
      <alignment horizontal="center" vertical="center" wrapText="1"/>
    </xf>
    <xf numFmtId="0" fontId="8" fillId="0" borderId="210" xfId="2" applyFont="1" applyBorder="1" applyAlignment="1">
      <alignment horizontal="center" vertical="center" wrapText="1"/>
    </xf>
    <xf numFmtId="0" fontId="8" fillId="0" borderId="138" xfId="2" applyFont="1" applyBorder="1" applyAlignment="1">
      <alignment horizontal="left" vertical="center" wrapText="1" indent="1"/>
    </xf>
    <xf numFmtId="0" fontId="8" fillId="0" borderId="145" xfId="2" applyFont="1" applyBorder="1" applyAlignment="1">
      <alignment horizontal="left" vertical="center" wrapText="1" indent="1"/>
    </xf>
    <xf numFmtId="0" fontId="8" fillId="0" borderId="77" xfId="2" applyFont="1" applyBorder="1" applyAlignment="1">
      <alignment horizontal="center" vertical="center" wrapText="1"/>
    </xf>
    <xf numFmtId="0" fontId="8" fillId="0" borderId="78" xfId="2" applyFont="1" applyBorder="1" applyAlignment="1">
      <alignment horizontal="center" vertical="center" wrapText="1"/>
    </xf>
    <xf numFmtId="0" fontId="8" fillId="0" borderId="79" xfId="2" applyFont="1" applyBorder="1" applyAlignment="1">
      <alignment horizontal="center" vertical="center" wrapText="1"/>
    </xf>
    <xf numFmtId="0" fontId="1" fillId="0" borderId="80" xfId="2" applyFont="1" applyBorder="1" applyAlignment="1">
      <alignment horizontal="center" vertical="center"/>
    </xf>
    <xf numFmtId="0" fontId="1" fillId="0" borderId="81" xfId="2" applyFont="1" applyBorder="1" applyAlignment="1">
      <alignment horizontal="center" vertical="center"/>
    </xf>
    <xf numFmtId="0" fontId="1" fillId="0" borderId="82" xfId="2" applyFont="1" applyBorder="1" applyAlignment="1">
      <alignment horizontal="center" vertical="center"/>
    </xf>
    <xf numFmtId="0" fontId="8" fillId="0" borderId="249" xfId="2" applyFont="1" applyBorder="1" applyAlignment="1">
      <alignment horizontal="left" vertical="center" indent="1" shrinkToFit="1"/>
    </xf>
    <xf numFmtId="0" fontId="8" fillId="0" borderId="251" xfId="2" applyFont="1" applyBorder="1" applyAlignment="1">
      <alignment horizontal="left" vertical="center" indent="1" shrinkToFit="1"/>
    </xf>
    <xf numFmtId="0" fontId="8" fillId="0" borderId="250" xfId="2" applyFont="1" applyBorder="1" applyAlignment="1">
      <alignment horizontal="left" vertical="center" indent="1" shrinkToFit="1"/>
    </xf>
    <xf numFmtId="0" fontId="8" fillId="0" borderId="211" xfId="2" applyFont="1" applyBorder="1" applyAlignment="1">
      <alignment horizontal="center" vertical="center" wrapText="1"/>
    </xf>
    <xf numFmtId="0" fontId="8" fillId="0" borderId="208" xfId="2" applyFont="1" applyBorder="1" applyAlignment="1">
      <alignment horizontal="center" vertical="center" textRotation="255" shrinkToFit="1"/>
    </xf>
    <xf numFmtId="0" fontId="8" fillId="0" borderId="53" xfId="2" applyFont="1" applyBorder="1" applyAlignment="1">
      <alignment horizontal="center" vertical="center" textRotation="255" shrinkToFit="1"/>
    </xf>
    <xf numFmtId="0" fontId="8" fillId="0" borderId="55" xfId="2" applyFont="1" applyBorder="1" applyAlignment="1">
      <alignment horizontal="center" vertical="center" wrapText="1"/>
    </xf>
    <xf numFmtId="0" fontId="8" fillId="0" borderId="53" xfId="2" applyFont="1" applyBorder="1" applyAlignment="1">
      <alignment horizontal="center"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8" fillId="0" borderId="207" xfId="2" applyFont="1" applyBorder="1" applyAlignment="1">
      <alignment horizontal="left" vertical="center" indent="1"/>
    </xf>
    <xf numFmtId="0" fontId="8" fillId="0" borderId="0" xfId="2" applyFont="1" applyBorder="1" applyAlignment="1">
      <alignment horizontal="left" vertical="center" indent="1"/>
    </xf>
    <xf numFmtId="0" fontId="1" fillId="0" borderId="19" xfId="2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 wrapText="1"/>
    </xf>
    <xf numFmtId="0" fontId="1" fillId="0" borderId="20" xfId="2" applyFont="1" applyBorder="1" applyAlignment="1">
      <alignment horizontal="center" vertical="center" wrapText="1"/>
    </xf>
    <xf numFmtId="0" fontId="1" fillId="0" borderId="212" xfId="2" applyFont="1" applyBorder="1" applyAlignment="1">
      <alignment horizontal="center" vertical="center"/>
    </xf>
    <xf numFmtId="0" fontId="1" fillId="0" borderId="213" xfId="2" applyFont="1" applyBorder="1" applyAlignment="1">
      <alignment horizontal="center" vertical="center"/>
    </xf>
    <xf numFmtId="0" fontId="0" fillId="0" borderId="213" xfId="2" applyFont="1" applyBorder="1" applyAlignment="1">
      <alignment vertical="center" wrapText="1"/>
    </xf>
    <xf numFmtId="0" fontId="1" fillId="0" borderId="213" xfId="2" applyFont="1" applyBorder="1" applyAlignment="1">
      <alignment vertical="center" wrapText="1"/>
    </xf>
    <xf numFmtId="0" fontId="1" fillId="0" borderId="214" xfId="2" applyFont="1" applyBorder="1" applyAlignment="1">
      <alignment vertical="center" wrapText="1"/>
    </xf>
    <xf numFmtId="0" fontId="0" fillId="0" borderId="188" xfId="2" applyFont="1" applyBorder="1" applyAlignment="1">
      <alignment horizontal="center" vertical="center"/>
    </xf>
    <xf numFmtId="0" fontId="0" fillId="0" borderId="215" xfId="2" applyFont="1" applyBorder="1" applyAlignment="1">
      <alignment vertical="center" wrapText="1"/>
    </xf>
    <xf numFmtId="0" fontId="1" fillId="0" borderId="216" xfId="2" applyFont="1" applyBorder="1" applyAlignment="1">
      <alignment vertical="center" wrapText="1"/>
    </xf>
    <xf numFmtId="0" fontId="1" fillId="0" borderId="217" xfId="2" applyFont="1" applyBorder="1" applyAlignment="1">
      <alignment vertical="center" wrapText="1"/>
    </xf>
    <xf numFmtId="0" fontId="1" fillId="0" borderId="83" xfId="2" applyFont="1" applyBorder="1" applyAlignment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0" fillId="0" borderId="24" xfId="2" applyFont="1" applyBorder="1" applyAlignment="1">
      <alignment vertical="center" wrapText="1"/>
    </xf>
    <xf numFmtId="0" fontId="1" fillId="0" borderId="24" xfId="2" applyFont="1" applyBorder="1" applyAlignment="1">
      <alignment vertical="center" wrapText="1"/>
    </xf>
    <xf numFmtId="0" fontId="1" fillId="0" borderId="57" xfId="2" applyFont="1" applyBorder="1" applyAlignment="1">
      <alignment vertical="center" wrapText="1"/>
    </xf>
    <xf numFmtId="0" fontId="0" fillId="0" borderId="37" xfId="2" applyFont="1" applyBorder="1" applyAlignment="1">
      <alignment horizontal="center" vertical="center"/>
    </xf>
    <xf numFmtId="0" fontId="1" fillId="0" borderId="218" xfId="2" applyFont="1" applyBorder="1" applyAlignment="1">
      <alignment horizontal="center" vertical="center"/>
    </xf>
    <xf numFmtId="0" fontId="0" fillId="0" borderId="16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6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61" xfId="0" applyBorder="1" applyAlignment="1">
      <alignment horizontal="center" vertical="center"/>
    </xf>
    <xf numFmtId="0" fontId="0" fillId="0" borderId="191" xfId="0" applyBorder="1" applyAlignment="1">
      <alignment horizontal="center" vertical="center"/>
    </xf>
    <xf numFmtId="0" fontId="0" fillId="0" borderId="188" xfId="0" applyBorder="1" applyAlignment="1">
      <alignment horizontal="center" vertical="center"/>
    </xf>
    <xf numFmtId="0" fontId="0" fillId="0" borderId="194" xfId="2" applyFont="1" applyBorder="1" applyAlignment="1">
      <alignment vertical="center" wrapText="1"/>
    </xf>
    <xf numFmtId="0" fontId="0" fillId="0" borderId="164" xfId="0" applyBorder="1" applyAlignment="1">
      <alignment vertical="center" wrapText="1"/>
    </xf>
    <xf numFmtId="0" fontId="0" fillId="0" borderId="219" xfId="0" applyBorder="1" applyAlignment="1">
      <alignment vertical="center" wrapText="1"/>
    </xf>
    <xf numFmtId="0" fontId="0" fillId="0" borderId="19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20" xfId="0" applyBorder="1" applyAlignment="1">
      <alignment vertical="center" wrapText="1"/>
    </xf>
    <xf numFmtId="0" fontId="0" fillId="0" borderId="187" xfId="0" applyBorder="1" applyAlignment="1">
      <alignment vertical="center" wrapText="1"/>
    </xf>
    <xf numFmtId="0" fontId="0" fillId="0" borderId="191" xfId="0" applyBorder="1" applyAlignment="1">
      <alignment vertical="center" wrapText="1"/>
    </xf>
    <xf numFmtId="0" fontId="0" fillId="0" borderId="192" xfId="0" applyBorder="1" applyAlignment="1">
      <alignment vertical="center" wrapText="1"/>
    </xf>
    <xf numFmtId="0" fontId="0" fillId="0" borderId="218" xfId="2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221" xfId="0" applyBorder="1" applyAlignment="1">
      <alignment horizontal="center" vertical="center"/>
    </xf>
    <xf numFmtId="0" fontId="0" fillId="0" borderId="118" xfId="0" applyBorder="1" applyAlignment="1">
      <alignment vertical="center" wrapText="1"/>
    </xf>
    <xf numFmtId="0" fontId="0" fillId="0" borderId="90" xfId="0" applyBorder="1" applyAlignment="1">
      <alignment vertical="center" wrapText="1"/>
    </xf>
    <xf numFmtId="0" fontId="0" fillId="0" borderId="157" xfId="0" applyBorder="1" applyAlignment="1">
      <alignment vertical="center" wrapText="1"/>
    </xf>
    <xf numFmtId="0" fontId="1" fillId="0" borderId="84" xfId="2" applyFont="1" applyBorder="1" applyAlignment="1">
      <alignment horizontal="center" vertical="center"/>
    </xf>
    <xf numFmtId="0" fontId="1" fillId="0" borderId="45" xfId="2" applyFont="1" applyBorder="1" applyAlignment="1">
      <alignment horizontal="center" vertical="center"/>
    </xf>
    <xf numFmtId="0" fontId="0" fillId="0" borderId="45" xfId="2" applyFont="1" applyBorder="1" applyAlignment="1">
      <alignment vertical="center" wrapText="1"/>
    </xf>
    <xf numFmtId="0" fontId="1" fillId="0" borderId="45" xfId="2" applyFont="1" applyBorder="1" applyAlignment="1">
      <alignment vertical="center" wrapText="1"/>
    </xf>
    <xf numFmtId="0" fontId="1" fillId="0" borderId="58" xfId="2" applyFont="1" applyBorder="1" applyAlignment="1">
      <alignment vertical="center" wrapText="1"/>
    </xf>
    <xf numFmtId="0" fontId="1" fillId="0" borderId="263" xfId="2" applyFont="1" applyBorder="1" applyAlignment="1">
      <alignment horizontal="center" vertical="center"/>
    </xf>
    <xf numFmtId="0" fontId="1" fillId="0" borderId="264" xfId="2" applyFont="1" applyBorder="1" applyAlignment="1">
      <alignment horizontal="center" vertical="center"/>
    </xf>
    <xf numFmtId="0" fontId="8" fillId="0" borderId="255" xfId="2" applyFont="1" applyBorder="1" applyAlignment="1">
      <alignment horizontal="center" vertical="center" wrapText="1"/>
    </xf>
    <xf numFmtId="0" fontId="8" fillId="0" borderId="256" xfId="2" applyFont="1" applyBorder="1" applyAlignment="1">
      <alignment horizontal="center" vertical="center" wrapText="1"/>
    </xf>
    <xf numFmtId="0" fontId="8" fillId="0" borderId="258" xfId="2" applyFont="1" applyBorder="1" applyAlignment="1">
      <alignment horizontal="center" vertical="center" textRotation="255" wrapText="1"/>
    </xf>
    <xf numFmtId="0" fontId="0" fillId="0" borderId="249" xfId="2" applyFont="1" applyBorder="1" applyAlignment="1">
      <alignment horizontal="center" vertical="center" wrapText="1"/>
    </xf>
    <xf numFmtId="0" fontId="0" fillId="0" borderId="251" xfId="0" applyBorder="1" applyAlignment="1">
      <alignment horizontal="center" vertical="center" wrapText="1"/>
    </xf>
    <xf numFmtId="0" fontId="0" fillId="0" borderId="250" xfId="0" applyBorder="1" applyAlignment="1">
      <alignment horizontal="center" vertical="center" wrapText="1"/>
    </xf>
    <xf numFmtId="0" fontId="0" fillId="0" borderId="122" xfId="0" applyBorder="1" applyAlignment="1">
      <alignment horizontal="center" vertical="center" wrapText="1"/>
    </xf>
    <xf numFmtId="0" fontId="0" fillId="0" borderId="125" xfId="0" applyBorder="1" applyAlignment="1">
      <alignment vertical="center" wrapText="1"/>
    </xf>
    <xf numFmtId="0" fontId="0" fillId="0" borderId="261" xfId="0" applyBorder="1" applyAlignment="1">
      <alignment vertical="center" wrapText="1"/>
    </xf>
    <xf numFmtId="0" fontId="1" fillId="0" borderId="262" xfId="2" applyFont="1" applyBorder="1" applyAlignment="1">
      <alignment horizontal="center" vertical="center"/>
    </xf>
    <xf numFmtId="0" fontId="1" fillId="0" borderId="250" xfId="2" applyFont="1" applyBorder="1" applyAlignment="1">
      <alignment horizontal="center" vertical="center"/>
    </xf>
    <xf numFmtId="0" fontId="8" fillId="0" borderId="270" xfId="2" applyFont="1" applyBorder="1" applyAlignment="1">
      <alignment horizontal="center" vertical="center" wrapText="1"/>
    </xf>
    <xf numFmtId="0" fontId="8" fillId="0" borderId="271" xfId="2" applyFont="1" applyBorder="1" applyAlignment="1">
      <alignment horizontal="center" vertical="center" wrapText="1"/>
    </xf>
    <xf numFmtId="0" fontId="8" fillId="0" borderId="75" xfId="2" applyFont="1" applyBorder="1" applyAlignment="1">
      <alignment horizontal="center" vertical="center" textRotation="255" wrapText="1"/>
    </xf>
    <xf numFmtId="0" fontId="1" fillId="0" borderId="65" xfId="2" applyFont="1" applyBorder="1" applyAlignment="1">
      <alignment horizontal="center" vertical="center"/>
    </xf>
    <xf numFmtId="0" fontId="1" fillId="0" borderId="238" xfId="2" applyFont="1" applyBorder="1" applyAlignment="1">
      <alignment horizontal="center" vertical="center"/>
    </xf>
    <xf numFmtId="0" fontId="1" fillId="0" borderId="239" xfId="2" applyFont="1" applyBorder="1" applyAlignment="1">
      <alignment horizontal="center" vertical="center"/>
    </xf>
    <xf numFmtId="0" fontId="0" fillId="3" borderId="83" xfId="0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181" fontId="0" fillId="0" borderId="43" xfId="0" applyNumberFormat="1" applyFont="1" applyBorder="1" applyAlignment="1">
      <alignment vertical="center"/>
    </xf>
    <xf numFmtId="181" fontId="0" fillId="0" borderId="44" xfId="0" applyNumberFormat="1" applyFont="1" applyBorder="1" applyAlignment="1">
      <alignment vertical="center"/>
    </xf>
    <xf numFmtId="181" fontId="0" fillId="0" borderId="163" xfId="0" applyNumberFormat="1" applyFont="1" applyBorder="1" applyAlignment="1">
      <alignment vertical="center"/>
    </xf>
    <xf numFmtId="0" fontId="0" fillId="0" borderId="129" xfId="0" applyFont="1" applyBorder="1" applyAlignment="1">
      <alignment horizontal="center" vertical="center" textRotation="255"/>
    </xf>
    <xf numFmtId="0" fontId="0" fillId="0" borderId="87" xfId="0" applyFont="1" applyBorder="1" applyAlignment="1">
      <alignment horizontal="center" vertical="center" textRotation="255"/>
    </xf>
    <xf numFmtId="0" fontId="0" fillId="3" borderId="84" xfId="0" applyFill="1" applyBorder="1" applyAlignment="1">
      <alignment horizontal="center" vertical="center"/>
    </xf>
    <xf numFmtId="0" fontId="0" fillId="3" borderId="45" xfId="0" applyFont="1" applyFill="1" applyBorder="1" applyAlignment="1">
      <alignment horizontal="center" vertical="center"/>
    </xf>
    <xf numFmtId="181" fontId="0" fillId="0" borderId="32" xfId="0" applyNumberFormat="1" applyFont="1" applyBorder="1" applyAlignment="1">
      <alignment vertical="center"/>
    </xf>
    <xf numFmtId="181" fontId="0" fillId="0" borderId="36" xfId="0" applyNumberFormat="1" applyFont="1" applyBorder="1" applyAlignment="1">
      <alignment vertical="center"/>
    </xf>
    <xf numFmtId="181" fontId="0" fillId="0" borderId="158" xfId="0" applyNumberFormat="1" applyFont="1" applyBorder="1" applyAlignment="1">
      <alignment vertical="center"/>
    </xf>
    <xf numFmtId="180" fontId="0" fillId="0" borderId="155" xfId="1" applyNumberFormat="1" applyFont="1" applyBorder="1" applyAlignment="1">
      <alignment horizontal="center" vertical="center"/>
    </xf>
    <xf numFmtId="180" fontId="0" fillId="0" borderId="89" xfId="1" applyNumberFormat="1" applyFont="1" applyBorder="1" applyAlignment="1">
      <alignment horizontal="center" vertical="center"/>
    </xf>
    <xf numFmtId="180" fontId="0" fillId="0" borderId="156" xfId="1" applyNumberFormat="1" applyFont="1" applyBorder="1" applyAlignment="1">
      <alignment horizontal="center" vertical="center"/>
    </xf>
    <xf numFmtId="180" fontId="0" fillId="0" borderId="118" xfId="1" applyNumberFormat="1" applyFont="1" applyBorder="1" applyAlignment="1">
      <alignment horizontal="center" vertical="center"/>
    </xf>
    <xf numFmtId="180" fontId="0" fillId="0" borderId="90" xfId="1" applyNumberFormat="1" applyFont="1" applyBorder="1" applyAlignment="1">
      <alignment horizontal="center" vertical="center"/>
    </xf>
    <xf numFmtId="180" fontId="0" fillId="0" borderId="157" xfId="1" applyNumberFormat="1" applyFont="1" applyBorder="1" applyAlignment="1">
      <alignment horizontal="center" vertical="center"/>
    </xf>
    <xf numFmtId="181" fontId="17" fillId="0" borderId="224" xfId="0" applyNumberFormat="1" applyFont="1" applyBorder="1" applyAlignment="1">
      <alignment vertical="center" wrapText="1" shrinkToFit="1"/>
    </xf>
    <xf numFmtId="181" fontId="17" fillId="0" borderId="225" xfId="0" applyNumberFormat="1" applyFont="1" applyBorder="1" applyAlignment="1">
      <alignment vertical="center" shrinkToFit="1"/>
    </xf>
    <xf numFmtId="181" fontId="17" fillId="0" borderId="226" xfId="0" applyNumberFormat="1" applyFont="1" applyBorder="1" applyAlignment="1">
      <alignment vertical="center" shrinkToFit="1"/>
    </xf>
    <xf numFmtId="181" fontId="0" fillId="0" borderId="267" xfId="0" applyNumberFormat="1" applyFont="1" applyBorder="1" applyAlignment="1">
      <alignment vertical="center"/>
    </xf>
    <xf numFmtId="0" fontId="0" fillId="0" borderId="268" xfId="0" applyBorder="1" applyAlignment="1">
      <alignment vertical="center"/>
    </xf>
    <xf numFmtId="0" fontId="0" fillId="0" borderId="269" xfId="0" applyBorder="1" applyAlignment="1">
      <alignment vertical="center"/>
    </xf>
    <xf numFmtId="181" fontId="0" fillId="0" borderId="233" xfId="0" applyNumberFormat="1" applyFont="1" applyBorder="1" applyAlignment="1">
      <alignment horizontal="left" vertical="center"/>
    </xf>
    <xf numFmtId="181" fontId="0" fillId="0" borderId="36" xfId="0" applyNumberFormat="1" applyFont="1" applyBorder="1" applyAlignment="1">
      <alignment horizontal="left" vertical="center"/>
    </xf>
    <xf numFmtId="181" fontId="0" fillId="0" borderId="158" xfId="0" applyNumberFormat="1" applyFont="1" applyBorder="1" applyAlignment="1">
      <alignment horizontal="left" vertical="center"/>
    </xf>
    <xf numFmtId="0" fontId="0" fillId="4" borderId="193" xfId="0" applyFont="1" applyFill="1" applyBorder="1" applyAlignment="1">
      <alignment horizontal="center" vertical="center" textRotation="255" wrapText="1"/>
    </xf>
    <xf numFmtId="0" fontId="0" fillId="4" borderId="40" xfId="0" applyFont="1" applyFill="1" applyBorder="1" applyAlignment="1">
      <alignment horizontal="center" vertical="center" textRotation="255" wrapText="1"/>
    </xf>
    <xf numFmtId="0" fontId="0" fillId="4" borderId="189" xfId="0" applyFont="1" applyFill="1" applyBorder="1" applyAlignment="1">
      <alignment horizontal="center" vertical="center" textRotation="255" wrapText="1"/>
    </xf>
    <xf numFmtId="0" fontId="0" fillId="4" borderId="113" xfId="0" applyFont="1" applyFill="1" applyBorder="1" applyAlignment="1">
      <alignment horizontal="center" vertical="center" textRotation="255" wrapText="1"/>
    </xf>
    <xf numFmtId="0" fontId="0" fillId="0" borderId="34" xfId="0" applyFont="1" applyBorder="1" applyAlignment="1">
      <alignment horizontal="center" vertical="center"/>
    </xf>
    <xf numFmtId="0" fontId="0" fillId="0" borderId="89" xfId="0" applyFont="1" applyBorder="1" applyAlignment="1">
      <alignment horizontal="center" vertical="center"/>
    </xf>
    <xf numFmtId="0" fontId="0" fillId="0" borderId="42" xfId="0" applyFont="1" applyBorder="1" applyAlignment="1">
      <alignment vertical="center"/>
    </xf>
    <xf numFmtId="0" fontId="0" fillId="0" borderId="90" xfId="0" applyFont="1" applyBorder="1" applyAlignment="1">
      <alignment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37" xfId="0" applyFont="1" applyFill="1" applyBorder="1" applyAlignment="1">
      <alignment horizontal="center" vertical="center"/>
    </xf>
    <xf numFmtId="0" fontId="0" fillId="3" borderId="159" xfId="0" applyFont="1" applyFill="1" applyBorder="1" applyAlignment="1">
      <alignment horizontal="center" vertical="center"/>
    </xf>
    <xf numFmtId="0" fontId="0" fillId="3" borderId="101" xfId="0" applyFont="1" applyFill="1" applyBorder="1" applyAlignment="1">
      <alignment horizontal="center" vertical="center"/>
    </xf>
    <xf numFmtId="0" fontId="0" fillId="3" borderId="160" xfId="0" applyFont="1" applyFill="1" applyBorder="1" applyAlignment="1">
      <alignment horizontal="center" vertical="center"/>
    </xf>
    <xf numFmtId="0" fontId="0" fillId="3" borderId="41" xfId="0" applyFont="1" applyFill="1" applyBorder="1" applyAlignment="1">
      <alignment horizontal="center" vertical="center"/>
    </xf>
    <xf numFmtId="0" fontId="0" fillId="3" borderId="161" xfId="0" applyFont="1" applyFill="1" applyBorder="1" applyAlignment="1">
      <alignment horizontal="center" vertical="center"/>
    </xf>
    <xf numFmtId="0" fontId="0" fillId="3" borderId="162" xfId="0" applyFont="1" applyFill="1" applyBorder="1" applyAlignment="1">
      <alignment horizontal="center" vertical="center"/>
    </xf>
    <xf numFmtId="0" fontId="0" fillId="6" borderId="87" xfId="0" applyFont="1" applyFill="1" applyBorder="1" applyAlignment="1">
      <alignment horizontal="center" vertical="center"/>
    </xf>
    <xf numFmtId="0" fontId="0" fillId="6" borderId="40" xfId="0" applyFont="1" applyFill="1" applyBorder="1" applyAlignment="1">
      <alignment horizontal="center" vertical="center"/>
    </xf>
    <xf numFmtId="0" fontId="0" fillId="0" borderId="137" xfId="0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0" fontId="0" fillId="0" borderId="113" xfId="0" applyFont="1" applyFill="1" applyBorder="1" applyAlignment="1">
      <alignment vertical="center"/>
    </xf>
    <xf numFmtId="0" fontId="0" fillId="4" borderId="51" xfId="0" applyFont="1" applyFill="1" applyBorder="1" applyAlignment="1">
      <alignment horizontal="center" vertical="center"/>
    </xf>
    <xf numFmtId="0" fontId="0" fillId="4" borderId="39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 wrapText="1"/>
    </xf>
    <xf numFmtId="0" fontId="0" fillId="4" borderId="193" xfId="0" applyFont="1" applyFill="1" applyBorder="1" applyAlignment="1">
      <alignment horizontal="center" vertical="center" wrapText="1"/>
    </xf>
    <xf numFmtId="0" fontId="0" fillId="4" borderId="40" xfId="0" applyFont="1" applyFill="1" applyBorder="1" applyAlignment="1">
      <alignment horizontal="center" vertical="center" wrapText="1"/>
    </xf>
    <xf numFmtId="0" fontId="0" fillId="4" borderId="189" xfId="0" applyFont="1" applyFill="1" applyBorder="1" applyAlignment="1">
      <alignment horizontal="center" vertical="center" wrapText="1"/>
    </xf>
    <xf numFmtId="0" fontId="0" fillId="4" borderId="113" xfId="0" applyFont="1" applyFill="1" applyBorder="1" applyAlignment="1">
      <alignment horizontal="center" vertical="center" wrapText="1"/>
    </xf>
    <xf numFmtId="176" fontId="0" fillId="0" borderId="202" xfId="0" applyNumberFormat="1" applyFont="1" applyBorder="1" applyAlignment="1">
      <alignment horizontal="center" vertical="center"/>
    </xf>
    <xf numFmtId="176" fontId="0" fillId="0" borderId="201" xfId="0" applyNumberFormat="1" applyFont="1" applyBorder="1" applyAlignment="1">
      <alignment horizontal="center" vertical="center"/>
    </xf>
    <xf numFmtId="176" fontId="0" fillId="0" borderId="203" xfId="0" applyNumberFormat="1" applyFont="1" applyBorder="1" applyAlignment="1">
      <alignment horizontal="center" vertical="center"/>
    </xf>
    <xf numFmtId="176" fontId="0" fillId="0" borderId="167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176" fontId="0" fillId="0" borderId="71" xfId="0" applyNumberFormat="1" applyFont="1" applyBorder="1" applyAlignment="1">
      <alignment horizontal="center" vertical="center"/>
    </xf>
    <xf numFmtId="176" fontId="0" fillId="0" borderId="166" xfId="0" applyNumberFormat="1" applyFont="1" applyBorder="1" applyAlignment="1">
      <alignment horizontal="center" vertical="center"/>
    </xf>
    <xf numFmtId="176" fontId="0" fillId="0" borderId="205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86" fontId="0" fillId="0" borderId="55" xfId="0" applyNumberFormat="1" applyFont="1" applyBorder="1" applyAlignment="1">
      <alignment horizontal="center" vertical="center" textRotation="255" wrapText="1"/>
    </xf>
    <xf numFmtId="0" fontId="0" fillId="0" borderId="53" xfId="0" applyBorder="1" applyAlignment="1">
      <alignment horizontal="center" vertical="center" textRotation="255" wrapText="1"/>
    </xf>
    <xf numFmtId="0" fontId="0" fillId="0" borderId="70" xfId="0" applyBorder="1" applyAlignment="1">
      <alignment horizontal="center" vertical="center" textRotation="255" wrapText="1"/>
    </xf>
    <xf numFmtId="176" fontId="0" fillId="0" borderId="147" xfId="0" applyNumberFormat="1" applyFont="1" applyBorder="1" applyAlignment="1">
      <alignment horizontal="center" vertical="center"/>
    </xf>
    <xf numFmtId="176" fontId="0" fillId="0" borderId="148" xfId="0" applyNumberFormat="1" applyFont="1" applyBorder="1" applyAlignment="1">
      <alignment horizontal="center" vertical="center"/>
    </xf>
    <xf numFmtId="176" fontId="0" fillId="0" borderId="55" xfId="0" applyNumberFormat="1" applyFont="1" applyBorder="1" applyAlignment="1">
      <alignment horizontal="center" vertical="center" textRotation="255" wrapText="1"/>
    </xf>
    <xf numFmtId="0" fontId="0" fillId="0" borderId="53" xfId="0" applyFont="1" applyBorder="1" applyAlignment="1">
      <alignment horizontal="center" vertical="center" textRotation="255" wrapText="1"/>
    </xf>
    <xf numFmtId="0" fontId="0" fillId="0" borderId="70" xfId="0" applyFont="1" applyBorder="1" applyAlignment="1">
      <alignment horizontal="center" vertical="center" textRotation="255" wrapText="1"/>
    </xf>
    <xf numFmtId="176" fontId="4" fillId="0" borderId="55" xfId="0" applyNumberFormat="1" applyFont="1" applyBorder="1" applyAlignment="1">
      <alignment horizontal="center" vertical="center" textRotation="255" wrapText="1"/>
    </xf>
    <xf numFmtId="176" fontId="0" fillId="0" borderId="65" xfId="0" applyNumberFormat="1" applyFont="1" applyBorder="1" applyAlignment="1">
      <alignment horizontal="left" vertical="center" indent="1"/>
    </xf>
    <xf numFmtId="176" fontId="0" fillId="0" borderId="46" xfId="0" applyNumberFormat="1" applyFont="1" applyBorder="1" applyAlignment="1">
      <alignment horizontal="left" vertical="center" indent="1"/>
    </xf>
    <xf numFmtId="176" fontId="0" fillId="0" borderId="65" xfId="0" applyNumberFormat="1" applyFont="1" applyBorder="1" applyAlignment="1">
      <alignment horizontal="center" vertical="center"/>
    </xf>
    <xf numFmtId="176" fontId="0" fillId="0" borderId="46" xfId="0" applyNumberFormat="1" applyFont="1" applyBorder="1" applyAlignment="1">
      <alignment horizontal="center" vertical="center"/>
    </xf>
    <xf numFmtId="176" fontId="0" fillId="0" borderId="72" xfId="0" applyNumberFormat="1" applyFont="1" applyBorder="1" applyAlignment="1">
      <alignment horizontal="center" vertical="center"/>
    </xf>
    <xf numFmtId="176" fontId="0" fillId="0" borderId="73" xfId="0" applyNumberFormat="1" applyFont="1" applyBorder="1" applyAlignment="1">
      <alignment horizontal="center" vertical="center"/>
    </xf>
    <xf numFmtId="176" fontId="0" fillId="0" borderId="238" xfId="0" applyNumberFormat="1" applyBorder="1" applyAlignment="1">
      <alignment horizontal="center" vertical="center"/>
    </xf>
    <xf numFmtId="176" fontId="0" fillId="0" borderId="239" xfId="0" applyNumberFormat="1" applyBorder="1" applyAlignment="1">
      <alignment horizontal="center" vertical="center"/>
    </xf>
    <xf numFmtId="176" fontId="0" fillId="0" borderId="166" xfId="0" applyNumberFormat="1" applyBorder="1" applyAlignment="1">
      <alignment horizontal="center" vertical="center"/>
    </xf>
    <xf numFmtId="176" fontId="0" fillId="0" borderId="119" xfId="0" applyNumberFormat="1" applyFont="1" applyBorder="1" applyAlignment="1">
      <alignment horizontal="center" vertical="center"/>
    </xf>
    <xf numFmtId="176" fontId="0" fillId="0" borderId="98" xfId="0" applyNumberFormat="1" applyFont="1" applyBorder="1" applyAlignment="1">
      <alignment horizontal="center" vertical="center"/>
    </xf>
    <xf numFmtId="176" fontId="0" fillId="0" borderId="109" xfId="0" applyNumberFormat="1" applyBorder="1" applyAlignment="1">
      <alignment horizontal="center" vertical="center" textRotation="255"/>
    </xf>
    <xf numFmtId="176" fontId="0" fillId="0" borderId="53" xfId="0" applyNumberFormat="1" applyBorder="1" applyAlignment="1">
      <alignment horizontal="center" vertical="center" textRotation="255"/>
    </xf>
    <xf numFmtId="176" fontId="0" fillId="0" borderId="104" xfId="0" applyNumberFormat="1" applyBorder="1" applyAlignment="1">
      <alignment horizontal="center" vertical="center" textRotation="255"/>
    </xf>
    <xf numFmtId="176" fontId="0" fillId="0" borderId="153" xfId="0" applyNumberFormat="1" applyBorder="1" applyAlignment="1">
      <alignment horizontal="center" vertical="center"/>
    </xf>
    <xf numFmtId="176" fontId="0" fillId="0" borderId="108" xfId="0" applyNumberFormat="1" applyBorder="1" applyAlignment="1">
      <alignment horizontal="center" vertical="center"/>
    </xf>
    <xf numFmtId="176" fontId="0" fillId="0" borderId="222" xfId="0" applyNumberFormat="1" applyFont="1" applyBorder="1" applyAlignment="1">
      <alignment horizontal="center" vertical="center" shrinkToFit="1"/>
    </xf>
    <xf numFmtId="176" fontId="0" fillId="0" borderId="165" xfId="0" applyNumberFormat="1" applyFont="1" applyBorder="1" applyAlignment="1">
      <alignment horizontal="center" vertical="center" shrinkToFit="1"/>
    </xf>
    <xf numFmtId="176" fontId="0" fillId="0" borderId="55" xfId="0" applyNumberFormat="1" applyFont="1" applyBorder="1" applyAlignment="1">
      <alignment horizontal="center" vertical="center" textRotation="255" shrinkToFit="1"/>
    </xf>
    <xf numFmtId="176" fontId="0" fillId="0" borderId="53" xfId="0" applyNumberFormat="1" applyFont="1" applyBorder="1" applyAlignment="1">
      <alignment horizontal="center" vertical="center" textRotation="255" shrinkToFit="1"/>
    </xf>
    <xf numFmtId="176" fontId="0" fillId="0" borderId="70" xfId="0" applyNumberFormat="1" applyFont="1" applyBorder="1" applyAlignment="1">
      <alignment horizontal="center" vertical="center" textRotation="255" shrinkToFit="1"/>
    </xf>
    <xf numFmtId="176" fontId="0" fillId="0" borderId="18" xfId="0" applyNumberFormat="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176" fontId="0" fillId="0" borderId="208" xfId="0" applyNumberFormat="1" applyFont="1" applyBorder="1" applyAlignment="1">
      <alignment horizontal="center" vertical="center" shrinkToFit="1"/>
    </xf>
    <xf numFmtId="176" fontId="0" fillId="0" borderId="70" xfId="0" applyNumberFormat="1" applyFont="1" applyBorder="1" applyAlignment="1">
      <alignment horizontal="center" vertical="center" shrinkToFit="1"/>
    </xf>
    <xf numFmtId="176" fontId="0" fillId="0" borderId="223" xfId="0" applyNumberFormat="1" applyFont="1" applyBorder="1" applyAlignment="1">
      <alignment horizontal="center" vertical="center" shrinkToFit="1"/>
    </xf>
    <xf numFmtId="176" fontId="0" fillId="0" borderId="148" xfId="0" applyNumberFormat="1" applyFont="1" applyBorder="1" applyAlignment="1">
      <alignment horizontal="center" vertical="center" shrinkToFit="1"/>
    </xf>
    <xf numFmtId="177" fontId="0" fillId="0" borderId="254" xfId="0" applyNumberFormat="1" applyFill="1" applyBorder="1" applyAlignment="1">
      <alignment horizontal="center" vertical="center" textRotation="255" shrinkToFit="1"/>
    </xf>
    <xf numFmtId="177" fontId="0" fillId="0" borderId="10" xfId="0" applyNumberFormat="1" applyFill="1" applyBorder="1" applyAlignment="1">
      <alignment horizontal="center" vertical="center" textRotation="255" shrinkToFit="1"/>
    </xf>
    <xf numFmtId="177" fontId="0" fillId="0" borderId="122" xfId="0" applyNumberFormat="1" applyFill="1" applyBorder="1" applyAlignment="1">
      <alignment horizontal="center" vertical="center" textRotation="255" shrinkToFit="1"/>
    </xf>
    <xf numFmtId="177" fontId="0" fillId="0" borderId="246" xfId="0" applyNumberFormat="1" applyBorder="1" applyAlignment="1">
      <alignment horizontal="center" vertical="center" textRotation="255" shrinkToFit="1"/>
    </xf>
    <xf numFmtId="177" fontId="0" fillId="0" borderId="9" xfId="0" applyNumberFormat="1" applyBorder="1" applyAlignment="1">
      <alignment horizontal="center" vertical="center" textRotation="255" shrinkToFit="1"/>
    </xf>
    <xf numFmtId="177" fontId="0" fillId="0" borderId="120" xfId="0" applyNumberFormat="1" applyBorder="1" applyAlignment="1">
      <alignment horizontal="center" vertical="center" textRotation="255" shrinkToFit="1"/>
    </xf>
    <xf numFmtId="0" fontId="0" fillId="0" borderId="248" xfId="0" applyFill="1" applyBorder="1" applyAlignment="1">
      <alignment horizontal="center" vertical="center" textRotation="255" wrapText="1"/>
    </xf>
    <xf numFmtId="0" fontId="0" fillId="0" borderId="40" xfId="0" applyFill="1" applyBorder="1" applyAlignment="1">
      <alignment horizontal="center" vertical="center" textRotation="255" wrapText="1"/>
    </xf>
    <xf numFmtId="0" fontId="0" fillId="0" borderId="68" xfId="0" applyFill="1" applyBorder="1" applyAlignment="1">
      <alignment horizontal="center" vertical="center" textRotation="255" wrapText="1"/>
    </xf>
    <xf numFmtId="177" fontId="0" fillId="0" borderId="13" xfId="0" applyNumberFormat="1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center" vertical="center"/>
    </xf>
    <xf numFmtId="177" fontId="0" fillId="0" borderId="15" xfId="0" applyNumberFormat="1" applyFon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3" xfId="0" applyNumberFormat="1" applyFont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227" xfId="0" applyNumberFormat="1" applyFont="1" applyFill="1" applyBorder="1" applyAlignment="1">
      <alignment horizontal="center" vertical="center"/>
    </xf>
    <xf numFmtId="177" fontId="0" fillId="0" borderId="228" xfId="0" applyNumberFormat="1" applyFont="1" applyFill="1" applyBorder="1" applyAlignment="1">
      <alignment horizontal="center" vertical="center"/>
    </xf>
    <xf numFmtId="177" fontId="0" fillId="0" borderId="229" xfId="0" applyNumberFormat="1" applyFont="1" applyFill="1" applyBorder="1" applyAlignment="1">
      <alignment horizontal="center" vertical="center"/>
    </xf>
    <xf numFmtId="177" fontId="0" fillId="0" borderId="249" xfId="0" applyNumberFormat="1" applyFont="1" applyFill="1" applyBorder="1" applyAlignment="1">
      <alignment horizontal="left" vertical="center" shrinkToFit="1"/>
    </xf>
    <xf numFmtId="177" fontId="0" fillId="0" borderId="250" xfId="0" applyNumberFormat="1" applyFont="1" applyFill="1" applyBorder="1" applyAlignment="1">
      <alignment horizontal="left"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 shrinkToFit="1"/>
    </xf>
    <xf numFmtId="177" fontId="0" fillId="0" borderId="145" xfId="0" applyNumberFormat="1" applyFont="1" applyFill="1" applyBorder="1" applyAlignment="1">
      <alignment vertical="center"/>
    </xf>
    <xf numFmtId="177" fontId="0" fillId="0" borderId="76" xfId="0" applyNumberFormat="1" applyFill="1" applyBorder="1" applyAlignment="1">
      <alignment vertical="center"/>
    </xf>
    <xf numFmtId="0" fontId="0" fillId="0" borderId="76" xfId="0" applyFont="1" applyFill="1" applyBorder="1" applyAlignment="1">
      <alignment vertical="center"/>
    </xf>
    <xf numFmtId="0" fontId="0" fillId="0" borderId="66" xfId="0" applyFont="1" applyFill="1" applyBorder="1" applyAlignment="1">
      <alignment vertical="center"/>
    </xf>
    <xf numFmtId="177" fontId="0" fillId="0" borderId="117" xfId="0" applyNumberFormat="1" applyFont="1" applyBorder="1" applyAlignment="1">
      <alignment vertical="center"/>
    </xf>
    <xf numFmtId="177" fontId="0" fillId="0" borderId="168" xfId="0" applyNumberFormat="1" applyFont="1" applyBorder="1" applyAlignment="1">
      <alignment vertical="center"/>
    </xf>
    <xf numFmtId="177" fontId="0" fillId="0" borderId="170" xfId="0" applyNumberFormat="1" applyFont="1" applyBorder="1" applyAlignment="1">
      <alignment vertical="center"/>
    </xf>
    <xf numFmtId="177" fontId="0" fillId="2" borderId="25" xfId="0" applyNumberFormat="1" applyFont="1" applyFill="1" applyBorder="1" applyAlignment="1">
      <alignment horizontal="right" vertical="center" shrinkToFit="1"/>
    </xf>
    <xf numFmtId="177" fontId="0" fillId="2" borderId="29" xfId="0" applyNumberFormat="1" applyFont="1" applyFill="1" applyBorder="1" applyAlignment="1">
      <alignment horizontal="right" vertical="center" shrinkToFit="1"/>
    </xf>
    <xf numFmtId="177" fontId="0" fillId="0" borderId="200" xfId="0" applyNumberFormat="1" applyFont="1" applyBorder="1" applyAlignment="1">
      <alignment horizontal="center" vertical="center" shrinkToFit="1"/>
    </xf>
    <xf numFmtId="177" fontId="0" fillId="0" borderId="201" xfId="0" applyNumberFormat="1" applyFont="1" applyBorder="1" applyAlignment="1">
      <alignment horizontal="center" vertical="center" shrinkToFit="1"/>
    </xf>
    <xf numFmtId="177" fontId="0" fillId="0" borderId="203" xfId="0" applyNumberFormat="1" applyFont="1" applyBorder="1" applyAlignment="1">
      <alignment horizontal="center" vertical="center" shrinkToFit="1"/>
    </xf>
    <xf numFmtId="177" fontId="0" fillId="0" borderId="3" xfId="0" applyNumberForma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5" fillId="0" borderId="138" xfId="0" applyNumberFormat="1" applyFont="1" applyFill="1" applyBorder="1" applyAlignment="1">
      <alignment horizontal="left" vertical="center" wrapText="1"/>
    </xf>
    <xf numFmtId="177" fontId="5" fillId="0" borderId="145" xfId="0" applyNumberFormat="1" applyFont="1" applyFill="1" applyBorder="1" applyAlignment="1">
      <alignment horizontal="left" vertical="center" wrapText="1"/>
    </xf>
    <xf numFmtId="177" fontId="5" fillId="0" borderId="146" xfId="0" applyNumberFormat="1" applyFont="1" applyFill="1" applyBorder="1" applyAlignment="1">
      <alignment horizontal="left" vertical="center" wrapTex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54" xfId="0" applyNumberFormat="1" applyFont="1" applyFill="1" applyBorder="1" applyAlignment="1">
      <alignment horizontal="center" vertical="center" shrinkToFit="1"/>
    </xf>
    <xf numFmtId="177" fontId="4" fillId="0" borderId="138" xfId="0" applyNumberFormat="1" applyFont="1" applyFill="1" applyBorder="1" applyAlignment="1">
      <alignment horizontal="left" vertical="center" wrapText="1"/>
    </xf>
    <xf numFmtId="0" fontId="4" fillId="0" borderId="145" xfId="0" applyFont="1" applyBorder="1" applyAlignment="1">
      <alignment horizontal="left" vertical="center" wrapText="1"/>
    </xf>
    <xf numFmtId="0" fontId="4" fillId="0" borderId="146" xfId="0" applyFont="1" applyBorder="1" applyAlignment="1">
      <alignment horizontal="left" vertical="center" wrapText="1"/>
    </xf>
    <xf numFmtId="0" fontId="0" fillId="0" borderId="145" xfId="0" applyBorder="1" applyAlignment="1">
      <alignment horizontal="left" vertical="center" wrapText="1"/>
    </xf>
    <xf numFmtId="0" fontId="0" fillId="0" borderId="146" xfId="0" applyBorder="1" applyAlignment="1">
      <alignment horizontal="left" vertical="center" wrapText="1"/>
    </xf>
    <xf numFmtId="177" fontId="0" fillId="0" borderId="246" xfId="0" applyNumberFormat="1" applyFont="1" applyBorder="1" applyAlignment="1">
      <alignment horizontal="center" vertical="center" shrinkToFit="1"/>
    </xf>
    <xf numFmtId="177" fontId="0" fillId="0" borderId="253" xfId="0" applyNumberFormat="1" applyFont="1" applyBorder="1" applyAlignment="1">
      <alignment horizontal="center" vertical="center" shrinkToFit="1"/>
    </xf>
    <xf numFmtId="177" fontId="0" fillId="0" borderId="9" xfId="0" applyNumberFormat="1" applyFont="1" applyBorder="1" applyAlignment="1">
      <alignment horizontal="center" vertical="center" shrinkToFit="1"/>
    </xf>
    <xf numFmtId="177" fontId="0" fillId="0" borderId="71" xfId="0" applyNumberFormat="1" applyFont="1" applyBorder="1" applyAlignment="1">
      <alignment horizontal="center" vertical="center" shrinkToFit="1"/>
    </xf>
    <xf numFmtId="177" fontId="0" fillId="0" borderId="166" xfId="0" applyNumberFormat="1" applyFont="1" applyBorder="1" applyAlignment="1">
      <alignment horizontal="center" vertical="center" shrinkToFit="1"/>
    </xf>
    <xf numFmtId="177" fontId="0" fillId="0" borderId="205" xfId="0" applyNumberFormat="1" applyFont="1" applyBorder="1" applyAlignment="1">
      <alignment horizontal="center" vertical="center" shrinkToFit="1"/>
    </xf>
    <xf numFmtId="177" fontId="5" fillId="0" borderId="249" xfId="0" applyNumberFormat="1" applyFont="1" applyFill="1" applyBorder="1" applyAlignment="1">
      <alignment horizontal="left" vertical="center" wrapText="1"/>
    </xf>
    <xf numFmtId="177" fontId="5" fillId="0" borderId="251" xfId="0" applyNumberFormat="1" applyFont="1" applyFill="1" applyBorder="1" applyAlignment="1">
      <alignment horizontal="left" vertical="center" wrapText="1"/>
    </xf>
    <xf numFmtId="177" fontId="5" fillId="0" borderId="252" xfId="0" applyNumberFormat="1" applyFont="1" applyFill="1" applyBorder="1" applyAlignment="1">
      <alignment horizontal="left" vertical="center" wrapTex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92" xfId="0" applyNumberFormat="1" applyFont="1" applyFill="1" applyBorder="1" applyAlignment="1">
      <alignment horizontal="center" vertical="center" shrinkToFit="1"/>
    </xf>
    <xf numFmtId="177" fontId="0" fillId="0" borderId="122" xfId="0" applyNumberFormat="1" applyFont="1" applyFill="1" applyBorder="1" applyAlignment="1">
      <alignment horizontal="center" vertical="center"/>
    </xf>
    <xf numFmtId="177" fontId="0" fillId="0" borderId="125" xfId="0" applyNumberFormat="1" applyFont="1" applyFill="1" applyBorder="1" applyAlignment="1">
      <alignment horizontal="center" vertical="center"/>
    </xf>
    <xf numFmtId="177" fontId="0" fillId="0" borderId="126" xfId="0" applyNumberFormat="1" applyFont="1" applyFill="1" applyBorder="1" applyAlignment="1">
      <alignment horizontal="center" vertical="center"/>
    </xf>
    <xf numFmtId="177" fontId="0" fillId="0" borderId="14" xfId="0" applyNumberFormat="1" applyFill="1" applyBorder="1" applyAlignment="1">
      <alignment vertical="center" shrinkToFit="1"/>
    </xf>
    <xf numFmtId="177" fontId="0" fillId="0" borderId="15" xfId="0" applyNumberFormat="1" applyFill="1" applyBorder="1" applyAlignment="1">
      <alignment vertical="center" shrinkToFit="1"/>
    </xf>
    <xf numFmtId="177" fontId="0" fillId="0" borderId="109" xfId="0" applyNumberFormat="1" applyBorder="1" applyAlignment="1">
      <alignment horizontal="center" vertical="center" textRotation="255" shrinkToFit="1"/>
    </xf>
    <xf numFmtId="177" fontId="0" fillId="0" borderId="53" xfId="0" applyNumberFormat="1" applyBorder="1" applyAlignment="1">
      <alignment horizontal="center" vertical="center" textRotation="255" shrinkToFit="1"/>
    </xf>
    <xf numFmtId="177" fontId="0" fillId="0" borderId="31" xfId="0" applyNumberFormat="1" applyBorder="1" applyAlignment="1">
      <alignment horizontal="center" vertical="center" textRotation="255" shrinkToFit="1"/>
    </xf>
    <xf numFmtId="177" fontId="0" fillId="0" borderId="176" xfId="0" applyNumberFormat="1" applyFill="1" applyBorder="1" applyAlignment="1">
      <alignment vertical="center" shrinkToFit="1"/>
    </xf>
    <xf numFmtId="177" fontId="0" fillId="0" borderId="177" xfId="0" applyNumberFormat="1" applyFont="1" applyFill="1" applyBorder="1" applyAlignment="1">
      <alignment vertical="center" shrinkToFit="1"/>
    </xf>
    <xf numFmtId="177" fontId="0" fillId="0" borderId="178" xfId="0" applyNumberFormat="1" applyFont="1" applyFill="1" applyBorder="1" applyAlignment="1">
      <alignment vertical="center" shrinkToFit="1"/>
    </xf>
    <xf numFmtId="177" fontId="0" fillId="0" borderId="107" xfId="0" applyNumberFormat="1" applyFont="1" applyBorder="1" applyAlignment="1">
      <alignment vertical="center"/>
    </xf>
    <xf numFmtId="177" fontId="0" fillId="0" borderId="115" xfId="0" applyNumberFormat="1" applyFont="1" applyBorder="1" applyAlignment="1">
      <alignment vertical="center"/>
    </xf>
    <xf numFmtId="177" fontId="0" fillId="0" borderId="127" xfId="0" applyNumberFormat="1" applyFont="1" applyBorder="1" applyAlignment="1">
      <alignment vertical="center"/>
    </xf>
    <xf numFmtId="177" fontId="0" fillId="0" borderId="138" xfId="0" applyNumberFormat="1" applyFont="1" applyFill="1" applyBorder="1" applyAlignment="1">
      <alignment horizontal="center" vertical="center"/>
    </xf>
    <xf numFmtId="177" fontId="0" fillId="0" borderId="145" xfId="0" applyNumberFormat="1" applyFont="1" applyFill="1" applyBorder="1" applyAlignment="1">
      <alignment horizontal="center" vertical="center"/>
    </xf>
    <xf numFmtId="177" fontId="0" fillId="0" borderId="146" xfId="0" applyNumberFormat="1" applyFont="1" applyFill="1" applyBorder="1" applyAlignment="1">
      <alignment horizontal="center" vertical="center"/>
    </xf>
    <xf numFmtId="177" fontId="0" fillId="0" borderId="171" xfId="0" applyNumberFormat="1" applyFont="1" applyFill="1" applyBorder="1" applyAlignment="1">
      <alignment vertical="center"/>
    </xf>
    <xf numFmtId="177" fontId="0" fillId="0" borderId="179" xfId="0" applyNumberFormat="1" applyFont="1" applyFill="1" applyBorder="1" applyAlignment="1">
      <alignment vertical="center"/>
    </xf>
    <xf numFmtId="177" fontId="0" fillId="0" borderId="180" xfId="0" applyNumberFormat="1" applyFont="1" applyFill="1" applyBorder="1" applyAlignment="1">
      <alignment vertical="center"/>
    </xf>
    <xf numFmtId="177" fontId="0" fillId="0" borderId="181" xfId="0" applyNumberFormat="1" applyFont="1" applyFill="1" applyBorder="1" applyAlignment="1">
      <alignment horizontal="center" vertical="center"/>
    </xf>
    <xf numFmtId="177" fontId="0" fillId="0" borderId="182" xfId="0" applyNumberFormat="1" applyFont="1" applyFill="1" applyBorder="1" applyAlignment="1">
      <alignment horizontal="center" vertical="center"/>
    </xf>
    <xf numFmtId="177" fontId="0" fillId="0" borderId="183" xfId="0" applyNumberFormat="1" applyFont="1" applyFill="1" applyBorder="1" applyAlignment="1">
      <alignment horizontal="center" vertical="center"/>
    </xf>
    <xf numFmtId="177" fontId="0" fillId="0" borderId="138" xfId="0" applyNumberFormat="1" applyFill="1" applyBorder="1" applyAlignment="1">
      <alignment vertical="center"/>
    </xf>
    <xf numFmtId="0" fontId="0" fillId="0" borderId="145" xfId="0" applyBorder="1" applyAlignment="1">
      <alignment vertical="center"/>
    </xf>
    <xf numFmtId="0" fontId="0" fillId="0" borderId="146" xfId="0" applyBorder="1" applyAlignment="1">
      <alignment vertical="center"/>
    </xf>
    <xf numFmtId="177" fontId="0" fillId="0" borderId="117" xfId="0" applyNumberFormat="1" applyFill="1" applyBorder="1" applyAlignment="1">
      <alignment vertical="center"/>
    </xf>
    <xf numFmtId="0" fontId="0" fillId="0" borderId="168" xfId="0" applyBorder="1" applyAlignment="1">
      <alignment vertical="center"/>
    </xf>
    <xf numFmtId="0" fontId="0" fillId="0" borderId="170" xfId="0" applyBorder="1" applyAlignment="1">
      <alignment vertical="center"/>
    </xf>
    <xf numFmtId="177" fontId="0" fillId="0" borderId="25" xfId="0" applyNumberFormat="1" applyFill="1" applyBorder="1" applyAlignment="1">
      <alignment vertical="center" shrinkToFit="1"/>
    </xf>
    <xf numFmtId="177" fontId="0" fillId="0" borderId="26" xfId="0" applyNumberFormat="1" applyFont="1" applyFill="1" applyBorder="1" applyAlignment="1">
      <alignment vertical="center" shrinkToFit="1"/>
    </xf>
    <xf numFmtId="177" fontId="0" fillId="0" borderId="29" xfId="0" applyNumberFormat="1" applyFont="1" applyFill="1" applyBorder="1" applyAlignment="1">
      <alignment vertical="center" shrinkToFit="1"/>
    </xf>
    <xf numFmtId="177" fontId="0" fillId="0" borderId="125" xfId="0" applyNumberFormat="1" applyFill="1" applyBorder="1" applyAlignment="1">
      <alignment vertical="center" shrinkToFit="1"/>
    </xf>
    <xf numFmtId="177" fontId="0" fillId="0" borderId="126" xfId="0" applyNumberFormat="1" applyFill="1" applyBorder="1" applyAlignment="1">
      <alignment vertical="center" shrinkToFit="1"/>
    </xf>
    <xf numFmtId="177" fontId="0" fillId="0" borderId="35" xfId="3" applyNumberFormat="1" applyFont="1" applyBorder="1" applyAlignment="1">
      <alignment horizontal="center" vertical="center" shrinkToFit="1"/>
    </xf>
    <xf numFmtId="177" fontId="0" fillId="0" borderId="132" xfId="3" applyNumberFormat="1" applyFont="1" applyBorder="1" applyAlignment="1">
      <alignment horizontal="center" vertical="center" textRotation="255" shrinkToFit="1"/>
    </xf>
    <xf numFmtId="177" fontId="0" fillId="0" borderId="83" xfId="3" applyNumberFormat="1" applyFont="1" applyBorder="1" applyAlignment="1">
      <alignment horizontal="center" vertical="center" textRotation="255" shrinkToFit="1"/>
    </xf>
    <xf numFmtId="177" fontId="0" fillId="0" borderId="129" xfId="3" applyNumberFormat="1" applyFont="1" applyBorder="1" applyAlignment="1">
      <alignment horizontal="center" vertical="center" textRotation="255" shrinkToFit="1"/>
    </xf>
    <xf numFmtId="176" fontId="0" fillId="0" borderId="133" xfId="0" applyNumberFormat="1" applyFont="1" applyBorder="1" applyAlignment="1">
      <alignment vertical="center"/>
    </xf>
    <xf numFmtId="176" fontId="0" fillId="0" borderId="32" xfId="3" applyNumberFormat="1" applyFont="1" applyFill="1" applyBorder="1" applyAlignment="1">
      <alignment vertical="center" shrinkToFit="1"/>
    </xf>
    <xf numFmtId="176" fontId="0" fillId="0" borderId="37" xfId="3" applyNumberFormat="1" applyFont="1" applyFill="1" applyBorder="1" applyAlignment="1">
      <alignment vertical="center" shrinkToFit="1"/>
    </xf>
    <xf numFmtId="176" fontId="0" fillId="0" borderId="32" xfId="0" applyNumberFormat="1" applyFont="1" applyFill="1" applyBorder="1" applyAlignment="1">
      <alignment vertical="center"/>
    </xf>
    <xf numFmtId="176" fontId="0" fillId="0" borderId="37" xfId="0" applyNumberFormat="1" applyFont="1" applyFill="1" applyBorder="1" applyAlignment="1">
      <alignment vertical="center"/>
    </xf>
    <xf numFmtId="176" fontId="0" fillId="2" borderId="38" xfId="0" applyNumberFormat="1" applyFont="1" applyFill="1" applyBorder="1" applyAlignment="1">
      <alignment vertical="center" shrinkToFit="1"/>
    </xf>
    <xf numFmtId="176" fontId="0" fillId="0" borderId="38" xfId="0" applyNumberFormat="1" applyFont="1" applyBorder="1" applyAlignment="1">
      <alignment vertical="center"/>
    </xf>
    <xf numFmtId="176" fontId="0" fillId="2" borderId="47" xfId="0" applyNumberFormat="1" applyFont="1" applyFill="1" applyBorder="1" applyAlignment="1">
      <alignment vertical="center" shrinkToFit="1"/>
    </xf>
    <xf numFmtId="176" fontId="0" fillId="0" borderId="47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7" fontId="0" fillId="0" borderId="130" xfId="3" applyNumberFormat="1" applyFont="1" applyBorder="1" applyAlignment="1">
      <alignment horizontal="center" vertical="center" textRotation="255" shrinkToFit="1"/>
    </xf>
    <xf numFmtId="176" fontId="0" fillId="2" borderId="107" xfId="0" applyNumberFormat="1" applyFont="1" applyFill="1" applyBorder="1" applyAlignment="1">
      <alignment horizontal="center" vertical="center" shrinkToFit="1"/>
    </xf>
    <xf numFmtId="176" fontId="0" fillId="2" borderId="73" xfId="0" applyNumberFormat="1" applyFont="1" applyFill="1" applyBorder="1" applyAlignment="1">
      <alignment horizontal="center" vertical="center" shrinkToFit="1"/>
    </xf>
    <xf numFmtId="177" fontId="0" fillId="0" borderId="33" xfId="3" applyNumberFormat="1" applyFont="1" applyBorder="1" applyAlignment="1">
      <alignment horizontal="center" vertical="center" shrinkToFit="1"/>
    </xf>
    <xf numFmtId="177" fontId="0" fillId="0" borderId="59" xfId="3" applyNumberFormat="1" applyFont="1" applyBorder="1" applyAlignment="1">
      <alignment horizontal="center" vertical="center" shrinkToFit="1"/>
    </xf>
    <xf numFmtId="176" fontId="0" fillId="0" borderId="104" xfId="0" applyNumberFormat="1" applyFont="1" applyBorder="1" applyAlignment="1">
      <alignment horizontal="center" vertical="center" textRotation="255" shrinkToFit="1"/>
    </xf>
    <xf numFmtId="176" fontId="0" fillId="0" borderId="109" xfId="0" applyNumberFormat="1" applyFont="1" applyBorder="1" applyAlignment="1">
      <alignment horizontal="center" vertical="center" textRotation="255" shrinkToFit="1"/>
    </xf>
    <xf numFmtId="176" fontId="17" fillId="0" borderId="109" xfId="0" applyNumberFormat="1" applyFont="1" applyBorder="1" applyAlignment="1">
      <alignment horizontal="center" vertical="center" textRotation="255" wrapText="1"/>
    </xf>
    <xf numFmtId="176" fontId="0" fillId="0" borderId="53" xfId="0" applyNumberFormat="1" applyFont="1" applyBorder="1" applyAlignment="1">
      <alignment horizontal="center" vertical="center" textRotation="255" wrapText="1"/>
    </xf>
    <xf numFmtId="176" fontId="0" fillId="0" borderId="104" xfId="0" applyNumberFormat="1" applyFont="1" applyBorder="1" applyAlignment="1">
      <alignment horizontal="center" vertical="center" textRotation="255" wrapText="1"/>
    </xf>
    <xf numFmtId="176" fontId="0" fillId="2" borderId="184" xfId="0" applyNumberFormat="1" applyFont="1" applyFill="1" applyBorder="1" applyAlignment="1">
      <alignment horizontal="center" vertical="center" shrinkToFit="1"/>
    </xf>
    <xf numFmtId="176" fontId="0" fillId="2" borderId="185" xfId="0" applyNumberFormat="1" applyFont="1" applyFill="1" applyBorder="1" applyAlignment="1">
      <alignment horizontal="center" vertical="center" shrinkToFit="1"/>
    </xf>
    <xf numFmtId="176" fontId="4" fillId="0" borderId="109" xfId="0" applyNumberFormat="1" applyFont="1" applyBorder="1" applyAlignment="1">
      <alignment horizontal="center" vertical="center" textRotation="255" wrapText="1"/>
    </xf>
    <xf numFmtId="176" fontId="0" fillId="0" borderId="186" xfId="0" applyNumberFormat="1" applyFont="1" applyBorder="1" applyAlignment="1">
      <alignment horizontal="center" vertical="center" textRotation="255" wrapText="1"/>
    </xf>
    <xf numFmtId="176" fontId="0" fillId="2" borderId="63" xfId="0" applyNumberFormat="1" applyFont="1" applyFill="1" applyBorder="1" applyAlignment="1">
      <alignment horizontal="center" vertical="center" shrinkToFit="1"/>
    </xf>
    <xf numFmtId="176" fontId="0" fillId="2" borderId="99" xfId="0" applyNumberFormat="1" applyFont="1" applyFill="1" applyBorder="1" applyAlignment="1">
      <alignment horizontal="center" vertical="center" shrinkToFit="1"/>
    </xf>
    <xf numFmtId="176" fontId="0" fillId="0" borderId="186" xfId="0" applyNumberFormat="1" applyFont="1" applyBorder="1" applyAlignment="1">
      <alignment horizontal="center" vertical="center" textRotation="255" shrinkToFit="1"/>
    </xf>
    <xf numFmtId="176" fontId="0" fillId="0" borderId="31" xfId="0" applyNumberFormat="1" applyFont="1" applyBorder="1" applyAlignment="1">
      <alignment horizontal="center" vertical="center" textRotation="255" shrinkToFit="1"/>
    </xf>
    <xf numFmtId="177" fontId="0" fillId="2" borderId="72" xfId="0" applyNumberFormat="1" applyFont="1" applyFill="1" applyBorder="1" applyAlignment="1">
      <alignment horizontal="center" vertical="center" shrinkToFit="1"/>
    </xf>
    <xf numFmtId="177" fontId="0" fillId="2" borderId="73" xfId="0" applyNumberFormat="1" applyFont="1" applyFill="1" applyBorder="1" applyAlignment="1">
      <alignment horizontal="center" vertical="center" shrinkToFit="1"/>
    </xf>
    <xf numFmtId="0" fontId="0" fillId="0" borderId="87" xfId="0" applyFont="1" applyBorder="1">
      <alignment vertical="center"/>
    </xf>
    <xf numFmtId="0" fontId="0" fillId="0" borderId="136" xfId="0" applyFont="1" applyBorder="1">
      <alignment vertical="center"/>
    </xf>
    <xf numFmtId="177" fontId="0" fillId="0" borderId="13" xfId="0" applyNumberFormat="1" applyFont="1" applyBorder="1" applyAlignment="1">
      <alignment horizontal="center" vertical="center" shrinkToFit="1"/>
    </xf>
    <xf numFmtId="177" fontId="0" fillId="0" borderId="46" xfId="0" applyNumberFormat="1" applyFont="1" applyBorder="1" applyAlignment="1">
      <alignment horizontal="center" vertical="center" shrinkToFit="1"/>
    </xf>
    <xf numFmtId="177" fontId="0" fillId="2" borderId="107" xfId="0" applyNumberFormat="1" applyFont="1" applyFill="1" applyBorder="1" applyAlignment="1">
      <alignment horizontal="center" vertical="center" shrinkToFit="1"/>
    </xf>
    <xf numFmtId="176" fontId="0" fillId="0" borderId="110" xfId="0" applyNumberFormat="1" applyFont="1" applyBorder="1" applyAlignment="1">
      <alignment horizontal="center" vertical="center" shrinkToFit="1"/>
    </xf>
    <xf numFmtId="176" fontId="0" fillId="0" borderId="113" xfId="0" applyNumberFormat="1" applyFont="1" applyBorder="1" applyAlignment="1">
      <alignment horizontal="center" vertical="center" shrinkToFit="1"/>
    </xf>
    <xf numFmtId="176" fontId="0" fillId="0" borderId="111" xfId="0" applyNumberFormat="1" applyFont="1" applyBorder="1" applyAlignment="1">
      <alignment horizontal="center" vertical="center" shrinkToFit="1"/>
    </xf>
    <xf numFmtId="176" fontId="0" fillId="0" borderId="114" xfId="0" applyNumberFormat="1" applyFont="1" applyBorder="1" applyAlignment="1">
      <alignment horizontal="center" vertical="center" shrinkToFit="1"/>
    </xf>
    <xf numFmtId="176" fontId="0" fillId="0" borderId="88" xfId="0" applyNumberFormat="1" applyFont="1" applyBorder="1" applyAlignment="1">
      <alignment horizontal="center" vertical="center" textRotation="255" shrinkToFit="1"/>
    </xf>
    <xf numFmtId="176" fontId="0" fillId="0" borderId="112" xfId="0" applyNumberFormat="1" applyFont="1" applyBorder="1" applyAlignment="1">
      <alignment horizontal="center" vertical="center" textRotation="255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0" borderId="74" xfId="0" applyNumberFormat="1" applyFont="1" applyBorder="1" applyAlignment="1">
      <alignment horizontal="center" vertical="center" shrinkToFit="1"/>
    </xf>
    <xf numFmtId="176" fontId="0" fillId="0" borderId="121" xfId="0" applyNumberFormat="1" applyFont="1" applyBorder="1" applyAlignment="1">
      <alignment horizontal="center" vertical="center" textRotation="255" shrinkToFit="1"/>
    </xf>
    <xf numFmtId="177" fontId="0" fillId="2" borderId="139" xfId="0" applyNumberFormat="1" applyFont="1" applyFill="1" applyBorder="1" applyAlignment="1">
      <alignment horizontal="center" vertical="center" shrinkToFit="1"/>
    </xf>
    <xf numFmtId="177" fontId="0" fillId="2" borderId="140" xfId="0" applyNumberFormat="1" applyFont="1" applyFill="1" applyBorder="1" applyAlignment="1">
      <alignment horizontal="center" vertical="center" shrinkToFit="1"/>
    </xf>
    <xf numFmtId="3" fontId="0" fillId="0" borderId="48" xfId="5" applyNumberFormat="1" applyFont="1" applyFill="1" applyBorder="1" applyAlignment="1">
      <alignment horizontal="center" vertical="center" shrinkToFit="1"/>
    </xf>
    <xf numFmtId="3" fontId="0" fillId="0" borderId="40" xfId="5" applyNumberFormat="1" applyFont="1" applyFill="1" applyBorder="1" applyAlignment="1">
      <alignment horizontal="center" vertical="center" shrinkToFit="1"/>
    </xf>
    <xf numFmtId="3" fontId="0" fillId="0" borderId="113" xfId="5" applyNumberFormat="1" applyFont="1" applyFill="1" applyBorder="1" applyAlignment="1">
      <alignment horizontal="center" vertical="center" shrinkToFit="1"/>
    </xf>
    <xf numFmtId="177" fontId="0" fillId="0" borderId="143" xfId="3" applyNumberFormat="1" applyFont="1" applyBorder="1" applyAlignment="1">
      <alignment horizontal="center" vertical="center" shrinkToFit="1"/>
    </xf>
    <xf numFmtId="177" fontId="0" fillId="0" borderId="87" xfId="3" applyNumberFormat="1" applyFont="1" applyBorder="1" applyAlignment="1">
      <alignment horizontal="center" vertical="center" shrinkToFit="1"/>
    </xf>
    <xf numFmtId="177" fontId="0" fillId="0" borderId="144" xfId="3" applyNumberFormat="1" applyFont="1" applyBorder="1" applyAlignment="1">
      <alignment horizontal="center" vertical="center" shrinkToFit="1"/>
    </xf>
    <xf numFmtId="177" fontId="0" fillId="0" borderId="129" xfId="3" applyNumberFormat="1" applyFont="1" applyBorder="1" applyAlignment="1">
      <alignment horizontal="center" vertical="center" shrinkToFit="1"/>
    </xf>
    <xf numFmtId="177" fontId="0" fillId="0" borderId="136" xfId="3" applyNumberFormat="1" applyFont="1" applyBorder="1" applyAlignment="1">
      <alignment horizontal="center" vertical="center" shrinkToFit="1"/>
    </xf>
  </cellXfs>
  <cellStyles count="11">
    <cellStyle name="パーセント" xfId="4" builtinId="5"/>
    <cellStyle name="パーセント 2" xfId="8"/>
    <cellStyle name="ハイパーリンク_20101209　経営改善計画検討手順（素案）" xfId="9"/>
    <cellStyle name="桁区切り" xfId="1" builtinId="6"/>
    <cellStyle name="桁区切り 2" xfId="7"/>
    <cellStyle name="標準" xfId="0" builtinId="0"/>
    <cellStyle name="標準 2" xfId="6"/>
    <cellStyle name="標準_◇類型12（水稲24・大豆12・ぶどう4）" xfId="2"/>
    <cellStyle name="標準_水稲(24ha規模)＋大豆(6ｈａ)＋きゃべつ" xfId="3"/>
    <cellStyle name="標準_野菜計画(最終 ｱｽﾊﾟﾗ+ｺﾏﾂﾅ)" xfId="5"/>
    <cellStyle name="未定義" xfId="10"/>
  </cellStyles>
  <dxfs count="0"/>
  <tableStyles count="0" defaultTableStyle="TableStyleMedium2" defaultPivotStyle="PivotStyleLight16"/>
  <colors>
    <mruColors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9528</xdr:colOff>
      <xdr:row>18</xdr:row>
      <xdr:rowOff>0</xdr:rowOff>
    </xdr:from>
    <xdr:to>
      <xdr:col>28</xdr:col>
      <xdr:colOff>13747</xdr:colOff>
      <xdr:row>19</xdr:row>
      <xdr:rowOff>4350</xdr:rowOff>
    </xdr:to>
    <xdr:sp macro="" textlink="">
      <xdr:nvSpPr>
        <xdr:cNvPr id="2" name="Rectangle 8" descr="10%"/>
        <xdr:cNvSpPr>
          <a:spLocks noChangeArrowheads="1"/>
        </xdr:cNvSpPr>
      </xdr:nvSpPr>
      <xdr:spPr bwMode="auto">
        <a:xfrm>
          <a:off x="8451564" y="4553527"/>
          <a:ext cx="521456" cy="253732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180975</xdr:colOff>
      <xdr:row>12</xdr:row>
      <xdr:rowOff>138547</xdr:rowOff>
    </xdr:from>
    <xdr:to>
      <xdr:col>41</xdr:col>
      <xdr:colOff>242454</xdr:colOff>
      <xdr:row>12</xdr:row>
      <xdr:rowOff>142875</xdr:rowOff>
    </xdr:to>
    <xdr:cxnSp macro="">
      <xdr:nvCxnSpPr>
        <xdr:cNvPr id="3" name="直線コネクタ 2"/>
        <xdr:cNvCxnSpPr/>
      </xdr:nvCxnSpPr>
      <xdr:spPr>
        <a:xfrm flipV="1">
          <a:off x="10487025" y="3262747"/>
          <a:ext cx="2461779" cy="432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12</xdr:row>
      <xdr:rowOff>127001</xdr:rowOff>
    </xdr:from>
    <xdr:to>
      <xdr:col>13</xdr:col>
      <xdr:colOff>0</xdr:colOff>
      <xdr:row>12</xdr:row>
      <xdr:rowOff>133350</xdr:rowOff>
    </xdr:to>
    <xdr:cxnSp macro="">
      <xdr:nvCxnSpPr>
        <xdr:cNvPr id="4" name="直線コネクタ 3"/>
        <xdr:cNvCxnSpPr/>
      </xdr:nvCxnSpPr>
      <xdr:spPr>
        <a:xfrm>
          <a:off x="3362325" y="3251201"/>
          <a:ext cx="1876425" cy="634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180975</xdr:colOff>
      <xdr:row>13</xdr:row>
      <xdr:rowOff>142875</xdr:rowOff>
    </xdr:from>
    <xdr:to>
      <xdr:col>41</xdr:col>
      <xdr:colOff>238125</xdr:colOff>
      <xdr:row>13</xdr:row>
      <xdr:rowOff>147205</xdr:rowOff>
    </xdr:to>
    <xdr:cxnSp macro="">
      <xdr:nvCxnSpPr>
        <xdr:cNvPr id="12" name="直線コネクタ 11"/>
        <xdr:cNvCxnSpPr/>
      </xdr:nvCxnSpPr>
      <xdr:spPr>
        <a:xfrm flipV="1">
          <a:off x="10487025" y="3524250"/>
          <a:ext cx="2457450" cy="433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13</xdr:row>
      <xdr:rowOff>133350</xdr:rowOff>
    </xdr:from>
    <xdr:to>
      <xdr:col>21</xdr:col>
      <xdr:colOff>9525</xdr:colOff>
      <xdr:row>13</xdr:row>
      <xdr:rowOff>142875</xdr:rowOff>
    </xdr:to>
    <xdr:cxnSp macro="">
      <xdr:nvCxnSpPr>
        <xdr:cNvPr id="14" name="直線コネクタ 13"/>
        <xdr:cNvCxnSpPr/>
      </xdr:nvCxnSpPr>
      <xdr:spPr>
        <a:xfrm flipV="1">
          <a:off x="3343275" y="3514725"/>
          <a:ext cx="4038600" cy="952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</xdr:colOff>
      <xdr:row>12</xdr:row>
      <xdr:rowOff>38100</xdr:rowOff>
    </xdr:from>
    <xdr:to>
      <xdr:col>31</xdr:col>
      <xdr:colOff>0</xdr:colOff>
      <xdr:row>12</xdr:row>
      <xdr:rowOff>209550</xdr:rowOff>
    </xdr:to>
    <xdr:sp macro="" textlink="">
      <xdr:nvSpPr>
        <xdr:cNvPr id="16" name="正方形/長方形 15"/>
        <xdr:cNvSpPr/>
      </xdr:nvSpPr>
      <xdr:spPr>
        <a:xfrm>
          <a:off x="5257800" y="3162300"/>
          <a:ext cx="4781550" cy="171450"/>
        </a:xfrm>
        <a:prstGeom prst="rect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9526</xdr:colOff>
      <xdr:row>13</xdr:row>
      <xdr:rowOff>47624</xdr:rowOff>
    </xdr:from>
    <xdr:to>
      <xdr:col>19</xdr:col>
      <xdr:colOff>19050</xdr:colOff>
      <xdr:row>13</xdr:row>
      <xdr:rowOff>209549</xdr:rowOff>
    </xdr:to>
    <xdr:sp macro="" textlink="">
      <xdr:nvSpPr>
        <xdr:cNvPr id="19" name="Rectangle 8" descr="10%"/>
        <xdr:cNvSpPr>
          <a:spLocks noChangeArrowheads="1"/>
        </xdr:cNvSpPr>
      </xdr:nvSpPr>
      <xdr:spPr bwMode="auto">
        <a:xfrm>
          <a:off x="6581776" y="3428999"/>
          <a:ext cx="276224" cy="161925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21</xdr:col>
      <xdr:colOff>9524</xdr:colOff>
      <xdr:row>13</xdr:row>
      <xdr:rowOff>57150</xdr:rowOff>
    </xdr:from>
    <xdr:to>
      <xdr:col>22</xdr:col>
      <xdr:colOff>38099</xdr:colOff>
      <xdr:row>13</xdr:row>
      <xdr:rowOff>219075</xdr:rowOff>
    </xdr:to>
    <xdr:sp macro="" textlink="">
      <xdr:nvSpPr>
        <xdr:cNvPr id="22" name="Rectangle 8" descr="10%"/>
        <xdr:cNvSpPr>
          <a:spLocks noChangeArrowheads="1"/>
        </xdr:cNvSpPr>
      </xdr:nvSpPr>
      <xdr:spPr bwMode="auto">
        <a:xfrm>
          <a:off x="7381874" y="3438525"/>
          <a:ext cx="295275" cy="161925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9525</xdr:colOff>
      <xdr:row>14</xdr:row>
      <xdr:rowOff>38100</xdr:rowOff>
    </xdr:from>
    <xdr:to>
      <xdr:col>36</xdr:col>
      <xdr:colOff>257175</xdr:colOff>
      <xdr:row>14</xdr:row>
      <xdr:rowOff>228600</xdr:rowOff>
    </xdr:to>
    <xdr:sp macro="" textlink="">
      <xdr:nvSpPr>
        <xdr:cNvPr id="24" name="Rectangle 8" descr="10%"/>
        <xdr:cNvSpPr>
          <a:spLocks noChangeArrowheads="1"/>
        </xdr:cNvSpPr>
      </xdr:nvSpPr>
      <xdr:spPr bwMode="auto">
        <a:xfrm>
          <a:off x="10582275" y="3676650"/>
          <a:ext cx="1047750" cy="190500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11906</xdr:colOff>
      <xdr:row>5</xdr:row>
      <xdr:rowOff>154781</xdr:rowOff>
    </xdr:from>
    <xdr:to>
      <xdr:col>39</xdr:col>
      <xdr:colOff>0</xdr:colOff>
      <xdr:row>5</xdr:row>
      <xdr:rowOff>166687</xdr:rowOff>
    </xdr:to>
    <xdr:cxnSp macro="">
      <xdr:nvCxnSpPr>
        <xdr:cNvPr id="2" name="直線矢印コネクタ 1"/>
        <xdr:cNvCxnSpPr/>
      </xdr:nvCxnSpPr>
      <xdr:spPr>
        <a:xfrm>
          <a:off x="1774031" y="1421606"/>
          <a:ext cx="16790194" cy="11906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23813</xdr:colOff>
      <xdr:row>6</xdr:row>
      <xdr:rowOff>130969</xdr:rowOff>
    </xdr:from>
    <xdr:to>
      <xdr:col>39</xdr:col>
      <xdr:colOff>0</xdr:colOff>
      <xdr:row>6</xdr:row>
      <xdr:rowOff>142876</xdr:rowOff>
    </xdr:to>
    <xdr:cxnSp macro="">
      <xdr:nvCxnSpPr>
        <xdr:cNvPr id="3" name="直線コネクタ 2"/>
        <xdr:cNvCxnSpPr>
          <a:stCxn id="8" idx="3"/>
        </xdr:cNvCxnSpPr>
      </xdr:nvCxnSpPr>
      <xdr:spPr>
        <a:xfrm>
          <a:off x="14387513" y="1654969"/>
          <a:ext cx="4176712" cy="1190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</xdr:colOff>
      <xdr:row>6</xdr:row>
      <xdr:rowOff>130968</xdr:rowOff>
    </xdr:from>
    <xdr:to>
      <xdr:col>15</xdr:col>
      <xdr:colOff>0</xdr:colOff>
      <xdr:row>6</xdr:row>
      <xdr:rowOff>130968</xdr:rowOff>
    </xdr:to>
    <xdr:cxnSp macro="">
      <xdr:nvCxnSpPr>
        <xdr:cNvPr id="4" name="直線コネクタ 3"/>
        <xdr:cNvCxnSpPr/>
      </xdr:nvCxnSpPr>
      <xdr:spPr>
        <a:xfrm>
          <a:off x="1774031" y="1654968"/>
          <a:ext cx="558879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23814</xdr:colOff>
      <xdr:row>6</xdr:row>
      <xdr:rowOff>23813</xdr:rowOff>
    </xdr:from>
    <xdr:to>
      <xdr:col>16</xdr:col>
      <xdr:colOff>11906</xdr:colOff>
      <xdr:row>6</xdr:row>
      <xdr:rowOff>214313</xdr:rowOff>
    </xdr:to>
    <xdr:sp macro="" textlink="">
      <xdr:nvSpPr>
        <xdr:cNvPr id="5" name="正方形/長方形 4"/>
        <xdr:cNvSpPr/>
      </xdr:nvSpPr>
      <xdr:spPr>
        <a:xfrm>
          <a:off x="7386639" y="1547813"/>
          <a:ext cx="454817" cy="1905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採草</a:t>
          </a:r>
        </a:p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11906</xdr:colOff>
      <xdr:row>6</xdr:row>
      <xdr:rowOff>119063</xdr:rowOff>
    </xdr:from>
    <xdr:to>
      <xdr:col>18</xdr:col>
      <xdr:colOff>23813</xdr:colOff>
      <xdr:row>6</xdr:row>
      <xdr:rowOff>130969</xdr:rowOff>
    </xdr:to>
    <xdr:cxnSp macro="">
      <xdr:nvCxnSpPr>
        <xdr:cNvPr id="6" name="直線コネクタ 5"/>
        <xdr:cNvCxnSpPr>
          <a:stCxn id="5" idx="3"/>
          <a:endCxn id="7" idx="1"/>
        </xdr:cNvCxnSpPr>
      </xdr:nvCxnSpPr>
      <xdr:spPr>
        <a:xfrm>
          <a:off x="7841456" y="1643063"/>
          <a:ext cx="945357" cy="1190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23813</xdr:colOff>
      <xdr:row>6</xdr:row>
      <xdr:rowOff>35718</xdr:rowOff>
    </xdr:from>
    <xdr:to>
      <xdr:col>18</xdr:col>
      <xdr:colOff>464343</xdr:colOff>
      <xdr:row>6</xdr:row>
      <xdr:rowOff>226219</xdr:rowOff>
    </xdr:to>
    <xdr:sp macro="" textlink="">
      <xdr:nvSpPr>
        <xdr:cNvPr id="7" name="正方形/長方形 6"/>
        <xdr:cNvSpPr/>
      </xdr:nvSpPr>
      <xdr:spPr>
        <a:xfrm>
          <a:off x="8786813" y="1559718"/>
          <a:ext cx="440530" cy="190501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採草</a:t>
          </a:r>
        </a:p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35719</xdr:colOff>
      <xdr:row>6</xdr:row>
      <xdr:rowOff>35719</xdr:rowOff>
    </xdr:from>
    <xdr:to>
      <xdr:col>30</xdr:col>
      <xdr:colOff>23813</xdr:colOff>
      <xdr:row>6</xdr:row>
      <xdr:rowOff>226219</xdr:rowOff>
    </xdr:to>
    <xdr:sp macro="" textlink="">
      <xdr:nvSpPr>
        <xdr:cNvPr id="8" name="正方形/長方形 7"/>
        <xdr:cNvSpPr/>
      </xdr:nvSpPr>
      <xdr:spPr>
        <a:xfrm>
          <a:off x="13932694" y="1559719"/>
          <a:ext cx="454819" cy="1905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　播種</a:t>
          </a:r>
        </a:p>
      </xdr:txBody>
    </xdr:sp>
    <xdr:clientData/>
  </xdr:twoCellAnchor>
  <xdr:twoCellAnchor>
    <xdr:from>
      <xdr:col>30</xdr:col>
      <xdr:colOff>9526</xdr:colOff>
      <xdr:row>7</xdr:row>
      <xdr:rowOff>250031</xdr:rowOff>
    </xdr:from>
    <xdr:to>
      <xdr:col>34</xdr:col>
      <xdr:colOff>47626</xdr:colOff>
      <xdr:row>8</xdr:row>
      <xdr:rowOff>238125</xdr:rowOff>
    </xdr:to>
    <xdr:sp macro="" textlink="">
      <xdr:nvSpPr>
        <xdr:cNvPr id="9" name="正方形/長方形 8"/>
        <xdr:cNvSpPr/>
      </xdr:nvSpPr>
      <xdr:spPr>
        <a:xfrm>
          <a:off x="14373226" y="2031206"/>
          <a:ext cx="1905000" cy="245269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稲ワラ収集・交換堆肥散布</a:t>
          </a:r>
          <a:r>
            <a:rPr kumimoji="1" lang="en-US" altLang="ja-JP" sz="1100"/>
            <a:t> </a:t>
          </a:r>
          <a:endParaRPr kumimoji="1" lang="ja-JP" altLang="en-US" sz="1100"/>
        </a:p>
      </xdr:txBody>
    </xdr:sp>
    <xdr:clientData/>
  </xdr:twoCellAnchor>
  <xdr:twoCellAnchor>
    <xdr:from>
      <xdr:col>9</xdr:col>
      <xdr:colOff>466724</xdr:colOff>
      <xdr:row>7</xdr:row>
      <xdr:rowOff>57150</xdr:rowOff>
    </xdr:from>
    <xdr:to>
      <xdr:col>27</xdr:col>
      <xdr:colOff>457199</xdr:colOff>
      <xdr:row>7</xdr:row>
      <xdr:rowOff>250031</xdr:rowOff>
    </xdr:to>
    <xdr:sp macro="" textlink="">
      <xdr:nvSpPr>
        <xdr:cNvPr id="13" name="正方形/長方形 12"/>
        <xdr:cNvSpPr/>
      </xdr:nvSpPr>
      <xdr:spPr>
        <a:xfrm>
          <a:off x="5029199" y="1838325"/>
          <a:ext cx="8391525" cy="192881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　　　　　　　　　　　　　　　　　　　　　　　　　　　　　　　放　　牧　　（期間中に飼料用ヒエを追播）</a:t>
          </a:r>
        </a:p>
      </xdr:txBody>
    </xdr:sp>
    <xdr:clientData/>
  </xdr:twoCellAnchor>
  <xdr:twoCellAnchor>
    <xdr:from>
      <xdr:col>9</xdr:col>
      <xdr:colOff>238125</xdr:colOff>
      <xdr:row>6</xdr:row>
      <xdr:rowOff>123825</xdr:rowOff>
    </xdr:from>
    <xdr:to>
      <xdr:col>9</xdr:col>
      <xdr:colOff>238125</xdr:colOff>
      <xdr:row>7</xdr:row>
      <xdr:rowOff>114300</xdr:rowOff>
    </xdr:to>
    <xdr:cxnSp macro="">
      <xdr:nvCxnSpPr>
        <xdr:cNvPr id="15" name="直線コネクタ 14"/>
        <xdr:cNvCxnSpPr/>
      </xdr:nvCxnSpPr>
      <xdr:spPr>
        <a:xfrm>
          <a:off x="4800600" y="1647825"/>
          <a:ext cx="0" cy="2476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257175</xdr:colOff>
      <xdr:row>7</xdr:row>
      <xdr:rowOff>123825</xdr:rowOff>
    </xdr:from>
    <xdr:to>
      <xdr:col>9</xdr:col>
      <xdr:colOff>466724</xdr:colOff>
      <xdr:row>7</xdr:row>
      <xdr:rowOff>153591</xdr:rowOff>
    </xdr:to>
    <xdr:cxnSp macro="">
      <xdr:nvCxnSpPr>
        <xdr:cNvPr id="17" name="直線コネクタ 16"/>
        <xdr:cNvCxnSpPr>
          <a:endCxn id="13" idx="1"/>
        </xdr:cNvCxnSpPr>
      </xdr:nvCxnSpPr>
      <xdr:spPr>
        <a:xfrm>
          <a:off x="4819650" y="1905000"/>
          <a:ext cx="209549" cy="29766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0"/>
  <sheetViews>
    <sheetView tabSelected="1" zoomScale="75" zoomScaleNormal="75" workbookViewId="0"/>
  </sheetViews>
  <sheetFormatPr defaultRowHeight="13.5" x14ac:dyDescent="0.15"/>
  <cols>
    <col min="1" max="1" width="1.625" style="50" customWidth="1"/>
    <col min="2" max="3" width="7.625" style="50" customWidth="1"/>
    <col min="4" max="6" width="9" style="50"/>
    <col min="7" max="7" width="3.5" style="50" customWidth="1"/>
    <col min="8" max="8" width="3.625" style="50" customWidth="1"/>
    <col min="9" max="9" width="3.75" style="50" customWidth="1"/>
    <col min="10" max="42" width="3.5" style="50" customWidth="1"/>
    <col min="43" max="43" width="1.375" style="50" customWidth="1"/>
    <col min="44" max="16384" width="9" style="50"/>
  </cols>
  <sheetData>
    <row r="1" spans="1:42" ht="9.9499999999999993" customHeight="1" thickBot="1" x14ac:dyDescent="0.2"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42" ht="39.950000000000003" customHeight="1" thickBot="1" x14ac:dyDescent="0.2">
      <c r="A2" s="55"/>
      <c r="B2" s="356" t="s">
        <v>215</v>
      </c>
      <c r="C2" s="512" t="s">
        <v>408</v>
      </c>
      <c r="D2" s="513"/>
      <c r="E2" s="357" t="s">
        <v>45</v>
      </c>
      <c r="F2" s="512" t="s">
        <v>411</v>
      </c>
      <c r="G2" s="514"/>
      <c r="H2" s="514"/>
      <c r="I2" s="514"/>
      <c r="J2" s="514"/>
      <c r="K2" s="514"/>
      <c r="L2" s="514"/>
      <c r="M2" s="514"/>
      <c r="N2" s="513"/>
      <c r="O2" s="515" t="s">
        <v>46</v>
      </c>
      <c r="P2" s="516"/>
      <c r="Q2" s="517"/>
      <c r="R2" s="518" t="s">
        <v>416</v>
      </c>
      <c r="S2" s="519"/>
      <c r="T2" s="519"/>
      <c r="U2" s="520"/>
      <c r="V2" s="521" t="s">
        <v>47</v>
      </c>
      <c r="W2" s="522"/>
      <c r="X2" s="522"/>
      <c r="Y2" s="509" t="s">
        <v>210</v>
      </c>
      <c r="Z2" s="510"/>
      <c r="AA2" s="511"/>
      <c r="AB2" s="56"/>
      <c r="AC2" s="56"/>
      <c r="AD2" s="56"/>
    </row>
    <row r="3" spans="1:42" ht="9.9499999999999993" customHeight="1" x14ac:dyDescent="0.15">
      <c r="B3" s="57"/>
    </row>
    <row r="4" spans="1:42" ht="24.95" customHeight="1" thickBot="1" x14ac:dyDescent="0.2">
      <c r="B4" s="50" t="s">
        <v>216</v>
      </c>
    </row>
    <row r="5" spans="1:42" ht="20.25" customHeight="1" x14ac:dyDescent="0.15">
      <c r="B5" s="523" t="s">
        <v>217</v>
      </c>
      <c r="C5" s="524"/>
      <c r="D5" s="525" t="s">
        <v>468</v>
      </c>
      <c r="E5" s="526"/>
      <c r="F5" s="526"/>
      <c r="G5" s="527"/>
      <c r="H5" s="528" t="s">
        <v>218</v>
      </c>
      <c r="I5" s="524"/>
      <c r="J5" s="524"/>
      <c r="K5" s="524"/>
      <c r="L5" s="524"/>
      <c r="M5" s="524"/>
      <c r="N5" s="524"/>
      <c r="O5" s="524"/>
      <c r="P5" s="524"/>
      <c r="Q5" s="524"/>
      <c r="R5" s="524"/>
      <c r="S5" s="524"/>
      <c r="T5" s="524"/>
      <c r="U5" s="524"/>
      <c r="V5" s="524"/>
      <c r="W5" s="524"/>
      <c r="X5" s="524"/>
      <c r="Y5" s="524"/>
      <c r="Z5" s="524"/>
      <c r="AA5" s="529"/>
      <c r="AD5" s="56"/>
      <c r="AE5" s="56"/>
      <c r="AF5" s="56"/>
      <c r="AG5" s="56"/>
      <c r="AH5" s="56"/>
      <c r="AI5" s="56"/>
      <c r="AJ5" s="56"/>
      <c r="AK5" s="56"/>
      <c r="AL5" s="56"/>
    </row>
    <row r="6" spans="1:42" ht="20.25" customHeight="1" x14ac:dyDescent="0.15">
      <c r="B6" s="530" t="s">
        <v>219</v>
      </c>
      <c r="C6" s="531"/>
      <c r="D6" s="531"/>
      <c r="E6" s="531"/>
      <c r="F6" s="531"/>
      <c r="G6" s="506"/>
      <c r="H6" s="506" t="s">
        <v>220</v>
      </c>
      <c r="I6" s="507"/>
      <c r="J6" s="507"/>
      <c r="K6" s="507"/>
      <c r="L6" s="507"/>
      <c r="M6" s="507"/>
      <c r="N6" s="506" t="s">
        <v>48</v>
      </c>
      <c r="O6" s="507"/>
      <c r="P6" s="507"/>
      <c r="Q6" s="506" t="s">
        <v>221</v>
      </c>
      <c r="R6" s="507"/>
      <c r="S6" s="507"/>
      <c r="T6" s="507"/>
      <c r="U6" s="507"/>
      <c r="V6" s="507"/>
      <c r="W6" s="507"/>
      <c r="X6" s="532"/>
      <c r="Y6" s="507" t="s">
        <v>222</v>
      </c>
      <c r="Z6" s="507"/>
      <c r="AA6" s="508"/>
    </row>
    <row r="7" spans="1:42" ht="20.25" customHeight="1" x14ac:dyDescent="0.15">
      <c r="B7" s="533" t="s">
        <v>223</v>
      </c>
      <c r="C7" s="534"/>
      <c r="D7" s="537" t="s">
        <v>377</v>
      </c>
      <c r="E7" s="538"/>
      <c r="F7" s="538"/>
      <c r="G7" s="538"/>
      <c r="H7" s="506" t="s">
        <v>343</v>
      </c>
      <c r="I7" s="507"/>
      <c r="J7" s="507"/>
      <c r="K7" s="507"/>
      <c r="L7" s="507"/>
      <c r="M7" s="532"/>
      <c r="N7" s="539" t="s">
        <v>378</v>
      </c>
      <c r="O7" s="540"/>
      <c r="P7" s="534"/>
      <c r="Q7" s="541"/>
      <c r="R7" s="542"/>
      <c r="S7" s="542"/>
      <c r="T7" s="542"/>
      <c r="U7" s="542"/>
      <c r="V7" s="542"/>
      <c r="W7" s="542"/>
      <c r="X7" s="543"/>
      <c r="Y7" s="544"/>
      <c r="Z7" s="544"/>
      <c r="AA7" s="545"/>
    </row>
    <row r="8" spans="1:42" ht="20.25" customHeight="1" x14ac:dyDescent="0.15">
      <c r="B8" s="535"/>
      <c r="C8" s="536"/>
      <c r="D8" s="546"/>
      <c r="E8" s="547"/>
      <c r="F8" s="547"/>
      <c r="G8" s="548"/>
      <c r="H8" s="506"/>
      <c r="I8" s="507"/>
      <c r="J8" s="507"/>
      <c r="K8" s="507"/>
      <c r="L8" s="507"/>
      <c r="M8" s="532"/>
      <c r="N8" s="506"/>
      <c r="O8" s="507"/>
      <c r="P8" s="532"/>
      <c r="Q8" s="551"/>
      <c r="R8" s="547"/>
      <c r="S8" s="547"/>
      <c r="T8" s="547"/>
      <c r="U8" s="547"/>
      <c r="V8" s="547"/>
      <c r="W8" s="547"/>
      <c r="X8" s="548"/>
      <c r="Y8" s="506"/>
      <c r="Z8" s="507"/>
      <c r="AA8" s="508"/>
    </row>
    <row r="9" spans="1:42" ht="20.25" customHeight="1" x14ac:dyDescent="0.15">
      <c r="B9" s="530" t="s">
        <v>211</v>
      </c>
      <c r="C9" s="531"/>
      <c r="D9" s="549"/>
      <c r="E9" s="549"/>
      <c r="F9" s="549"/>
      <c r="G9" s="550"/>
      <c r="H9" s="506"/>
      <c r="I9" s="507"/>
      <c r="J9" s="507"/>
      <c r="K9" s="507"/>
      <c r="L9" s="507"/>
      <c r="M9" s="532"/>
      <c r="N9" s="506"/>
      <c r="O9" s="507"/>
      <c r="P9" s="532"/>
      <c r="Q9" s="551"/>
      <c r="R9" s="547"/>
      <c r="S9" s="547"/>
      <c r="T9" s="547"/>
      <c r="U9" s="547"/>
      <c r="V9" s="547"/>
      <c r="W9" s="547"/>
      <c r="X9" s="548"/>
      <c r="Y9" s="506"/>
      <c r="Z9" s="507"/>
      <c r="AA9" s="508"/>
    </row>
    <row r="10" spans="1:42" ht="20.25" customHeight="1" x14ac:dyDescent="0.15">
      <c r="B10" s="530" t="s">
        <v>224</v>
      </c>
      <c r="C10" s="531"/>
      <c r="D10" s="549"/>
      <c r="E10" s="549"/>
      <c r="F10" s="549"/>
      <c r="G10" s="550"/>
      <c r="H10" s="554"/>
      <c r="I10" s="555"/>
      <c r="J10" s="555"/>
      <c r="K10" s="555"/>
      <c r="L10" s="555"/>
      <c r="M10" s="555"/>
      <c r="N10" s="506"/>
      <c r="O10" s="507"/>
      <c r="P10" s="532"/>
      <c r="Q10" s="551"/>
      <c r="R10" s="547"/>
      <c r="S10" s="547"/>
      <c r="T10" s="547"/>
      <c r="U10" s="547"/>
      <c r="V10" s="547"/>
      <c r="W10" s="547"/>
      <c r="X10" s="548"/>
      <c r="Y10" s="507"/>
      <c r="Z10" s="507"/>
      <c r="AA10" s="508"/>
    </row>
    <row r="11" spans="1:42" ht="20.25" customHeight="1" thickBot="1" x14ac:dyDescent="0.2">
      <c r="B11" s="556" t="s">
        <v>49</v>
      </c>
      <c r="C11" s="557"/>
      <c r="D11" s="558"/>
      <c r="E11" s="558"/>
      <c r="F11" s="558"/>
      <c r="G11" s="559"/>
      <c r="H11" s="560"/>
      <c r="I11" s="561"/>
      <c r="J11" s="561"/>
      <c r="K11" s="561"/>
      <c r="L11" s="561"/>
      <c r="M11" s="561"/>
      <c r="N11" s="562"/>
      <c r="O11" s="552"/>
      <c r="P11" s="552"/>
      <c r="Q11" s="563"/>
      <c r="R11" s="564"/>
      <c r="S11" s="564"/>
      <c r="T11" s="564"/>
      <c r="U11" s="564"/>
      <c r="V11" s="564"/>
      <c r="W11" s="564"/>
      <c r="X11" s="565"/>
      <c r="Y11" s="552"/>
      <c r="Z11" s="552"/>
      <c r="AA11" s="553"/>
    </row>
    <row r="12" spans="1:42" ht="20.25" customHeight="1" x14ac:dyDescent="0.15">
      <c r="B12" s="580" t="s">
        <v>69</v>
      </c>
      <c r="C12" s="528" t="s">
        <v>225</v>
      </c>
      <c r="D12" s="524"/>
      <c r="E12" s="566"/>
      <c r="F12" s="358" t="s">
        <v>226</v>
      </c>
      <c r="G12" s="528">
        <v>1</v>
      </c>
      <c r="H12" s="524"/>
      <c r="I12" s="524"/>
      <c r="J12" s="528">
        <v>2</v>
      </c>
      <c r="K12" s="524"/>
      <c r="L12" s="566"/>
      <c r="M12" s="524">
        <v>3</v>
      </c>
      <c r="N12" s="524"/>
      <c r="O12" s="567"/>
      <c r="P12" s="528">
        <v>4</v>
      </c>
      <c r="Q12" s="524"/>
      <c r="R12" s="566"/>
      <c r="S12" s="579">
        <v>5</v>
      </c>
      <c r="T12" s="524"/>
      <c r="U12" s="567"/>
      <c r="V12" s="528">
        <v>6</v>
      </c>
      <c r="W12" s="524"/>
      <c r="X12" s="566"/>
      <c r="Y12" s="579">
        <v>7</v>
      </c>
      <c r="Z12" s="524"/>
      <c r="AA12" s="567"/>
      <c r="AB12" s="528">
        <v>8</v>
      </c>
      <c r="AC12" s="524"/>
      <c r="AD12" s="566"/>
      <c r="AE12" s="579">
        <v>9</v>
      </c>
      <c r="AF12" s="524"/>
      <c r="AG12" s="567"/>
      <c r="AH12" s="528">
        <v>10</v>
      </c>
      <c r="AI12" s="524"/>
      <c r="AJ12" s="566"/>
      <c r="AK12" s="528">
        <v>11</v>
      </c>
      <c r="AL12" s="524"/>
      <c r="AM12" s="566"/>
      <c r="AN12" s="524">
        <v>12</v>
      </c>
      <c r="AO12" s="524"/>
      <c r="AP12" s="529"/>
    </row>
    <row r="13" spans="1:42" ht="20.25" customHeight="1" x14ac:dyDescent="0.15">
      <c r="B13" s="581"/>
      <c r="C13" s="576" t="s">
        <v>412</v>
      </c>
      <c r="D13" s="577"/>
      <c r="E13" s="578"/>
      <c r="F13" s="58" t="s">
        <v>379</v>
      </c>
      <c r="G13" s="347"/>
      <c r="H13" s="348"/>
      <c r="I13" s="348"/>
      <c r="J13" s="347"/>
      <c r="K13" s="348"/>
      <c r="L13" s="59"/>
      <c r="M13" s="348"/>
      <c r="N13" s="348"/>
      <c r="O13" s="60"/>
      <c r="P13" s="347"/>
      <c r="Q13" s="348"/>
      <c r="R13" s="59"/>
      <c r="S13" s="345"/>
      <c r="T13" s="348"/>
      <c r="U13" s="461"/>
      <c r="V13" s="462"/>
      <c r="W13" s="348"/>
      <c r="X13" s="59"/>
      <c r="Y13" s="61"/>
      <c r="Z13" s="348"/>
      <c r="AA13" s="60"/>
      <c r="AB13" s="347"/>
      <c r="AC13" s="348"/>
      <c r="AD13" s="59"/>
      <c r="AE13" s="343"/>
      <c r="AF13" s="342"/>
      <c r="AG13" s="435" t="s">
        <v>366</v>
      </c>
      <c r="AH13" s="343"/>
      <c r="AI13" s="342"/>
      <c r="AJ13" s="59"/>
      <c r="AK13" s="347"/>
      <c r="AL13" s="348"/>
      <c r="AM13" s="59"/>
      <c r="AN13" s="348"/>
      <c r="AO13" s="348"/>
      <c r="AP13" s="349"/>
    </row>
    <row r="14" spans="1:42" ht="20.25" customHeight="1" x14ac:dyDescent="0.15">
      <c r="B14" s="581"/>
      <c r="C14" s="568" t="s">
        <v>388</v>
      </c>
      <c r="D14" s="569"/>
      <c r="E14" s="569"/>
      <c r="F14" s="58" t="s">
        <v>379</v>
      </c>
      <c r="G14" s="359"/>
      <c r="H14" s="344"/>
      <c r="I14" s="344"/>
      <c r="J14" s="359"/>
      <c r="K14" s="344"/>
      <c r="L14" s="62"/>
      <c r="M14" s="344"/>
      <c r="N14" s="344"/>
      <c r="O14" s="63"/>
      <c r="P14" s="359"/>
      <c r="Q14" s="344"/>
      <c r="R14" s="62"/>
      <c r="S14" s="343"/>
      <c r="T14" s="344"/>
      <c r="U14" s="435"/>
      <c r="V14" s="462"/>
      <c r="W14" s="344"/>
      <c r="X14" s="62"/>
      <c r="Y14" s="64"/>
      <c r="Z14" s="344"/>
      <c r="AA14" s="63"/>
      <c r="AB14" s="359"/>
      <c r="AC14" s="344"/>
      <c r="AD14" s="62"/>
      <c r="AE14" s="359"/>
      <c r="AF14" s="344"/>
      <c r="AG14" s="62" t="s">
        <v>413</v>
      </c>
      <c r="AH14" s="407"/>
      <c r="AI14" s="361"/>
      <c r="AJ14" s="398"/>
      <c r="AK14" s="359"/>
      <c r="AL14" s="344"/>
      <c r="AM14" s="62"/>
      <c r="AN14" s="344"/>
      <c r="AO14" s="344"/>
      <c r="AP14" s="360"/>
    </row>
    <row r="15" spans="1:42" ht="20.25" customHeight="1" x14ac:dyDescent="0.15">
      <c r="B15" s="581"/>
      <c r="C15" s="568" t="s">
        <v>315</v>
      </c>
      <c r="D15" s="569"/>
      <c r="E15" s="569"/>
      <c r="F15" s="58" t="s">
        <v>380</v>
      </c>
      <c r="G15" s="359"/>
      <c r="H15" s="344"/>
      <c r="I15" s="344"/>
      <c r="J15" s="359"/>
      <c r="K15" s="344"/>
      <c r="L15" s="62"/>
      <c r="M15" s="344"/>
      <c r="N15" s="344"/>
      <c r="O15" s="63"/>
      <c r="P15" s="359"/>
      <c r="Q15" s="344"/>
      <c r="R15" s="62"/>
      <c r="S15" s="345"/>
      <c r="T15" s="344"/>
      <c r="U15" s="463"/>
      <c r="V15" s="462"/>
      <c r="W15" s="361"/>
      <c r="X15" s="346"/>
      <c r="Y15" s="64"/>
      <c r="Z15" s="344"/>
      <c r="AA15" s="63"/>
      <c r="AB15" s="359"/>
      <c r="AC15" s="344"/>
      <c r="AD15" s="62"/>
      <c r="AE15" s="343"/>
      <c r="AF15" s="342"/>
      <c r="AG15" s="435"/>
      <c r="AH15" s="343"/>
      <c r="AI15" s="344"/>
      <c r="AJ15" s="62"/>
      <c r="AK15" s="359"/>
      <c r="AL15" s="344"/>
      <c r="AM15" s="62"/>
      <c r="AN15" s="344"/>
      <c r="AO15" s="344"/>
      <c r="AP15" s="360"/>
    </row>
    <row r="16" spans="1:42" ht="20.25" customHeight="1" x14ac:dyDescent="0.15">
      <c r="B16" s="581"/>
      <c r="C16" s="568"/>
      <c r="D16" s="569"/>
      <c r="E16" s="569"/>
      <c r="F16" s="58"/>
      <c r="G16" s="359"/>
      <c r="H16" s="344"/>
      <c r="I16" s="344"/>
      <c r="J16" s="359"/>
      <c r="K16" s="344"/>
      <c r="L16" s="62"/>
      <c r="M16" s="344"/>
      <c r="N16" s="344"/>
      <c r="O16" s="63"/>
      <c r="P16" s="359"/>
      <c r="Q16" s="344"/>
      <c r="R16" s="62"/>
      <c r="S16" s="64"/>
      <c r="T16" s="344"/>
      <c r="U16" s="63"/>
      <c r="V16" s="359"/>
      <c r="W16" s="344"/>
      <c r="X16" s="62"/>
      <c r="Y16" s="64"/>
      <c r="Z16" s="344"/>
      <c r="AA16" s="63"/>
      <c r="AB16" s="359"/>
      <c r="AC16" s="344"/>
      <c r="AD16" s="62"/>
      <c r="AE16" s="359"/>
      <c r="AF16" s="342"/>
      <c r="AG16" s="62"/>
      <c r="AH16" s="460"/>
      <c r="AI16" s="361"/>
      <c r="AJ16" s="398"/>
      <c r="AK16" s="359"/>
      <c r="AL16" s="344"/>
      <c r="AM16" s="62"/>
      <c r="AN16" s="344"/>
      <c r="AO16" s="344"/>
      <c r="AP16" s="360"/>
    </row>
    <row r="17" spans="2:42" ht="20.25" customHeight="1" x14ac:dyDescent="0.15">
      <c r="B17" s="581"/>
      <c r="C17" s="568"/>
      <c r="D17" s="569"/>
      <c r="E17" s="569"/>
      <c r="F17" s="65"/>
      <c r="G17" s="359"/>
      <c r="H17" s="344"/>
      <c r="I17" s="344"/>
      <c r="J17" s="359"/>
      <c r="K17" s="344"/>
      <c r="L17" s="62"/>
      <c r="M17" s="344"/>
      <c r="N17" s="344"/>
      <c r="O17" s="63"/>
      <c r="P17" s="359"/>
      <c r="Q17" s="344"/>
      <c r="R17" s="62"/>
      <c r="S17" s="64"/>
      <c r="T17" s="344"/>
      <c r="U17" s="63"/>
      <c r="V17" s="359"/>
      <c r="W17" s="344"/>
      <c r="X17" s="62"/>
      <c r="Y17" s="64"/>
      <c r="Z17" s="344"/>
      <c r="AA17" s="63"/>
      <c r="AB17" s="359"/>
      <c r="AC17" s="344"/>
      <c r="AD17" s="62"/>
      <c r="AE17" s="359"/>
      <c r="AF17" s="344"/>
      <c r="AG17" s="62"/>
      <c r="AH17" s="359"/>
      <c r="AI17" s="344"/>
      <c r="AJ17" s="62"/>
      <c r="AK17" s="359"/>
      <c r="AL17" s="344"/>
      <c r="AM17" s="62"/>
      <c r="AN17" s="344"/>
      <c r="AO17" s="344"/>
      <c r="AP17" s="360"/>
    </row>
    <row r="18" spans="2:42" ht="20.25" customHeight="1" x14ac:dyDescent="0.15">
      <c r="B18" s="582" t="s">
        <v>227</v>
      </c>
      <c r="C18" s="584"/>
      <c r="D18" s="585"/>
      <c r="E18" s="585"/>
      <c r="F18" s="585"/>
      <c r="G18" s="585"/>
      <c r="H18" s="585"/>
      <c r="I18" s="585"/>
      <c r="J18" s="585"/>
      <c r="K18" s="585"/>
      <c r="L18" s="585"/>
      <c r="M18" s="585"/>
      <c r="N18" s="585"/>
      <c r="O18" s="585"/>
      <c r="P18" s="585"/>
      <c r="Q18" s="585"/>
      <c r="R18" s="585"/>
      <c r="S18" s="585"/>
      <c r="T18" s="585"/>
      <c r="U18" s="585"/>
      <c r="V18" s="585"/>
      <c r="W18" s="585"/>
      <c r="X18" s="585"/>
      <c r="Y18" s="585"/>
      <c r="Z18" s="585"/>
      <c r="AA18" s="585"/>
      <c r="AB18" s="585"/>
      <c r="AC18" s="585"/>
      <c r="AD18" s="585"/>
      <c r="AE18" s="585"/>
      <c r="AF18" s="585"/>
      <c r="AG18" s="585"/>
      <c r="AH18" s="585"/>
      <c r="AI18" s="585"/>
      <c r="AJ18" s="585"/>
      <c r="AK18" s="585"/>
      <c r="AL18" s="585"/>
      <c r="AM18" s="585"/>
      <c r="AN18" s="585"/>
      <c r="AO18" s="585"/>
      <c r="AP18" s="586"/>
    </row>
    <row r="19" spans="2:42" ht="20.25" customHeight="1" x14ac:dyDescent="0.15">
      <c r="B19" s="583"/>
      <c r="C19" s="587" t="s">
        <v>467</v>
      </c>
      <c r="D19" s="588"/>
      <c r="E19" s="588"/>
      <c r="F19" s="588"/>
      <c r="G19" s="588"/>
      <c r="H19" s="588"/>
      <c r="I19" s="588"/>
      <c r="J19" s="588"/>
      <c r="K19" s="588"/>
      <c r="L19" s="588"/>
      <c r="M19" s="588"/>
      <c r="N19" s="588"/>
      <c r="O19" s="588"/>
      <c r="P19" s="588"/>
      <c r="Q19" s="588"/>
      <c r="R19" s="588"/>
      <c r="S19" s="588"/>
      <c r="T19" s="588"/>
      <c r="U19" s="588"/>
      <c r="V19" s="350"/>
      <c r="W19" s="350"/>
      <c r="Y19" s="538" t="s">
        <v>228</v>
      </c>
      <c r="Z19" s="538"/>
      <c r="AA19" s="538"/>
      <c r="AB19" s="538"/>
      <c r="AC19" s="350"/>
      <c r="AD19" s="350"/>
      <c r="AI19" s="350"/>
      <c r="AJ19" s="350"/>
      <c r="AK19" s="350"/>
      <c r="AL19" s="350"/>
      <c r="AM19" s="350"/>
      <c r="AN19" s="350"/>
      <c r="AO19" s="350"/>
      <c r="AP19" s="66"/>
    </row>
    <row r="20" spans="2:42" ht="20.25" customHeight="1" thickBot="1" x14ac:dyDescent="0.2">
      <c r="B20" s="556"/>
      <c r="C20" s="589"/>
      <c r="D20" s="590"/>
      <c r="E20" s="590"/>
      <c r="F20" s="590"/>
      <c r="G20" s="590"/>
      <c r="H20" s="590"/>
      <c r="I20" s="590"/>
      <c r="J20" s="590"/>
      <c r="K20" s="590"/>
      <c r="L20" s="590"/>
      <c r="M20" s="590"/>
      <c r="N20" s="590"/>
      <c r="O20" s="590"/>
      <c r="P20" s="590"/>
      <c r="Q20" s="590"/>
      <c r="R20" s="590"/>
      <c r="S20" s="590"/>
      <c r="T20" s="590"/>
      <c r="U20" s="590"/>
      <c r="V20" s="590"/>
      <c r="W20" s="590"/>
      <c r="X20" s="590"/>
      <c r="Y20" s="590"/>
      <c r="Z20" s="590"/>
      <c r="AA20" s="590"/>
      <c r="AB20" s="590"/>
      <c r="AC20" s="590"/>
      <c r="AD20" s="590"/>
      <c r="AE20" s="590"/>
      <c r="AF20" s="590"/>
      <c r="AG20" s="590"/>
      <c r="AH20" s="590"/>
      <c r="AI20" s="590"/>
      <c r="AJ20" s="590"/>
      <c r="AK20" s="590"/>
      <c r="AL20" s="590"/>
      <c r="AM20" s="590"/>
      <c r="AN20" s="590"/>
      <c r="AO20" s="590"/>
      <c r="AP20" s="591"/>
    </row>
    <row r="21" spans="2:42" ht="9.9499999999999993" customHeight="1" x14ac:dyDescent="0.15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</row>
    <row r="22" spans="2:42" ht="24.95" customHeight="1" thickBot="1" x14ac:dyDescent="0.2">
      <c r="B22" s="50" t="s">
        <v>229</v>
      </c>
    </row>
    <row r="23" spans="2:42" ht="20.25" customHeight="1" thickBot="1" x14ac:dyDescent="0.2">
      <c r="B23" s="570" t="s">
        <v>13</v>
      </c>
      <c r="C23" s="571"/>
      <c r="D23" s="571"/>
      <c r="E23" s="571"/>
      <c r="F23" s="571"/>
      <c r="G23" s="571"/>
      <c r="H23" s="571"/>
      <c r="I23" s="571"/>
      <c r="J23" s="571"/>
      <c r="K23" s="571"/>
      <c r="L23" s="571"/>
      <c r="M23" s="571"/>
      <c r="N23" s="572"/>
      <c r="O23" s="573" t="s">
        <v>12</v>
      </c>
      <c r="P23" s="574"/>
      <c r="Q23" s="574"/>
      <c r="R23" s="574"/>
      <c r="S23" s="574"/>
      <c r="T23" s="574"/>
      <c r="U23" s="574"/>
      <c r="V23" s="574"/>
      <c r="W23" s="574"/>
      <c r="X23" s="574"/>
      <c r="Y23" s="574"/>
      <c r="Z23" s="574"/>
      <c r="AA23" s="574"/>
      <c r="AB23" s="574"/>
      <c r="AC23" s="574"/>
      <c r="AD23" s="574"/>
      <c r="AE23" s="574"/>
      <c r="AF23" s="574"/>
      <c r="AG23" s="574"/>
      <c r="AH23" s="574"/>
      <c r="AI23" s="574"/>
      <c r="AJ23" s="574"/>
      <c r="AK23" s="574"/>
      <c r="AL23" s="574"/>
      <c r="AM23" s="574"/>
      <c r="AN23" s="574"/>
      <c r="AO23" s="574"/>
      <c r="AP23" s="575"/>
    </row>
    <row r="24" spans="2:42" ht="39.950000000000003" customHeight="1" x14ac:dyDescent="0.15">
      <c r="B24" s="592" t="s">
        <v>8</v>
      </c>
      <c r="C24" s="593"/>
      <c r="D24" s="593"/>
      <c r="E24" s="594" t="s">
        <v>230</v>
      </c>
      <c r="F24" s="595"/>
      <c r="G24" s="595"/>
      <c r="H24" s="595"/>
      <c r="I24" s="595"/>
      <c r="J24" s="595"/>
      <c r="K24" s="595"/>
      <c r="L24" s="595"/>
      <c r="M24" s="595"/>
      <c r="N24" s="596"/>
      <c r="O24" s="597" t="s">
        <v>231</v>
      </c>
      <c r="P24" s="593"/>
      <c r="Q24" s="593"/>
      <c r="R24" s="593"/>
      <c r="S24" s="593"/>
      <c r="T24" s="598" t="s">
        <v>389</v>
      </c>
      <c r="U24" s="599"/>
      <c r="V24" s="599"/>
      <c r="W24" s="599"/>
      <c r="X24" s="599"/>
      <c r="Y24" s="599"/>
      <c r="Z24" s="599"/>
      <c r="AA24" s="599"/>
      <c r="AB24" s="599"/>
      <c r="AC24" s="599"/>
      <c r="AD24" s="599"/>
      <c r="AE24" s="599"/>
      <c r="AF24" s="599"/>
      <c r="AG24" s="599"/>
      <c r="AH24" s="599"/>
      <c r="AI24" s="599"/>
      <c r="AJ24" s="599"/>
      <c r="AK24" s="599"/>
      <c r="AL24" s="599"/>
      <c r="AM24" s="599"/>
      <c r="AN24" s="599"/>
      <c r="AO24" s="599"/>
      <c r="AP24" s="600"/>
    </row>
    <row r="25" spans="2:42" ht="39.950000000000003" customHeight="1" x14ac:dyDescent="0.15">
      <c r="B25" s="601" t="s">
        <v>9</v>
      </c>
      <c r="C25" s="602"/>
      <c r="D25" s="602"/>
      <c r="E25" s="603" t="s">
        <v>469</v>
      </c>
      <c r="F25" s="604"/>
      <c r="G25" s="604"/>
      <c r="H25" s="604"/>
      <c r="I25" s="604"/>
      <c r="J25" s="604"/>
      <c r="K25" s="604"/>
      <c r="L25" s="604"/>
      <c r="M25" s="604"/>
      <c r="N25" s="605"/>
      <c r="O25" s="606"/>
      <c r="P25" s="602"/>
      <c r="Q25" s="602"/>
      <c r="R25" s="602"/>
      <c r="S25" s="602"/>
      <c r="T25" s="604"/>
      <c r="U25" s="604"/>
      <c r="V25" s="604"/>
      <c r="W25" s="604"/>
      <c r="X25" s="604"/>
      <c r="Y25" s="604"/>
      <c r="Z25" s="604"/>
      <c r="AA25" s="604"/>
      <c r="AB25" s="604"/>
      <c r="AC25" s="604"/>
      <c r="AD25" s="604"/>
      <c r="AE25" s="604"/>
      <c r="AF25" s="604"/>
      <c r="AG25" s="604"/>
      <c r="AH25" s="604"/>
      <c r="AI25" s="604"/>
      <c r="AJ25" s="604"/>
      <c r="AK25" s="604"/>
      <c r="AL25" s="604"/>
      <c r="AM25" s="604"/>
      <c r="AN25" s="604"/>
      <c r="AO25" s="604"/>
      <c r="AP25" s="605"/>
    </row>
    <row r="26" spans="2:42" ht="39.950000000000003" customHeight="1" x14ac:dyDescent="0.15">
      <c r="B26" s="607" t="s">
        <v>10</v>
      </c>
      <c r="C26" s="608"/>
      <c r="D26" s="609"/>
      <c r="E26" s="616" t="s">
        <v>466</v>
      </c>
      <c r="F26" s="617"/>
      <c r="G26" s="617"/>
      <c r="H26" s="617"/>
      <c r="I26" s="617"/>
      <c r="J26" s="617"/>
      <c r="K26" s="617"/>
      <c r="L26" s="617"/>
      <c r="M26" s="617"/>
      <c r="N26" s="618"/>
      <c r="O26" s="625" t="s">
        <v>232</v>
      </c>
      <c r="P26" s="608"/>
      <c r="Q26" s="608"/>
      <c r="R26" s="608"/>
      <c r="S26" s="609"/>
      <c r="T26" s="616" t="s">
        <v>475</v>
      </c>
      <c r="U26" s="617"/>
      <c r="V26" s="617"/>
      <c r="W26" s="617"/>
      <c r="X26" s="617"/>
      <c r="Y26" s="617"/>
      <c r="Z26" s="617"/>
      <c r="AA26" s="617"/>
      <c r="AB26" s="617"/>
      <c r="AC26" s="617"/>
      <c r="AD26" s="617"/>
      <c r="AE26" s="617"/>
      <c r="AF26" s="617"/>
      <c r="AG26" s="617"/>
      <c r="AH26" s="617"/>
      <c r="AI26" s="617"/>
      <c r="AJ26" s="617"/>
      <c r="AK26" s="617"/>
      <c r="AL26" s="617"/>
      <c r="AM26" s="617"/>
      <c r="AN26" s="617"/>
      <c r="AO26" s="617"/>
      <c r="AP26" s="618"/>
    </row>
    <row r="27" spans="2:42" ht="39.950000000000003" customHeight="1" x14ac:dyDescent="0.15">
      <c r="B27" s="610"/>
      <c r="C27" s="611"/>
      <c r="D27" s="612"/>
      <c r="E27" s="619"/>
      <c r="F27" s="620"/>
      <c r="G27" s="620"/>
      <c r="H27" s="620"/>
      <c r="I27" s="620"/>
      <c r="J27" s="620"/>
      <c r="K27" s="620"/>
      <c r="L27" s="620"/>
      <c r="M27" s="620"/>
      <c r="N27" s="621"/>
      <c r="O27" s="610"/>
      <c r="P27" s="611"/>
      <c r="Q27" s="611"/>
      <c r="R27" s="611"/>
      <c r="S27" s="612"/>
      <c r="T27" s="619"/>
      <c r="U27" s="620"/>
      <c r="V27" s="620"/>
      <c r="W27" s="620"/>
      <c r="X27" s="620"/>
      <c r="Y27" s="620"/>
      <c r="Z27" s="620"/>
      <c r="AA27" s="620"/>
      <c r="AB27" s="620"/>
      <c r="AC27" s="620"/>
      <c r="AD27" s="620"/>
      <c r="AE27" s="620"/>
      <c r="AF27" s="620"/>
      <c r="AG27" s="620"/>
      <c r="AH27" s="620"/>
      <c r="AI27" s="620"/>
      <c r="AJ27" s="620"/>
      <c r="AK27" s="620"/>
      <c r="AL27" s="620"/>
      <c r="AM27" s="620"/>
      <c r="AN27" s="620"/>
      <c r="AO27" s="620"/>
      <c r="AP27" s="621"/>
    </row>
    <row r="28" spans="2:42" ht="39.950000000000003" customHeight="1" x14ac:dyDescent="0.15">
      <c r="B28" s="613"/>
      <c r="C28" s="614"/>
      <c r="D28" s="615"/>
      <c r="E28" s="622"/>
      <c r="F28" s="623"/>
      <c r="G28" s="623"/>
      <c r="H28" s="623"/>
      <c r="I28" s="623"/>
      <c r="J28" s="623"/>
      <c r="K28" s="623"/>
      <c r="L28" s="623"/>
      <c r="M28" s="623"/>
      <c r="N28" s="624"/>
      <c r="O28" s="610"/>
      <c r="P28" s="611"/>
      <c r="Q28" s="611"/>
      <c r="R28" s="611"/>
      <c r="S28" s="612"/>
      <c r="T28" s="619"/>
      <c r="U28" s="620"/>
      <c r="V28" s="620"/>
      <c r="W28" s="620"/>
      <c r="X28" s="620"/>
      <c r="Y28" s="620"/>
      <c r="Z28" s="620"/>
      <c r="AA28" s="620"/>
      <c r="AB28" s="620"/>
      <c r="AC28" s="620"/>
      <c r="AD28" s="620"/>
      <c r="AE28" s="620"/>
      <c r="AF28" s="620"/>
      <c r="AG28" s="620"/>
      <c r="AH28" s="620"/>
      <c r="AI28" s="620"/>
      <c r="AJ28" s="620"/>
      <c r="AK28" s="620"/>
      <c r="AL28" s="620"/>
      <c r="AM28" s="620"/>
      <c r="AN28" s="620"/>
      <c r="AO28" s="620"/>
      <c r="AP28" s="621"/>
    </row>
    <row r="29" spans="2:42" ht="39.950000000000003" customHeight="1" thickBot="1" x14ac:dyDescent="0.2">
      <c r="B29" s="632" t="s">
        <v>11</v>
      </c>
      <c r="C29" s="633"/>
      <c r="D29" s="633"/>
      <c r="E29" s="634" t="s">
        <v>233</v>
      </c>
      <c r="F29" s="635"/>
      <c r="G29" s="635"/>
      <c r="H29" s="635"/>
      <c r="I29" s="635"/>
      <c r="J29" s="635"/>
      <c r="K29" s="635"/>
      <c r="L29" s="635"/>
      <c r="M29" s="635"/>
      <c r="N29" s="636"/>
      <c r="O29" s="626"/>
      <c r="P29" s="627"/>
      <c r="Q29" s="627"/>
      <c r="R29" s="627"/>
      <c r="S29" s="628"/>
      <c r="T29" s="629"/>
      <c r="U29" s="630"/>
      <c r="V29" s="630"/>
      <c r="W29" s="630"/>
      <c r="X29" s="630"/>
      <c r="Y29" s="630"/>
      <c r="Z29" s="630"/>
      <c r="AA29" s="630"/>
      <c r="AB29" s="630"/>
      <c r="AC29" s="630"/>
      <c r="AD29" s="630"/>
      <c r="AE29" s="630"/>
      <c r="AF29" s="630"/>
      <c r="AG29" s="630"/>
      <c r="AH29" s="630"/>
      <c r="AI29" s="630"/>
      <c r="AJ29" s="630"/>
      <c r="AK29" s="630"/>
      <c r="AL29" s="630"/>
      <c r="AM29" s="630"/>
      <c r="AN29" s="630"/>
      <c r="AO29" s="630"/>
      <c r="AP29" s="631"/>
    </row>
    <row r="30" spans="2:42" ht="9.9499999999999993" customHeight="1" x14ac:dyDescent="0.15">
      <c r="B30" s="54"/>
    </row>
  </sheetData>
  <mergeCells count="83">
    <mergeCell ref="B26:D28"/>
    <mergeCell ref="E26:N28"/>
    <mergeCell ref="O26:S29"/>
    <mergeCell ref="T26:AP29"/>
    <mergeCell ref="B29:D29"/>
    <mergeCell ref="E29:N29"/>
    <mergeCell ref="B24:D24"/>
    <mergeCell ref="E24:N24"/>
    <mergeCell ref="O24:S24"/>
    <mergeCell ref="T24:AP24"/>
    <mergeCell ref="B25:D25"/>
    <mergeCell ref="E25:N25"/>
    <mergeCell ref="O25:S25"/>
    <mergeCell ref="T25:AP25"/>
    <mergeCell ref="B18:B20"/>
    <mergeCell ref="C18:AP18"/>
    <mergeCell ref="C19:U19"/>
    <mergeCell ref="Y19:AB19"/>
    <mergeCell ref="C20:AP20"/>
    <mergeCell ref="B23:N23"/>
    <mergeCell ref="O23:AP23"/>
    <mergeCell ref="AK12:AM12"/>
    <mergeCell ref="AN12:AP12"/>
    <mergeCell ref="C13:E13"/>
    <mergeCell ref="C14:E14"/>
    <mergeCell ref="C15:E15"/>
    <mergeCell ref="C16:E16"/>
    <mergeCell ref="S12:U12"/>
    <mergeCell ref="V12:X12"/>
    <mergeCell ref="Y12:AA12"/>
    <mergeCell ref="AB12:AD12"/>
    <mergeCell ref="AE12:AG12"/>
    <mergeCell ref="AH12:AJ12"/>
    <mergeCell ref="B12:B17"/>
    <mergeCell ref="C12:E12"/>
    <mergeCell ref="G12:I12"/>
    <mergeCell ref="J12:L12"/>
    <mergeCell ref="M12:O12"/>
    <mergeCell ref="P12:R12"/>
    <mergeCell ref="C17:E17"/>
    <mergeCell ref="Y11:AA11"/>
    <mergeCell ref="B10:C10"/>
    <mergeCell ref="D10:G10"/>
    <mergeCell ref="H10:M10"/>
    <mergeCell ref="N10:P10"/>
    <mergeCell ref="Q10:X10"/>
    <mergeCell ref="Y10:AA10"/>
    <mergeCell ref="B11:C11"/>
    <mergeCell ref="D11:G11"/>
    <mergeCell ref="H11:M11"/>
    <mergeCell ref="N11:P11"/>
    <mergeCell ref="Q11:X11"/>
    <mergeCell ref="Y9:AA9"/>
    <mergeCell ref="B7:C8"/>
    <mergeCell ref="D7:G7"/>
    <mergeCell ref="H7:M7"/>
    <mergeCell ref="N7:P7"/>
    <mergeCell ref="Q7:X7"/>
    <mergeCell ref="Y7:AA7"/>
    <mergeCell ref="D8:G8"/>
    <mergeCell ref="H8:M8"/>
    <mergeCell ref="N8:P8"/>
    <mergeCell ref="B9:C9"/>
    <mergeCell ref="D9:G9"/>
    <mergeCell ref="H9:M9"/>
    <mergeCell ref="N9:P9"/>
    <mergeCell ref="Q9:X9"/>
    <mergeCell ref="Q8:X8"/>
    <mergeCell ref="Y8:AA8"/>
    <mergeCell ref="Y2:AA2"/>
    <mergeCell ref="C2:D2"/>
    <mergeCell ref="F2:N2"/>
    <mergeCell ref="O2:Q2"/>
    <mergeCell ref="R2:U2"/>
    <mergeCell ref="V2:X2"/>
    <mergeCell ref="B5:C5"/>
    <mergeCell ref="D5:G5"/>
    <mergeCell ref="H5:AA5"/>
    <mergeCell ref="B6:G6"/>
    <mergeCell ref="H6:M6"/>
    <mergeCell ref="N6:P6"/>
    <mergeCell ref="Q6:X6"/>
    <mergeCell ref="Y6:AA6"/>
  </mergeCells>
  <phoneticPr fontId="4"/>
  <pageMargins left="0.78740157480314965" right="0.78740157480314965" top="0.78740157480314965" bottom="0.78740157480314965" header="0.39370078740157483" footer="0.39370078740157483"/>
  <pageSetup paperSize="9" scale="75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2"/>
  <sheetViews>
    <sheetView zoomScale="75" zoomScaleNormal="75" workbookViewId="0"/>
  </sheetViews>
  <sheetFormatPr defaultRowHeight="13.5" x14ac:dyDescent="0.15"/>
  <cols>
    <col min="1" max="1" width="1.625" style="50" customWidth="1"/>
    <col min="2" max="2" width="7.625" style="50" customWidth="1"/>
    <col min="3" max="3" width="25.625" style="50" customWidth="1"/>
    <col min="4" max="13" width="15.625" style="50" customWidth="1"/>
    <col min="14" max="16384" width="9" style="50"/>
  </cols>
  <sheetData>
    <row r="1" spans="2:13" ht="9.9499999999999993" customHeight="1" x14ac:dyDescent="0.15"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2:13" ht="24.95" customHeight="1" thickBot="1" x14ac:dyDescent="0.2">
      <c r="B2" s="239" t="s">
        <v>454</v>
      </c>
      <c r="F2" s="255" t="s">
        <v>164</v>
      </c>
      <c r="G2" s="239" t="s">
        <v>417</v>
      </c>
      <c r="I2" s="255"/>
      <c r="J2" s="239"/>
    </row>
    <row r="3" spans="2:13" ht="20.25" customHeight="1" x14ac:dyDescent="0.15">
      <c r="B3" s="639" t="s">
        <v>68</v>
      </c>
      <c r="C3" s="640"/>
      <c r="D3" s="483" t="s">
        <v>251</v>
      </c>
      <c r="E3" s="483" t="s">
        <v>252</v>
      </c>
      <c r="F3" s="483" t="s">
        <v>312</v>
      </c>
      <c r="G3" s="483" t="s">
        <v>313</v>
      </c>
      <c r="H3" s="483" t="s">
        <v>253</v>
      </c>
      <c r="I3" s="483" t="s">
        <v>254</v>
      </c>
      <c r="J3" s="483" t="s">
        <v>255</v>
      </c>
      <c r="K3" s="483" t="s">
        <v>256</v>
      </c>
      <c r="L3" s="483" t="s">
        <v>257</v>
      </c>
      <c r="M3" s="449" t="s">
        <v>292</v>
      </c>
    </row>
    <row r="4" spans="2:13" ht="135.4" customHeight="1" x14ac:dyDescent="0.15">
      <c r="B4" s="641" t="s">
        <v>59</v>
      </c>
      <c r="C4" s="450" t="s">
        <v>60</v>
      </c>
      <c r="D4" s="451" t="s">
        <v>452</v>
      </c>
      <c r="E4" s="451" t="s">
        <v>453</v>
      </c>
      <c r="F4" s="451" t="s">
        <v>419</v>
      </c>
      <c r="G4" s="451" t="s">
        <v>455</v>
      </c>
      <c r="H4" s="451" t="s">
        <v>420</v>
      </c>
      <c r="I4" s="451" t="s">
        <v>421</v>
      </c>
      <c r="J4" s="471" t="s">
        <v>456</v>
      </c>
      <c r="K4" s="452" t="s">
        <v>422</v>
      </c>
      <c r="L4" s="452"/>
      <c r="M4" s="485" t="s">
        <v>423</v>
      </c>
    </row>
    <row r="5" spans="2:13" ht="33" customHeight="1" x14ac:dyDescent="0.15">
      <c r="B5" s="641"/>
      <c r="C5" s="450" t="s">
        <v>61</v>
      </c>
      <c r="D5" s="453" t="s">
        <v>311</v>
      </c>
      <c r="E5" s="642" t="s">
        <v>333</v>
      </c>
      <c r="F5" s="643"/>
      <c r="G5" s="644"/>
      <c r="H5" s="450" t="s">
        <v>258</v>
      </c>
      <c r="I5" s="450" t="s">
        <v>259</v>
      </c>
      <c r="J5" s="645" t="s">
        <v>424</v>
      </c>
      <c r="K5" s="646"/>
      <c r="L5" s="646"/>
      <c r="M5" s="647"/>
    </row>
    <row r="6" spans="2:13" ht="150" customHeight="1" x14ac:dyDescent="0.15">
      <c r="B6" s="641"/>
      <c r="C6" s="450" t="s">
        <v>67</v>
      </c>
      <c r="D6" s="454" t="s">
        <v>425</v>
      </c>
      <c r="E6" s="454" t="s">
        <v>426</v>
      </c>
      <c r="F6" s="454" t="s">
        <v>427</v>
      </c>
      <c r="G6" s="454" t="s">
        <v>260</v>
      </c>
      <c r="H6" s="451" t="s">
        <v>261</v>
      </c>
      <c r="I6" s="451" t="s">
        <v>426</v>
      </c>
      <c r="J6" s="451" t="s">
        <v>428</v>
      </c>
      <c r="K6" s="451" t="s">
        <v>429</v>
      </c>
      <c r="L6" s="451" t="s">
        <v>430</v>
      </c>
      <c r="M6" s="455" t="s">
        <v>431</v>
      </c>
    </row>
    <row r="7" spans="2:13" ht="20.25" customHeight="1" x14ac:dyDescent="0.15">
      <c r="B7" s="641"/>
      <c r="C7" s="456" t="s">
        <v>64</v>
      </c>
      <c r="D7" s="457">
        <v>0.2</v>
      </c>
      <c r="E7" s="457">
        <v>0.1</v>
      </c>
      <c r="F7" s="453">
        <v>0.9</v>
      </c>
      <c r="G7" s="457">
        <v>0.2</v>
      </c>
      <c r="H7" s="450">
        <v>0.1</v>
      </c>
      <c r="I7" s="450">
        <v>0.1</v>
      </c>
      <c r="J7" s="450">
        <v>0.5</v>
      </c>
      <c r="K7" s="450">
        <v>0.6</v>
      </c>
      <c r="L7" s="450">
        <v>0.6</v>
      </c>
      <c r="M7" s="458">
        <v>0.6</v>
      </c>
    </row>
    <row r="8" spans="2:13" ht="20.25" customHeight="1" x14ac:dyDescent="0.15">
      <c r="B8" s="641"/>
      <c r="C8" s="457" t="s">
        <v>65</v>
      </c>
      <c r="D8" s="457">
        <v>0.6</v>
      </c>
      <c r="E8" s="457">
        <v>0.2</v>
      </c>
      <c r="F8" s="457">
        <v>1.3</v>
      </c>
      <c r="G8" s="457">
        <v>0.3</v>
      </c>
      <c r="H8" s="450">
        <v>0.2</v>
      </c>
      <c r="I8" s="450">
        <v>0.2</v>
      </c>
      <c r="J8" s="450">
        <v>0.7</v>
      </c>
      <c r="K8" s="450">
        <v>0.8</v>
      </c>
      <c r="L8" s="450">
        <v>0.8</v>
      </c>
      <c r="M8" s="458">
        <v>0.8</v>
      </c>
    </row>
    <row r="9" spans="2:13" ht="20.25" customHeight="1" x14ac:dyDescent="0.15">
      <c r="B9" s="641"/>
      <c r="C9" s="450" t="s">
        <v>66</v>
      </c>
      <c r="D9" s="450">
        <v>2</v>
      </c>
      <c r="E9" s="450">
        <v>1</v>
      </c>
      <c r="F9" s="450">
        <v>1</v>
      </c>
      <c r="G9" s="450">
        <v>1</v>
      </c>
      <c r="H9" s="450">
        <v>1</v>
      </c>
      <c r="I9" s="450">
        <v>1</v>
      </c>
      <c r="J9" s="450">
        <v>1</v>
      </c>
      <c r="K9" s="450">
        <v>1</v>
      </c>
      <c r="L9" s="450">
        <v>1</v>
      </c>
      <c r="M9" s="458">
        <v>1</v>
      </c>
    </row>
    <row r="10" spans="2:13" ht="150" customHeight="1" x14ac:dyDescent="0.15">
      <c r="B10" s="648" t="s">
        <v>62</v>
      </c>
      <c r="C10" s="649"/>
      <c r="D10" s="471" t="s">
        <v>262</v>
      </c>
      <c r="E10" s="471" t="s">
        <v>263</v>
      </c>
      <c r="F10" s="471"/>
      <c r="G10" s="498" t="s">
        <v>457</v>
      </c>
      <c r="H10" s="499"/>
      <c r="I10" s="498" t="s">
        <v>265</v>
      </c>
      <c r="J10" s="499"/>
      <c r="K10" s="498" t="s">
        <v>266</v>
      </c>
      <c r="L10" s="498"/>
      <c r="M10" s="500" t="s">
        <v>267</v>
      </c>
    </row>
    <row r="11" spans="2:13" ht="150" customHeight="1" thickBot="1" x14ac:dyDescent="0.2">
      <c r="B11" s="637" t="s">
        <v>63</v>
      </c>
      <c r="C11" s="638"/>
      <c r="D11" s="501" t="s">
        <v>268</v>
      </c>
      <c r="E11" s="501"/>
      <c r="F11" s="501"/>
      <c r="G11" s="486" t="s">
        <v>432</v>
      </c>
      <c r="H11" s="502"/>
      <c r="I11" s="502"/>
      <c r="J11" s="486" t="s">
        <v>433</v>
      </c>
      <c r="K11" s="486" t="s">
        <v>446</v>
      </c>
      <c r="L11" s="486"/>
      <c r="M11" s="487" t="s">
        <v>447</v>
      </c>
    </row>
    <row r="12" spans="2:13" ht="9.9499999999999993" customHeight="1" x14ac:dyDescent="0.15">
      <c r="B12" s="54"/>
    </row>
  </sheetData>
  <mergeCells count="6">
    <mergeCell ref="B11:C11"/>
    <mergeCell ref="B3:C3"/>
    <mergeCell ref="B4:B9"/>
    <mergeCell ref="E5:G5"/>
    <mergeCell ref="J5:M5"/>
    <mergeCell ref="B10:C10"/>
  </mergeCells>
  <phoneticPr fontId="4"/>
  <pageMargins left="0.78740157480314965" right="0.78740157480314965" top="0.78740157480314965" bottom="0.78740157480314965" header="0.39370078740157483" footer="0.39370078740157483"/>
  <pageSetup paperSize="9" scale="68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3"/>
  <sheetViews>
    <sheetView zoomScale="75" zoomScaleNormal="75" zoomScaleSheetLayoutView="100" workbookViewId="0"/>
  </sheetViews>
  <sheetFormatPr defaultRowHeight="13.5" x14ac:dyDescent="0.15"/>
  <cols>
    <col min="1" max="1" width="1.625" style="50" customWidth="1"/>
    <col min="2" max="2" width="7.625" style="50" customWidth="1"/>
    <col min="3" max="3" width="25.625" style="50" customWidth="1"/>
    <col min="4" max="14" width="15.625" style="50" customWidth="1"/>
    <col min="15" max="16384" width="9" style="50"/>
  </cols>
  <sheetData>
    <row r="1" spans="2:14" ht="9.9499999999999993" customHeight="1" x14ac:dyDescent="0.15">
      <c r="B1" s="505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2:14" ht="24.95" customHeight="1" thickBot="1" x14ac:dyDescent="0.2">
      <c r="B2" s="239" t="s">
        <v>458</v>
      </c>
      <c r="E2" s="255" t="s">
        <v>164</v>
      </c>
      <c r="F2" s="239" t="s">
        <v>391</v>
      </c>
      <c r="H2" s="255"/>
      <c r="I2" s="239"/>
    </row>
    <row r="3" spans="2:14" ht="20.25" customHeight="1" x14ac:dyDescent="0.15">
      <c r="B3" s="650" t="s">
        <v>68</v>
      </c>
      <c r="C3" s="651"/>
      <c r="D3" s="473" t="s">
        <v>252</v>
      </c>
      <c r="E3" s="473" t="s">
        <v>312</v>
      </c>
      <c r="F3" s="473" t="s">
        <v>313</v>
      </c>
      <c r="G3" s="473" t="s">
        <v>253</v>
      </c>
      <c r="H3" s="473" t="s">
        <v>254</v>
      </c>
      <c r="I3" s="473" t="s">
        <v>392</v>
      </c>
      <c r="J3" s="473" t="s">
        <v>393</v>
      </c>
      <c r="K3" s="473" t="s">
        <v>394</v>
      </c>
      <c r="L3" s="482"/>
      <c r="M3" s="473"/>
      <c r="N3" s="474"/>
    </row>
    <row r="4" spans="2:14" ht="135.4" customHeight="1" x14ac:dyDescent="0.15">
      <c r="B4" s="652" t="s">
        <v>59</v>
      </c>
      <c r="C4" s="450" t="s">
        <v>60</v>
      </c>
      <c r="D4" s="451" t="s">
        <v>453</v>
      </c>
      <c r="E4" s="451" t="s">
        <v>442</v>
      </c>
      <c r="F4" s="451" t="s">
        <v>455</v>
      </c>
      <c r="G4" s="451" t="s">
        <v>420</v>
      </c>
      <c r="H4" s="451" t="s">
        <v>421</v>
      </c>
      <c r="I4" s="497" t="s">
        <v>459</v>
      </c>
      <c r="J4" s="495" t="s">
        <v>443</v>
      </c>
      <c r="K4" s="496" t="s">
        <v>445</v>
      </c>
      <c r="L4" s="475"/>
      <c r="M4" s="475"/>
      <c r="N4" s="51"/>
    </row>
    <row r="5" spans="2:14" ht="33" customHeight="1" x14ac:dyDescent="0.15">
      <c r="B5" s="652"/>
      <c r="C5" s="450" t="s">
        <v>61</v>
      </c>
      <c r="D5" s="642" t="s">
        <v>395</v>
      </c>
      <c r="E5" s="643"/>
      <c r="F5" s="644"/>
      <c r="G5" s="450" t="s">
        <v>258</v>
      </c>
      <c r="H5" s="450" t="s">
        <v>259</v>
      </c>
      <c r="I5" s="452" t="s">
        <v>396</v>
      </c>
      <c r="J5" s="452" t="s">
        <v>397</v>
      </c>
      <c r="K5" s="452" t="s">
        <v>398</v>
      </c>
      <c r="L5" s="452"/>
      <c r="M5" s="452"/>
      <c r="N5" s="52"/>
    </row>
    <row r="6" spans="2:14" ht="150" customHeight="1" x14ac:dyDescent="0.15">
      <c r="B6" s="652"/>
      <c r="C6" s="450" t="s">
        <v>67</v>
      </c>
      <c r="D6" s="454" t="s">
        <v>399</v>
      </c>
      <c r="E6" s="454" t="s">
        <v>400</v>
      </c>
      <c r="F6" s="454" t="s">
        <v>260</v>
      </c>
      <c r="G6" s="451" t="s">
        <v>261</v>
      </c>
      <c r="H6" s="451" t="s">
        <v>401</v>
      </c>
      <c r="I6" s="451" t="s">
        <v>402</v>
      </c>
      <c r="J6" s="451"/>
      <c r="K6" s="451" t="s">
        <v>403</v>
      </c>
      <c r="L6" s="451"/>
      <c r="M6" s="451"/>
      <c r="N6" s="51"/>
    </row>
    <row r="7" spans="2:14" ht="20.25" customHeight="1" x14ac:dyDescent="0.15">
      <c r="B7" s="652"/>
      <c r="C7" s="456" t="s">
        <v>64</v>
      </c>
      <c r="D7" s="457">
        <v>0.1</v>
      </c>
      <c r="E7" s="453">
        <v>0.9</v>
      </c>
      <c r="F7" s="457">
        <v>0.2</v>
      </c>
      <c r="G7" s="450">
        <v>0.1</v>
      </c>
      <c r="H7" s="450">
        <v>0.1</v>
      </c>
      <c r="I7" s="450"/>
      <c r="J7" s="450"/>
      <c r="K7" s="450"/>
      <c r="L7" s="450"/>
      <c r="M7" s="450"/>
      <c r="N7" s="476"/>
    </row>
    <row r="8" spans="2:14" ht="20.25" customHeight="1" x14ac:dyDescent="0.15">
      <c r="B8" s="652"/>
      <c r="C8" s="457" t="s">
        <v>65</v>
      </c>
      <c r="D8" s="457">
        <v>0.2</v>
      </c>
      <c r="E8" s="457">
        <v>1.3</v>
      </c>
      <c r="F8" s="457">
        <v>0.3</v>
      </c>
      <c r="G8" s="450">
        <v>0.2</v>
      </c>
      <c r="H8" s="450">
        <v>0.2</v>
      </c>
      <c r="I8" s="450"/>
      <c r="J8" s="450">
        <v>0.4</v>
      </c>
      <c r="K8" s="450"/>
      <c r="L8" s="450"/>
      <c r="M8" s="450"/>
      <c r="N8" s="476"/>
    </row>
    <row r="9" spans="2:14" ht="20.25" customHeight="1" x14ac:dyDescent="0.15">
      <c r="B9" s="652"/>
      <c r="C9" s="450" t="s">
        <v>66</v>
      </c>
      <c r="D9" s="450">
        <v>1</v>
      </c>
      <c r="E9" s="450">
        <v>1</v>
      </c>
      <c r="F9" s="450">
        <v>1</v>
      </c>
      <c r="G9" s="450">
        <v>1</v>
      </c>
      <c r="H9" s="450">
        <v>1</v>
      </c>
      <c r="I9" s="450"/>
      <c r="J9" s="450">
        <v>1</v>
      </c>
      <c r="K9" s="450"/>
      <c r="L9" s="450"/>
      <c r="M9" s="450"/>
      <c r="N9" s="52"/>
    </row>
    <row r="10" spans="2:14" ht="150" customHeight="1" x14ac:dyDescent="0.15">
      <c r="B10" s="653" t="s">
        <v>62</v>
      </c>
      <c r="C10" s="649"/>
      <c r="D10" s="471" t="s">
        <v>263</v>
      </c>
      <c r="E10" s="471"/>
      <c r="F10" s="498" t="s">
        <v>460</v>
      </c>
      <c r="G10" s="499"/>
      <c r="H10" s="498" t="s">
        <v>265</v>
      </c>
      <c r="I10" s="499"/>
      <c r="J10" s="498" t="s">
        <v>264</v>
      </c>
      <c r="K10" s="498"/>
      <c r="L10" s="453"/>
      <c r="M10" s="453"/>
      <c r="N10" s="53"/>
    </row>
    <row r="11" spans="2:14" ht="150" customHeight="1" thickBot="1" x14ac:dyDescent="0.2">
      <c r="B11" s="654" t="s">
        <v>63</v>
      </c>
      <c r="C11" s="655"/>
      <c r="D11" s="503"/>
      <c r="E11" s="503"/>
      <c r="F11" s="492" t="s">
        <v>461</v>
      </c>
      <c r="G11" s="504"/>
      <c r="H11" s="504"/>
      <c r="I11" s="492"/>
      <c r="J11" s="492" t="s">
        <v>444</v>
      </c>
      <c r="K11" s="492" t="s">
        <v>448</v>
      </c>
      <c r="L11" s="480"/>
      <c r="M11" s="480"/>
      <c r="N11" s="481"/>
    </row>
    <row r="12" spans="2:14" ht="24.75" customHeight="1" x14ac:dyDescent="0.15">
      <c r="B12" s="505" t="s">
        <v>470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</row>
    <row r="13" spans="2:14" ht="9.9499999999999993" customHeight="1" x14ac:dyDescent="0.15">
      <c r="B13" s="54"/>
    </row>
  </sheetData>
  <mergeCells count="5">
    <mergeCell ref="B3:C3"/>
    <mergeCell ref="B4:B9"/>
    <mergeCell ref="D5:F5"/>
    <mergeCell ref="B10:C10"/>
    <mergeCell ref="B11:C11"/>
  </mergeCells>
  <phoneticPr fontId="4"/>
  <pageMargins left="0.78740157480314965" right="0.78740157480314965" top="0.78740157480314965" bottom="0.78740157480314965" header="0.39370078740157483" footer="0.39370078740157483"/>
  <pageSetup paperSize="9" scale="63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2"/>
  <sheetViews>
    <sheetView zoomScale="75" zoomScaleNormal="75" workbookViewId="0"/>
  </sheetViews>
  <sheetFormatPr defaultRowHeight="13.5" x14ac:dyDescent="0.15"/>
  <cols>
    <col min="1" max="1" width="1.625" style="50" customWidth="1"/>
    <col min="2" max="2" width="7.625" style="50" customWidth="1"/>
    <col min="3" max="3" width="25.625" style="50" customWidth="1"/>
    <col min="4" max="13" width="15.625" style="50" customWidth="1"/>
    <col min="14" max="16384" width="9" style="50"/>
  </cols>
  <sheetData>
    <row r="1" spans="2:13" ht="9.9499999999999993" customHeight="1" x14ac:dyDescent="0.15"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2:13" ht="24.95" customHeight="1" thickBot="1" x14ac:dyDescent="0.2">
      <c r="B2" s="239" t="s">
        <v>462</v>
      </c>
      <c r="F2" s="255" t="s">
        <v>164</v>
      </c>
      <c r="G2" s="239" t="s">
        <v>334</v>
      </c>
      <c r="I2" s="255"/>
      <c r="J2" s="239"/>
    </row>
    <row r="3" spans="2:13" ht="20.25" customHeight="1" x14ac:dyDescent="0.15">
      <c r="B3" s="650" t="s">
        <v>68</v>
      </c>
      <c r="C3" s="651"/>
      <c r="D3" s="484" t="s">
        <v>314</v>
      </c>
      <c r="E3" s="484" t="s">
        <v>256</v>
      </c>
      <c r="F3" s="484" t="s">
        <v>257</v>
      </c>
      <c r="G3" s="488" t="s">
        <v>292</v>
      </c>
      <c r="H3" s="484" t="s">
        <v>251</v>
      </c>
      <c r="I3" s="484"/>
      <c r="J3" s="484"/>
      <c r="K3" s="484"/>
      <c r="L3" s="484"/>
      <c r="M3" s="474"/>
    </row>
    <row r="4" spans="2:13" ht="150" customHeight="1" x14ac:dyDescent="0.15">
      <c r="B4" s="652" t="s">
        <v>59</v>
      </c>
      <c r="C4" s="450" t="s">
        <v>60</v>
      </c>
      <c r="D4" s="451" t="s">
        <v>441</v>
      </c>
      <c r="E4" s="472" t="s">
        <v>422</v>
      </c>
      <c r="F4" s="451"/>
      <c r="G4" s="489" t="s">
        <v>449</v>
      </c>
      <c r="H4" s="451" t="s">
        <v>418</v>
      </c>
      <c r="I4" s="451"/>
      <c r="J4" s="451"/>
      <c r="K4" s="451"/>
      <c r="L4" s="451"/>
      <c r="M4" s="51"/>
    </row>
    <row r="5" spans="2:13" ht="20.25" customHeight="1" x14ac:dyDescent="0.15">
      <c r="B5" s="652"/>
      <c r="C5" s="450" t="s">
        <v>61</v>
      </c>
      <c r="D5" s="642" t="s">
        <v>434</v>
      </c>
      <c r="E5" s="643"/>
      <c r="F5" s="643"/>
      <c r="G5" s="644"/>
      <c r="H5" s="490" t="s">
        <v>435</v>
      </c>
      <c r="I5" s="450"/>
      <c r="J5" s="450"/>
      <c r="K5" s="450"/>
      <c r="L5" s="450"/>
      <c r="M5" s="52"/>
    </row>
    <row r="6" spans="2:13" ht="150" customHeight="1" x14ac:dyDescent="0.15">
      <c r="B6" s="652"/>
      <c r="C6" s="450" t="s">
        <v>67</v>
      </c>
      <c r="D6" s="451" t="s">
        <v>436</v>
      </c>
      <c r="E6" s="451" t="s">
        <v>437</v>
      </c>
      <c r="F6" s="451" t="s">
        <v>438</v>
      </c>
      <c r="G6" s="489" t="s">
        <v>439</v>
      </c>
      <c r="H6" s="454" t="s">
        <v>440</v>
      </c>
      <c r="I6" s="451"/>
      <c r="J6" s="451"/>
      <c r="K6" s="451"/>
      <c r="L6" s="451"/>
      <c r="M6" s="51"/>
    </row>
    <row r="7" spans="2:13" ht="20.25" customHeight="1" x14ac:dyDescent="0.15">
      <c r="B7" s="652"/>
      <c r="C7" s="456" t="s">
        <v>64</v>
      </c>
      <c r="D7" s="457">
        <v>0.2</v>
      </c>
      <c r="E7" s="457">
        <v>0.3</v>
      </c>
      <c r="F7" s="457">
        <v>0.3</v>
      </c>
      <c r="G7" s="457">
        <v>0.3</v>
      </c>
      <c r="H7" s="450">
        <v>0.2</v>
      </c>
      <c r="I7" s="450"/>
      <c r="J7" s="450"/>
      <c r="K7" s="450"/>
      <c r="L7" s="450"/>
      <c r="M7" s="52"/>
    </row>
    <row r="8" spans="2:13" ht="20.25" customHeight="1" x14ac:dyDescent="0.15">
      <c r="B8" s="652"/>
      <c r="C8" s="457" t="s">
        <v>65</v>
      </c>
      <c r="D8" s="457">
        <v>0.3</v>
      </c>
      <c r="E8" s="457">
        <v>0.5</v>
      </c>
      <c r="F8" s="457">
        <v>0.5</v>
      </c>
      <c r="G8" s="457">
        <v>0.5</v>
      </c>
      <c r="H8" s="450">
        <v>0.6</v>
      </c>
      <c r="I8" s="450"/>
      <c r="J8" s="450"/>
      <c r="K8" s="450"/>
      <c r="L8" s="450"/>
      <c r="M8" s="52"/>
    </row>
    <row r="9" spans="2:13" ht="20.25" customHeight="1" x14ac:dyDescent="0.15">
      <c r="B9" s="652"/>
      <c r="C9" s="450" t="s">
        <v>66</v>
      </c>
      <c r="D9" s="450">
        <v>1</v>
      </c>
      <c r="E9" s="450">
        <v>1</v>
      </c>
      <c r="F9" s="450">
        <v>1</v>
      </c>
      <c r="G9" s="450">
        <v>1</v>
      </c>
      <c r="H9" s="450">
        <v>2</v>
      </c>
      <c r="I9" s="450"/>
      <c r="J9" s="450"/>
      <c r="K9" s="450"/>
      <c r="L9" s="450"/>
      <c r="M9" s="52"/>
    </row>
    <row r="10" spans="2:13" ht="150" customHeight="1" x14ac:dyDescent="0.15">
      <c r="B10" s="653" t="s">
        <v>62</v>
      </c>
      <c r="C10" s="649"/>
      <c r="D10" s="451"/>
      <c r="E10" s="451" t="s">
        <v>266</v>
      </c>
      <c r="F10" s="491"/>
      <c r="G10" s="491" t="s">
        <v>321</v>
      </c>
      <c r="H10" s="450" t="s">
        <v>318</v>
      </c>
      <c r="I10" s="457"/>
      <c r="J10" s="457"/>
      <c r="K10" s="457"/>
      <c r="L10" s="457"/>
      <c r="M10" s="53"/>
    </row>
    <row r="11" spans="2:13" ht="150" customHeight="1" thickBot="1" x14ac:dyDescent="0.2">
      <c r="B11" s="654" t="s">
        <v>63</v>
      </c>
      <c r="C11" s="655"/>
      <c r="D11" s="477" t="s">
        <v>451</v>
      </c>
      <c r="E11" s="477" t="s">
        <v>446</v>
      </c>
      <c r="F11" s="478"/>
      <c r="G11" s="492" t="s">
        <v>450</v>
      </c>
      <c r="H11" s="479" t="s">
        <v>268</v>
      </c>
      <c r="I11" s="479"/>
      <c r="J11" s="479"/>
      <c r="K11" s="479"/>
      <c r="L11" s="479"/>
      <c r="M11" s="481"/>
    </row>
    <row r="12" spans="2:13" ht="9.9499999999999993" customHeight="1" x14ac:dyDescent="0.15">
      <c r="B12" s="54"/>
    </row>
  </sheetData>
  <mergeCells count="5">
    <mergeCell ref="B3:C3"/>
    <mergeCell ref="B4:B9"/>
    <mergeCell ref="D5:G5"/>
    <mergeCell ref="B10:C10"/>
    <mergeCell ref="B11:C11"/>
  </mergeCells>
  <phoneticPr fontId="4"/>
  <pageMargins left="0.78740157480314965" right="0.78740157480314965" top="0.78740157480314965" bottom="0.78740157480314965" header="0.39370078740157483" footer="0.39370078740157483"/>
  <pageSetup paperSize="9" scale="68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2"/>
  <sheetViews>
    <sheetView zoomScale="75" zoomScaleNormal="75" workbookViewId="0"/>
  </sheetViews>
  <sheetFormatPr defaultRowHeight="13.5" x14ac:dyDescent="0.15"/>
  <cols>
    <col min="1" max="1" width="1.625" style="9" customWidth="1"/>
    <col min="2" max="2" width="7.625" style="9" customWidth="1"/>
    <col min="3" max="3" width="15.625" style="9" customWidth="1"/>
    <col min="4" max="7" width="20.625" style="9" customWidth="1"/>
    <col min="8" max="9" width="20.625" style="9" hidden="1" customWidth="1"/>
    <col min="10" max="16" width="12.625" style="9" customWidth="1"/>
    <col min="17" max="16384" width="9" style="9"/>
  </cols>
  <sheetData>
    <row r="1" spans="2:16" ht="9.9499999999999993" customHeight="1" x14ac:dyDescent="0.15"/>
    <row r="2" spans="2:16" ht="24.95" customHeight="1" thickBot="1" x14ac:dyDescent="0.2">
      <c r="B2" s="10" t="s">
        <v>58</v>
      </c>
      <c r="C2" s="11"/>
      <c r="D2" s="11"/>
      <c r="O2" s="12"/>
      <c r="P2" s="12"/>
    </row>
    <row r="3" spans="2:16" ht="20.25" customHeight="1" x14ac:dyDescent="0.15">
      <c r="B3" s="687" t="s">
        <v>193</v>
      </c>
      <c r="C3" s="688"/>
      <c r="D3" s="688"/>
      <c r="E3" s="688"/>
      <c r="F3" s="13" t="s">
        <v>19</v>
      </c>
      <c r="G3" s="13"/>
      <c r="H3" s="298"/>
      <c r="I3" s="286"/>
      <c r="J3" s="668" t="s">
        <v>192</v>
      </c>
      <c r="K3" s="669"/>
      <c r="L3" s="669"/>
      <c r="M3" s="669"/>
      <c r="N3" s="669"/>
      <c r="O3" s="669"/>
      <c r="P3" s="670"/>
    </row>
    <row r="4" spans="2:16" ht="20.25" customHeight="1" thickBot="1" x14ac:dyDescent="0.2">
      <c r="B4" s="689"/>
      <c r="C4" s="690"/>
      <c r="D4" s="690"/>
      <c r="E4" s="690"/>
      <c r="F4" s="14"/>
      <c r="G4" s="285"/>
      <c r="H4" s="299"/>
      <c r="I4" s="285"/>
      <c r="J4" s="671"/>
      <c r="K4" s="672"/>
      <c r="L4" s="672"/>
      <c r="M4" s="672"/>
      <c r="N4" s="672"/>
      <c r="O4" s="672"/>
      <c r="P4" s="673"/>
    </row>
    <row r="5" spans="2:16" ht="24.75" customHeight="1" x14ac:dyDescent="0.15">
      <c r="B5" s="693" t="s">
        <v>38</v>
      </c>
      <c r="C5" s="694"/>
      <c r="D5" s="15" t="str">
        <f>+'７　収支'!D4</f>
        <v>子牛販売収入</v>
      </c>
      <c r="E5" s="16"/>
      <c r="F5" s="17">
        <f>+'７　収支'!F4</f>
        <v>20433444.5</v>
      </c>
      <c r="G5" s="238"/>
      <c r="H5" s="300"/>
      <c r="I5" s="287"/>
      <c r="J5" s="674" t="str">
        <f>+'７　収支'!G4</f>
        <v xml:space="preserve">雌：425,375円×20頭　　去勢：507,487円×23.5頭
（H23～25年三次家畜市場子牛市場平均価格(8％税込換算)×1.05（推奨「子牛育成ﾏﾆｭｱﾙ」加算））    </v>
      </c>
      <c r="K5" s="675"/>
      <c r="L5" s="675"/>
      <c r="M5" s="675"/>
      <c r="N5" s="675"/>
      <c r="O5" s="675"/>
      <c r="P5" s="676"/>
    </row>
    <row r="6" spans="2:16" ht="20.25" customHeight="1" x14ac:dyDescent="0.15">
      <c r="B6" s="695"/>
      <c r="C6" s="696"/>
      <c r="D6" s="351" t="str">
        <f>+'７　収支'!D5</f>
        <v>老廃牛販売収入</v>
      </c>
      <c r="E6" s="352"/>
      <c r="F6" s="353">
        <f>+'７　収支'!F5</f>
        <v>1090590</v>
      </c>
      <c r="G6" s="392"/>
      <c r="H6" s="393"/>
      <c r="I6" s="392"/>
      <c r="J6" s="680" t="str">
        <f>+'７　収支'!G5</f>
        <v>218,118円×5頭（H25年三次家畜市場平均価格（11才・8％税込換算））</v>
      </c>
      <c r="K6" s="681"/>
      <c r="L6" s="681"/>
      <c r="M6" s="681"/>
      <c r="N6" s="681"/>
      <c r="O6" s="681"/>
      <c r="P6" s="682"/>
    </row>
    <row r="7" spans="2:16" ht="20.25" customHeight="1" x14ac:dyDescent="0.15">
      <c r="B7" s="695"/>
      <c r="C7" s="696"/>
      <c r="D7" s="18" t="str">
        <f>+'７　収支'!D6</f>
        <v>堆肥販売収入</v>
      </c>
      <c r="E7" s="19"/>
      <c r="F7" s="20">
        <f>+'７　収支'!F6</f>
        <v>217500</v>
      </c>
      <c r="G7" s="23"/>
      <c r="H7" s="24"/>
      <c r="I7" s="23"/>
      <c r="J7" s="665" t="str">
        <f>'７　収支'!G6</f>
        <v>販売堆肥145ｔ　＠1500円</v>
      </c>
      <c r="K7" s="666"/>
      <c r="L7" s="666"/>
      <c r="M7" s="666"/>
      <c r="N7" s="666"/>
      <c r="O7" s="666"/>
      <c r="P7" s="667"/>
    </row>
    <row r="8" spans="2:16" ht="20.25" customHeight="1" x14ac:dyDescent="0.15">
      <c r="B8" s="695"/>
      <c r="C8" s="696"/>
      <c r="D8" s="18" t="str">
        <f>+'７　収支'!D7</f>
        <v>補助金</v>
      </c>
      <c r="E8" s="399"/>
      <c r="F8" s="400">
        <f>+'７　収支'!F7</f>
        <v>3735000</v>
      </c>
      <c r="G8" s="401"/>
      <c r="H8" s="24"/>
      <c r="I8" s="23"/>
      <c r="J8" s="677" t="str">
        <f>'７　収支'!G7</f>
        <v xml:space="preserve">経営所得安定対策交付金：「飼料作物」35000円/10ａ×9.0ha +「水田放牧加算」13000円/10ａ×4.5ha    </v>
      </c>
      <c r="K8" s="678"/>
      <c r="L8" s="678"/>
      <c r="M8" s="678"/>
      <c r="N8" s="678"/>
      <c r="O8" s="678"/>
      <c r="P8" s="679"/>
    </row>
    <row r="9" spans="2:16" ht="20.25" customHeight="1" x14ac:dyDescent="0.15">
      <c r="B9" s="695"/>
      <c r="C9" s="696"/>
      <c r="D9" s="18" t="str">
        <f>+'７　収支'!D8</f>
        <v>受取共済金</v>
      </c>
      <c r="E9" s="19"/>
      <c r="F9" s="20">
        <f>+'７　収支'!F8</f>
        <v>136800</v>
      </c>
      <c r="G9" s="390"/>
      <c r="H9" s="392"/>
      <c r="I9" s="390"/>
      <c r="J9" s="665"/>
      <c r="K9" s="666"/>
      <c r="L9" s="666"/>
      <c r="M9" s="666"/>
      <c r="N9" s="666"/>
      <c r="O9" s="666"/>
      <c r="P9" s="667"/>
    </row>
    <row r="10" spans="2:16" ht="20.25" customHeight="1" x14ac:dyDescent="0.15">
      <c r="B10" s="697"/>
      <c r="C10" s="698"/>
      <c r="D10" s="691" t="s">
        <v>111</v>
      </c>
      <c r="E10" s="692"/>
      <c r="F10" s="21">
        <f>SUM(F5:F9)</f>
        <v>25613334.5</v>
      </c>
      <c r="G10" s="22"/>
      <c r="H10" s="22">
        <f t="shared" ref="H10:I10" si="0">H5+H7</f>
        <v>0</v>
      </c>
      <c r="I10" s="22">
        <f t="shared" si="0"/>
        <v>0</v>
      </c>
      <c r="J10" s="665"/>
      <c r="K10" s="666"/>
      <c r="L10" s="666"/>
      <c r="M10" s="666"/>
      <c r="N10" s="666"/>
      <c r="O10" s="666"/>
      <c r="P10" s="667"/>
    </row>
    <row r="11" spans="2:16" ht="20.25" customHeight="1" x14ac:dyDescent="0.15">
      <c r="B11" s="661" t="s">
        <v>179</v>
      </c>
      <c r="C11" s="683" t="s">
        <v>194</v>
      </c>
      <c r="D11" s="18" t="str">
        <f>+'７　収支'!D9</f>
        <v>自給飼料費</v>
      </c>
      <c r="E11" s="19"/>
      <c r="F11" s="20">
        <f>+'７　収支'!F9</f>
        <v>1667970.1</v>
      </c>
      <c r="G11" s="23"/>
      <c r="H11" s="24"/>
      <c r="I11" s="23"/>
      <c r="J11" s="337"/>
      <c r="K11" s="338"/>
      <c r="L11" s="338"/>
      <c r="M11" s="338"/>
      <c r="N11" s="338"/>
      <c r="O11" s="338"/>
      <c r="P11" s="339"/>
    </row>
    <row r="12" spans="2:16" ht="20.25" customHeight="1" x14ac:dyDescent="0.15">
      <c r="B12" s="662"/>
      <c r="C12" s="684"/>
      <c r="D12" s="18" t="str">
        <f>+'７　収支'!D10</f>
        <v>購入飼料費</v>
      </c>
      <c r="E12" s="19"/>
      <c r="F12" s="20">
        <f>+'７　収支'!F10</f>
        <v>7154790.5999999996</v>
      </c>
      <c r="G12" s="23"/>
      <c r="H12" s="24"/>
      <c r="I12" s="23"/>
      <c r="J12" s="337"/>
      <c r="K12" s="338"/>
      <c r="L12" s="338"/>
      <c r="M12" s="338"/>
      <c r="N12" s="338"/>
      <c r="O12" s="338"/>
      <c r="P12" s="339"/>
    </row>
    <row r="13" spans="2:16" ht="20.25" customHeight="1" x14ac:dyDescent="0.15">
      <c r="B13" s="662"/>
      <c r="C13" s="685"/>
      <c r="D13" s="18" t="str">
        <f>+'７　収支'!D11</f>
        <v>種付料</v>
      </c>
      <c r="E13" s="19"/>
      <c r="F13" s="20">
        <f>+'７　収支'!F11</f>
        <v>704000</v>
      </c>
      <c r="G13" s="23"/>
      <c r="H13" s="24"/>
      <c r="I13" s="23"/>
      <c r="J13" s="381" t="str">
        <f>+'７　収支'!G11</f>
        <v>平均受精回数1.6回，精液＠2000，技術料（初回8000+２回目以降4800）</v>
      </c>
      <c r="K13" s="382"/>
      <c r="L13" s="382"/>
      <c r="M13" s="382"/>
      <c r="N13" s="382"/>
      <c r="O13" s="382"/>
      <c r="P13" s="383"/>
    </row>
    <row r="14" spans="2:16" ht="20.25" customHeight="1" x14ac:dyDescent="0.15">
      <c r="B14" s="662"/>
      <c r="C14" s="685"/>
      <c r="D14" s="18" t="str">
        <f>+'７　収支'!D12</f>
        <v>敷料費</v>
      </c>
      <c r="E14" s="19"/>
      <c r="F14" s="20">
        <f>+'７　収支'!F12</f>
        <v>128850</v>
      </c>
      <c r="G14" s="23"/>
      <c r="H14" s="24"/>
      <c r="I14" s="23"/>
      <c r="J14" s="465" t="str">
        <f>+'７　収支'!G12</f>
        <v>畜産経営診断(先進経営)全国集計（30頭以上）@2577</v>
      </c>
      <c r="K14" s="382"/>
      <c r="L14" s="382"/>
      <c r="M14" s="382"/>
      <c r="N14" s="382"/>
      <c r="O14" s="382"/>
      <c r="P14" s="383"/>
    </row>
    <row r="15" spans="2:16" ht="20.25" customHeight="1" x14ac:dyDescent="0.15">
      <c r="B15" s="662"/>
      <c r="C15" s="684"/>
      <c r="D15" s="18" t="str">
        <f>+'７　収支'!D13</f>
        <v>診療衛生費</v>
      </c>
      <c r="E15" s="19"/>
      <c r="F15" s="20">
        <f>+'７　収支'!F13</f>
        <v>477350</v>
      </c>
      <c r="G15" s="23"/>
      <c r="H15" s="24"/>
      <c r="I15" s="23"/>
      <c r="J15" s="465" t="str">
        <f>+'７　収支'!G13</f>
        <v>畜産経営診断(先進経営)全国集計（30頭以上）@9547</v>
      </c>
      <c r="K15" s="338"/>
      <c r="L15" s="338"/>
      <c r="M15" s="338"/>
      <c r="N15" s="338"/>
      <c r="O15" s="338"/>
      <c r="P15" s="339"/>
    </row>
    <row r="16" spans="2:16" ht="20.25" customHeight="1" x14ac:dyDescent="0.15">
      <c r="B16" s="662"/>
      <c r="C16" s="684"/>
      <c r="D16" s="18" t="str">
        <f>+'７　収支'!D14</f>
        <v>動力光熱費</v>
      </c>
      <c r="E16" s="19"/>
      <c r="F16" s="20">
        <f>+'７　収支'!F14</f>
        <v>671350</v>
      </c>
      <c r="G16" s="23"/>
      <c r="H16" s="24"/>
      <c r="I16" s="23"/>
      <c r="J16" s="465" t="str">
        <f>+'７　収支'!G14</f>
        <v>畜産経営診断(先進経営)全国集計（30頭以上）@13427</v>
      </c>
      <c r="K16" s="338"/>
      <c r="L16" s="338"/>
      <c r="M16" s="338"/>
      <c r="N16" s="338"/>
      <c r="O16" s="338"/>
      <c r="P16" s="339"/>
    </row>
    <row r="17" spans="2:16" ht="20.25" customHeight="1" x14ac:dyDescent="0.15">
      <c r="B17" s="662"/>
      <c r="C17" s="684"/>
      <c r="D17" s="18" t="str">
        <f>+'７　収支'!D15</f>
        <v>諸材料費</v>
      </c>
      <c r="E17" s="19"/>
      <c r="F17" s="20">
        <f>+'７　収支'!F15</f>
        <v>196050</v>
      </c>
      <c r="G17" s="23"/>
      <c r="H17" s="24"/>
      <c r="I17" s="23"/>
      <c r="J17" s="465" t="str">
        <f>+'７　収支'!G15</f>
        <v>畜産経営診断(先進経営)全国集計（30頭以上）@3921</v>
      </c>
      <c r="K17" s="338"/>
      <c r="L17" s="338"/>
      <c r="M17" s="338"/>
      <c r="N17" s="338"/>
      <c r="O17" s="338"/>
      <c r="P17" s="339"/>
    </row>
    <row r="18" spans="2:16" ht="20.25" customHeight="1" x14ac:dyDescent="0.15">
      <c r="B18" s="662"/>
      <c r="C18" s="684"/>
      <c r="D18" s="18" t="str">
        <f>+'７　収支'!D16</f>
        <v>小農具費</v>
      </c>
      <c r="E18" s="19"/>
      <c r="F18" s="20">
        <f>+'７　収支'!F16</f>
        <v>80850</v>
      </c>
      <c r="G18" s="23"/>
      <c r="H18" s="24"/>
      <c r="I18" s="23"/>
      <c r="J18" s="465" t="str">
        <f>+'７　収支'!G16</f>
        <v>畜産経営診断(先進経営)全国集計（30頭以上）@1617</v>
      </c>
      <c r="K18" s="338"/>
      <c r="L18" s="338"/>
      <c r="M18" s="338"/>
      <c r="N18" s="338"/>
      <c r="O18" s="338"/>
      <c r="P18" s="339"/>
    </row>
    <row r="19" spans="2:16" ht="20.25" customHeight="1" x14ac:dyDescent="0.15">
      <c r="B19" s="662"/>
      <c r="C19" s="684"/>
      <c r="D19" s="18" t="str">
        <f>+'７　収支'!D17</f>
        <v>賃料料金</v>
      </c>
      <c r="E19" s="19"/>
      <c r="F19" s="20">
        <f>+'７　収支'!F17</f>
        <v>551800</v>
      </c>
      <c r="G19" s="23"/>
      <c r="H19" s="24"/>
      <c r="I19" s="23"/>
      <c r="J19" s="465" t="str">
        <f>+'７　収支'!G17</f>
        <v>畜産経営診断(先進経営)全国集計（30頭以上）@11036</v>
      </c>
      <c r="K19" s="338"/>
      <c r="L19" s="338"/>
      <c r="M19" s="338"/>
      <c r="N19" s="338"/>
      <c r="O19" s="338"/>
      <c r="P19" s="339"/>
    </row>
    <row r="20" spans="2:16" ht="20.25" customHeight="1" x14ac:dyDescent="0.15">
      <c r="B20" s="662"/>
      <c r="C20" s="684"/>
      <c r="D20" s="18" t="str">
        <f>+'７　収支'!D18</f>
        <v>修繕費</v>
      </c>
      <c r="E20" s="19"/>
      <c r="F20" s="23">
        <f>+'７　収支'!F18+'７　収支'!F19</f>
        <v>921572.5</v>
      </c>
      <c r="G20" s="23"/>
      <c r="H20" s="24"/>
      <c r="I20" s="23"/>
      <c r="J20" s="337"/>
      <c r="K20" s="338"/>
      <c r="L20" s="338"/>
      <c r="M20" s="338"/>
      <c r="N20" s="338"/>
      <c r="O20" s="338"/>
      <c r="P20" s="339"/>
    </row>
    <row r="21" spans="2:16" ht="20.25" customHeight="1" x14ac:dyDescent="0.15">
      <c r="B21" s="662"/>
      <c r="C21" s="684"/>
      <c r="D21" s="354" t="s">
        <v>52</v>
      </c>
      <c r="E21" s="277" t="s">
        <v>214</v>
      </c>
      <c r="F21" s="23">
        <f>'７　収支'!F20+'７　収支'!F21</f>
        <v>3463620.5882352944</v>
      </c>
      <c r="G21" s="23"/>
      <c r="H21" s="24"/>
      <c r="I21" s="23"/>
      <c r="J21" s="337"/>
      <c r="K21" s="338"/>
      <c r="L21" s="338"/>
      <c r="M21" s="338"/>
      <c r="N21" s="338"/>
      <c r="O21" s="338"/>
      <c r="P21" s="339"/>
    </row>
    <row r="22" spans="2:16" ht="20.25" customHeight="1" x14ac:dyDescent="0.15">
      <c r="B22" s="662"/>
      <c r="C22" s="684"/>
      <c r="D22" s="355"/>
      <c r="E22" s="278" t="s">
        <v>213</v>
      </c>
      <c r="F22" s="23">
        <f>+'７　収支'!F22</f>
        <v>2937500</v>
      </c>
      <c r="G22" s="23"/>
      <c r="H22" s="24"/>
      <c r="I22" s="23"/>
      <c r="J22" s="337"/>
      <c r="K22" s="338"/>
      <c r="L22" s="338"/>
      <c r="M22" s="338"/>
      <c r="N22" s="338"/>
      <c r="O22" s="338"/>
      <c r="P22" s="339"/>
    </row>
    <row r="23" spans="2:16" ht="20.25" customHeight="1" x14ac:dyDescent="0.15">
      <c r="B23" s="662"/>
      <c r="C23" s="684"/>
      <c r="D23" s="18" t="str">
        <f>+'７　収支'!D23</f>
        <v>支払地代</v>
      </c>
      <c r="E23" s="19"/>
      <c r="F23" s="20">
        <f>'７　収支'!F23</f>
        <v>240000</v>
      </c>
      <c r="G23" s="23"/>
      <c r="H23" s="24"/>
      <c r="I23" s="23"/>
      <c r="J23" s="391" t="str">
        <f>+'７　収支'!G23</f>
        <v>借地8.0ha</v>
      </c>
      <c r="K23" s="338" t="str">
        <f>+'７　収支'!I23</f>
        <v>3000円/10a</v>
      </c>
      <c r="L23" s="338"/>
      <c r="M23" s="338"/>
      <c r="N23" s="338"/>
      <c r="O23" s="338"/>
      <c r="P23" s="339"/>
    </row>
    <row r="24" spans="2:16" ht="20.25" customHeight="1" x14ac:dyDescent="0.15">
      <c r="B24" s="662"/>
      <c r="C24" s="684"/>
      <c r="D24" s="18" t="str">
        <f>+'７　収支'!D24</f>
        <v>経費から差し引く育成費用</v>
      </c>
      <c r="E24" s="19"/>
      <c r="F24" s="20">
        <f>+'７　収支'!F24</f>
        <v>-1762500</v>
      </c>
      <c r="G24" s="23"/>
      <c r="H24" s="24"/>
      <c r="I24" s="23"/>
      <c r="J24" s="337" t="str">
        <f>+'７　収支'!G24</f>
        <v>（15000円×12ヶ月）×（50頭/10年）×（23.5ヶ月/12ヶ月）</v>
      </c>
      <c r="K24" s="338"/>
      <c r="L24" s="338"/>
      <c r="M24" s="338"/>
      <c r="N24" s="338"/>
      <c r="O24" s="338"/>
      <c r="P24" s="339"/>
    </row>
    <row r="25" spans="2:16" ht="20.25" customHeight="1" x14ac:dyDescent="0.15">
      <c r="B25" s="662"/>
      <c r="C25" s="684"/>
      <c r="D25" s="18" t="str">
        <f>+'７　収支'!D25</f>
        <v>生産雑費</v>
      </c>
      <c r="E25" s="19"/>
      <c r="F25" s="20">
        <f>+'７　収支'!F25</f>
        <v>176092.96755793225</v>
      </c>
      <c r="G25" s="20"/>
      <c r="H25" s="392"/>
      <c r="I25" s="392"/>
      <c r="J25" s="378" t="str">
        <f>+'７　収支'!G25</f>
        <v>売上原価の</v>
      </c>
      <c r="K25" s="469">
        <f>+'７　収支'!H25</f>
        <v>0.01</v>
      </c>
      <c r="L25" s="379"/>
      <c r="M25" s="379"/>
      <c r="N25" s="379"/>
      <c r="O25" s="379"/>
      <c r="P25" s="380"/>
    </row>
    <row r="26" spans="2:16" ht="20.25" customHeight="1" x14ac:dyDescent="0.15">
      <c r="B26" s="662"/>
      <c r="C26" s="686"/>
      <c r="D26" s="340" t="s">
        <v>112</v>
      </c>
      <c r="E26" s="341"/>
      <c r="F26" s="290">
        <f>SUM(F11:F25)</f>
        <v>17609296.755793225</v>
      </c>
      <c r="G26" s="290"/>
      <c r="H26" s="290">
        <f>SUM(H11:H24)</f>
        <v>0</v>
      </c>
      <c r="I26" s="290">
        <f>SUM(I11:I24)</f>
        <v>0</v>
      </c>
      <c r="J26" s="337"/>
      <c r="K26" s="338"/>
      <c r="L26" s="338"/>
      <c r="M26" s="338"/>
      <c r="N26" s="338"/>
      <c r="O26" s="338"/>
      <c r="P26" s="339"/>
    </row>
    <row r="27" spans="2:16" ht="20.25" customHeight="1" x14ac:dyDescent="0.15">
      <c r="B27" s="662"/>
      <c r="C27" s="709" t="s">
        <v>109</v>
      </c>
      <c r="D27" s="701" t="str">
        <f>+'７　収支'!D27</f>
        <v>販売費</v>
      </c>
      <c r="E27" s="26" t="str">
        <f>+'７　収支'!E27</f>
        <v>出荷資材費</v>
      </c>
      <c r="F27" s="23">
        <f t="shared" ref="F27" si="1">SUM(G27:I27)</f>
        <v>0</v>
      </c>
      <c r="G27" s="23"/>
      <c r="H27" s="24"/>
      <c r="I27" s="23"/>
      <c r="J27" s="665"/>
      <c r="K27" s="666"/>
      <c r="L27" s="666"/>
      <c r="M27" s="666"/>
      <c r="N27" s="666"/>
      <c r="O27" s="666"/>
      <c r="P27" s="667"/>
    </row>
    <row r="28" spans="2:16" ht="20.25" customHeight="1" x14ac:dyDescent="0.15">
      <c r="B28" s="662"/>
      <c r="C28" s="710"/>
      <c r="D28" s="702"/>
      <c r="E28" s="26" t="str">
        <f>+'７　収支'!E28</f>
        <v>運賃</v>
      </c>
      <c r="F28" s="23">
        <f>+'７　収支'!F28</f>
        <v>242500</v>
      </c>
      <c r="G28" s="23"/>
      <c r="H28" s="24"/>
      <c r="I28" s="23"/>
      <c r="J28" s="665" t="str">
        <f>+'７　収支'!G28</f>
        <v>5000円/頭（子牛43.5頭+廃用牛5頭）</v>
      </c>
      <c r="K28" s="666"/>
      <c r="L28" s="666"/>
      <c r="M28" s="666"/>
      <c r="N28" s="666"/>
      <c r="O28" s="666"/>
      <c r="P28" s="667"/>
    </row>
    <row r="29" spans="2:16" ht="20.25" customHeight="1" x14ac:dyDescent="0.15">
      <c r="B29" s="662"/>
      <c r="C29" s="710"/>
      <c r="D29" s="703"/>
      <c r="E29" s="26" t="str">
        <f>+'７　収支'!E29</f>
        <v>販売手数料</v>
      </c>
      <c r="F29" s="23">
        <f>'７　収支'!F29</f>
        <v>968581.55249999999</v>
      </c>
      <c r="G29" s="23"/>
      <c r="H29" s="24"/>
      <c r="I29" s="23"/>
      <c r="J29" s="665" t="str">
        <f>+'７　収支'!G29</f>
        <v>（子牛・老廃販売収入）×（市場手数料4％+ＪＡ手数料0.5%）</v>
      </c>
      <c r="K29" s="666"/>
      <c r="L29" s="666"/>
      <c r="M29" s="666"/>
      <c r="N29" s="666"/>
      <c r="O29" s="666"/>
      <c r="P29" s="667"/>
    </row>
    <row r="30" spans="2:16" ht="20.25" customHeight="1" x14ac:dyDescent="0.15">
      <c r="B30" s="662"/>
      <c r="C30" s="710"/>
      <c r="D30" s="26" t="str">
        <f>+'７　収支'!D30</f>
        <v>研修費</v>
      </c>
      <c r="E30" s="27"/>
      <c r="F30" s="23">
        <f>'７　収支'!F30</f>
        <v>36000</v>
      </c>
      <c r="G30" s="23"/>
      <c r="H30" s="24"/>
      <c r="I30" s="23"/>
      <c r="J30" s="665" t="str">
        <f>+'７　収支'!G30</f>
        <v>3000円×12か月</v>
      </c>
      <c r="K30" s="666"/>
      <c r="L30" s="666"/>
      <c r="M30" s="666"/>
      <c r="N30" s="666"/>
      <c r="O30" s="666"/>
      <c r="P30" s="667"/>
    </row>
    <row r="31" spans="2:16" ht="20.25" customHeight="1" x14ac:dyDescent="0.15">
      <c r="B31" s="662"/>
      <c r="C31" s="710"/>
      <c r="D31" s="26" t="str">
        <f>+'７　収支'!D31</f>
        <v>事務通信費</v>
      </c>
      <c r="E31" s="27"/>
      <c r="F31" s="23">
        <f>'７　収支'!F31</f>
        <v>36000</v>
      </c>
      <c r="G31" s="23"/>
      <c r="H31" s="24"/>
      <c r="I31" s="23"/>
      <c r="J31" s="665" t="str">
        <f>+'７　収支'!G31</f>
        <v>3000円×12か月</v>
      </c>
      <c r="K31" s="666"/>
      <c r="L31" s="666"/>
      <c r="M31" s="666"/>
      <c r="N31" s="666"/>
      <c r="O31" s="666"/>
      <c r="P31" s="667"/>
    </row>
    <row r="32" spans="2:16" ht="20.25" customHeight="1" x14ac:dyDescent="0.15">
      <c r="B32" s="662"/>
      <c r="C32" s="710"/>
      <c r="D32" s="26" t="str">
        <f>+'７　収支'!D32</f>
        <v>共済掛金　等</v>
      </c>
      <c r="E32" s="27"/>
      <c r="F32" s="23">
        <f>'７　収支'!F32</f>
        <v>1113029</v>
      </c>
      <c r="G32" s="23"/>
      <c r="H32" s="24"/>
      <c r="I32" s="23"/>
      <c r="J32" s="665"/>
      <c r="K32" s="666"/>
      <c r="L32" s="666"/>
      <c r="M32" s="666"/>
      <c r="N32" s="666"/>
      <c r="O32" s="666"/>
      <c r="P32" s="667"/>
    </row>
    <row r="33" spans="2:16" ht="20.25" customHeight="1" x14ac:dyDescent="0.15">
      <c r="B33" s="662"/>
      <c r="C33" s="710"/>
      <c r="D33" s="26" t="str">
        <f>+'７　収支'!D33</f>
        <v>土地改良費・水利費</v>
      </c>
      <c r="E33" s="27"/>
      <c r="F33" s="23">
        <f>'７　収支'!F33</f>
        <v>0</v>
      </c>
      <c r="G33" s="23"/>
      <c r="H33" s="24"/>
      <c r="I33" s="23"/>
      <c r="J33" s="665"/>
      <c r="K33" s="666"/>
      <c r="L33" s="666"/>
      <c r="M33" s="666"/>
      <c r="N33" s="666"/>
      <c r="O33" s="666"/>
      <c r="P33" s="667"/>
    </row>
    <row r="34" spans="2:16" ht="20.25" customHeight="1" x14ac:dyDescent="0.15">
      <c r="B34" s="662"/>
      <c r="C34" s="711"/>
      <c r="D34" s="26" t="str">
        <f>+'７　収支'!D34</f>
        <v>租税公課</v>
      </c>
      <c r="E34" s="27"/>
      <c r="F34" s="23">
        <f>+'７　収支'!F34+'７　収支'!F35</f>
        <v>547839.41111111105</v>
      </c>
      <c r="G34" s="23"/>
      <c r="H34" s="24"/>
      <c r="I34" s="23"/>
      <c r="J34" s="387"/>
      <c r="K34" s="388"/>
      <c r="L34" s="388"/>
      <c r="M34" s="388"/>
      <c r="N34" s="388"/>
      <c r="O34" s="388"/>
      <c r="P34" s="389"/>
    </row>
    <row r="35" spans="2:16" ht="20.25" customHeight="1" x14ac:dyDescent="0.15">
      <c r="B35" s="662"/>
      <c r="C35" s="710"/>
      <c r="D35" s="26" t="s">
        <v>178</v>
      </c>
      <c r="E35" s="27"/>
      <c r="F35" s="23">
        <f>+'７　収支'!F36</f>
        <v>29736.868319304158</v>
      </c>
      <c r="G35" s="23"/>
      <c r="H35" s="24"/>
      <c r="I35" s="23"/>
      <c r="J35" s="470" t="str">
        <f>+'７　収支'!G36</f>
        <v>販売費・一般管理費の</v>
      </c>
      <c r="K35" s="466"/>
      <c r="L35" s="469">
        <f>+'７　収支'!H36</f>
        <v>0.01</v>
      </c>
      <c r="M35" s="466"/>
      <c r="N35" s="466"/>
      <c r="O35" s="466"/>
      <c r="P35" s="467"/>
    </row>
    <row r="36" spans="2:16" ht="20.25" customHeight="1" x14ac:dyDescent="0.15">
      <c r="B36" s="662"/>
      <c r="C36" s="712"/>
      <c r="D36" s="704" t="s">
        <v>180</v>
      </c>
      <c r="E36" s="705"/>
      <c r="F36" s="288">
        <f>SUM(F27:F35)</f>
        <v>2973686.8319304152</v>
      </c>
      <c r="G36" s="288"/>
      <c r="H36" s="301"/>
      <c r="I36" s="307"/>
      <c r="J36" s="665"/>
      <c r="K36" s="666"/>
      <c r="L36" s="666"/>
      <c r="M36" s="666"/>
      <c r="N36" s="666"/>
      <c r="O36" s="666"/>
      <c r="P36" s="667"/>
    </row>
    <row r="37" spans="2:16" ht="20.25" customHeight="1" x14ac:dyDescent="0.15">
      <c r="B37" s="662"/>
      <c r="C37" s="706" t="s">
        <v>181</v>
      </c>
      <c r="D37" s="707"/>
      <c r="E37" s="708"/>
      <c r="F37" s="23">
        <f>SUM(G37:I37)</f>
        <v>0</v>
      </c>
      <c r="G37" s="289"/>
      <c r="H37" s="302"/>
      <c r="I37" s="308"/>
      <c r="J37" s="24" t="s">
        <v>183</v>
      </c>
      <c r="K37" s="493">
        <v>900</v>
      </c>
      <c r="L37" s="292" t="s">
        <v>184</v>
      </c>
      <c r="M37" s="292"/>
      <c r="N37" s="292"/>
      <c r="O37" s="292"/>
      <c r="P37" s="293"/>
    </row>
    <row r="38" spans="2:16" ht="20.25" customHeight="1" x14ac:dyDescent="0.15">
      <c r="B38" s="699" t="s">
        <v>182</v>
      </c>
      <c r="C38" s="700"/>
      <c r="D38" s="700"/>
      <c r="E38" s="700"/>
      <c r="F38" s="291">
        <f>F26+F36+F37</f>
        <v>20582983.587723639</v>
      </c>
      <c r="G38" s="291"/>
      <c r="H38" s="303"/>
      <c r="I38" s="291"/>
      <c r="J38" s="665"/>
      <c r="K38" s="666"/>
      <c r="L38" s="666"/>
      <c r="M38" s="666"/>
      <c r="N38" s="666"/>
      <c r="O38" s="666"/>
      <c r="P38" s="667"/>
    </row>
    <row r="39" spans="2:16" ht="20.25" customHeight="1" x14ac:dyDescent="0.15">
      <c r="B39" s="656" t="s">
        <v>185</v>
      </c>
      <c r="C39" s="657"/>
      <c r="D39" s="657"/>
      <c r="E39" s="657"/>
      <c r="F39" s="294">
        <f>F10-F38</f>
        <v>5030350.9122763611</v>
      </c>
      <c r="G39" s="294"/>
      <c r="H39" s="304"/>
      <c r="I39" s="294"/>
      <c r="J39" s="665"/>
      <c r="K39" s="666"/>
      <c r="L39" s="666"/>
      <c r="M39" s="666"/>
      <c r="N39" s="666"/>
      <c r="O39" s="666"/>
      <c r="P39" s="667"/>
    </row>
    <row r="40" spans="2:16" ht="20.25" customHeight="1" x14ac:dyDescent="0.15">
      <c r="B40" s="656" t="s">
        <v>186</v>
      </c>
      <c r="C40" s="657"/>
      <c r="D40" s="657"/>
      <c r="E40" s="657"/>
      <c r="F40" s="296">
        <f>F39/F10</f>
        <v>0.19639578408958666</v>
      </c>
      <c r="G40" s="296"/>
      <c r="H40" s="305"/>
      <c r="I40" s="296"/>
      <c r="J40" s="665"/>
      <c r="K40" s="666"/>
      <c r="L40" s="666"/>
      <c r="M40" s="666"/>
      <c r="N40" s="666"/>
      <c r="O40" s="666"/>
      <c r="P40" s="667"/>
    </row>
    <row r="41" spans="2:16" ht="20.25" customHeight="1" x14ac:dyDescent="0.15">
      <c r="B41" s="656" t="s">
        <v>190</v>
      </c>
      <c r="C41" s="657"/>
      <c r="D41" s="657"/>
      <c r="E41" s="657"/>
      <c r="F41" s="294">
        <f>K41+N41</f>
        <v>3621.71</v>
      </c>
      <c r="G41" s="294"/>
      <c r="H41" s="304"/>
      <c r="I41" s="294"/>
      <c r="J41" s="24" t="s">
        <v>187</v>
      </c>
      <c r="K41" s="493">
        <f>+'５　作業時間計'!AN42</f>
        <v>3621.71</v>
      </c>
      <c r="L41" s="292" t="s">
        <v>188</v>
      </c>
      <c r="M41" s="295" t="s">
        <v>189</v>
      </c>
      <c r="N41" s="493"/>
      <c r="O41" s="292" t="s">
        <v>188</v>
      </c>
      <c r="P41" s="293"/>
    </row>
    <row r="42" spans="2:16" ht="20.25" customHeight="1" thickBot="1" x14ac:dyDescent="0.2">
      <c r="B42" s="663" t="s">
        <v>191</v>
      </c>
      <c r="C42" s="664"/>
      <c r="D42" s="664"/>
      <c r="E42" s="664"/>
      <c r="F42" s="297">
        <f>F39/K41</f>
        <v>1388.9435963333235</v>
      </c>
      <c r="G42" s="297"/>
      <c r="H42" s="306"/>
      <c r="I42" s="297"/>
      <c r="J42" s="658"/>
      <c r="K42" s="659"/>
      <c r="L42" s="659"/>
      <c r="M42" s="659"/>
      <c r="N42" s="659"/>
      <c r="O42" s="659"/>
      <c r="P42" s="660"/>
    </row>
  </sheetData>
  <mergeCells count="33">
    <mergeCell ref="C11:C26"/>
    <mergeCell ref="B3:E4"/>
    <mergeCell ref="D10:E10"/>
    <mergeCell ref="B5:C10"/>
    <mergeCell ref="B38:E38"/>
    <mergeCell ref="D27:D29"/>
    <mergeCell ref="D36:E36"/>
    <mergeCell ref="C37:E37"/>
    <mergeCell ref="C27:C36"/>
    <mergeCell ref="J31:P31"/>
    <mergeCell ref="J3:P4"/>
    <mergeCell ref="J5:P5"/>
    <mergeCell ref="J7:P7"/>
    <mergeCell ref="J10:P10"/>
    <mergeCell ref="J9:P9"/>
    <mergeCell ref="J8:P8"/>
    <mergeCell ref="J6:P6"/>
    <mergeCell ref="B39:E39"/>
    <mergeCell ref="B40:E40"/>
    <mergeCell ref="B41:E41"/>
    <mergeCell ref="J42:P42"/>
    <mergeCell ref="B11:B37"/>
    <mergeCell ref="B42:E42"/>
    <mergeCell ref="J38:P38"/>
    <mergeCell ref="J39:P39"/>
    <mergeCell ref="J40:P40"/>
    <mergeCell ref="J32:P32"/>
    <mergeCell ref="J33:P33"/>
    <mergeCell ref="J36:P36"/>
    <mergeCell ref="J27:P27"/>
    <mergeCell ref="J28:P28"/>
    <mergeCell ref="J29:P29"/>
    <mergeCell ref="J30:P30"/>
  </mergeCells>
  <phoneticPr fontId="4"/>
  <pageMargins left="0.78740157480314965" right="0.78740157480314965" top="0.78740157480314965" bottom="0.78740157480314965" header="0.39370078740157483" footer="0.39370078740157483"/>
  <pageSetup paperSize="9" scale="61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K44"/>
  <sheetViews>
    <sheetView zoomScale="75" zoomScaleNormal="75" workbookViewId="0"/>
  </sheetViews>
  <sheetFormatPr defaultRowHeight="13.5" x14ac:dyDescent="0.15"/>
  <cols>
    <col min="1" max="1" width="1.625" style="29" customWidth="1"/>
    <col min="2" max="2" width="4.5" style="29" customWidth="1"/>
    <col min="3" max="3" width="17" style="29" customWidth="1"/>
    <col min="4" max="39" width="6.125" style="29" customWidth="1"/>
    <col min="40" max="40" width="7" style="29" customWidth="1"/>
    <col min="41" max="41" width="1.5" style="29" customWidth="1"/>
    <col min="42" max="16384" width="9" style="29"/>
  </cols>
  <sheetData>
    <row r="1" spans="2:63" ht="9.9499999999999993" customHeight="1" x14ac:dyDescent="0.15"/>
    <row r="2" spans="2:63" ht="24.95" customHeight="1" x14ac:dyDescent="0.15">
      <c r="B2" s="2" t="s">
        <v>344</v>
      </c>
      <c r="C2" s="2"/>
      <c r="D2" s="5"/>
      <c r="E2" s="5"/>
      <c r="F2" s="5"/>
      <c r="G2" s="5"/>
      <c r="H2" s="5"/>
      <c r="I2" s="5"/>
      <c r="J2" s="5"/>
      <c r="K2" s="5"/>
      <c r="L2" s="257" t="s">
        <v>328</v>
      </c>
      <c r="M2" s="239" t="s">
        <v>384</v>
      </c>
      <c r="N2" s="50"/>
      <c r="O2" s="255"/>
      <c r="P2" s="239"/>
      <c r="Q2" s="5"/>
      <c r="R2" s="5"/>
      <c r="S2" s="5"/>
      <c r="T2" s="5"/>
      <c r="U2" s="5"/>
      <c r="W2" s="31"/>
      <c r="X2" s="5"/>
      <c r="Y2" s="31" t="s">
        <v>329</v>
      </c>
      <c r="Z2" s="5" t="s">
        <v>380</v>
      </c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</row>
    <row r="3" spans="2:63" ht="24.95" customHeight="1" thickBot="1" x14ac:dyDescent="0.2">
      <c r="B3" s="2"/>
      <c r="C3" s="2"/>
      <c r="D3" s="5"/>
      <c r="E3" s="5"/>
      <c r="F3" s="5"/>
      <c r="G3" s="5"/>
      <c r="H3" s="5"/>
      <c r="I3" s="5"/>
      <c r="J3" s="5"/>
      <c r="K3" s="5"/>
      <c r="L3" s="5"/>
      <c r="M3" s="31"/>
      <c r="N3" s="5"/>
      <c r="O3" s="5"/>
      <c r="P3" s="31"/>
      <c r="Q3" s="5"/>
      <c r="R3" s="5"/>
      <c r="S3" s="5"/>
      <c r="T3" s="5"/>
      <c r="U3" s="5"/>
      <c r="V3" s="5"/>
      <c r="W3" s="31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</row>
    <row r="4" spans="2:63" ht="20.25" customHeight="1" x14ac:dyDescent="0.15">
      <c r="B4" s="727" t="s">
        <v>345</v>
      </c>
      <c r="C4" s="728"/>
      <c r="D4" s="713">
        <v>1</v>
      </c>
      <c r="E4" s="714"/>
      <c r="F4" s="715"/>
      <c r="G4" s="713">
        <v>2</v>
      </c>
      <c r="H4" s="714"/>
      <c r="I4" s="715"/>
      <c r="J4" s="713">
        <v>3</v>
      </c>
      <c r="K4" s="714"/>
      <c r="L4" s="715"/>
      <c r="M4" s="713">
        <v>4</v>
      </c>
      <c r="N4" s="714"/>
      <c r="O4" s="715"/>
      <c r="P4" s="713">
        <v>5</v>
      </c>
      <c r="Q4" s="714"/>
      <c r="R4" s="715"/>
      <c r="S4" s="713">
        <v>6</v>
      </c>
      <c r="T4" s="714"/>
      <c r="U4" s="715"/>
      <c r="V4" s="713">
        <v>7</v>
      </c>
      <c r="W4" s="714"/>
      <c r="X4" s="715"/>
      <c r="Y4" s="713">
        <v>8</v>
      </c>
      <c r="Z4" s="714"/>
      <c r="AA4" s="715"/>
      <c r="AB4" s="713">
        <v>9</v>
      </c>
      <c r="AC4" s="714"/>
      <c r="AD4" s="715"/>
      <c r="AE4" s="713">
        <v>10</v>
      </c>
      <c r="AF4" s="714"/>
      <c r="AG4" s="715"/>
      <c r="AH4" s="713">
        <v>11</v>
      </c>
      <c r="AI4" s="714"/>
      <c r="AJ4" s="715"/>
      <c r="AK4" s="713">
        <v>12</v>
      </c>
      <c r="AL4" s="714"/>
      <c r="AM4" s="715"/>
      <c r="AN4" s="716" t="s">
        <v>24</v>
      </c>
    </row>
    <row r="5" spans="2:63" ht="20.25" customHeight="1" x14ac:dyDescent="0.15">
      <c r="B5" s="720"/>
      <c r="C5" s="721"/>
      <c r="D5" s="413" t="s">
        <v>25</v>
      </c>
      <c r="E5" s="414" t="s">
        <v>26</v>
      </c>
      <c r="F5" s="41" t="s">
        <v>27</v>
      </c>
      <c r="G5" s="413" t="s">
        <v>25</v>
      </c>
      <c r="H5" s="41" t="s">
        <v>26</v>
      </c>
      <c r="I5" s="41" t="s">
        <v>27</v>
      </c>
      <c r="J5" s="413" t="s">
        <v>25</v>
      </c>
      <c r="K5" s="41" t="s">
        <v>26</v>
      </c>
      <c r="L5" s="41" t="s">
        <v>27</v>
      </c>
      <c r="M5" s="413" t="s">
        <v>25</v>
      </c>
      <c r="N5" s="41" t="s">
        <v>26</v>
      </c>
      <c r="O5" s="41" t="s">
        <v>27</v>
      </c>
      <c r="P5" s="413" t="s">
        <v>25</v>
      </c>
      <c r="Q5" s="41" t="s">
        <v>26</v>
      </c>
      <c r="R5" s="41" t="s">
        <v>27</v>
      </c>
      <c r="S5" s="413" t="s">
        <v>25</v>
      </c>
      <c r="T5" s="415" t="s">
        <v>26</v>
      </c>
      <c r="U5" s="415" t="s">
        <v>27</v>
      </c>
      <c r="V5" s="413" t="s">
        <v>25</v>
      </c>
      <c r="W5" s="41" t="s">
        <v>26</v>
      </c>
      <c r="X5" s="41" t="s">
        <v>27</v>
      </c>
      <c r="Y5" s="413" t="s">
        <v>25</v>
      </c>
      <c r="Z5" s="41" t="s">
        <v>26</v>
      </c>
      <c r="AA5" s="41" t="s">
        <v>27</v>
      </c>
      <c r="AB5" s="413" t="s">
        <v>25</v>
      </c>
      <c r="AC5" s="41" t="s">
        <v>26</v>
      </c>
      <c r="AD5" s="41" t="s">
        <v>27</v>
      </c>
      <c r="AE5" s="413" t="s">
        <v>25</v>
      </c>
      <c r="AF5" s="41" t="s">
        <v>26</v>
      </c>
      <c r="AG5" s="41" t="s">
        <v>27</v>
      </c>
      <c r="AH5" s="413" t="s">
        <v>25</v>
      </c>
      <c r="AI5" s="41" t="s">
        <v>26</v>
      </c>
      <c r="AJ5" s="41" t="s">
        <v>27</v>
      </c>
      <c r="AK5" s="413" t="s">
        <v>25</v>
      </c>
      <c r="AL5" s="41" t="s">
        <v>26</v>
      </c>
      <c r="AM5" s="41" t="s">
        <v>27</v>
      </c>
      <c r="AN5" s="717"/>
    </row>
    <row r="6" spans="2:63" ht="20.25" customHeight="1" x14ac:dyDescent="0.15">
      <c r="B6" s="408"/>
      <c r="C6" s="409" t="s">
        <v>330</v>
      </c>
      <c r="D6" s="395"/>
      <c r="E6" s="412"/>
      <c r="F6" s="412"/>
      <c r="G6" s="412"/>
      <c r="H6" s="412"/>
      <c r="I6" s="412"/>
      <c r="J6" s="412"/>
      <c r="K6" s="412"/>
      <c r="L6" s="412"/>
      <c r="M6" s="412"/>
      <c r="N6" s="412"/>
      <c r="O6" s="412"/>
      <c r="P6" s="412"/>
      <c r="Q6" s="412"/>
      <c r="R6" s="412"/>
      <c r="S6" s="412"/>
      <c r="T6" s="412"/>
      <c r="U6" s="412"/>
      <c r="V6" s="412"/>
      <c r="W6" s="412"/>
      <c r="X6" s="412"/>
      <c r="Y6" s="412"/>
      <c r="Z6" s="412"/>
      <c r="AA6" s="412"/>
      <c r="AB6" s="412"/>
      <c r="AC6" s="412"/>
      <c r="AD6" s="412"/>
      <c r="AE6" s="412"/>
      <c r="AF6" s="412"/>
      <c r="AG6" s="412"/>
      <c r="AH6" s="412"/>
      <c r="AI6" s="412"/>
      <c r="AJ6" s="412"/>
      <c r="AK6" s="412"/>
      <c r="AL6" s="412"/>
      <c r="AM6" s="412"/>
      <c r="AN6" s="396"/>
    </row>
    <row r="7" spans="2:63" ht="20.25" customHeight="1" x14ac:dyDescent="0.15">
      <c r="B7" s="718" t="s">
        <v>331</v>
      </c>
      <c r="C7" s="719"/>
      <c r="D7" s="397"/>
      <c r="E7" s="5"/>
      <c r="F7" s="5"/>
      <c r="G7" s="5"/>
      <c r="H7" s="5"/>
      <c r="I7" s="5"/>
      <c r="J7" s="5"/>
      <c r="K7" s="5"/>
      <c r="L7" s="5"/>
      <c r="M7" s="5"/>
      <c r="N7" s="5"/>
      <c r="O7" s="31"/>
      <c r="P7" s="31"/>
      <c r="Q7" s="5"/>
      <c r="R7" s="5"/>
      <c r="S7" s="5"/>
      <c r="T7" s="5"/>
      <c r="V7" s="5"/>
      <c r="W7" s="5"/>
      <c r="X7" s="5"/>
      <c r="Y7" s="5"/>
      <c r="Z7" s="5"/>
      <c r="AA7" s="5" t="s">
        <v>346</v>
      </c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42"/>
    </row>
    <row r="8" spans="2:63" ht="20.25" customHeight="1" x14ac:dyDescent="0.15">
      <c r="B8" s="718"/>
      <c r="C8" s="719"/>
      <c r="D8" s="397"/>
      <c r="E8" s="5"/>
      <c r="F8" s="5"/>
      <c r="G8" s="5"/>
      <c r="H8" s="5"/>
      <c r="I8" s="5"/>
      <c r="J8" s="5"/>
      <c r="K8" s="5"/>
      <c r="L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B8" s="5"/>
      <c r="AC8" s="5"/>
      <c r="AD8" s="722"/>
      <c r="AE8" s="723"/>
      <c r="AF8" s="5"/>
      <c r="AG8" s="5"/>
      <c r="AH8" s="5"/>
      <c r="AI8" s="5"/>
      <c r="AJ8" s="5"/>
      <c r="AK8" s="5"/>
      <c r="AL8" s="5"/>
      <c r="AM8" s="5"/>
      <c r="AN8" s="42"/>
    </row>
    <row r="9" spans="2:63" ht="20.25" customHeight="1" x14ac:dyDescent="0.15">
      <c r="B9" s="718"/>
      <c r="C9" s="719"/>
      <c r="D9" s="397"/>
      <c r="E9" s="5"/>
      <c r="F9" s="5"/>
      <c r="G9" s="5"/>
      <c r="H9" s="5"/>
      <c r="I9" s="5"/>
      <c r="J9" s="5"/>
      <c r="K9" s="5"/>
      <c r="L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C9" s="5"/>
      <c r="AD9" s="5" t="s">
        <v>332</v>
      </c>
      <c r="AE9" s="5"/>
      <c r="AF9" s="5"/>
      <c r="AG9" s="5"/>
      <c r="AH9" s="5"/>
      <c r="AI9" s="5"/>
      <c r="AJ9" s="5"/>
      <c r="AK9" s="5"/>
      <c r="AL9" s="5"/>
      <c r="AM9" s="5"/>
      <c r="AN9" s="42"/>
    </row>
    <row r="10" spans="2:63" ht="20.25" customHeight="1" x14ac:dyDescent="0.15">
      <c r="B10" s="720"/>
      <c r="C10" s="721"/>
      <c r="D10" s="416"/>
      <c r="E10" s="417"/>
      <c r="F10" s="417"/>
      <c r="G10" s="417"/>
      <c r="H10" s="417"/>
      <c r="I10" s="417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7"/>
      <c r="AC10" s="417"/>
      <c r="AD10" s="417"/>
      <c r="AE10" s="417"/>
      <c r="AF10" s="417"/>
      <c r="AG10" s="417"/>
      <c r="AH10" s="417"/>
      <c r="AI10" s="417"/>
      <c r="AJ10" s="417"/>
      <c r="AK10" s="417"/>
      <c r="AL10" s="417"/>
      <c r="AM10" s="417"/>
      <c r="AN10" s="418"/>
    </row>
    <row r="11" spans="2:63" ht="20.25" customHeight="1" x14ac:dyDescent="0.15">
      <c r="B11" s="724" t="s">
        <v>241</v>
      </c>
      <c r="C11" s="394" t="s">
        <v>324</v>
      </c>
      <c r="D11" s="248">
        <f>5.43*10</f>
        <v>54.3</v>
      </c>
      <c r="E11" s="43">
        <f>5.43*10</f>
        <v>54.3</v>
      </c>
      <c r="F11" s="43">
        <f>5.43*11</f>
        <v>59.73</v>
      </c>
      <c r="G11" s="248">
        <f>5.43*10</f>
        <v>54.3</v>
      </c>
      <c r="H11" s="43">
        <f>5.43*10</f>
        <v>54.3</v>
      </c>
      <c r="I11" s="43">
        <f>5.43*8</f>
        <v>43.44</v>
      </c>
      <c r="J11" s="248">
        <f>5.43*10</f>
        <v>54.3</v>
      </c>
      <c r="K11" s="43">
        <f>5.43*10</f>
        <v>54.3</v>
      </c>
      <c r="L11" s="43">
        <f>5.43*11</f>
        <v>59.73</v>
      </c>
      <c r="M11" s="248">
        <f>5.43*10</f>
        <v>54.3</v>
      </c>
      <c r="N11" s="43">
        <f>5.43*10</f>
        <v>54.3</v>
      </c>
      <c r="O11" s="43">
        <f>5.43*10</f>
        <v>54.3</v>
      </c>
      <c r="P11" s="248">
        <f>5.43*10</f>
        <v>54.3</v>
      </c>
      <c r="Q11" s="43">
        <f>5.43*10</f>
        <v>54.3</v>
      </c>
      <c r="R11" s="43">
        <f>5.43*11</f>
        <v>59.73</v>
      </c>
      <c r="S11" s="248">
        <f>5.43*10</f>
        <v>54.3</v>
      </c>
      <c r="T11" s="43">
        <f>5.43*10</f>
        <v>54.3</v>
      </c>
      <c r="U11" s="43">
        <f>5.43*10</f>
        <v>54.3</v>
      </c>
      <c r="V11" s="248">
        <f>5.43*10</f>
        <v>54.3</v>
      </c>
      <c r="W11" s="43">
        <f>5.43*10</f>
        <v>54.3</v>
      </c>
      <c r="X11" s="43">
        <f>5.43*11</f>
        <v>59.73</v>
      </c>
      <c r="Y11" s="248">
        <f>5.43*10</f>
        <v>54.3</v>
      </c>
      <c r="Z11" s="43">
        <f>5.43*10</f>
        <v>54.3</v>
      </c>
      <c r="AA11" s="43">
        <f>5.43*11</f>
        <v>59.73</v>
      </c>
      <c r="AB11" s="248">
        <f>5.43*10</f>
        <v>54.3</v>
      </c>
      <c r="AC11" s="43">
        <f>5.43*10</f>
        <v>54.3</v>
      </c>
      <c r="AD11" s="43">
        <f>5.43*10</f>
        <v>54.3</v>
      </c>
      <c r="AE11" s="248">
        <f>5.43*10</f>
        <v>54.3</v>
      </c>
      <c r="AF11" s="43">
        <f>5.43*10</f>
        <v>54.3</v>
      </c>
      <c r="AG11" s="43">
        <f>5.43*11</f>
        <v>59.73</v>
      </c>
      <c r="AH11" s="248">
        <f>5.43*10</f>
        <v>54.3</v>
      </c>
      <c r="AI11" s="43">
        <f>5.43*10</f>
        <v>54.3</v>
      </c>
      <c r="AJ11" s="43">
        <f>5.43*10</f>
        <v>54.3</v>
      </c>
      <c r="AK11" s="248">
        <f>5.43*10</f>
        <v>54.3</v>
      </c>
      <c r="AL11" s="43">
        <f>5.43*10</f>
        <v>54.3</v>
      </c>
      <c r="AM11" s="43">
        <f>5.43*11</f>
        <v>59.73</v>
      </c>
      <c r="AN11" s="44">
        <f>SUM(D11:AM11)</f>
        <v>1981.9499999999991</v>
      </c>
    </row>
    <row r="12" spans="2:63" ht="20.25" customHeight="1" x14ac:dyDescent="0.15">
      <c r="B12" s="725"/>
      <c r="C12" s="411" t="s">
        <v>325</v>
      </c>
      <c r="D12" s="248">
        <v>14.4</v>
      </c>
      <c r="E12" s="43">
        <v>14.4</v>
      </c>
      <c r="F12" s="43">
        <f>1.44*11</f>
        <v>15.84</v>
      </c>
      <c r="G12" s="248">
        <v>14.4</v>
      </c>
      <c r="H12" s="43">
        <v>14.4</v>
      </c>
      <c r="I12" s="43">
        <f>1.44*8</f>
        <v>11.52</v>
      </c>
      <c r="J12" s="248">
        <v>14.4</v>
      </c>
      <c r="K12" s="43">
        <f>(1.3+0.14)*10*0.7</f>
        <v>10.079999999999998</v>
      </c>
      <c r="L12" s="43">
        <f>(1.3+0.14)*11*0.7</f>
        <v>11.087999999999999</v>
      </c>
      <c r="M12" s="248">
        <f t="shared" ref="M12:AB12" si="0">(1.3+0.14)*10*0.7</f>
        <v>10.079999999999998</v>
      </c>
      <c r="N12" s="43">
        <f t="shared" si="0"/>
        <v>10.079999999999998</v>
      </c>
      <c r="O12" s="43">
        <f t="shared" si="0"/>
        <v>10.079999999999998</v>
      </c>
      <c r="P12" s="248">
        <f t="shared" si="0"/>
        <v>10.079999999999998</v>
      </c>
      <c r="Q12" s="43">
        <f t="shared" si="0"/>
        <v>10.079999999999998</v>
      </c>
      <c r="R12" s="43">
        <f>(1.3+0.14)*11*0.7</f>
        <v>11.087999999999999</v>
      </c>
      <c r="S12" s="248">
        <f t="shared" si="0"/>
        <v>10.079999999999998</v>
      </c>
      <c r="T12" s="43">
        <f t="shared" si="0"/>
        <v>10.079999999999998</v>
      </c>
      <c r="U12" s="43">
        <f t="shared" si="0"/>
        <v>10.079999999999998</v>
      </c>
      <c r="V12" s="248">
        <f t="shared" si="0"/>
        <v>10.079999999999998</v>
      </c>
      <c r="W12" s="43">
        <f t="shared" si="0"/>
        <v>10.079999999999998</v>
      </c>
      <c r="X12" s="43">
        <f>(1.3+0.14)*11*0.7</f>
        <v>11.087999999999999</v>
      </c>
      <c r="Y12" s="248">
        <f t="shared" si="0"/>
        <v>10.079999999999998</v>
      </c>
      <c r="Z12" s="43">
        <f t="shared" si="0"/>
        <v>10.079999999999998</v>
      </c>
      <c r="AA12" s="43">
        <f>(1.3+0.14)*11*0.7</f>
        <v>11.087999999999999</v>
      </c>
      <c r="AB12" s="248">
        <f t="shared" si="0"/>
        <v>10.079999999999998</v>
      </c>
      <c r="AC12" s="43">
        <v>14.4</v>
      </c>
      <c r="AD12" s="43">
        <f>1.44*10</f>
        <v>14.399999999999999</v>
      </c>
      <c r="AE12" s="248">
        <v>14.4</v>
      </c>
      <c r="AF12" s="43">
        <v>14.4</v>
      </c>
      <c r="AG12" s="43">
        <f>1.44*11</f>
        <v>15.84</v>
      </c>
      <c r="AH12" s="248">
        <v>14.4</v>
      </c>
      <c r="AI12" s="43">
        <v>14.4</v>
      </c>
      <c r="AJ12" s="43">
        <f>1.44*10</f>
        <v>14.399999999999999</v>
      </c>
      <c r="AK12" s="248">
        <v>14.4</v>
      </c>
      <c r="AL12" s="43">
        <v>14.4</v>
      </c>
      <c r="AM12" s="43">
        <f>1.44*11</f>
        <v>15.84</v>
      </c>
      <c r="AN12" s="44">
        <f t="shared" ref="AN12:AN27" si="1">SUM(D12:AM12)</f>
        <v>446.11199999999963</v>
      </c>
    </row>
    <row r="13" spans="2:63" ht="20.25" customHeight="1" x14ac:dyDescent="0.15">
      <c r="B13" s="726"/>
      <c r="C13" s="432" t="s">
        <v>365</v>
      </c>
      <c r="D13" s="248">
        <v>17.899999999999999</v>
      </c>
      <c r="E13" s="43">
        <v>17.899999999999999</v>
      </c>
      <c r="F13" s="43">
        <f>1.79*11</f>
        <v>19.690000000000001</v>
      </c>
      <c r="G13" s="248">
        <v>17.899999999999999</v>
      </c>
      <c r="H13" s="43">
        <v>17.899999999999999</v>
      </c>
      <c r="I13" s="43">
        <f>1.79*8</f>
        <v>14.32</v>
      </c>
      <c r="J13" s="248">
        <v>17.899999999999999</v>
      </c>
      <c r="K13" s="43">
        <f>(0.51*0.7+1.1+0.18)*10</f>
        <v>16.37</v>
      </c>
      <c r="L13" s="43">
        <f>(0.51*0.7+1.1+0.18)*11</f>
        <v>18.007000000000001</v>
      </c>
      <c r="M13" s="248">
        <f t="shared" ref="M13:AB13" si="2">(0.51*0.7+1.1+0.18)*10</f>
        <v>16.37</v>
      </c>
      <c r="N13" s="43">
        <f t="shared" si="2"/>
        <v>16.37</v>
      </c>
      <c r="O13" s="43">
        <f t="shared" si="2"/>
        <v>16.37</v>
      </c>
      <c r="P13" s="248">
        <f t="shared" si="2"/>
        <v>16.37</v>
      </c>
      <c r="Q13" s="43">
        <f t="shared" si="2"/>
        <v>16.37</v>
      </c>
      <c r="R13" s="43">
        <f>(0.51*0.7+1.1+0.18)*11</f>
        <v>18.007000000000001</v>
      </c>
      <c r="S13" s="248">
        <f t="shared" si="2"/>
        <v>16.37</v>
      </c>
      <c r="T13" s="43">
        <f t="shared" si="2"/>
        <v>16.37</v>
      </c>
      <c r="U13" s="43">
        <f t="shared" si="2"/>
        <v>16.37</v>
      </c>
      <c r="V13" s="248">
        <f t="shared" si="2"/>
        <v>16.37</v>
      </c>
      <c r="W13" s="43">
        <f t="shared" si="2"/>
        <v>16.37</v>
      </c>
      <c r="X13" s="43">
        <f>(0.51*0.7+1.1+0.18)*11</f>
        <v>18.007000000000001</v>
      </c>
      <c r="Y13" s="248">
        <f t="shared" si="2"/>
        <v>16.37</v>
      </c>
      <c r="Z13" s="43">
        <f t="shared" si="2"/>
        <v>16.37</v>
      </c>
      <c r="AA13" s="43">
        <f>(0.51*0.7+1.1+0.18)*11</f>
        <v>18.007000000000001</v>
      </c>
      <c r="AB13" s="248">
        <f t="shared" si="2"/>
        <v>16.37</v>
      </c>
      <c r="AC13" s="43">
        <v>17.899999999999999</v>
      </c>
      <c r="AD13" s="43">
        <f>1.79*10</f>
        <v>17.899999999999999</v>
      </c>
      <c r="AE13" s="248">
        <v>17.899999999999999</v>
      </c>
      <c r="AF13" s="43">
        <v>17.899999999999999</v>
      </c>
      <c r="AG13" s="43">
        <f>1.79*11</f>
        <v>19.690000000000001</v>
      </c>
      <c r="AH13" s="248">
        <v>17.899999999999999</v>
      </c>
      <c r="AI13" s="43">
        <v>17.899999999999999</v>
      </c>
      <c r="AJ13" s="43">
        <f>1.79*10</f>
        <v>17.899999999999999</v>
      </c>
      <c r="AK13" s="248">
        <v>17.899999999999999</v>
      </c>
      <c r="AL13" s="43">
        <v>17.899999999999999</v>
      </c>
      <c r="AM13" s="43">
        <f>1.79*11</f>
        <v>19.690000000000001</v>
      </c>
      <c r="AN13" s="44">
        <f t="shared" si="1"/>
        <v>625.19799999999998</v>
      </c>
    </row>
    <row r="14" spans="2:63" ht="20.25" customHeight="1" x14ac:dyDescent="0.15">
      <c r="B14" s="729" t="s">
        <v>326</v>
      </c>
      <c r="C14" s="420" t="s">
        <v>251</v>
      </c>
      <c r="D14" s="248"/>
      <c r="E14" s="43"/>
      <c r="F14" s="43"/>
      <c r="G14" s="248"/>
      <c r="H14" s="43"/>
      <c r="I14" s="43"/>
      <c r="J14" s="248"/>
      <c r="K14" s="43"/>
      <c r="L14" s="43"/>
      <c r="M14" s="248"/>
      <c r="N14" s="43"/>
      <c r="O14" s="43"/>
      <c r="P14" s="248"/>
      <c r="Q14" s="43"/>
      <c r="R14" s="43"/>
      <c r="S14" s="248"/>
      <c r="T14" s="43"/>
      <c r="U14" s="43"/>
      <c r="V14" s="248"/>
      <c r="W14" s="43"/>
      <c r="X14" s="43"/>
      <c r="Y14" s="248"/>
      <c r="Z14" s="43"/>
      <c r="AA14" s="43">
        <v>29.8</v>
      </c>
      <c r="AB14" s="248"/>
      <c r="AC14" s="43"/>
      <c r="AD14" s="43"/>
      <c r="AE14" s="248"/>
      <c r="AF14" s="43"/>
      <c r="AG14" s="43"/>
      <c r="AH14" s="248"/>
      <c r="AI14" s="43"/>
      <c r="AJ14" s="43"/>
      <c r="AK14" s="248"/>
      <c r="AL14" s="43"/>
      <c r="AM14" s="43"/>
      <c r="AN14" s="44">
        <f t="shared" si="1"/>
        <v>29.8</v>
      </c>
    </row>
    <row r="15" spans="2:63" ht="20.25" customHeight="1" x14ac:dyDescent="0.15">
      <c r="B15" s="730"/>
      <c r="C15" s="421" t="s">
        <v>252</v>
      </c>
      <c r="D15" s="248"/>
      <c r="E15" s="43"/>
      <c r="F15" s="43"/>
      <c r="G15" s="248"/>
      <c r="H15" s="43"/>
      <c r="I15" s="43"/>
      <c r="J15" s="248"/>
      <c r="K15" s="43"/>
      <c r="L15" s="43"/>
      <c r="M15" s="248"/>
      <c r="N15" s="43"/>
      <c r="O15" s="43"/>
      <c r="P15" s="248"/>
      <c r="Q15" s="43"/>
      <c r="R15" s="43"/>
      <c r="S15" s="248"/>
      <c r="T15" s="43"/>
      <c r="U15" s="43"/>
      <c r="V15" s="248"/>
      <c r="W15" s="43"/>
      <c r="X15" s="43"/>
      <c r="Y15" s="248"/>
      <c r="Z15" s="43"/>
      <c r="AA15" s="43"/>
      <c r="AB15" s="248">
        <v>14.2</v>
      </c>
      <c r="AC15" s="43"/>
      <c r="AD15" s="43"/>
      <c r="AE15" s="248"/>
      <c r="AF15" s="43"/>
      <c r="AG15" s="43"/>
      <c r="AH15" s="248"/>
      <c r="AI15" s="43"/>
      <c r="AJ15" s="43"/>
      <c r="AK15" s="248"/>
      <c r="AL15" s="43"/>
      <c r="AM15" s="43"/>
      <c r="AN15" s="44">
        <f t="shared" si="1"/>
        <v>14.2</v>
      </c>
    </row>
    <row r="16" spans="2:63" ht="20.25" customHeight="1" x14ac:dyDescent="0.15">
      <c r="B16" s="730"/>
      <c r="C16" s="420" t="s">
        <v>347</v>
      </c>
      <c r="D16" s="248"/>
      <c r="E16" s="43"/>
      <c r="F16" s="43"/>
      <c r="G16" s="248"/>
      <c r="H16" s="43"/>
      <c r="I16" s="43"/>
      <c r="J16" s="248"/>
      <c r="K16" s="43"/>
      <c r="L16" s="43"/>
      <c r="M16" s="248"/>
      <c r="N16" s="43"/>
      <c r="O16" s="43"/>
      <c r="P16" s="248"/>
      <c r="Q16" s="43"/>
      <c r="R16" s="43"/>
      <c r="S16" s="248"/>
      <c r="T16" s="43"/>
      <c r="U16" s="43"/>
      <c r="V16" s="248"/>
      <c r="W16" s="43"/>
      <c r="X16" s="43"/>
      <c r="Y16" s="248"/>
      <c r="Z16" s="43"/>
      <c r="AA16" s="43"/>
      <c r="AB16" s="248">
        <v>33.299999999999997</v>
      </c>
      <c r="AC16" s="43">
        <v>47.6</v>
      </c>
      <c r="AD16" s="43">
        <v>23.8</v>
      </c>
      <c r="AE16" s="248"/>
      <c r="AF16" s="43"/>
      <c r="AG16" s="43"/>
      <c r="AH16" s="248"/>
      <c r="AI16" s="43"/>
      <c r="AJ16" s="43"/>
      <c r="AK16" s="248"/>
      <c r="AL16" s="43"/>
      <c r="AM16" s="43"/>
      <c r="AN16" s="44">
        <f t="shared" si="1"/>
        <v>104.7</v>
      </c>
    </row>
    <row r="17" spans="2:40" ht="20.25" customHeight="1" x14ac:dyDescent="0.15">
      <c r="B17" s="730"/>
      <c r="C17" s="422" t="s">
        <v>348</v>
      </c>
      <c r="D17" s="248"/>
      <c r="E17" s="43"/>
      <c r="F17" s="43"/>
      <c r="G17" s="248"/>
      <c r="H17" s="43"/>
      <c r="I17" s="43"/>
      <c r="J17" s="248"/>
      <c r="K17" s="43"/>
      <c r="L17" s="43"/>
      <c r="M17" s="248"/>
      <c r="N17" s="43"/>
      <c r="O17" s="43"/>
      <c r="P17" s="248"/>
      <c r="Q17" s="43"/>
      <c r="R17" s="43"/>
      <c r="S17" s="248"/>
      <c r="T17" s="43"/>
      <c r="U17" s="43"/>
      <c r="V17" s="248"/>
      <c r="W17" s="43"/>
      <c r="X17" s="43"/>
      <c r="Y17" s="248"/>
      <c r="Z17" s="43"/>
      <c r="AA17" s="43"/>
      <c r="AB17" s="248"/>
      <c r="AC17" s="43"/>
      <c r="AD17" s="43">
        <v>28.6</v>
      </c>
      <c r="AE17" s="248"/>
      <c r="AF17" s="43"/>
      <c r="AG17" s="43"/>
      <c r="AH17" s="248"/>
      <c r="AI17" s="43"/>
      <c r="AJ17" s="43"/>
      <c r="AK17" s="248"/>
      <c r="AL17" s="43"/>
      <c r="AM17" s="43"/>
      <c r="AN17" s="44">
        <f t="shared" si="1"/>
        <v>28.6</v>
      </c>
    </row>
    <row r="18" spans="2:40" ht="20.25" customHeight="1" x14ac:dyDescent="0.15">
      <c r="B18" s="730"/>
      <c r="C18" s="420" t="s">
        <v>254</v>
      </c>
      <c r="D18" s="248"/>
      <c r="E18" s="43"/>
      <c r="F18" s="43"/>
      <c r="G18" s="248"/>
      <c r="H18" s="43"/>
      <c r="I18" s="43"/>
      <c r="J18" s="248">
        <v>14.3</v>
      </c>
      <c r="K18" s="43"/>
      <c r="L18" s="43"/>
      <c r="M18" s="248"/>
      <c r="N18" s="43"/>
      <c r="O18" s="43"/>
      <c r="P18" s="248"/>
      <c r="Q18" s="43">
        <v>8.3000000000000007</v>
      </c>
      <c r="R18" s="43"/>
      <c r="S18" s="248"/>
      <c r="T18" s="43"/>
      <c r="U18" s="43"/>
      <c r="V18" s="248"/>
      <c r="W18" s="43"/>
      <c r="X18" s="43"/>
      <c r="Y18" s="248"/>
      <c r="Z18" s="43"/>
      <c r="AA18" s="43"/>
      <c r="AB18" s="248"/>
      <c r="AC18" s="43"/>
      <c r="AD18" s="43"/>
      <c r="AE18" s="248"/>
      <c r="AF18" s="43"/>
      <c r="AG18" s="43"/>
      <c r="AH18" s="248"/>
      <c r="AI18" s="43"/>
      <c r="AJ18" s="43"/>
      <c r="AK18" s="248"/>
      <c r="AL18" s="43"/>
      <c r="AM18" s="43"/>
      <c r="AN18" s="44">
        <f t="shared" si="1"/>
        <v>22.6</v>
      </c>
    </row>
    <row r="19" spans="2:40" ht="20.25" customHeight="1" x14ac:dyDescent="0.15">
      <c r="B19" s="731"/>
      <c r="C19" s="420" t="s">
        <v>349</v>
      </c>
      <c r="D19" s="248"/>
      <c r="E19" s="43"/>
      <c r="F19" s="43"/>
      <c r="G19" s="248"/>
      <c r="H19" s="43"/>
      <c r="I19" s="43"/>
      <c r="J19" s="248"/>
      <c r="K19" s="43"/>
      <c r="L19" s="43"/>
      <c r="M19" s="248"/>
      <c r="N19" s="43"/>
      <c r="O19" s="43"/>
      <c r="P19" s="248">
        <v>61.4</v>
      </c>
      <c r="Q19" s="43">
        <v>24.9</v>
      </c>
      <c r="R19" s="43"/>
      <c r="S19" s="248">
        <v>61.8</v>
      </c>
      <c r="T19" s="43">
        <v>24.1</v>
      </c>
      <c r="U19" s="43"/>
      <c r="V19" s="248"/>
      <c r="W19" s="43"/>
      <c r="X19" s="43"/>
      <c r="Y19" s="248"/>
      <c r="Z19" s="43"/>
      <c r="AA19" s="43"/>
      <c r="AB19" s="248"/>
      <c r="AC19" s="43"/>
      <c r="AD19" s="43"/>
      <c r="AE19" s="248"/>
      <c r="AF19" s="43"/>
      <c r="AG19" s="43"/>
      <c r="AH19" s="248"/>
      <c r="AI19" s="43"/>
      <c r="AJ19" s="43"/>
      <c r="AK19" s="248"/>
      <c r="AL19" s="43"/>
      <c r="AM19" s="43"/>
      <c r="AN19" s="44">
        <f t="shared" si="1"/>
        <v>172.2</v>
      </c>
    </row>
    <row r="20" spans="2:40" ht="20.25" customHeight="1" x14ac:dyDescent="0.15">
      <c r="B20" s="732" t="s">
        <v>327</v>
      </c>
      <c r="C20" s="421" t="s">
        <v>350</v>
      </c>
      <c r="D20" s="248"/>
      <c r="E20" s="43"/>
      <c r="F20" s="43"/>
      <c r="G20" s="248"/>
      <c r="H20" s="43"/>
      <c r="I20" s="43"/>
      <c r="J20" s="248"/>
      <c r="K20" s="43"/>
      <c r="L20" s="43"/>
      <c r="M20" s="248"/>
      <c r="N20" s="43"/>
      <c r="O20" s="43"/>
      <c r="P20" s="248"/>
      <c r="Q20" s="43"/>
      <c r="R20" s="43"/>
      <c r="S20" s="248"/>
      <c r="T20" s="43"/>
      <c r="U20" s="43"/>
      <c r="V20" s="248"/>
      <c r="W20" s="43"/>
      <c r="X20" s="43"/>
      <c r="Y20" s="248"/>
      <c r="Z20" s="43"/>
      <c r="AA20" s="43"/>
      <c r="AB20" s="248"/>
      <c r="AC20" s="43"/>
      <c r="AD20" s="43"/>
      <c r="AE20" s="248">
        <v>52.7</v>
      </c>
      <c r="AF20" s="43">
        <v>52.7</v>
      </c>
      <c r="AG20" s="43">
        <v>31.45</v>
      </c>
      <c r="AH20" s="248"/>
      <c r="AI20" s="43"/>
      <c r="AJ20" s="43"/>
      <c r="AK20" s="248"/>
      <c r="AL20" s="43"/>
      <c r="AM20" s="43"/>
      <c r="AN20" s="44">
        <f t="shared" si="1"/>
        <v>136.85</v>
      </c>
    </row>
    <row r="21" spans="2:40" ht="20.25" customHeight="1" x14ac:dyDescent="0.15">
      <c r="B21" s="726"/>
      <c r="C21" s="420" t="s">
        <v>251</v>
      </c>
      <c r="D21" s="248"/>
      <c r="E21" s="43"/>
      <c r="F21" s="43"/>
      <c r="G21" s="248"/>
      <c r="H21" s="43"/>
      <c r="I21" s="43"/>
      <c r="J21" s="248"/>
      <c r="K21" s="43"/>
      <c r="L21" s="43"/>
      <c r="M21" s="248"/>
      <c r="N21" s="43"/>
      <c r="O21" s="43"/>
      <c r="P21" s="248"/>
      <c r="Q21" s="43"/>
      <c r="R21" s="43"/>
      <c r="S21" s="248"/>
      <c r="T21" s="43"/>
      <c r="U21" s="43"/>
      <c r="V21" s="248"/>
      <c r="W21" s="43"/>
      <c r="X21" s="43"/>
      <c r="Y21" s="248"/>
      <c r="Z21" s="43"/>
      <c r="AA21" s="43"/>
      <c r="AB21" s="248"/>
      <c r="AC21" s="43"/>
      <c r="AD21" s="43"/>
      <c r="AE21" s="248"/>
      <c r="AF21" s="43"/>
      <c r="AG21" s="43"/>
      <c r="AH21" s="248">
        <v>59.5</v>
      </c>
      <c r="AI21" s="43"/>
      <c r="AJ21" s="43"/>
      <c r="AK21" s="248"/>
      <c r="AL21" s="43"/>
      <c r="AM21" s="43"/>
      <c r="AN21" s="44">
        <f t="shared" si="1"/>
        <v>59.5</v>
      </c>
    </row>
    <row r="22" spans="2:40" ht="20.25" customHeight="1" x14ac:dyDescent="0.15">
      <c r="B22" s="433"/>
      <c r="C22" s="420"/>
      <c r="D22" s="248"/>
      <c r="E22" s="43"/>
      <c r="F22" s="43"/>
      <c r="G22" s="248"/>
      <c r="H22" s="43"/>
      <c r="I22" s="43"/>
      <c r="J22" s="248"/>
      <c r="K22" s="43"/>
      <c r="L22" s="43"/>
      <c r="M22" s="248"/>
      <c r="N22" s="43"/>
      <c r="O22" s="43"/>
      <c r="P22" s="248"/>
      <c r="Q22" s="43"/>
      <c r="R22" s="43"/>
      <c r="S22" s="248"/>
      <c r="T22" s="43"/>
      <c r="U22" s="43"/>
      <c r="V22" s="248"/>
      <c r="W22" s="43"/>
      <c r="X22" s="43"/>
      <c r="Y22" s="248"/>
      <c r="Z22" s="43"/>
      <c r="AA22" s="43"/>
      <c r="AB22" s="248"/>
      <c r="AC22" s="43"/>
      <c r="AD22" s="43"/>
      <c r="AE22" s="248"/>
      <c r="AF22" s="43"/>
      <c r="AG22" s="43"/>
      <c r="AH22" s="248"/>
      <c r="AI22" s="43"/>
      <c r="AJ22" s="43"/>
      <c r="AK22" s="248"/>
      <c r="AL22" s="43"/>
      <c r="AM22" s="43"/>
      <c r="AN22" s="44">
        <f t="shared" si="1"/>
        <v>0</v>
      </c>
    </row>
    <row r="23" spans="2:40" ht="20.25" customHeight="1" x14ac:dyDescent="0.15">
      <c r="B23" s="434"/>
      <c r="C23" s="420"/>
      <c r="D23" s="248"/>
      <c r="E23" s="43"/>
      <c r="F23" s="43"/>
      <c r="G23" s="248"/>
      <c r="H23" s="43"/>
      <c r="I23" s="43"/>
      <c r="J23" s="248"/>
      <c r="K23" s="43"/>
      <c r="L23" s="43"/>
      <c r="M23" s="248"/>
      <c r="N23" s="43"/>
      <c r="O23" s="43"/>
      <c r="P23" s="248"/>
      <c r="Q23" s="43"/>
      <c r="R23" s="43"/>
      <c r="S23" s="248"/>
      <c r="T23" s="43"/>
      <c r="U23" s="43"/>
      <c r="V23" s="248"/>
      <c r="W23" s="43"/>
      <c r="X23" s="43"/>
      <c r="Y23" s="248"/>
      <c r="Z23" s="43"/>
      <c r="AA23" s="43"/>
      <c r="AB23" s="248"/>
      <c r="AC23" s="43"/>
      <c r="AD23" s="43"/>
      <c r="AE23" s="248"/>
      <c r="AF23" s="43"/>
      <c r="AG23" s="43"/>
      <c r="AH23" s="248"/>
      <c r="AI23" s="43"/>
      <c r="AJ23" s="43"/>
      <c r="AK23" s="248"/>
      <c r="AL23" s="43"/>
      <c r="AM23" s="43"/>
      <c r="AN23" s="44">
        <f t="shared" si="1"/>
        <v>0</v>
      </c>
    </row>
    <row r="24" spans="2:40" ht="20.25" customHeight="1" x14ac:dyDescent="0.15">
      <c r="B24" s="410"/>
      <c r="C24" s="420"/>
      <c r="D24" s="248"/>
      <c r="E24" s="43"/>
      <c r="F24" s="43"/>
      <c r="G24" s="248"/>
      <c r="H24" s="43"/>
      <c r="I24" s="43"/>
      <c r="J24" s="248"/>
      <c r="K24" s="43"/>
      <c r="L24" s="43"/>
      <c r="M24" s="248"/>
      <c r="N24" s="43"/>
      <c r="O24" s="43"/>
      <c r="P24" s="248"/>
      <c r="Q24" s="43"/>
      <c r="R24" s="43"/>
      <c r="S24" s="248"/>
      <c r="T24" s="43"/>
      <c r="U24" s="43"/>
      <c r="V24" s="248"/>
      <c r="W24" s="43"/>
      <c r="X24" s="43"/>
      <c r="Y24" s="248"/>
      <c r="Z24" s="43"/>
      <c r="AA24" s="43"/>
      <c r="AB24" s="248"/>
      <c r="AC24" s="43"/>
      <c r="AD24" s="43"/>
      <c r="AE24" s="248"/>
      <c r="AF24" s="43"/>
      <c r="AG24" s="43"/>
      <c r="AH24" s="248"/>
      <c r="AI24" s="43"/>
      <c r="AJ24" s="43"/>
      <c r="AK24" s="248"/>
      <c r="AL24" s="43"/>
      <c r="AM24" s="43"/>
      <c r="AN24" s="44">
        <f t="shared" si="1"/>
        <v>0</v>
      </c>
    </row>
    <row r="25" spans="2:40" ht="20.25" customHeight="1" x14ac:dyDescent="0.15">
      <c r="B25" s="410"/>
      <c r="C25" s="420"/>
      <c r="D25" s="248"/>
      <c r="E25" s="43"/>
      <c r="F25" s="43"/>
      <c r="G25" s="248"/>
      <c r="H25" s="43"/>
      <c r="I25" s="43"/>
      <c r="J25" s="248"/>
      <c r="K25" s="43"/>
      <c r="L25" s="43"/>
      <c r="M25" s="248"/>
      <c r="N25" s="43"/>
      <c r="O25" s="43"/>
      <c r="P25" s="248"/>
      <c r="Q25" s="43"/>
      <c r="R25" s="43"/>
      <c r="S25" s="248"/>
      <c r="T25" s="43"/>
      <c r="U25" s="43"/>
      <c r="V25" s="248"/>
      <c r="W25" s="43"/>
      <c r="X25" s="43"/>
      <c r="Y25" s="248"/>
      <c r="Z25" s="43"/>
      <c r="AA25" s="43"/>
      <c r="AB25" s="248"/>
      <c r="AC25" s="43"/>
      <c r="AD25" s="43"/>
      <c r="AE25" s="248"/>
      <c r="AF25" s="43"/>
      <c r="AG25" s="43"/>
      <c r="AH25" s="248"/>
      <c r="AI25" s="43"/>
      <c r="AJ25" s="43"/>
      <c r="AK25" s="248"/>
      <c r="AL25" s="43"/>
      <c r="AM25" s="43"/>
      <c r="AN25" s="44">
        <f t="shared" si="1"/>
        <v>0</v>
      </c>
    </row>
    <row r="26" spans="2:40" ht="20.25" customHeight="1" x14ac:dyDescent="0.15">
      <c r="B26" s="733"/>
      <c r="C26" s="734"/>
      <c r="D26" s="248"/>
      <c r="E26" s="43"/>
      <c r="F26" s="43"/>
      <c r="G26" s="248"/>
      <c r="H26" s="43"/>
      <c r="I26" s="43"/>
      <c r="J26" s="248"/>
      <c r="K26" s="43"/>
      <c r="L26" s="43"/>
      <c r="M26" s="248"/>
      <c r="N26" s="43"/>
      <c r="O26" s="43"/>
      <c r="P26" s="248"/>
      <c r="Q26" s="43"/>
      <c r="R26" s="43"/>
      <c r="S26" s="248"/>
      <c r="T26" s="43"/>
      <c r="U26" s="43"/>
      <c r="V26" s="248"/>
      <c r="W26" s="43"/>
      <c r="X26" s="43"/>
      <c r="Y26" s="248"/>
      <c r="Z26" s="43"/>
      <c r="AA26" s="43"/>
      <c r="AB26" s="248"/>
      <c r="AC26" s="43"/>
      <c r="AD26" s="43"/>
      <c r="AE26" s="248"/>
      <c r="AF26" s="43"/>
      <c r="AG26" s="43"/>
      <c r="AH26" s="248"/>
      <c r="AI26" s="43"/>
      <c r="AJ26" s="43"/>
      <c r="AK26" s="248"/>
      <c r="AL26" s="43"/>
      <c r="AM26" s="43"/>
      <c r="AN26" s="44">
        <f t="shared" si="1"/>
        <v>0</v>
      </c>
    </row>
    <row r="27" spans="2:40" ht="20.25" customHeight="1" x14ac:dyDescent="0.15">
      <c r="B27" s="735" t="s">
        <v>351</v>
      </c>
      <c r="C27" s="736"/>
      <c r="D27" s="248">
        <f t="shared" ref="D27:AM27" si="3">SUM(D11:D26)</f>
        <v>86.6</v>
      </c>
      <c r="E27" s="45">
        <f t="shared" si="3"/>
        <v>86.6</v>
      </c>
      <c r="F27" s="419">
        <f t="shared" si="3"/>
        <v>95.259999999999991</v>
      </c>
      <c r="G27" s="248">
        <f t="shared" si="3"/>
        <v>86.6</v>
      </c>
      <c r="H27" s="45">
        <f t="shared" si="3"/>
        <v>86.6</v>
      </c>
      <c r="I27" s="419">
        <f t="shared" si="3"/>
        <v>69.28</v>
      </c>
      <c r="J27" s="248">
        <f t="shared" si="3"/>
        <v>100.89999999999999</v>
      </c>
      <c r="K27" s="45">
        <f t="shared" si="3"/>
        <v>80.75</v>
      </c>
      <c r="L27" s="419">
        <f t="shared" si="3"/>
        <v>88.825000000000003</v>
      </c>
      <c r="M27" s="248">
        <f t="shared" si="3"/>
        <v>80.75</v>
      </c>
      <c r="N27" s="45">
        <f t="shared" si="3"/>
        <v>80.75</v>
      </c>
      <c r="O27" s="419">
        <f t="shared" si="3"/>
        <v>80.75</v>
      </c>
      <c r="P27" s="248">
        <f t="shared" si="3"/>
        <v>142.15</v>
      </c>
      <c r="Q27" s="45">
        <f t="shared" si="3"/>
        <v>113.94999999999999</v>
      </c>
      <c r="R27" s="419">
        <f t="shared" si="3"/>
        <v>88.825000000000003</v>
      </c>
      <c r="S27" s="248">
        <f t="shared" si="3"/>
        <v>142.55000000000001</v>
      </c>
      <c r="T27" s="45">
        <f t="shared" si="3"/>
        <v>104.85</v>
      </c>
      <c r="U27" s="419">
        <f t="shared" si="3"/>
        <v>80.75</v>
      </c>
      <c r="V27" s="248">
        <f t="shared" si="3"/>
        <v>80.75</v>
      </c>
      <c r="W27" s="45">
        <f t="shared" si="3"/>
        <v>80.75</v>
      </c>
      <c r="X27" s="419">
        <f t="shared" si="3"/>
        <v>88.825000000000003</v>
      </c>
      <c r="Y27" s="248">
        <f t="shared" si="3"/>
        <v>80.75</v>
      </c>
      <c r="Z27" s="45">
        <f t="shared" si="3"/>
        <v>80.75</v>
      </c>
      <c r="AA27" s="419">
        <f t="shared" si="3"/>
        <v>118.625</v>
      </c>
      <c r="AB27" s="248">
        <f t="shared" si="3"/>
        <v>128.25</v>
      </c>
      <c r="AC27" s="45">
        <f t="shared" si="3"/>
        <v>134.19999999999999</v>
      </c>
      <c r="AD27" s="419">
        <f t="shared" si="3"/>
        <v>139</v>
      </c>
      <c r="AE27" s="248">
        <f t="shared" si="3"/>
        <v>139.30000000000001</v>
      </c>
      <c r="AF27" s="45">
        <f t="shared" si="3"/>
        <v>139.30000000000001</v>
      </c>
      <c r="AG27" s="419">
        <f t="shared" si="3"/>
        <v>126.71</v>
      </c>
      <c r="AH27" s="248">
        <f t="shared" si="3"/>
        <v>146.1</v>
      </c>
      <c r="AI27" s="45">
        <f t="shared" si="3"/>
        <v>86.6</v>
      </c>
      <c r="AJ27" s="419">
        <f t="shared" si="3"/>
        <v>86.6</v>
      </c>
      <c r="AK27" s="248">
        <f t="shared" si="3"/>
        <v>86.6</v>
      </c>
      <c r="AL27" s="45">
        <f t="shared" si="3"/>
        <v>86.6</v>
      </c>
      <c r="AM27" s="419">
        <f t="shared" si="3"/>
        <v>95.259999999999991</v>
      </c>
      <c r="AN27" s="44">
        <f t="shared" si="1"/>
        <v>3621.71</v>
      </c>
    </row>
    <row r="28" spans="2:40" ht="20.25" customHeight="1" thickBot="1" x14ac:dyDescent="0.2">
      <c r="B28" s="737" t="s">
        <v>352</v>
      </c>
      <c r="C28" s="738"/>
      <c r="D28" s="46"/>
      <c r="E28" s="47">
        <f>SUM(D27:F27)</f>
        <v>268.45999999999998</v>
      </c>
      <c r="F28" s="47"/>
      <c r="G28" s="46"/>
      <c r="H28" s="47">
        <f>SUM(G27:I27)</f>
        <v>242.48</v>
      </c>
      <c r="I28" s="47"/>
      <c r="J28" s="46"/>
      <c r="K28" s="47">
        <f>SUM(J27:L27)</f>
        <v>270.47499999999997</v>
      </c>
      <c r="L28" s="47"/>
      <c r="M28" s="46"/>
      <c r="N28" s="47">
        <f>SUM(M27:O27)</f>
        <v>242.25</v>
      </c>
      <c r="O28" s="47"/>
      <c r="P28" s="46"/>
      <c r="Q28" s="47">
        <f>SUM(P27:R27)</f>
        <v>344.92500000000001</v>
      </c>
      <c r="R28" s="47"/>
      <c r="S28" s="46"/>
      <c r="T28" s="47">
        <f>SUM(S27:U27)</f>
        <v>328.15</v>
      </c>
      <c r="U28" s="47"/>
      <c r="V28" s="46"/>
      <c r="W28" s="47">
        <f>SUM(V27:X27)</f>
        <v>250.32499999999999</v>
      </c>
      <c r="X28" s="47"/>
      <c r="Y28" s="46"/>
      <c r="Z28" s="47">
        <f>SUM(Y27:AA27)</f>
        <v>280.125</v>
      </c>
      <c r="AA28" s="47"/>
      <c r="AB28" s="46"/>
      <c r="AC28" s="47">
        <f>SUM(AB27:AD27)</f>
        <v>401.45</v>
      </c>
      <c r="AD28" s="47"/>
      <c r="AE28" s="46"/>
      <c r="AF28" s="47">
        <f>SUM(AE27:AG27)</f>
        <v>405.31</v>
      </c>
      <c r="AG28" s="47"/>
      <c r="AH28" s="46"/>
      <c r="AI28" s="47">
        <f>SUM(AH27:AJ27)</f>
        <v>319.29999999999995</v>
      </c>
      <c r="AJ28" s="47"/>
      <c r="AK28" s="46"/>
      <c r="AL28" s="47">
        <f>SUM(AK27:AM27)</f>
        <v>268.45999999999998</v>
      </c>
      <c r="AM28" s="47"/>
      <c r="AN28" s="48">
        <f>SUM(AN11:AN26)</f>
        <v>3621.7099999999982</v>
      </c>
    </row>
    <row r="29" spans="2:40" ht="9.9499999999999993" customHeight="1" x14ac:dyDescent="0.15"/>
    <row r="30" spans="2:40" ht="24.95" customHeight="1" x14ac:dyDescent="0.15">
      <c r="B30" s="2" t="s">
        <v>166</v>
      </c>
    </row>
    <row r="31" spans="2:40" ht="9.9499999999999993" customHeight="1" x14ac:dyDescent="0.15"/>
    <row r="32" spans="2:40" ht="20.25" customHeight="1" x14ac:dyDescent="0.15">
      <c r="B32" s="1"/>
      <c r="C32" s="5"/>
      <c r="D32" s="1"/>
    </row>
    <row r="33" spans="2:40" ht="9.9499999999999993" customHeight="1" thickBot="1" x14ac:dyDescent="0.2"/>
    <row r="34" spans="2:40" ht="20.25" customHeight="1" x14ac:dyDescent="0.15">
      <c r="B34" s="727" t="s">
        <v>353</v>
      </c>
      <c r="C34" s="728"/>
      <c r="D34" s="713">
        <v>1</v>
      </c>
      <c r="E34" s="714"/>
      <c r="F34" s="715"/>
      <c r="G34" s="713">
        <v>2</v>
      </c>
      <c r="H34" s="714"/>
      <c r="I34" s="715"/>
      <c r="J34" s="713">
        <v>3</v>
      </c>
      <c r="K34" s="714"/>
      <c r="L34" s="715"/>
      <c r="M34" s="713">
        <v>4</v>
      </c>
      <c r="N34" s="714"/>
      <c r="O34" s="715"/>
      <c r="P34" s="713">
        <v>5</v>
      </c>
      <c r="Q34" s="714"/>
      <c r="R34" s="715"/>
      <c r="S34" s="713">
        <v>6</v>
      </c>
      <c r="T34" s="714"/>
      <c r="U34" s="715"/>
      <c r="V34" s="713">
        <v>7</v>
      </c>
      <c r="W34" s="714"/>
      <c r="X34" s="715"/>
      <c r="Y34" s="713">
        <v>8</v>
      </c>
      <c r="Z34" s="714"/>
      <c r="AA34" s="715"/>
      <c r="AB34" s="713">
        <v>9</v>
      </c>
      <c r="AC34" s="714"/>
      <c r="AD34" s="715"/>
      <c r="AE34" s="713">
        <v>10</v>
      </c>
      <c r="AF34" s="714"/>
      <c r="AG34" s="715"/>
      <c r="AH34" s="713">
        <v>11</v>
      </c>
      <c r="AI34" s="714"/>
      <c r="AJ34" s="715"/>
      <c r="AK34" s="713">
        <v>12</v>
      </c>
      <c r="AL34" s="714"/>
      <c r="AM34" s="715"/>
      <c r="AN34" s="716" t="s">
        <v>24</v>
      </c>
    </row>
    <row r="35" spans="2:40" ht="20.25" customHeight="1" x14ac:dyDescent="0.15">
      <c r="B35" s="720"/>
      <c r="C35" s="721"/>
      <c r="D35" s="413" t="s">
        <v>25</v>
      </c>
      <c r="E35" s="40" t="s">
        <v>26</v>
      </c>
      <c r="F35" s="41" t="s">
        <v>27</v>
      </c>
      <c r="G35" s="413" t="s">
        <v>25</v>
      </c>
      <c r="H35" s="41" t="s">
        <v>26</v>
      </c>
      <c r="I35" s="41" t="s">
        <v>27</v>
      </c>
      <c r="J35" s="413" t="s">
        <v>25</v>
      </c>
      <c r="K35" s="41" t="s">
        <v>26</v>
      </c>
      <c r="L35" s="41" t="s">
        <v>27</v>
      </c>
      <c r="M35" s="413" t="s">
        <v>25</v>
      </c>
      <c r="N35" s="41" t="s">
        <v>26</v>
      </c>
      <c r="O35" s="41" t="s">
        <v>27</v>
      </c>
      <c r="P35" s="413" t="s">
        <v>25</v>
      </c>
      <c r="Q35" s="41" t="s">
        <v>26</v>
      </c>
      <c r="R35" s="41" t="s">
        <v>27</v>
      </c>
      <c r="S35" s="413" t="s">
        <v>25</v>
      </c>
      <c r="T35" s="415" t="s">
        <v>26</v>
      </c>
      <c r="U35" s="415" t="s">
        <v>27</v>
      </c>
      <c r="V35" s="413" t="s">
        <v>25</v>
      </c>
      <c r="W35" s="41" t="s">
        <v>26</v>
      </c>
      <c r="X35" s="41" t="s">
        <v>27</v>
      </c>
      <c r="Y35" s="413" t="s">
        <v>25</v>
      </c>
      <c r="Z35" s="41" t="s">
        <v>26</v>
      </c>
      <c r="AA35" s="41" t="s">
        <v>27</v>
      </c>
      <c r="AB35" s="413" t="s">
        <v>25</v>
      </c>
      <c r="AC35" s="41" t="s">
        <v>26</v>
      </c>
      <c r="AD35" s="41" t="s">
        <v>27</v>
      </c>
      <c r="AE35" s="413" t="s">
        <v>25</v>
      </c>
      <c r="AF35" s="41" t="s">
        <v>26</v>
      </c>
      <c r="AG35" s="41" t="s">
        <v>27</v>
      </c>
      <c r="AH35" s="413" t="s">
        <v>25</v>
      </c>
      <c r="AI35" s="41" t="s">
        <v>26</v>
      </c>
      <c r="AJ35" s="41" t="s">
        <v>27</v>
      </c>
      <c r="AK35" s="413" t="s">
        <v>25</v>
      </c>
      <c r="AL35" s="41" t="s">
        <v>26</v>
      </c>
      <c r="AM35" s="41" t="s">
        <v>27</v>
      </c>
      <c r="AN35" s="717"/>
    </row>
    <row r="36" spans="2:40" ht="20.25" customHeight="1" x14ac:dyDescent="0.15">
      <c r="B36" s="741" t="s">
        <v>354</v>
      </c>
      <c r="C36" s="721"/>
      <c r="D36" s="248">
        <f>D27</f>
        <v>86.6</v>
      </c>
      <c r="E36" s="45">
        <f t="shared" ref="E36:AM36" si="4">E27</f>
        <v>86.6</v>
      </c>
      <c r="F36" s="419">
        <f t="shared" si="4"/>
        <v>95.259999999999991</v>
      </c>
      <c r="G36" s="248">
        <f t="shared" si="4"/>
        <v>86.6</v>
      </c>
      <c r="H36" s="45">
        <f t="shared" si="4"/>
        <v>86.6</v>
      </c>
      <c r="I36" s="419">
        <f t="shared" si="4"/>
        <v>69.28</v>
      </c>
      <c r="J36" s="248">
        <f t="shared" si="4"/>
        <v>100.89999999999999</v>
      </c>
      <c r="K36" s="45">
        <f t="shared" si="4"/>
        <v>80.75</v>
      </c>
      <c r="L36" s="419">
        <f t="shared" si="4"/>
        <v>88.825000000000003</v>
      </c>
      <c r="M36" s="248">
        <f t="shared" si="4"/>
        <v>80.75</v>
      </c>
      <c r="N36" s="45">
        <f t="shared" si="4"/>
        <v>80.75</v>
      </c>
      <c r="O36" s="419">
        <f t="shared" si="4"/>
        <v>80.75</v>
      </c>
      <c r="P36" s="248">
        <f t="shared" si="4"/>
        <v>142.15</v>
      </c>
      <c r="Q36" s="45">
        <f t="shared" si="4"/>
        <v>113.94999999999999</v>
      </c>
      <c r="R36" s="419">
        <f t="shared" si="4"/>
        <v>88.825000000000003</v>
      </c>
      <c r="S36" s="248">
        <f t="shared" si="4"/>
        <v>142.55000000000001</v>
      </c>
      <c r="T36" s="45">
        <f t="shared" si="4"/>
        <v>104.85</v>
      </c>
      <c r="U36" s="419">
        <f t="shared" si="4"/>
        <v>80.75</v>
      </c>
      <c r="V36" s="248">
        <f t="shared" si="4"/>
        <v>80.75</v>
      </c>
      <c r="W36" s="45">
        <f t="shared" si="4"/>
        <v>80.75</v>
      </c>
      <c r="X36" s="419">
        <f t="shared" si="4"/>
        <v>88.825000000000003</v>
      </c>
      <c r="Y36" s="248">
        <f t="shared" si="4"/>
        <v>80.75</v>
      </c>
      <c r="Z36" s="45">
        <f t="shared" si="4"/>
        <v>80.75</v>
      </c>
      <c r="AA36" s="419">
        <f t="shared" si="4"/>
        <v>118.625</v>
      </c>
      <c r="AB36" s="248">
        <f t="shared" si="4"/>
        <v>128.25</v>
      </c>
      <c r="AC36" s="45">
        <f t="shared" si="4"/>
        <v>134.19999999999999</v>
      </c>
      <c r="AD36" s="419">
        <f t="shared" si="4"/>
        <v>139</v>
      </c>
      <c r="AE36" s="248">
        <f t="shared" si="4"/>
        <v>139.30000000000001</v>
      </c>
      <c r="AF36" s="45">
        <f t="shared" si="4"/>
        <v>139.30000000000001</v>
      </c>
      <c r="AG36" s="419">
        <f t="shared" si="4"/>
        <v>126.71</v>
      </c>
      <c r="AH36" s="248">
        <f t="shared" si="4"/>
        <v>146.1</v>
      </c>
      <c r="AI36" s="45">
        <f t="shared" si="4"/>
        <v>86.6</v>
      </c>
      <c r="AJ36" s="419">
        <f t="shared" si="4"/>
        <v>86.6</v>
      </c>
      <c r="AK36" s="248">
        <f t="shared" si="4"/>
        <v>86.6</v>
      </c>
      <c r="AL36" s="45">
        <f t="shared" si="4"/>
        <v>86.6</v>
      </c>
      <c r="AM36" s="419">
        <f t="shared" si="4"/>
        <v>95.259999999999991</v>
      </c>
      <c r="AN36" s="44">
        <f t="shared" ref="AN36:AN44" si="5">SUM(D36:AM36)</f>
        <v>3621.71</v>
      </c>
    </row>
    <row r="37" spans="2:40" ht="20.25" customHeight="1" thickBot="1" x14ac:dyDescent="0.2">
      <c r="B37" s="742" t="s">
        <v>355</v>
      </c>
      <c r="C37" s="743"/>
      <c r="D37" s="423"/>
      <c r="E37" s="240">
        <f>SUM(D36:F36)</f>
        <v>268.45999999999998</v>
      </c>
      <c r="F37" s="240"/>
      <c r="G37" s="423"/>
      <c r="H37" s="240">
        <f>SUM(G36:I36)</f>
        <v>242.48</v>
      </c>
      <c r="I37" s="240"/>
      <c r="J37" s="423"/>
      <c r="K37" s="240">
        <f>SUM(J36:L36)</f>
        <v>270.47499999999997</v>
      </c>
      <c r="L37" s="240"/>
      <c r="M37" s="423"/>
      <c r="N37" s="240">
        <f>SUM(M36:O36)</f>
        <v>242.25</v>
      </c>
      <c r="O37" s="240"/>
      <c r="P37" s="423"/>
      <c r="Q37" s="240">
        <f>SUM(P36:R36)</f>
        <v>344.92500000000001</v>
      </c>
      <c r="R37" s="240"/>
      <c r="S37" s="423"/>
      <c r="T37" s="240">
        <f>SUM(S36:U36)</f>
        <v>328.15</v>
      </c>
      <c r="U37" s="240"/>
      <c r="V37" s="423"/>
      <c r="W37" s="240">
        <f>SUM(V36:X36)</f>
        <v>250.32499999999999</v>
      </c>
      <c r="X37" s="240"/>
      <c r="Y37" s="423"/>
      <c r="Z37" s="240">
        <f>SUM(Y36:AA36)</f>
        <v>280.125</v>
      </c>
      <c r="AA37" s="240"/>
      <c r="AB37" s="423"/>
      <c r="AC37" s="240">
        <f>SUM(AB36:AD36)</f>
        <v>401.45</v>
      </c>
      <c r="AD37" s="240"/>
      <c r="AE37" s="423"/>
      <c r="AF37" s="240">
        <f>SUM(AE36:AG36)</f>
        <v>405.31</v>
      </c>
      <c r="AG37" s="240"/>
      <c r="AH37" s="423"/>
      <c r="AI37" s="240">
        <f>SUM(AH36:AJ36)</f>
        <v>319.29999999999995</v>
      </c>
      <c r="AJ37" s="240"/>
      <c r="AK37" s="423"/>
      <c r="AL37" s="240">
        <f>SUM(AK36:AM36)</f>
        <v>268.45999999999998</v>
      </c>
      <c r="AM37" s="240"/>
      <c r="AN37" s="243">
        <f t="shared" si="5"/>
        <v>3621.7099999999991</v>
      </c>
    </row>
    <row r="38" spans="2:40" ht="20.25" customHeight="1" thickTop="1" x14ac:dyDescent="0.15">
      <c r="B38" s="744" t="s">
        <v>167</v>
      </c>
      <c r="C38" s="244" t="s">
        <v>356</v>
      </c>
      <c r="D38" s="245">
        <v>45</v>
      </c>
      <c r="E38" s="246">
        <v>45</v>
      </c>
      <c r="F38" s="246">
        <v>50</v>
      </c>
      <c r="G38" s="245">
        <v>45</v>
      </c>
      <c r="H38" s="246">
        <v>45</v>
      </c>
      <c r="I38" s="246">
        <v>40.799999999999997</v>
      </c>
      <c r="J38" s="245">
        <v>52</v>
      </c>
      <c r="K38" s="246">
        <v>45</v>
      </c>
      <c r="L38" s="246">
        <v>50</v>
      </c>
      <c r="M38" s="245">
        <v>45</v>
      </c>
      <c r="N38" s="246">
        <v>45</v>
      </c>
      <c r="O38" s="246">
        <v>45</v>
      </c>
      <c r="P38" s="245">
        <v>80</v>
      </c>
      <c r="Q38" s="246">
        <v>60</v>
      </c>
      <c r="R38" s="246">
        <f>5*11</f>
        <v>55</v>
      </c>
      <c r="S38" s="245">
        <v>80</v>
      </c>
      <c r="T38" s="246">
        <v>55.7</v>
      </c>
      <c r="U38" s="246">
        <v>50</v>
      </c>
      <c r="V38" s="245">
        <v>50</v>
      </c>
      <c r="W38" s="246">
        <v>50</v>
      </c>
      <c r="X38" s="246">
        <v>55</v>
      </c>
      <c r="Y38" s="245">
        <v>50</v>
      </c>
      <c r="Z38" s="246">
        <v>50</v>
      </c>
      <c r="AA38" s="246">
        <v>70</v>
      </c>
      <c r="AB38" s="245">
        <v>70</v>
      </c>
      <c r="AC38" s="246">
        <v>69.2</v>
      </c>
      <c r="AD38" s="246">
        <v>70</v>
      </c>
      <c r="AE38" s="245">
        <v>70</v>
      </c>
      <c r="AF38" s="246">
        <v>70</v>
      </c>
      <c r="AG38" s="246">
        <v>66</v>
      </c>
      <c r="AH38" s="245">
        <v>74</v>
      </c>
      <c r="AI38" s="246">
        <v>50</v>
      </c>
      <c r="AJ38" s="246">
        <v>52</v>
      </c>
      <c r="AK38" s="245">
        <v>50</v>
      </c>
      <c r="AL38" s="246">
        <v>50</v>
      </c>
      <c r="AM38" s="246">
        <v>50.3</v>
      </c>
      <c r="AN38" s="247">
        <f t="shared" si="5"/>
        <v>2000</v>
      </c>
    </row>
    <row r="39" spans="2:40" ht="20.25" customHeight="1" x14ac:dyDescent="0.15">
      <c r="B39" s="745"/>
      <c r="C39" s="241" t="s">
        <v>357</v>
      </c>
      <c r="D39" s="248">
        <f t="shared" ref="D39:AL39" si="6">D36-D38</f>
        <v>41.599999999999994</v>
      </c>
      <c r="E39" s="43">
        <f t="shared" si="6"/>
        <v>41.599999999999994</v>
      </c>
      <c r="F39" s="43">
        <f t="shared" si="6"/>
        <v>45.259999999999991</v>
      </c>
      <c r="G39" s="248">
        <f t="shared" si="6"/>
        <v>41.599999999999994</v>
      </c>
      <c r="H39" s="43">
        <f t="shared" si="6"/>
        <v>41.599999999999994</v>
      </c>
      <c r="I39" s="43">
        <f t="shared" si="6"/>
        <v>28.480000000000004</v>
      </c>
      <c r="J39" s="248">
        <f t="shared" si="6"/>
        <v>48.899999999999991</v>
      </c>
      <c r="K39" s="43">
        <f t="shared" si="6"/>
        <v>35.75</v>
      </c>
      <c r="L39" s="43">
        <f t="shared" si="6"/>
        <v>38.825000000000003</v>
      </c>
      <c r="M39" s="248">
        <f t="shared" si="6"/>
        <v>35.75</v>
      </c>
      <c r="N39" s="43">
        <f t="shared" si="6"/>
        <v>35.75</v>
      </c>
      <c r="O39" s="43">
        <f t="shared" si="6"/>
        <v>35.75</v>
      </c>
      <c r="P39" s="248">
        <f t="shared" si="6"/>
        <v>62.150000000000006</v>
      </c>
      <c r="Q39" s="43">
        <f t="shared" si="6"/>
        <v>53.949999999999989</v>
      </c>
      <c r="R39" s="43">
        <f t="shared" si="6"/>
        <v>33.825000000000003</v>
      </c>
      <c r="S39" s="248">
        <f t="shared" si="6"/>
        <v>62.550000000000011</v>
      </c>
      <c r="T39" s="43">
        <f t="shared" si="6"/>
        <v>49.149999999999991</v>
      </c>
      <c r="U39" s="43">
        <f t="shared" si="6"/>
        <v>30.75</v>
      </c>
      <c r="V39" s="248">
        <f t="shared" si="6"/>
        <v>30.75</v>
      </c>
      <c r="W39" s="43">
        <f t="shared" si="6"/>
        <v>30.75</v>
      </c>
      <c r="X39" s="43">
        <f t="shared" si="6"/>
        <v>33.825000000000003</v>
      </c>
      <c r="Y39" s="248">
        <f t="shared" si="6"/>
        <v>30.75</v>
      </c>
      <c r="Z39" s="43">
        <f t="shared" si="6"/>
        <v>30.75</v>
      </c>
      <c r="AA39" s="43">
        <f t="shared" si="6"/>
        <v>48.625</v>
      </c>
      <c r="AB39" s="248">
        <f t="shared" si="6"/>
        <v>58.25</v>
      </c>
      <c r="AC39" s="43">
        <f t="shared" si="6"/>
        <v>64.999999999999986</v>
      </c>
      <c r="AD39" s="43">
        <f t="shared" si="6"/>
        <v>69</v>
      </c>
      <c r="AE39" s="248">
        <f t="shared" si="6"/>
        <v>69.300000000000011</v>
      </c>
      <c r="AF39" s="43">
        <f t="shared" si="6"/>
        <v>69.300000000000011</v>
      </c>
      <c r="AG39" s="43">
        <f t="shared" si="6"/>
        <v>60.709999999999994</v>
      </c>
      <c r="AH39" s="248">
        <f t="shared" si="6"/>
        <v>72.099999999999994</v>
      </c>
      <c r="AI39" s="43">
        <f t="shared" si="6"/>
        <v>36.599999999999994</v>
      </c>
      <c r="AJ39" s="43">
        <f t="shared" si="6"/>
        <v>34.599999999999994</v>
      </c>
      <c r="AK39" s="248">
        <f t="shared" si="6"/>
        <v>36.599999999999994</v>
      </c>
      <c r="AL39" s="43">
        <f t="shared" si="6"/>
        <v>36.599999999999994</v>
      </c>
      <c r="AM39" s="43">
        <f>AM36-AM38</f>
        <v>44.959999999999994</v>
      </c>
      <c r="AN39" s="44">
        <f t="shared" si="5"/>
        <v>1621.7099999999996</v>
      </c>
    </row>
    <row r="40" spans="2:40" ht="20.25" customHeight="1" x14ac:dyDescent="0.15">
      <c r="B40" s="745"/>
      <c r="C40" s="241"/>
      <c r="D40" s="248"/>
      <c r="E40" s="43"/>
      <c r="F40" s="43"/>
      <c r="G40" s="248"/>
      <c r="H40" s="43"/>
      <c r="I40" s="43"/>
      <c r="J40" s="248"/>
      <c r="K40" s="43"/>
      <c r="L40" s="43"/>
      <c r="M40" s="248"/>
      <c r="N40" s="43"/>
      <c r="O40" s="43"/>
      <c r="P40" s="248"/>
      <c r="Q40" s="43"/>
      <c r="R40" s="43"/>
      <c r="S40" s="248"/>
      <c r="T40" s="43"/>
      <c r="U40" s="43"/>
      <c r="V40" s="248"/>
      <c r="W40" s="43"/>
      <c r="X40" s="43"/>
      <c r="Y40" s="248"/>
      <c r="Z40" s="43"/>
      <c r="AA40" s="43"/>
      <c r="AB40" s="248"/>
      <c r="AC40" s="43"/>
      <c r="AD40" s="43"/>
      <c r="AE40" s="248"/>
      <c r="AF40" s="43"/>
      <c r="AG40" s="43"/>
      <c r="AH40" s="248"/>
      <c r="AI40" s="43"/>
      <c r="AJ40" s="43"/>
      <c r="AK40" s="248"/>
      <c r="AL40" s="43"/>
      <c r="AM40" s="43"/>
      <c r="AN40" s="44"/>
    </row>
    <row r="41" spans="2:40" ht="20.25" customHeight="1" x14ac:dyDescent="0.15">
      <c r="B41" s="745"/>
      <c r="C41" s="242"/>
      <c r="D41" s="248"/>
      <c r="E41" s="43"/>
      <c r="F41" s="43"/>
      <c r="G41" s="248"/>
      <c r="H41" s="43"/>
      <c r="I41" s="43"/>
      <c r="J41" s="248"/>
      <c r="K41" s="43"/>
      <c r="L41" s="43"/>
      <c r="M41" s="248"/>
      <c r="N41" s="43"/>
      <c r="O41" s="43"/>
      <c r="P41" s="248"/>
      <c r="Q41" s="43"/>
      <c r="R41" s="43"/>
      <c r="S41" s="248"/>
      <c r="T41" s="43"/>
      <c r="U41" s="43"/>
      <c r="V41" s="248"/>
      <c r="W41" s="43"/>
      <c r="X41" s="43"/>
      <c r="Y41" s="248"/>
      <c r="Z41" s="43"/>
      <c r="AA41" s="43"/>
      <c r="AB41" s="248"/>
      <c r="AC41" s="43"/>
      <c r="AD41" s="43"/>
      <c r="AE41" s="248"/>
      <c r="AF41" s="43"/>
      <c r="AG41" s="43"/>
      <c r="AH41" s="248"/>
      <c r="AI41" s="43"/>
      <c r="AJ41" s="43"/>
      <c r="AK41" s="248"/>
      <c r="AL41" s="43"/>
      <c r="AM41" s="43"/>
      <c r="AN41" s="44"/>
    </row>
    <row r="42" spans="2:40" ht="20.25" customHeight="1" thickBot="1" x14ac:dyDescent="0.2">
      <c r="B42" s="746"/>
      <c r="C42" s="424" t="s">
        <v>168</v>
      </c>
      <c r="D42" s="249">
        <f>SUM(D38:D41)</f>
        <v>86.6</v>
      </c>
      <c r="E42" s="250">
        <f t="shared" ref="E42:AM42" si="7">SUM(E38:E41)</f>
        <v>86.6</v>
      </c>
      <c r="F42" s="250">
        <f t="shared" si="7"/>
        <v>95.259999999999991</v>
      </c>
      <c r="G42" s="249">
        <f t="shared" si="7"/>
        <v>86.6</v>
      </c>
      <c r="H42" s="250">
        <f t="shared" si="7"/>
        <v>86.6</v>
      </c>
      <c r="I42" s="250">
        <f t="shared" si="7"/>
        <v>69.28</v>
      </c>
      <c r="J42" s="249">
        <f t="shared" si="7"/>
        <v>100.89999999999999</v>
      </c>
      <c r="K42" s="250">
        <f t="shared" si="7"/>
        <v>80.75</v>
      </c>
      <c r="L42" s="250">
        <f t="shared" si="7"/>
        <v>88.825000000000003</v>
      </c>
      <c r="M42" s="249">
        <f t="shared" si="7"/>
        <v>80.75</v>
      </c>
      <c r="N42" s="250">
        <f t="shared" si="7"/>
        <v>80.75</v>
      </c>
      <c r="O42" s="250">
        <f t="shared" si="7"/>
        <v>80.75</v>
      </c>
      <c r="P42" s="249">
        <f t="shared" si="7"/>
        <v>142.15</v>
      </c>
      <c r="Q42" s="250">
        <f t="shared" si="7"/>
        <v>113.94999999999999</v>
      </c>
      <c r="R42" s="250">
        <f t="shared" si="7"/>
        <v>88.825000000000003</v>
      </c>
      <c r="S42" s="249">
        <f t="shared" si="7"/>
        <v>142.55000000000001</v>
      </c>
      <c r="T42" s="250">
        <f t="shared" si="7"/>
        <v>104.85</v>
      </c>
      <c r="U42" s="250">
        <f t="shared" si="7"/>
        <v>80.75</v>
      </c>
      <c r="V42" s="249">
        <f t="shared" si="7"/>
        <v>80.75</v>
      </c>
      <c r="W42" s="250">
        <f t="shared" si="7"/>
        <v>80.75</v>
      </c>
      <c r="X42" s="250">
        <f t="shared" si="7"/>
        <v>88.825000000000003</v>
      </c>
      <c r="Y42" s="249">
        <f t="shared" si="7"/>
        <v>80.75</v>
      </c>
      <c r="Z42" s="250">
        <f t="shared" si="7"/>
        <v>80.75</v>
      </c>
      <c r="AA42" s="250">
        <f t="shared" si="7"/>
        <v>118.625</v>
      </c>
      <c r="AB42" s="249">
        <f t="shared" si="7"/>
        <v>128.25</v>
      </c>
      <c r="AC42" s="250">
        <f t="shared" si="7"/>
        <v>134.19999999999999</v>
      </c>
      <c r="AD42" s="250">
        <f t="shared" si="7"/>
        <v>139</v>
      </c>
      <c r="AE42" s="249">
        <f t="shared" si="7"/>
        <v>139.30000000000001</v>
      </c>
      <c r="AF42" s="250">
        <f t="shared" si="7"/>
        <v>139.30000000000001</v>
      </c>
      <c r="AG42" s="250">
        <f t="shared" si="7"/>
        <v>126.71</v>
      </c>
      <c r="AH42" s="249">
        <f t="shared" si="7"/>
        <v>146.1</v>
      </c>
      <c r="AI42" s="250">
        <f t="shared" si="7"/>
        <v>86.6</v>
      </c>
      <c r="AJ42" s="250">
        <f t="shared" si="7"/>
        <v>86.6</v>
      </c>
      <c r="AK42" s="249">
        <f t="shared" si="7"/>
        <v>86.6</v>
      </c>
      <c r="AL42" s="250">
        <f t="shared" si="7"/>
        <v>86.6</v>
      </c>
      <c r="AM42" s="250">
        <f t="shared" si="7"/>
        <v>95.259999999999991</v>
      </c>
      <c r="AN42" s="251">
        <f t="shared" si="5"/>
        <v>3621.71</v>
      </c>
    </row>
    <row r="43" spans="2:40" ht="20.25" customHeight="1" thickTop="1" x14ac:dyDescent="0.15">
      <c r="B43" s="747" t="s">
        <v>358</v>
      </c>
      <c r="C43" s="748"/>
      <c r="D43" s="252">
        <f>D42-D36</f>
        <v>0</v>
      </c>
      <c r="E43" s="253">
        <f t="shared" ref="E43:AM43" si="8">E42-E36</f>
        <v>0</v>
      </c>
      <c r="F43" s="253">
        <f t="shared" si="8"/>
        <v>0</v>
      </c>
      <c r="G43" s="252">
        <f t="shared" si="8"/>
        <v>0</v>
      </c>
      <c r="H43" s="253">
        <f t="shared" si="8"/>
        <v>0</v>
      </c>
      <c r="I43" s="253">
        <f t="shared" si="8"/>
        <v>0</v>
      </c>
      <c r="J43" s="252">
        <f t="shared" si="8"/>
        <v>0</v>
      </c>
      <c r="K43" s="253">
        <f t="shared" si="8"/>
        <v>0</v>
      </c>
      <c r="L43" s="253">
        <f t="shared" si="8"/>
        <v>0</v>
      </c>
      <c r="M43" s="252">
        <f t="shared" si="8"/>
        <v>0</v>
      </c>
      <c r="N43" s="253">
        <f t="shared" si="8"/>
        <v>0</v>
      </c>
      <c r="O43" s="253">
        <f t="shared" si="8"/>
        <v>0</v>
      </c>
      <c r="P43" s="252">
        <f t="shared" si="8"/>
        <v>0</v>
      </c>
      <c r="Q43" s="253">
        <f t="shared" si="8"/>
        <v>0</v>
      </c>
      <c r="R43" s="253">
        <f t="shared" si="8"/>
        <v>0</v>
      </c>
      <c r="S43" s="252">
        <f t="shared" si="8"/>
        <v>0</v>
      </c>
      <c r="T43" s="253">
        <f t="shared" si="8"/>
        <v>0</v>
      </c>
      <c r="U43" s="253">
        <f t="shared" si="8"/>
        <v>0</v>
      </c>
      <c r="V43" s="252">
        <f t="shared" si="8"/>
        <v>0</v>
      </c>
      <c r="W43" s="253">
        <f t="shared" si="8"/>
        <v>0</v>
      </c>
      <c r="X43" s="253">
        <f t="shared" si="8"/>
        <v>0</v>
      </c>
      <c r="Y43" s="252">
        <f t="shared" si="8"/>
        <v>0</v>
      </c>
      <c r="Z43" s="253">
        <f t="shared" si="8"/>
        <v>0</v>
      </c>
      <c r="AA43" s="253">
        <f t="shared" si="8"/>
        <v>0</v>
      </c>
      <c r="AB43" s="252">
        <f t="shared" si="8"/>
        <v>0</v>
      </c>
      <c r="AC43" s="253">
        <f t="shared" si="8"/>
        <v>0</v>
      </c>
      <c r="AD43" s="253">
        <f t="shared" si="8"/>
        <v>0</v>
      </c>
      <c r="AE43" s="252">
        <f t="shared" si="8"/>
        <v>0</v>
      </c>
      <c r="AF43" s="253">
        <f t="shared" si="8"/>
        <v>0</v>
      </c>
      <c r="AG43" s="253">
        <f t="shared" si="8"/>
        <v>0</v>
      </c>
      <c r="AH43" s="252">
        <f t="shared" si="8"/>
        <v>0</v>
      </c>
      <c r="AI43" s="254">
        <f t="shared" si="8"/>
        <v>0</v>
      </c>
      <c r="AJ43" s="253">
        <f t="shared" si="8"/>
        <v>0</v>
      </c>
      <c r="AK43" s="252">
        <f t="shared" si="8"/>
        <v>0</v>
      </c>
      <c r="AL43" s="253">
        <f t="shared" si="8"/>
        <v>0</v>
      </c>
      <c r="AM43" s="253">
        <f t="shared" si="8"/>
        <v>0</v>
      </c>
      <c r="AN43" s="464">
        <f>SUM(D43:AM43)</f>
        <v>0</v>
      </c>
    </row>
    <row r="44" spans="2:40" ht="20.25" customHeight="1" thickBot="1" x14ac:dyDescent="0.2">
      <c r="B44" s="739" t="s">
        <v>359</v>
      </c>
      <c r="C44" s="740"/>
      <c r="D44" s="425"/>
      <c r="E44" s="426"/>
      <c r="F44" s="426"/>
      <c r="G44" s="425"/>
      <c r="H44" s="426"/>
      <c r="I44" s="426"/>
      <c r="J44" s="425"/>
      <c r="K44" s="426"/>
      <c r="L44" s="426"/>
      <c r="M44" s="425"/>
      <c r="N44" s="426"/>
      <c r="O44" s="426"/>
      <c r="P44" s="425"/>
      <c r="Q44" s="426"/>
      <c r="R44" s="426"/>
      <c r="S44" s="425"/>
      <c r="T44" s="426"/>
      <c r="U44" s="426"/>
      <c r="V44" s="425"/>
      <c r="W44" s="426"/>
      <c r="X44" s="426"/>
      <c r="Y44" s="425"/>
      <c r="Z44" s="426"/>
      <c r="AA44" s="426"/>
      <c r="AB44" s="427"/>
      <c r="AC44" s="428"/>
      <c r="AD44" s="428"/>
      <c r="AE44" s="427">
        <f t="shared" ref="AE44:AI44" si="9">AE43</f>
        <v>0</v>
      </c>
      <c r="AF44" s="428">
        <f t="shared" si="9"/>
        <v>0</v>
      </c>
      <c r="AG44" s="428">
        <f t="shared" si="9"/>
        <v>0</v>
      </c>
      <c r="AH44" s="427">
        <f t="shared" si="9"/>
        <v>0</v>
      </c>
      <c r="AI44" s="428">
        <f t="shared" si="9"/>
        <v>0</v>
      </c>
      <c r="AJ44" s="428"/>
      <c r="AK44" s="427"/>
      <c r="AL44" s="428"/>
      <c r="AM44" s="428"/>
      <c r="AN44" s="429">
        <f t="shared" si="5"/>
        <v>0</v>
      </c>
    </row>
  </sheetData>
  <mergeCells count="41">
    <mergeCell ref="B44:C44"/>
    <mergeCell ref="AK34:AM34"/>
    <mergeCell ref="AN34:AN35"/>
    <mergeCell ref="B36:C36"/>
    <mergeCell ref="B37:C37"/>
    <mergeCell ref="B38:B42"/>
    <mergeCell ref="B43:C43"/>
    <mergeCell ref="S34:U34"/>
    <mergeCell ref="V34:X34"/>
    <mergeCell ref="Y34:AA34"/>
    <mergeCell ref="AB34:AD34"/>
    <mergeCell ref="AE34:AG34"/>
    <mergeCell ref="AH34:AJ34"/>
    <mergeCell ref="B34:C35"/>
    <mergeCell ref="D34:F34"/>
    <mergeCell ref="G34:I34"/>
    <mergeCell ref="P4:R4"/>
    <mergeCell ref="J34:L34"/>
    <mergeCell ref="M34:O34"/>
    <mergeCell ref="P34:R34"/>
    <mergeCell ref="B14:B19"/>
    <mergeCell ref="B20:B21"/>
    <mergeCell ref="B26:C26"/>
    <mergeCell ref="B27:C27"/>
    <mergeCell ref="B28:C28"/>
    <mergeCell ref="AK4:AM4"/>
    <mergeCell ref="AN4:AN5"/>
    <mergeCell ref="B7:C10"/>
    <mergeCell ref="AD8:AE8"/>
    <mergeCell ref="B11:B13"/>
    <mergeCell ref="AE4:AG4"/>
    <mergeCell ref="AH4:AJ4"/>
    <mergeCell ref="S4:U4"/>
    <mergeCell ref="V4:X4"/>
    <mergeCell ref="Y4:AA4"/>
    <mergeCell ref="AB4:AD4"/>
    <mergeCell ref="B4:C5"/>
    <mergeCell ref="D4:F4"/>
    <mergeCell ref="G4:I4"/>
    <mergeCell ref="J4:L4"/>
    <mergeCell ref="M4:O4"/>
  </mergeCells>
  <phoneticPr fontId="4"/>
  <pageMargins left="0.78740157480314965" right="0.78740157480314965" top="0.78740157480314965" bottom="0.78740157480314965" header="0.39370078740157483" footer="0.39370078740157483"/>
  <pageSetup paperSize="9" scale="52" orientation="landscape" verticalDpi="300" r:id="rId1"/>
  <headerFooter alignWithMargins="0"/>
  <rowBreaks count="1" manualBreakCount="1">
    <brk id="14" max="39" man="1"/>
  </rowBreaks>
  <colBreaks count="1" manualBreakCount="1">
    <brk id="1" max="50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6"/>
  <sheetViews>
    <sheetView zoomScale="75" zoomScaleNormal="75" workbookViewId="0"/>
  </sheetViews>
  <sheetFormatPr defaultRowHeight="13.5" x14ac:dyDescent="0.15"/>
  <cols>
    <col min="1" max="1" width="1.625" style="29" customWidth="1"/>
    <col min="2" max="2" width="5" style="29" customWidth="1"/>
    <col min="3" max="3" width="22.5" style="29" bestFit="1" customWidth="1"/>
    <col min="4" max="4" width="30" style="29" bestFit="1" customWidth="1"/>
    <col min="5" max="6" width="6" style="29" bestFit="1" customWidth="1"/>
    <col min="7" max="7" width="17.625" style="29" customWidth="1"/>
    <col min="8" max="8" width="10.625" style="29" customWidth="1"/>
    <col min="9" max="9" width="17.625" style="29" customWidth="1"/>
    <col min="10" max="10" width="10.625" style="29" customWidth="1"/>
    <col min="11" max="11" width="15.125" style="30" bestFit="1" customWidth="1"/>
    <col min="12" max="12" width="17.625" style="29" customWidth="1"/>
    <col min="13" max="13" width="10.625" style="29" customWidth="1"/>
    <col min="14" max="14" width="17.625" style="29" customWidth="1"/>
    <col min="15" max="15" width="10.625" style="29" customWidth="1"/>
    <col min="16" max="16" width="19.75" style="29" bestFit="1" customWidth="1"/>
    <col min="17" max="16384" width="9" style="29"/>
  </cols>
  <sheetData>
    <row r="1" spans="2:16" ht="9.9499999999999993" customHeight="1" x14ac:dyDescent="0.15"/>
    <row r="2" spans="2:16" ht="24.95" customHeight="1" thickBot="1" x14ac:dyDescent="0.2">
      <c r="B2" s="5" t="s">
        <v>269</v>
      </c>
      <c r="C2" s="5"/>
      <c r="D2" s="5"/>
      <c r="E2" s="31"/>
      <c r="F2" s="754"/>
      <c r="G2" s="755"/>
      <c r="H2" s="257" t="s">
        <v>164</v>
      </c>
      <c r="I2" s="239" t="s">
        <v>464</v>
      </c>
      <c r="J2" s="239"/>
      <c r="K2" s="257" t="s">
        <v>165</v>
      </c>
      <c r="L2" s="239" t="s">
        <v>465</v>
      </c>
      <c r="M2" s="32"/>
      <c r="P2" s="362"/>
    </row>
    <row r="3" spans="2:16" ht="20.25" customHeight="1" x14ac:dyDescent="0.15">
      <c r="B3" s="756" t="s">
        <v>50</v>
      </c>
      <c r="C3" s="749" t="s">
        <v>28</v>
      </c>
      <c r="D3" s="749" t="s">
        <v>71</v>
      </c>
      <c r="E3" s="758" t="s">
        <v>29</v>
      </c>
      <c r="F3" s="759"/>
      <c r="G3" s="363" t="s">
        <v>234</v>
      </c>
      <c r="H3" s="363" t="s">
        <v>73</v>
      </c>
      <c r="I3" s="363" t="s">
        <v>72</v>
      </c>
      <c r="J3" s="749" t="s">
        <v>55</v>
      </c>
      <c r="K3" s="364" t="s">
        <v>270</v>
      </c>
      <c r="L3" s="363" t="s">
        <v>30</v>
      </c>
      <c r="M3" s="363" t="s">
        <v>74</v>
      </c>
      <c r="N3" s="363" t="s">
        <v>31</v>
      </c>
      <c r="O3" s="363" t="s">
        <v>32</v>
      </c>
      <c r="P3" s="310" t="s">
        <v>33</v>
      </c>
    </row>
    <row r="4" spans="2:16" ht="20.25" customHeight="1" x14ac:dyDescent="0.15">
      <c r="B4" s="757"/>
      <c r="C4" s="750"/>
      <c r="D4" s="750"/>
      <c r="E4" s="7" t="s">
        <v>56</v>
      </c>
      <c r="F4" s="7" t="s">
        <v>7</v>
      </c>
      <c r="G4" s="365" t="s">
        <v>271</v>
      </c>
      <c r="H4" s="365" t="s">
        <v>272</v>
      </c>
      <c r="I4" s="365" t="s">
        <v>76</v>
      </c>
      <c r="J4" s="750"/>
      <c r="K4" s="366" t="s">
        <v>273</v>
      </c>
      <c r="L4" s="365" t="s">
        <v>406</v>
      </c>
      <c r="M4" s="365" t="s">
        <v>274</v>
      </c>
      <c r="N4" s="365" t="s">
        <v>405</v>
      </c>
      <c r="O4" s="365" t="s">
        <v>275</v>
      </c>
      <c r="P4" s="311" t="s">
        <v>404</v>
      </c>
    </row>
    <row r="5" spans="2:16" ht="20.25" customHeight="1" x14ac:dyDescent="0.15">
      <c r="B5" s="751" t="s">
        <v>105</v>
      </c>
      <c r="C5" s="258" t="s">
        <v>235</v>
      </c>
      <c r="D5" s="258" t="s">
        <v>367</v>
      </c>
      <c r="E5" s="258">
        <f>50*12</f>
        <v>600</v>
      </c>
      <c r="F5" s="33" t="s">
        <v>169</v>
      </c>
      <c r="G5" s="258">
        <f>E5*24000</f>
        <v>14400000</v>
      </c>
      <c r="H5" s="259">
        <v>0</v>
      </c>
      <c r="I5" s="258">
        <f t="shared" ref="I5:I7" si="0">G5*(1-H5)</f>
        <v>14400000</v>
      </c>
      <c r="J5" s="258"/>
      <c r="K5" s="260">
        <v>1</v>
      </c>
      <c r="L5" s="284">
        <f t="shared" ref="L5:L7" si="1">I5*K5</f>
        <v>14400000</v>
      </c>
      <c r="M5" s="367">
        <v>0</v>
      </c>
      <c r="N5" s="284">
        <f t="shared" ref="N5:N7" si="2">L5*M5/100</f>
        <v>0</v>
      </c>
      <c r="O5" s="284">
        <v>17</v>
      </c>
      <c r="P5" s="110">
        <f t="shared" ref="P5:P7" si="3">IF(O5="","",(L5-N5)/O5)</f>
        <v>847058.82352941181</v>
      </c>
    </row>
    <row r="6" spans="2:16" ht="20.25" customHeight="1" x14ac:dyDescent="0.15">
      <c r="B6" s="752"/>
      <c r="C6" s="258" t="s">
        <v>236</v>
      </c>
      <c r="D6" s="258" t="s">
        <v>242</v>
      </c>
      <c r="E6" s="261">
        <v>221</v>
      </c>
      <c r="F6" s="33" t="s">
        <v>169</v>
      </c>
      <c r="G6" s="258">
        <f>E6*22000</f>
        <v>4862000</v>
      </c>
      <c r="H6" s="259">
        <v>0</v>
      </c>
      <c r="I6" s="258">
        <f t="shared" si="0"/>
        <v>4862000</v>
      </c>
      <c r="J6" s="258"/>
      <c r="K6" s="260">
        <v>1</v>
      </c>
      <c r="L6" s="284">
        <f t="shared" si="1"/>
        <v>4862000</v>
      </c>
      <c r="M6" s="367">
        <v>0</v>
      </c>
      <c r="N6" s="284">
        <f t="shared" si="2"/>
        <v>0</v>
      </c>
      <c r="O6" s="284">
        <v>17</v>
      </c>
      <c r="P6" s="110">
        <f t="shared" si="3"/>
        <v>286000</v>
      </c>
    </row>
    <row r="7" spans="2:16" ht="20.25" customHeight="1" x14ac:dyDescent="0.15">
      <c r="B7" s="752"/>
      <c r="C7" s="258" t="s">
        <v>387</v>
      </c>
      <c r="D7" s="258" t="s">
        <v>341</v>
      </c>
      <c r="E7" s="261">
        <v>120</v>
      </c>
      <c r="F7" s="33" t="s">
        <v>169</v>
      </c>
      <c r="G7" s="258">
        <f>E7*24000</f>
        <v>2880000</v>
      </c>
      <c r="H7" s="259">
        <v>0</v>
      </c>
      <c r="I7" s="258">
        <f t="shared" si="0"/>
        <v>2880000</v>
      </c>
      <c r="J7" s="258"/>
      <c r="K7" s="260">
        <v>1</v>
      </c>
      <c r="L7" s="284">
        <f t="shared" si="1"/>
        <v>2880000</v>
      </c>
      <c r="M7" s="367">
        <v>0</v>
      </c>
      <c r="N7" s="284">
        <f t="shared" si="2"/>
        <v>0</v>
      </c>
      <c r="O7" s="284">
        <v>17</v>
      </c>
      <c r="P7" s="110">
        <f t="shared" si="3"/>
        <v>169411.76470588235</v>
      </c>
    </row>
    <row r="8" spans="2:16" ht="20.25" customHeight="1" x14ac:dyDescent="0.15">
      <c r="B8" s="752"/>
      <c r="C8" s="258"/>
      <c r="D8" s="258"/>
      <c r="E8" s="261"/>
      <c r="F8" s="33"/>
      <c r="G8" s="258"/>
      <c r="H8" s="259"/>
      <c r="I8" s="258"/>
      <c r="J8" s="258"/>
      <c r="K8" s="260"/>
      <c r="L8" s="284"/>
      <c r="M8" s="367"/>
      <c r="N8" s="284"/>
      <c r="O8" s="284"/>
      <c r="P8" s="110"/>
    </row>
    <row r="9" spans="2:16" ht="20.25" customHeight="1" x14ac:dyDescent="0.15">
      <c r="B9" s="752"/>
      <c r="C9" s="258"/>
      <c r="D9" s="258"/>
      <c r="E9" s="261"/>
      <c r="F9" s="33"/>
      <c r="G9" s="258"/>
      <c r="H9" s="259"/>
      <c r="I9" s="258"/>
      <c r="J9" s="258"/>
      <c r="K9" s="260"/>
      <c r="L9" s="284"/>
      <c r="M9" s="367"/>
      <c r="N9" s="284"/>
      <c r="O9" s="284"/>
      <c r="P9" s="110"/>
    </row>
    <row r="10" spans="2:16" ht="20.25" customHeight="1" x14ac:dyDescent="0.15">
      <c r="B10" s="752"/>
      <c r="C10" s="258"/>
      <c r="D10" s="258"/>
      <c r="E10" s="261"/>
      <c r="F10" s="33"/>
      <c r="G10" s="258"/>
      <c r="H10" s="259"/>
      <c r="I10" s="258"/>
      <c r="J10" s="258"/>
      <c r="K10" s="260"/>
      <c r="L10" s="284"/>
      <c r="M10" s="367"/>
      <c r="N10" s="284"/>
      <c r="O10" s="284"/>
      <c r="P10" s="110"/>
    </row>
    <row r="11" spans="2:16" ht="20.25" customHeight="1" x14ac:dyDescent="0.15">
      <c r="B11" s="752"/>
      <c r="C11" s="284"/>
      <c r="D11" s="284"/>
      <c r="E11" s="284"/>
      <c r="F11" s="368"/>
      <c r="G11" s="284"/>
      <c r="H11" s="367"/>
      <c r="I11" s="284"/>
      <c r="J11" s="284"/>
      <c r="K11" s="369"/>
      <c r="L11" s="284"/>
      <c r="M11" s="367"/>
      <c r="N11" s="284"/>
      <c r="O11" s="284"/>
      <c r="P11" s="110"/>
    </row>
    <row r="12" spans="2:16" ht="20.25" customHeight="1" x14ac:dyDescent="0.15">
      <c r="B12" s="753"/>
      <c r="C12" s="370" t="s">
        <v>34</v>
      </c>
      <c r="D12" s="371"/>
      <c r="E12" s="371"/>
      <c r="F12" s="372"/>
      <c r="G12" s="371">
        <f>SUM(G5:G11)</f>
        <v>22142000</v>
      </c>
      <c r="H12" s="371"/>
      <c r="I12" s="371">
        <f>SUM(I5:I11)</f>
        <v>22142000</v>
      </c>
      <c r="J12" s="371"/>
      <c r="K12" s="373"/>
      <c r="L12" s="371">
        <f>SUM(L5:L11)</f>
        <v>22142000</v>
      </c>
      <c r="M12" s="371"/>
      <c r="N12" s="371"/>
      <c r="O12" s="371"/>
      <c r="P12" s="312">
        <f>SUM(P5:P11)</f>
        <v>1302470.5882352942</v>
      </c>
    </row>
    <row r="13" spans="2:16" ht="20.25" customHeight="1" x14ac:dyDescent="0.15">
      <c r="B13" s="751" t="s">
        <v>106</v>
      </c>
      <c r="C13" s="258" t="s">
        <v>36</v>
      </c>
      <c r="D13" s="258" t="s">
        <v>276</v>
      </c>
      <c r="E13" s="258">
        <v>1</v>
      </c>
      <c r="F13" s="33" t="s">
        <v>37</v>
      </c>
      <c r="G13" s="258">
        <v>4367700</v>
      </c>
      <c r="H13" s="259">
        <v>0</v>
      </c>
      <c r="I13" s="258">
        <f>G13*(1-H13)</f>
        <v>4367700</v>
      </c>
      <c r="J13" s="258"/>
      <c r="K13" s="260">
        <v>1</v>
      </c>
      <c r="L13" s="258">
        <f>I13*K13</f>
        <v>4367700</v>
      </c>
      <c r="M13" s="374">
        <v>0</v>
      </c>
      <c r="N13" s="284">
        <f t="shared" ref="N13:N26" si="4">L13*M13</f>
        <v>0</v>
      </c>
      <c r="O13" s="375">
        <v>7</v>
      </c>
      <c r="P13" s="110">
        <f t="shared" ref="P13:P38" si="5">IF(O13="","",(L13-N13)/O13)</f>
        <v>623957.14285714284</v>
      </c>
    </row>
    <row r="14" spans="2:16" ht="20.25" customHeight="1" x14ac:dyDescent="0.15">
      <c r="B14" s="752"/>
      <c r="C14" s="258" t="s">
        <v>36</v>
      </c>
      <c r="D14" s="258" t="s">
        <v>414</v>
      </c>
      <c r="E14" s="258">
        <v>1</v>
      </c>
      <c r="F14" s="33" t="s">
        <v>37</v>
      </c>
      <c r="G14" s="258">
        <v>2713200</v>
      </c>
      <c r="H14" s="259">
        <v>0</v>
      </c>
      <c r="I14" s="258">
        <f>G14*(1-H14)</f>
        <v>2713200</v>
      </c>
      <c r="J14" s="258"/>
      <c r="K14" s="260">
        <v>1</v>
      </c>
      <c r="L14" s="258">
        <f>I14*K14</f>
        <v>2713200</v>
      </c>
      <c r="M14" s="374">
        <v>0</v>
      </c>
      <c r="N14" s="284">
        <f t="shared" ref="N14" si="6">L14*M14</f>
        <v>0</v>
      </c>
      <c r="O14" s="375">
        <v>7</v>
      </c>
      <c r="P14" s="110">
        <f t="shared" ref="P14" si="7">IF(O14="","",(L14-N14)/O14)</f>
        <v>387600</v>
      </c>
    </row>
    <row r="15" spans="2:16" ht="20.25" customHeight="1" x14ac:dyDescent="0.15">
      <c r="B15" s="752"/>
      <c r="C15" s="258" t="s">
        <v>277</v>
      </c>
      <c r="D15" s="258" t="s">
        <v>338</v>
      </c>
      <c r="E15" s="258">
        <v>1</v>
      </c>
      <c r="F15" s="33" t="s">
        <v>37</v>
      </c>
      <c r="G15" s="258">
        <v>1500000</v>
      </c>
      <c r="H15" s="259">
        <v>0</v>
      </c>
      <c r="I15" s="258">
        <f t="shared" ref="I15:I40" si="8">G15*(1-H15)</f>
        <v>1500000</v>
      </c>
      <c r="J15" s="258"/>
      <c r="K15" s="260">
        <v>1</v>
      </c>
      <c r="L15" s="258">
        <f t="shared" ref="L15:L26" si="9">I15*K15</f>
        <v>1500000</v>
      </c>
      <c r="M15" s="374">
        <v>0</v>
      </c>
      <c r="N15" s="284">
        <f t="shared" si="4"/>
        <v>0</v>
      </c>
      <c r="O15" s="284">
        <v>4</v>
      </c>
      <c r="P15" s="110">
        <f t="shared" si="5"/>
        <v>375000</v>
      </c>
    </row>
    <row r="16" spans="2:16" ht="20.25" customHeight="1" x14ac:dyDescent="0.15">
      <c r="B16" s="752"/>
      <c r="C16" s="258" t="s">
        <v>278</v>
      </c>
      <c r="D16" s="8" t="s">
        <v>339</v>
      </c>
      <c r="E16" s="258">
        <v>1</v>
      </c>
      <c r="F16" s="272" t="s">
        <v>57</v>
      </c>
      <c r="G16" s="258">
        <v>276150</v>
      </c>
      <c r="H16" s="259">
        <v>0.5</v>
      </c>
      <c r="I16" s="258">
        <f t="shared" si="8"/>
        <v>138075</v>
      </c>
      <c r="J16" s="258"/>
      <c r="K16" s="260">
        <v>1</v>
      </c>
      <c r="L16" s="258">
        <f t="shared" si="9"/>
        <v>138075</v>
      </c>
      <c r="M16" s="374">
        <v>0</v>
      </c>
      <c r="N16" s="284">
        <f t="shared" si="4"/>
        <v>0</v>
      </c>
      <c r="O16" s="284">
        <v>7</v>
      </c>
      <c r="P16" s="110">
        <f t="shared" si="5"/>
        <v>19725</v>
      </c>
    </row>
    <row r="17" spans="2:16" ht="20.25" customHeight="1" x14ac:dyDescent="0.15">
      <c r="B17" s="752"/>
      <c r="C17" s="258" t="s">
        <v>279</v>
      </c>
      <c r="D17" s="258" t="s">
        <v>415</v>
      </c>
      <c r="E17" s="258">
        <v>1</v>
      </c>
      <c r="F17" s="33" t="s">
        <v>57</v>
      </c>
      <c r="G17" s="258">
        <v>409500</v>
      </c>
      <c r="H17" s="259">
        <v>0.5</v>
      </c>
      <c r="I17" s="258">
        <f t="shared" ref="I17" si="10">G17*(1-H17)</f>
        <v>204750</v>
      </c>
      <c r="J17" s="258"/>
      <c r="K17" s="260">
        <v>1</v>
      </c>
      <c r="L17" s="258">
        <f t="shared" ref="L17" si="11">I17*K17</f>
        <v>204750</v>
      </c>
      <c r="M17" s="367">
        <v>0</v>
      </c>
      <c r="N17" s="284">
        <f t="shared" ref="N17" si="12">L17*M17</f>
        <v>0</v>
      </c>
      <c r="O17" s="284">
        <v>7</v>
      </c>
      <c r="P17" s="110">
        <f t="shared" ref="P17" si="13">IF(O17="","",(L17-N17)/O17)</f>
        <v>29250</v>
      </c>
    </row>
    <row r="18" spans="2:16" ht="20.25" customHeight="1" x14ac:dyDescent="0.15">
      <c r="B18" s="752"/>
      <c r="C18" s="258" t="s">
        <v>279</v>
      </c>
      <c r="D18" s="258" t="s">
        <v>280</v>
      </c>
      <c r="E18" s="258">
        <v>1</v>
      </c>
      <c r="F18" s="33" t="s">
        <v>57</v>
      </c>
      <c r="G18" s="258">
        <v>805350</v>
      </c>
      <c r="H18" s="259">
        <v>0.5</v>
      </c>
      <c r="I18" s="258">
        <f t="shared" si="8"/>
        <v>402675</v>
      </c>
      <c r="J18" s="258"/>
      <c r="K18" s="260">
        <v>1</v>
      </c>
      <c r="L18" s="258">
        <f t="shared" si="9"/>
        <v>402675</v>
      </c>
      <c r="M18" s="367">
        <v>0</v>
      </c>
      <c r="N18" s="284">
        <f t="shared" si="4"/>
        <v>0</v>
      </c>
      <c r="O18" s="284">
        <v>7</v>
      </c>
      <c r="P18" s="110">
        <f t="shared" si="5"/>
        <v>57525</v>
      </c>
    </row>
    <row r="19" spans="2:16" ht="20.25" customHeight="1" x14ac:dyDescent="0.15">
      <c r="B19" s="752"/>
      <c r="C19" s="258" t="s">
        <v>240</v>
      </c>
      <c r="D19" s="258" t="s">
        <v>281</v>
      </c>
      <c r="E19" s="258">
        <v>1</v>
      </c>
      <c r="F19" s="33" t="s">
        <v>57</v>
      </c>
      <c r="G19" s="258">
        <v>900900</v>
      </c>
      <c r="H19" s="259">
        <v>0.5</v>
      </c>
      <c r="I19" s="258">
        <f t="shared" si="8"/>
        <v>450450</v>
      </c>
      <c r="J19" s="258"/>
      <c r="K19" s="260">
        <v>1</v>
      </c>
      <c r="L19" s="258">
        <f t="shared" si="9"/>
        <v>450450</v>
      </c>
      <c r="M19" s="367">
        <v>0</v>
      </c>
      <c r="N19" s="284">
        <f t="shared" si="4"/>
        <v>0</v>
      </c>
      <c r="O19" s="284">
        <v>7</v>
      </c>
      <c r="P19" s="110">
        <f t="shared" si="5"/>
        <v>64350</v>
      </c>
    </row>
    <row r="20" spans="2:16" ht="20.25" customHeight="1" x14ac:dyDescent="0.15">
      <c r="B20" s="752"/>
      <c r="C20" s="258" t="s">
        <v>282</v>
      </c>
      <c r="D20" s="258" t="s">
        <v>283</v>
      </c>
      <c r="E20" s="258">
        <v>1</v>
      </c>
      <c r="F20" s="33" t="s">
        <v>57</v>
      </c>
      <c r="G20" s="258">
        <v>808500</v>
      </c>
      <c r="H20" s="259">
        <v>0.5</v>
      </c>
      <c r="I20" s="258">
        <f t="shared" si="8"/>
        <v>404250</v>
      </c>
      <c r="J20" s="258"/>
      <c r="K20" s="260">
        <v>1</v>
      </c>
      <c r="L20" s="258">
        <f t="shared" si="9"/>
        <v>404250</v>
      </c>
      <c r="M20" s="367">
        <v>0</v>
      </c>
      <c r="N20" s="284">
        <f t="shared" si="4"/>
        <v>0</v>
      </c>
      <c r="O20" s="284">
        <v>7</v>
      </c>
      <c r="P20" s="110">
        <f t="shared" si="5"/>
        <v>57750</v>
      </c>
    </row>
    <row r="21" spans="2:16" ht="20.25" customHeight="1" x14ac:dyDescent="0.15">
      <c r="B21" s="752"/>
      <c r="C21" s="258" t="s">
        <v>284</v>
      </c>
      <c r="D21" s="258" t="s">
        <v>340</v>
      </c>
      <c r="E21" s="258">
        <v>1</v>
      </c>
      <c r="F21" s="33" t="s">
        <v>57</v>
      </c>
      <c r="G21" s="258">
        <v>564900</v>
      </c>
      <c r="H21" s="259">
        <v>0.5</v>
      </c>
      <c r="I21" s="258">
        <f t="shared" si="8"/>
        <v>282450</v>
      </c>
      <c r="J21" s="258"/>
      <c r="K21" s="260">
        <v>1</v>
      </c>
      <c r="L21" s="258">
        <f t="shared" si="9"/>
        <v>282450</v>
      </c>
      <c r="M21" s="367">
        <v>0</v>
      </c>
      <c r="N21" s="284">
        <f t="shared" si="4"/>
        <v>0</v>
      </c>
      <c r="O21" s="284">
        <v>7</v>
      </c>
      <c r="P21" s="110">
        <f t="shared" si="5"/>
        <v>40350</v>
      </c>
    </row>
    <row r="22" spans="2:16" ht="20.25" customHeight="1" x14ac:dyDescent="0.15">
      <c r="B22" s="752"/>
      <c r="C22" s="258" t="s">
        <v>237</v>
      </c>
      <c r="D22" s="258" t="s">
        <v>285</v>
      </c>
      <c r="E22" s="258">
        <v>1</v>
      </c>
      <c r="F22" s="33" t="s">
        <v>57</v>
      </c>
      <c r="G22" s="258">
        <v>2773050</v>
      </c>
      <c r="H22" s="259">
        <v>0.5</v>
      </c>
      <c r="I22" s="258">
        <f t="shared" si="8"/>
        <v>1386525</v>
      </c>
      <c r="J22" s="258"/>
      <c r="K22" s="260">
        <v>1</v>
      </c>
      <c r="L22" s="258">
        <f t="shared" si="9"/>
        <v>1386525</v>
      </c>
      <c r="M22" s="367">
        <v>0</v>
      </c>
      <c r="N22" s="284">
        <f t="shared" si="4"/>
        <v>0</v>
      </c>
      <c r="O22" s="284">
        <v>7</v>
      </c>
      <c r="P22" s="110">
        <f t="shared" si="5"/>
        <v>198075</v>
      </c>
    </row>
    <row r="23" spans="2:16" ht="20.25" customHeight="1" x14ac:dyDescent="0.15">
      <c r="B23" s="752"/>
      <c r="C23" s="258" t="s">
        <v>238</v>
      </c>
      <c r="D23" s="258" t="s">
        <v>286</v>
      </c>
      <c r="E23" s="258">
        <v>1</v>
      </c>
      <c r="F23" s="33" t="s">
        <v>57</v>
      </c>
      <c r="G23" s="258">
        <v>1769250</v>
      </c>
      <c r="H23" s="259">
        <v>0.5</v>
      </c>
      <c r="I23" s="258">
        <f t="shared" si="8"/>
        <v>884625</v>
      </c>
      <c r="J23" s="258"/>
      <c r="K23" s="260">
        <v>1</v>
      </c>
      <c r="L23" s="258">
        <f t="shared" si="9"/>
        <v>884625</v>
      </c>
      <c r="M23" s="367">
        <v>0</v>
      </c>
      <c r="N23" s="284">
        <f t="shared" si="4"/>
        <v>0</v>
      </c>
      <c r="O23" s="284">
        <v>7</v>
      </c>
      <c r="P23" s="110">
        <f t="shared" si="5"/>
        <v>126375</v>
      </c>
    </row>
    <row r="24" spans="2:16" ht="20.25" customHeight="1" x14ac:dyDescent="0.15">
      <c r="B24" s="752"/>
      <c r="C24" s="258" t="s">
        <v>288</v>
      </c>
      <c r="D24" s="258"/>
      <c r="E24" s="258">
        <v>1</v>
      </c>
      <c r="F24" s="33" t="s">
        <v>57</v>
      </c>
      <c r="G24" s="258">
        <v>836750</v>
      </c>
      <c r="H24" s="259">
        <v>0.5</v>
      </c>
      <c r="I24" s="258">
        <f t="shared" si="8"/>
        <v>418375</v>
      </c>
      <c r="J24" s="258"/>
      <c r="K24" s="260">
        <v>1</v>
      </c>
      <c r="L24" s="258">
        <f t="shared" si="9"/>
        <v>418375</v>
      </c>
      <c r="M24" s="367">
        <v>0</v>
      </c>
      <c r="N24" s="284">
        <f t="shared" si="4"/>
        <v>0</v>
      </c>
      <c r="O24" s="284">
        <v>7</v>
      </c>
      <c r="P24" s="110">
        <f t="shared" si="5"/>
        <v>59767.857142857145</v>
      </c>
    </row>
    <row r="25" spans="2:16" ht="20.25" customHeight="1" x14ac:dyDescent="0.15">
      <c r="B25" s="752"/>
      <c r="C25" s="258" t="s">
        <v>239</v>
      </c>
      <c r="D25" s="258"/>
      <c r="E25" s="258">
        <v>1</v>
      </c>
      <c r="F25" s="33" t="s">
        <v>57</v>
      </c>
      <c r="G25" s="258">
        <v>290850</v>
      </c>
      <c r="H25" s="259">
        <v>0.5</v>
      </c>
      <c r="I25" s="258">
        <f t="shared" si="8"/>
        <v>145425</v>
      </c>
      <c r="J25" s="258"/>
      <c r="K25" s="260">
        <v>1</v>
      </c>
      <c r="L25" s="258">
        <f t="shared" si="9"/>
        <v>145425</v>
      </c>
      <c r="M25" s="367">
        <v>0</v>
      </c>
      <c r="N25" s="284">
        <f t="shared" si="4"/>
        <v>0</v>
      </c>
      <c r="O25" s="284">
        <v>7</v>
      </c>
      <c r="P25" s="110">
        <f t="shared" si="5"/>
        <v>20775</v>
      </c>
    </row>
    <row r="26" spans="2:16" ht="20.25" customHeight="1" x14ac:dyDescent="0.15">
      <c r="B26" s="752"/>
      <c r="C26" s="258" t="s">
        <v>302</v>
      </c>
      <c r="D26" s="258" t="s">
        <v>303</v>
      </c>
      <c r="E26" s="258">
        <v>1</v>
      </c>
      <c r="F26" s="33" t="s">
        <v>57</v>
      </c>
      <c r="G26" s="258">
        <v>1262100</v>
      </c>
      <c r="H26" s="259">
        <v>0.5</v>
      </c>
      <c r="I26" s="258">
        <f t="shared" si="8"/>
        <v>631050</v>
      </c>
      <c r="J26" s="258"/>
      <c r="K26" s="260">
        <v>1</v>
      </c>
      <c r="L26" s="258">
        <f t="shared" si="9"/>
        <v>631050</v>
      </c>
      <c r="M26" s="367">
        <v>0</v>
      </c>
      <c r="N26" s="284">
        <f t="shared" si="4"/>
        <v>0</v>
      </c>
      <c r="O26" s="284">
        <v>7</v>
      </c>
      <c r="P26" s="110">
        <f t="shared" si="5"/>
        <v>90150</v>
      </c>
    </row>
    <row r="27" spans="2:16" ht="20.25" customHeight="1" x14ac:dyDescent="0.15">
      <c r="B27" s="752"/>
      <c r="C27" s="258" t="s">
        <v>290</v>
      </c>
      <c r="D27" s="258"/>
      <c r="E27" s="258">
        <v>1</v>
      </c>
      <c r="F27" s="33" t="s">
        <v>57</v>
      </c>
      <c r="G27" s="258">
        <v>147000</v>
      </c>
      <c r="H27" s="259">
        <v>0.5</v>
      </c>
      <c r="I27" s="258">
        <v>73500</v>
      </c>
      <c r="J27" s="258"/>
      <c r="K27" s="260">
        <v>1</v>
      </c>
      <c r="L27" s="258">
        <v>73500</v>
      </c>
      <c r="M27" s="367">
        <v>0</v>
      </c>
      <c r="N27" s="284">
        <v>0</v>
      </c>
      <c r="O27" s="284">
        <v>7</v>
      </c>
      <c r="P27" s="110">
        <v>10500</v>
      </c>
    </row>
    <row r="28" spans="2:16" ht="20.25" customHeight="1" x14ac:dyDescent="0.15">
      <c r="B28" s="752"/>
      <c r="C28" s="258"/>
      <c r="D28" s="258"/>
      <c r="E28" s="258"/>
      <c r="F28" s="33"/>
      <c r="G28" s="258"/>
      <c r="H28" s="259"/>
      <c r="I28" s="258"/>
      <c r="J28" s="258"/>
      <c r="K28" s="260"/>
      <c r="L28" s="258"/>
      <c r="M28" s="367"/>
      <c r="N28" s="284"/>
      <c r="O28" s="284"/>
      <c r="P28" s="110"/>
    </row>
    <row r="29" spans="2:16" ht="20.25" customHeight="1" x14ac:dyDescent="0.15">
      <c r="B29" s="752"/>
      <c r="C29" s="258"/>
      <c r="D29" s="258"/>
      <c r="E29" s="258"/>
      <c r="F29" s="33"/>
      <c r="G29" s="258"/>
      <c r="H29" s="259"/>
      <c r="I29" s="258"/>
      <c r="J29" s="258"/>
      <c r="K29" s="260"/>
      <c r="L29" s="258"/>
      <c r="M29" s="367"/>
      <c r="N29" s="284"/>
      <c r="O29" s="284"/>
      <c r="P29" s="110" t="str">
        <f t="shared" si="5"/>
        <v/>
      </c>
    </row>
    <row r="30" spans="2:16" ht="20.25" customHeight="1" x14ac:dyDescent="0.15">
      <c r="B30" s="752"/>
      <c r="C30" s="258"/>
      <c r="D30" s="258"/>
      <c r="E30" s="258"/>
      <c r="F30" s="33"/>
      <c r="G30" s="258"/>
      <c r="H30" s="259"/>
      <c r="I30" s="258"/>
      <c r="J30" s="258"/>
      <c r="K30" s="260"/>
      <c r="L30" s="258"/>
      <c r="M30" s="367"/>
      <c r="N30" s="284"/>
      <c r="O30" s="284"/>
      <c r="P30" s="110" t="str">
        <f t="shared" si="5"/>
        <v/>
      </c>
    </row>
    <row r="31" spans="2:16" ht="20.25" customHeight="1" x14ac:dyDescent="0.15">
      <c r="B31" s="752"/>
      <c r="C31" s="258"/>
      <c r="D31" s="258"/>
      <c r="E31" s="262"/>
      <c r="F31" s="33"/>
      <c r="G31" s="258"/>
      <c r="H31" s="259"/>
      <c r="I31" s="258"/>
      <c r="J31" s="258"/>
      <c r="K31" s="260"/>
      <c r="L31" s="258"/>
      <c r="M31" s="367"/>
      <c r="N31" s="284"/>
      <c r="O31" s="284"/>
      <c r="P31" s="110" t="str">
        <f t="shared" si="5"/>
        <v/>
      </c>
    </row>
    <row r="32" spans="2:16" ht="20.25" customHeight="1" x14ac:dyDescent="0.15">
      <c r="B32" s="752"/>
      <c r="C32" s="258"/>
      <c r="D32" s="258"/>
      <c r="E32" s="258"/>
      <c r="F32" s="33"/>
      <c r="G32" s="258"/>
      <c r="H32" s="259"/>
      <c r="I32" s="258"/>
      <c r="J32" s="258"/>
      <c r="K32" s="260"/>
      <c r="L32" s="258"/>
      <c r="M32" s="367"/>
      <c r="N32" s="284"/>
      <c r="O32" s="284"/>
      <c r="P32" s="110" t="str">
        <f t="shared" si="5"/>
        <v/>
      </c>
    </row>
    <row r="33" spans="2:16" ht="20.25" customHeight="1" x14ac:dyDescent="0.15">
      <c r="B33" s="752"/>
      <c r="C33" s="258"/>
      <c r="D33" s="258"/>
      <c r="E33" s="258"/>
      <c r="F33" s="33"/>
      <c r="G33" s="258"/>
      <c r="H33" s="259"/>
      <c r="I33" s="258"/>
      <c r="J33" s="258"/>
      <c r="K33" s="260"/>
      <c r="L33" s="258"/>
      <c r="M33" s="367"/>
      <c r="N33" s="284"/>
      <c r="O33" s="284"/>
      <c r="P33" s="110" t="str">
        <f t="shared" si="5"/>
        <v/>
      </c>
    </row>
    <row r="34" spans="2:16" ht="20.25" customHeight="1" x14ac:dyDescent="0.15">
      <c r="B34" s="752"/>
      <c r="C34" s="258"/>
      <c r="D34" s="258"/>
      <c r="E34" s="258"/>
      <c r="F34" s="33"/>
      <c r="G34" s="258"/>
      <c r="H34" s="259"/>
      <c r="I34" s="258"/>
      <c r="J34" s="258"/>
      <c r="K34" s="260"/>
      <c r="L34" s="258"/>
      <c r="M34" s="367"/>
      <c r="N34" s="284"/>
      <c r="O34" s="284"/>
      <c r="P34" s="110" t="str">
        <f t="shared" si="5"/>
        <v/>
      </c>
    </row>
    <row r="35" spans="2:16" ht="20.25" customHeight="1" x14ac:dyDescent="0.15">
      <c r="B35" s="752"/>
      <c r="C35" s="258"/>
      <c r="D35" s="258"/>
      <c r="E35" s="258"/>
      <c r="F35" s="33"/>
      <c r="G35" s="258"/>
      <c r="H35" s="259"/>
      <c r="I35" s="258"/>
      <c r="J35" s="258"/>
      <c r="K35" s="260"/>
      <c r="L35" s="258"/>
      <c r="M35" s="367"/>
      <c r="N35" s="284"/>
      <c r="O35" s="284"/>
      <c r="P35" s="110" t="str">
        <f t="shared" si="5"/>
        <v/>
      </c>
    </row>
    <row r="36" spans="2:16" ht="20.25" customHeight="1" x14ac:dyDescent="0.15">
      <c r="B36" s="752"/>
      <c r="C36" s="258"/>
      <c r="D36" s="258"/>
      <c r="E36" s="258"/>
      <c r="F36" s="33"/>
      <c r="G36" s="258"/>
      <c r="H36" s="259"/>
      <c r="I36" s="258"/>
      <c r="J36" s="258"/>
      <c r="K36" s="260"/>
      <c r="L36" s="258"/>
      <c r="M36" s="367"/>
      <c r="N36" s="284"/>
      <c r="O36" s="284"/>
      <c r="P36" s="110" t="str">
        <f t="shared" si="5"/>
        <v/>
      </c>
    </row>
    <row r="37" spans="2:16" ht="20.25" customHeight="1" x14ac:dyDescent="0.15">
      <c r="B37" s="752"/>
      <c r="C37" s="258"/>
      <c r="D37" s="258"/>
      <c r="E37" s="258"/>
      <c r="F37" s="33"/>
      <c r="G37" s="258"/>
      <c r="H37" s="259"/>
      <c r="I37" s="258"/>
      <c r="J37" s="258"/>
      <c r="K37" s="260"/>
      <c r="L37" s="258"/>
      <c r="M37" s="367"/>
      <c r="N37" s="284"/>
      <c r="O37" s="284"/>
      <c r="P37" s="110" t="str">
        <f t="shared" si="5"/>
        <v/>
      </c>
    </row>
    <row r="38" spans="2:16" ht="20.25" customHeight="1" x14ac:dyDescent="0.15">
      <c r="B38" s="752"/>
      <c r="C38" s="258"/>
      <c r="D38" s="258"/>
      <c r="E38" s="258"/>
      <c r="F38" s="33"/>
      <c r="G38" s="258"/>
      <c r="H38" s="259"/>
      <c r="I38" s="258"/>
      <c r="J38" s="258"/>
      <c r="K38" s="260"/>
      <c r="L38" s="258"/>
      <c r="M38" s="367"/>
      <c r="N38" s="284"/>
      <c r="O38" s="284"/>
      <c r="P38" s="110" t="str">
        <f t="shared" si="5"/>
        <v/>
      </c>
    </row>
    <row r="39" spans="2:16" ht="20.25" customHeight="1" x14ac:dyDescent="0.15">
      <c r="B39" s="753"/>
      <c r="C39" s="263"/>
      <c r="D39" s="263"/>
      <c r="E39" s="263"/>
      <c r="F39" s="264"/>
      <c r="G39" s="263">
        <f>SUM(G13:G37)</f>
        <v>19425200</v>
      </c>
      <c r="H39" s="263"/>
      <c r="I39" s="263">
        <f>SUM(I13:I37)</f>
        <v>14003050</v>
      </c>
      <c r="J39" s="263"/>
      <c r="K39" s="265"/>
      <c r="L39" s="263">
        <f>SUM(L13:L37)</f>
        <v>14003050</v>
      </c>
      <c r="M39" s="371"/>
      <c r="N39" s="371"/>
      <c r="O39" s="371"/>
      <c r="P39" s="312">
        <f>SUM(P13:P37)</f>
        <v>2161150</v>
      </c>
    </row>
    <row r="40" spans="2:16" ht="20.25" customHeight="1" x14ac:dyDescent="0.15">
      <c r="B40" s="751" t="s">
        <v>75</v>
      </c>
      <c r="C40" s="258" t="s">
        <v>241</v>
      </c>
      <c r="D40" s="258" t="s">
        <v>291</v>
      </c>
      <c r="E40" s="258">
        <v>50</v>
      </c>
      <c r="F40" s="33" t="s">
        <v>289</v>
      </c>
      <c r="G40" s="258">
        <f>352500*50</f>
        <v>17625000</v>
      </c>
      <c r="H40" s="266"/>
      <c r="I40" s="258">
        <f t="shared" si="8"/>
        <v>17625000</v>
      </c>
      <c r="J40" s="258"/>
      <c r="K40" s="260">
        <v>1</v>
      </c>
      <c r="L40" s="258">
        <f>I40*K40</f>
        <v>17625000</v>
      </c>
      <c r="M40" s="376"/>
      <c r="N40" s="284">
        <v>0</v>
      </c>
      <c r="O40" s="284">
        <v>6</v>
      </c>
      <c r="P40" s="110">
        <f>IF(O40="","",(L40-N40)/O40)</f>
        <v>2937500</v>
      </c>
    </row>
    <row r="41" spans="2:16" ht="20.25" customHeight="1" x14ac:dyDescent="0.15">
      <c r="B41" s="752"/>
      <c r="C41" s="258"/>
      <c r="D41" s="258"/>
      <c r="E41" s="258"/>
      <c r="F41" s="258"/>
      <c r="G41" s="258"/>
      <c r="H41" s="266"/>
      <c r="I41" s="258"/>
      <c r="J41" s="258"/>
      <c r="K41" s="260"/>
      <c r="L41" s="258"/>
      <c r="M41" s="376"/>
      <c r="N41" s="284"/>
      <c r="O41" s="284"/>
      <c r="P41" s="110" t="str">
        <f>IF(O41="","",(L41-N41)/O41)</f>
        <v/>
      </c>
    </row>
    <row r="42" spans="2:16" ht="20.25" customHeight="1" x14ac:dyDescent="0.15">
      <c r="B42" s="752"/>
      <c r="C42" s="284"/>
      <c r="D42" s="284"/>
      <c r="E42" s="284"/>
      <c r="F42" s="284"/>
      <c r="G42" s="284"/>
      <c r="H42" s="376"/>
      <c r="I42" s="284"/>
      <c r="J42" s="284"/>
      <c r="K42" s="369"/>
      <c r="L42" s="284"/>
      <c r="M42" s="376"/>
      <c r="N42" s="284"/>
      <c r="O42" s="284"/>
      <c r="P42" s="110" t="str">
        <f>IF(O42="","",(L42-N42)/O42)</f>
        <v/>
      </c>
    </row>
    <row r="43" spans="2:16" ht="20.25" customHeight="1" x14ac:dyDescent="0.15">
      <c r="B43" s="752"/>
      <c r="C43" s="284"/>
      <c r="D43" s="284"/>
      <c r="E43" s="284"/>
      <c r="F43" s="284"/>
      <c r="G43" s="284"/>
      <c r="H43" s="376"/>
      <c r="I43" s="284"/>
      <c r="J43" s="284"/>
      <c r="K43" s="369"/>
      <c r="L43" s="284"/>
      <c r="M43" s="376"/>
      <c r="N43" s="284"/>
      <c r="O43" s="284"/>
      <c r="P43" s="110" t="str">
        <f>IF(O43="","",(L43-N43)/O43)</f>
        <v/>
      </c>
    </row>
    <row r="44" spans="2:16" ht="20.25" customHeight="1" x14ac:dyDescent="0.15">
      <c r="B44" s="753"/>
      <c r="C44" s="377" t="s">
        <v>35</v>
      </c>
      <c r="D44" s="371"/>
      <c r="E44" s="371"/>
      <c r="F44" s="372"/>
      <c r="G44" s="371">
        <f>SUM(G40:G43)</f>
        <v>17625000</v>
      </c>
      <c r="H44" s="371"/>
      <c r="I44" s="371">
        <f>SUM(I40:I43)</f>
        <v>17625000</v>
      </c>
      <c r="J44" s="371"/>
      <c r="K44" s="373"/>
      <c r="L44" s="371">
        <f>SUM(L40:L43)</f>
        <v>17625000</v>
      </c>
      <c r="M44" s="371"/>
      <c r="N44" s="371"/>
      <c r="O44" s="371"/>
      <c r="P44" s="312">
        <f>SUM(P40:P43)</f>
        <v>2937500</v>
      </c>
    </row>
    <row r="45" spans="2:16" ht="20.25" customHeight="1" thickBot="1" x14ac:dyDescent="0.2">
      <c r="B45" s="35"/>
      <c r="C45" s="36" t="s">
        <v>287</v>
      </c>
      <c r="D45" s="37"/>
      <c r="E45" s="37"/>
      <c r="F45" s="38"/>
      <c r="G45" s="37">
        <f>G12+G39+G44</f>
        <v>59192200</v>
      </c>
      <c r="H45" s="37"/>
      <c r="I45" s="37">
        <f>I12+I39+I44</f>
        <v>53770050</v>
      </c>
      <c r="J45" s="37"/>
      <c r="K45" s="39"/>
      <c r="L45" s="37">
        <f>L12+L39+L44</f>
        <v>53770050</v>
      </c>
      <c r="M45" s="37"/>
      <c r="N45" s="37"/>
      <c r="O45" s="37"/>
      <c r="P45" s="313">
        <f>P12+P39+P44</f>
        <v>6401120.5882352944</v>
      </c>
    </row>
    <row r="46" spans="2:16" ht="11.25" customHeight="1" x14ac:dyDescent="0.15"/>
  </sheetData>
  <mergeCells count="9">
    <mergeCell ref="J3:J4"/>
    <mergeCell ref="B5:B12"/>
    <mergeCell ref="B13:B39"/>
    <mergeCell ref="B40:B44"/>
    <mergeCell ref="F2:G2"/>
    <mergeCell ref="B3:B4"/>
    <mergeCell ref="C3:C4"/>
    <mergeCell ref="D3:D4"/>
    <mergeCell ref="E3:F3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1"/>
  <sheetViews>
    <sheetView zoomScale="75" zoomScaleNormal="75" workbookViewId="0"/>
  </sheetViews>
  <sheetFormatPr defaultColWidth="10.875" defaultRowHeight="13.5" x14ac:dyDescent="0.15"/>
  <cols>
    <col min="1" max="1" width="1.625" style="68" customWidth="1"/>
    <col min="2" max="2" width="5.875" style="68" customWidth="1"/>
    <col min="3" max="3" width="10.625" style="68" customWidth="1"/>
    <col min="4" max="4" width="12.375" style="68" customWidth="1"/>
    <col min="5" max="5" width="14.625" style="68" customWidth="1"/>
    <col min="6" max="7" width="15.875" style="68" customWidth="1"/>
    <col min="8" max="8" width="10.875" style="68"/>
    <col min="9" max="9" width="11.375" style="68" bestFit="1" customWidth="1"/>
    <col min="10" max="10" width="13.375" style="68" customWidth="1"/>
    <col min="11" max="11" width="7.125" style="68" customWidth="1"/>
    <col min="12" max="12" width="15.375" style="68" customWidth="1"/>
    <col min="13" max="13" width="9.375" style="68" bestFit="1" customWidth="1"/>
    <col min="14" max="14" width="10.875" style="68"/>
    <col min="15" max="15" width="7.25" style="68" customWidth="1"/>
    <col min="16" max="16" width="9.625" style="68" customWidth="1"/>
    <col min="17" max="17" width="10.875" style="68" customWidth="1"/>
    <col min="18" max="18" width="7.5" style="68" customWidth="1"/>
    <col min="19" max="19" width="3.75" style="68" customWidth="1"/>
    <col min="20" max="16384" width="10.875" style="68"/>
  </cols>
  <sheetData>
    <row r="1" spans="2:19" s="69" customFormat="1" ht="9.9499999999999993" customHeight="1" x14ac:dyDescent="0.15"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2:19" s="69" customFormat="1" ht="24.95" customHeight="1" thickBot="1" x14ac:dyDescent="0.2">
      <c r="B2" s="3" t="s">
        <v>463</v>
      </c>
      <c r="H2" s="70" t="s">
        <v>164</v>
      </c>
      <c r="I2" s="3" t="s">
        <v>464</v>
      </c>
      <c r="K2" s="70" t="s">
        <v>165</v>
      </c>
      <c r="L2" s="3" t="s">
        <v>465</v>
      </c>
      <c r="N2" s="68"/>
      <c r="O2" s="68"/>
      <c r="Q2" s="4"/>
      <c r="R2" s="4"/>
    </row>
    <row r="3" spans="2:19" s="69" customFormat="1" ht="18" customHeight="1" x14ac:dyDescent="0.15">
      <c r="B3" s="794" t="s">
        <v>14</v>
      </c>
      <c r="C3" s="795"/>
      <c r="D3" s="795"/>
      <c r="E3" s="796"/>
      <c r="F3" s="102" t="s">
        <v>15</v>
      </c>
      <c r="G3" s="72"/>
      <c r="H3" s="73" t="s">
        <v>16</v>
      </c>
      <c r="I3" s="71"/>
      <c r="J3" s="71"/>
      <c r="K3" s="797" t="s">
        <v>118</v>
      </c>
      <c r="L3" s="798"/>
      <c r="M3" s="798"/>
      <c r="N3" s="798"/>
      <c r="O3" s="798"/>
      <c r="P3" s="798"/>
      <c r="Q3" s="798"/>
      <c r="R3" s="798"/>
      <c r="S3" s="799"/>
    </row>
    <row r="4" spans="2:19" s="69" customFormat="1" ht="34.9" customHeight="1" x14ac:dyDescent="0.15">
      <c r="B4" s="810" t="s">
        <v>17</v>
      </c>
      <c r="C4" s="811"/>
      <c r="D4" s="162" t="s">
        <v>212</v>
      </c>
      <c r="E4" s="175"/>
      <c r="F4" s="169">
        <f>425375*20+507487*23.5</f>
        <v>20433444.5</v>
      </c>
      <c r="G4" s="800" t="s">
        <v>476</v>
      </c>
      <c r="H4" s="801"/>
      <c r="I4" s="801"/>
      <c r="J4" s="802"/>
      <c r="K4" s="268" t="s">
        <v>170</v>
      </c>
      <c r="L4" s="269" t="s">
        <v>171</v>
      </c>
      <c r="M4" s="168" t="s">
        <v>18</v>
      </c>
      <c r="N4" s="168" t="s">
        <v>17</v>
      </c>
      <c r="O4" s="269" t="s">
        <v>170</v>
      </c>
      <c r="P4" s="269" t="s">
        <v>172</v>
      </c>
      <c r="Q4" s="168" t="s">
        <v>18</v>
      </c>
      <c r="R4" s="803" t="s">
        <v>17</v>
      </c>
      <c r="S4" s="804"/>
    </row>
    <row r="5" spans="2:19" s="69" customFormat="1" ht="17.25" customHeight="1" x14ac:dyDescent="0.15">
      <c r="B5" s="812"/>
      <c r="C5" s="813"/>
      <c r="D5" s="445" t="s">
        <v>250</v>
      </c>
      <c r="E5" s="446"/>
      <c r="F5" s="402">
        <f>218118*5</f>
        <v>1090590</v>
      </c>
      <c r="G5" s="816" t="s">
        <v>385</v>
      </c>
      <c r="H5" s="817"/>
      <c r="I5" s="817"/>
      <c r="J5" s="818"/>
      <c r="K5" s="403"/>
      <c r="L5" s="404"/>
      <c r="M5" s="405"/>
      <c r="N5" s="405"/>
      <c r="O5" s="404"/>
      <c r="P5" s="404"/>
      <c r="Q5" s="405"/>
      <c r="R5" s="405"/>
      <c r="S5" s="406"/>
    </row>
    <row r="6" spans="2:19" s="69" customFormat="1" ht="18" customHeight="1" x14ac:dyDescent="0.15">
      <c r="B6" s="812"/>
      <c r="C6" s="813"/>
      <c r="D6" s="430" t="s">
        <v>342</v>
      </c>
      <c r="E6" s="175"/>
      <c r="F6" s="402">
        <f>145*1500</f>
        <v>217500</v>
      </c>
      <c r="G6" s="800" t="s">
        <v>382</v>
      </c>
      <c r="H6" s="808"/>
      <c r="I6" s="808"/>
      <c r="J6" s="809"/>
      <c r="K6" s="267"/>
      <c r="L6" s="169"/>
      <c r="M6" s="169"/>
      <c r="N6" s="169"/>
      <c r="O6" s="169"/>
      <c r="P6" s="169"/>
      <c r="Q6" s="169"/>
      <c r="R6" s="783"/>
      <c r="S6" s="784"/>
    </row>
    <row r="7" spans="2:19" s="69" customFormat="1" ht="18" customHeight="1" x14ac:dyDescent="0.15">
      <c r="B7" s="812"/>
      <c r="C7" s="813"/>
      <c r="D7" s="430" t="s">
        <v>322</v>
      </c>
      <c r="E7" s="175"/>
      <c r="F7" s="402">
        <f>35000*90+13000*45</f>
        <v>3735000</v>
      </c>
      <c r="G7" s="805" t="s">
        <v>383</v>
      </c>
      <c r="H7" s="806"/>
      <c r="I7" s="806"/>
      <c r="J7" s="807"/>
      <c r="K7" s="174"/>
      <c r="L7" s="171"/>
      <c r="M7" s="169"/>
      <c r="N7" s="169"/>
      <c r="O7" s="169"/>
      <c r="P7" s="169"/>
      <c r="Q7" s="169"/>
      <c r="R7" s="783"/>
      <c r="S7" s="784"/>
    </row>
    <row r="8" spans="2:19" s="69" customFormat="1" ht="18" customHeight="1" x14ac:dyDescent="0.15">
      <c r="B8" s="814"/>
      <c r="C8" s="815"/>
      <c r="D8" s="162" t="s">
        <v>368</v>
      </c>
      <c r="E8" s="175"/>
      <c r="F8" s="169">
        <v>136800</v>
      </c>
      <c r="G8" s="142"/>
      <c r="H8" s="385"/>
      <c r="I8" s="176"/>
      <c r="J8" s="176"/>
      <c r="K8" s="172"/>
      <c r="L8" s="173"/>
      <c r="M8" s="169"/>
      <c r="N8" s="169"/>
      <c r="O8" s="169"/>
      <c r="P8" s="169"/>
      <c r="Q8" s="169"/>
      <c r="R8" s="783"/>
      <c r="S8" s="784"/>
    </row>
    <row r="9" spans="2:19" s="69" customFormat="1" ht="18" customHeight="1" x14ac:dyDescent="0.15">
      <c r="B9" s="763" t="s">
        <v>116</v>
      </c>
      <c r="C9" s="760" t="s">
        <v>194</v>
      </c>
      <c r="D9" s="169" t="s">
        <v>203</v>
      </c>
      <c r="E9" s="177"/>
      <c r="F9" s="169">
        <f>P21</f>
        <v>1667970.1</v>
      </c>
      <c r="G9" s="142" t="s">
        <v>107</v>
      </c>
      <c r="H9" s="176"/>
      <c r="I9" s="176"/>
      <c r="J9" s="176"/>
      <c r="K9" s="172"/>
      <c r="L9" s="169"/>
      <c r="M9" s="169"/>
      <c r="N9" s="169"/>
      <c r="O9" s="169"/>
      <c r="P9" s="169"/>
      <c r="Q9" s="169"/>
      <c r="R9" s="783"/>
      <c r="S9" s="784"/>
    </row>
    <row r="10" spans="2:19" s="69" customFormat="1" ht="18" customHeight="1" x14ac:dyDescent="0.15">
      <c r="B10" s="764"/>
      <c r="C10" s="761"/>
      <c r="D10" s="169" t="s">
        <v>204</v>
      </c>
      <c r="E10" s="177"/>
      <c r="F10" s="169">
        <f>P29</f>
        <v>7154790.5999999996</v>
      </c>
      <c r="G10" s="162" t="s">
        <v>207</v>
      </c>
      <c r="H10" s="84"/>
      <c r="I10" s="84"/>
      <c r="J10" s="178"/>
      <c r="K10" s="170"/>
      <c r="L10" s="169"/>
      <c r="M10" s="169"/>
      <c r="N10" s="169"/>
      <c r="O10" s="169"/>
      <c r="P10" s="169"/>
      <c r="Q10" s="169"/>
      <c r="R10" s="783"/>
      <c r="S10" s="784"/>
    </row>
    <row r="11" spans="2:19" s="69" customFormat="1" ht="18" customHeight="1" x14ac:dyDescent="0.15">
      <c r="B11" s="764"/>
      <c r="C11" s="761"/>
      <c r="D11" s="18" t="s">
        <v>307</v>
      </c>
      <c r="E11" s="170"/>
      <c r="F11" s="402">
        <f>+((2000+8000)+(2000+4800)*0.6)*50</f>
        <v>704000</v>
      </c>
      <c r="G11" s="447" t="s">
        <v>369</v>
      </c>
      <c r="H11" s="155"/>
      <c r="I11" s="155"/>
      <c r="J11" s="179"/>
      <c r="K11" s="170"/>
      <c r="L11" s="169"/>
      <c r="M11" s="169"/>
      <c r="N11" s="169"/>
      <c r="O11" s="169"/>
      <c r="P11" s="169"/>
      <c r="Q11" s="169"/>
      <c r="R11" s="783"/>
      <c r="S11" s="784"/>
    </row>
    <row r="12" spans="2:19" s="69" customFormat="1" ht="18" customHeight="1" thickBot="1" x14ac:dyDescent="0.2">
      <c r="B12" s="764"/>
      <c r="C12" s="761"/>
      <c r="D12" s="18" t="s">
        <v>308</v>
      </c>
      <c r="E12" s="170"/>
      <c r="F12" s="402">
        <f>2577*50</f>
        <v>128850</v>
      </c>
      <c r="G12" s="144" t="s">
        <v>371</v>
      </c>
      <c r="H12" s="155"/>
      <c r="I12" s="155"/>
      <c r="J12" s="179"/>
      <c r="K12" s="90"/>
      <c r="L12" s="75"/>
      <c r="M12" s="75"/>
      <c r="N12" s="74"/>
      <c r="O12" s="76" t="s">
        <v>19</v>
      </c>
      <c r="P12" s="77">
        <f>SUM(L6:L12,P6:Q11)</f>
        <v>0</v>
      </c>
      <c r="Q12" s="78"/>
      <c r="R12" s="792">
        <f>SUM(N6:N12,R6:S11)</f>
        <v>0</v>
      </c>
      <c r="S12" s="793"/>
    </row>
    <row r="13" spans="2:19" s="69" customFormat="1" ht="18" customHeight="1" thickTop="1" x14ac:dyDescent="0.15">
      <c r="B13" s="764"/>
      <c r="C13" s="761"/>
      <c r="D13" s="169" t="s">
        <v>306</v>
      </c>
      <c r="E13" s="177"/>
      <c r="F13" s="169">
        <f>9547*50</f>
        <v>477350</v>
      </c>
      <c r="G13" s="144" t="s">
        <v>372</v>
      </c>
      <c r="H13" s="155"/>
      <c r="I13" s="155"/>
      <c r="J13" s="179"/>
      <c r="K13" s="827" t="s">
        <v>117</v>
      </c>
      <c r="L13" s="164" t="s">
        <v>202</v>
      </c>
      <c r="M13" s="165"/>
      <c r="N13" s="276" t="s">
        <v>174</v>
      </c>
      <c r="O13" s="166" t="s">
        <v>18</v>
      </c>
      <c r="P13" s="166" t="s">
        <v>21</v>
      </c>
      <c r="Q13" s="819" t="s">
        <v>22</v>
      </c>
      <c r="R13" s="820"/>
      <c r="S13" s="821"/>
    </row>
    <row r="14" spans="2:19" s="69" customFormat="1" ht="18" customHeight="1" x14ac:dyDescent="0.15">
      <c r="B14" s="764"/>
      <c r="C14" s="761"/>
      <c r="D14" s="169" t="s">
        <v>51</v>
      </c>
      <c r="E14" s="177"/>
      <c r="F14" s="169">
        <f>13427*50</f>
        <v>671350</v>
      </c>
      <c r="G14" s="845" t="s">
        <v>373</v>
      </c>
      <c r="H14" s="846"/>
      <c r="I14" s="846"/>
      <c r="J14" s="847"/>
      <c r="K14" s="828"/>
      <c r="L14" s="256" t="s">
        <v>197</v>
      </c>
      <c r="M14" s="275"/>
      <c r="N14" s="105"/>
      <c r="O14" s="105"/>
      <c r="P14" s="105">
        <f>'８　算出基礎'!G7</f>
        <v>334800</v>
      </c>
      <c r="Q14" s="786"/>
      <c r="R14" s="787"/>
      <c r="S14" s="788"/>
    </row>
    <row r="15" spans="2:19" s="69" customFormat="1" ht="18" customHeight="1" x14ac:dyDescent="0.15">
      <c r="B15" s="764"/>
      <c r="C15" s="761"/>
      <c r="D15" s="169" t="s">
        <v>39</v>
      </c>
      <c r="E15" s="177"/>
      <c r="F15" s="169">
        <f>3921*50</f>
        <v>196050</v>
      </c>
      <c r="G15" s="851" t="s">
        <v>374</v>
      </c>
      <c r="H15" s="852"/>
      <c r="I15" s="852"/>
      <c r="J15" s="853"/>
      <c r="K15" s="828"/>
      <c r="L15" s="167" t="s">
        <v>88</v>
      </c>
      <c r="M15" s="163"/>
      <c r="N15" s="105"/>
      <c r="O15" s="105"/>
      <c r="P15" s="157">
        <f>'８　算出基礎'!G11</f>
        <v>873000</v>
      </c>
      <c r="Q15" s="786"/>
      <c r="R15" s="787"/>
      <c r="S15" s="788"/>
    </row>
    <row r="16" spans="2:19" s="69" customFormat="1" ht="18" customHeight="1" x14ac:dyDescent="0.15">
      <c r="B16" s="764"/>
      <c r="C16" s="761"/>
      <c r="D16" s="169" t="s">
        <v>4</v>
      </c>
      <c r="E16" s="177"/>
      <c r="F16" s="169">
        <f>1617*50</f>
        <v>80850</v>
      </c>
      <c r="G16" s="830" t="s">
        <v>375</v>
      </c>
      <c r="H16" s="831"/>
      <c r="I16" s="831"/>
      <c r="J16" s="832"/>
      <c r="K16" s="828"/>
      <c r="L16" s="318" t="s">
        <v>305</v>
      </c>
      <c r="M16" s="319"/>
      <c r="N16" s="318"/>
      <c r="O16" s="318"/>
      <c r="P16" s="157">
        <f>'８　算出基礎'!G16</f>
        <v>132690.1</v>
      </c>
      <c r="Q16" s="789"/>
      <c r="R16" s="790"/>
      <c r="S16" s="791"/>
    </row>
    <row r="17" spans="1:19" s="69" customFormat="1" ht="18" customHeight="1" x14ac:dyDescent="0.15">
      <c r="B17" s="764"/>
      <c r="C17" s="761"/>
      <c r="D17" s="169" t="s">
        <v>5</v>
      </c>
      <c r="E17" s="177"/>
      <c r="F17" s="169">
        <f>11036*50</f>
        <v>551800</v>
      </c>
      <c r="G17" s="848" t="s">
        <v>376</v>
      </c>
      <c r="H17" s="849"/>
      <c r="I17" s="849"/>
      <c r="J17" s="850"/>
      <c r="K17" s="828"/>
      <c r="L17" s="314" t="s">
        <v>295</v>
      </c>
      <c r="M17" s="315"/>
      <c r="N17" s="316"/>
      <c r="O17" s="317"/>
      <c r="P17" s="157">
        <f>('８　算出基礎'!G20+'８　算出基礎'!G23)</f>
        <v>327480</v>
      </c>
      <c r="Q17" s="822"/>
      <c r="R17" s="823"/>
      <c r="S17" s="824"/>
    </row>
    <row r="18" spans="1:19" s="69" customFormat="1" ht="18" customHeight="1" x14ac:dyDescent="0.15">
      <c r="B18" s="764"/>
      <c r="C18" s="761"/>
      <c r="D18" s="436" t="s">
        <v>40</v>
      </c>
      <c r="E18" s="180" t="s">
        <v>105</v>
      </c>
      <c r="F18" s="169">
        <f>'６　固定資本装備と減価償却費 '!L12*0.01</f>
        <v>221420</v>
      </c>
      <c r="G18" s="144" t="s">
        <v>108</v>
      </c>
      <c r="H18" s="494">
        <v>0.01</v>
      </c>
      <c r="I18" s="854" t="s">
        <v>110</v>
      </c>
      <c r="J18" s="855"/>
      <c r="K18" s="828"/>
      <c r="L18" s="320"/>
      <c r="M18" s="321"/>
      <c r="N18" s="322"/>
      <c r="O18" s="323"/>
      <c r="P18" s="324"/>
      <c r="Q18" s="772"/>
      <c r="R18" s="773"/>
      <c r="S18" s="774"/>
    </row>
    <row r="19" spans="1:19" s="69" customFormat="1" ht="18" customHeight="1" x14ac:dyDescent="0.15">
      <c r="A19" s="68"/>
      <c r="B19" s="764"/>
      <c r="C19" s="761"/>
      <c r="D19" s="437"/>
      <c r="E19" s="180" t="s">
        <v>106</v>
      </c>
      <c r="F19" s="169">
        <f>'６　固定資本装備と減価償却費 '!L39*0.05</f>
        <v>700152.5</v>
      </c>
      <c r="G19" s="144" t="s">
        <v>108</v>
      </c>
      <c r="H19" s="494">
        <v>0.05</v>
      </c>
      <c r="I19" s="825" t="s">
        <v>110</v>
      </c>
      <c r="J19" s="826"/>
      <c r="K19" s="764"/>
      <c r="L19" s="326"/>
      <c r="M19" s="327"/>
      <c r="N19" s="325"/>
      <c r="O19" s="325"/>
      <c r="P19" s="325"/>
      <c r="Q19" s="785"/>
      <c r="R19" s="773"/>
      <c r="S19" s="774"/>
    </row>
    <row r="20" spans="1:19" s="69" customFormat="1" ht="18" customHeight="1" x14ac:dyDescent="0.15">
      <c r="A20" s="68"/>
      <c r="B20" s="764"/>
      <c r="C20" s="761"/>
      <c r="D20" s="436" t="s">
        <v>52</v>
      </c>
      <c r="E20" s="180" t="s">
        <v>105</v>
      </c>
      <c r="F20" s="169">
        <f>'６　固定資本装備と減価償却費 '!P12</f>
        <v>1302470.5882352942</v>
      </c>
      <c r="G20" s="144" t="s">
        <v>110</v>
      </c>
      <c r="H20" s="150"/>
      <c r="I20" s="150"/>
      <c r="J20" s="151"/>
      <c r="K20" s="764"/>
      <c r="L20" s="326"/>
      <c r="M20" s="327"/>
      <c r="N20" s="325"/>
      <c r="O20" s="325"/>
      <c r="P20" s="325"/>
      <c r="Q20" s="785"/>
      <c r="R20" s="773"/>
      <c r="S20" s="774"/>
    </row>
    <row r="21" spans="1:19" s="69" customFormat="1" ht="18" customHeight="1" thickBot="1" x14ac:dyDescent="0.2">
      <c r="A21" s="68"/>
      <c r="B21" s="764"/>
      <c r="C21" s="761"/>
      <c r="D21" s="431"/>
      <c r="E21" s="180" t="s">
        <v>106</v>
      </c>
      <c r="F21" s="169">
        <f>'６　固定資本装備と減価償却費 '!P39</f>
        <v>2161150</v>
      </c>
      <c r="G21" s="144" t="s">
        <v>110</v>
      </c>
      <c r="H21" s="150"/>
      <c r="I21" s="150"/>
      <c r="J21" s="151"/>
      <c r="K21" s="828"/>
      <c r="L21" s="82" t="s">
        <v>23</v>
      </c>
      <c r="M21" s="81"/>
      <c r="N21" s="82"/>
      <c r="O21" s="82"/>
      <c r="P21" s="82">
        <f>SUM(P14:P20)</f>
        <v>1667970.1</v>
      </c>
      <c r="Q21" s="839"/>
      <c r="R21" s="840"/>
      <c r="S21" s="841"/>
    </row>
    <row r="22" spans="1:19" s="69" customFormat="1" ht="18" customHeight="1" thickTop="1" x14ac:dyDescent="0.15">
      <c r="A22" s="68"/>
      <c r="B22" s="764"/>
      <c r="C22" s="761"/>
      <c r="D22" s="437"/>
      <c r="E22" s="169" t="s">
        <v>41</v>
      </c>
      <c r="F22" s="169">
        <f>'６　固定資本装備と減価償却費 '!P44</f>
        <v>2937500</v>
      </c>
      <c r="G22" s="144" t="s">
        <v>110</v>
      </c>
      <c r="H22" s="150"/>
      <c r="I22" s="150"/>
      <c r="J22" s="151"/>
      <c r="K22" s="828"/>
      <c r="L22" s="144" t="s">
        <v>205</v>
      </c>
      <c r="M22" s="155"/>
      <c r="N22" s="156" t="s">
        <v>20</v>
      </c>
      <c r="O22" s="156" t="s">
        <v>18</v>
      </c>
      <c r="P22" s="156" t="s">
        <v>21</v>
      </c>
      <c r="Q22" s="842" t="s">
        <v>206</v>
      </c>
      <c r="R22" s="843"/>
      <c r="S22" s="844"/>
    </row>
    <row r="23" spans="1:19" s="69" customFormat="1" ht="18" customHeight="1" x14ac:dyDescent="0.15">
      <c r="A23" s="68"/>
      <c r="B23" s="764"/>
      <c r="C23" s="761"/>
      <c r="D23" s="169" t="s">
        <v>42</v>
      </c>
      <c r="E23" s="177"/>
      <c r="F23" s="169">
        <f>3000*80</f>
        <v>240000</v>
      </c>
      <c r="G23" s="144" t="s">
        <v>390</v>
      </c>
      <c r="H23" s="150"/>
      <c r="I23" s="391" t="s">
        <v>323</v>
      </c>
      <c r="J23" s="151"/>
      <c r="K23" s="828"/>
      <c r="L23" s="157" t="str">
        <f>'８　算出基礎'!C28</f>
        <v>良質乾草</v>
      </c>
      <c r="M23" s="155"/>
      <c r="N23" s="144">
        <f>'８　算出基礎'!D28</f>
        <v>22875</v>
      </c>
      <c r="O23" s="157">
        <f>'８　算出基礎'!F28</f>
        <v>60</v>
      </c>
      <c r="P23" s="157">
        <f>'８　算出基礎'!G28</f>
        <v>1372500</v>
      </c>
      <c r="Q23" s="789"/>
      <c r="R23" s="790"/>
      <c r="S23" s="791"/>
    </row>
    <row r="24" spans="1:19" s="69" customFormat="1" ht="18" customHeight="1" x14ac:dyDescent="0.15">
      <c r="A24" s="68"/>
      <c r="B24" s="764"/>
      <c r="C24" s="761"/>
      <c r="D24" s="781" t="s">
        <v>370</v>
      </c>
      <c r="E24" s="782"/>
      <c r="F24" s="448">
        <f>-15000*12*5*23.5/12</f>
        <v>-1762500</v>
      </c>
      <c r="G24" s="468" t="s">
        <v>386</v>
      </c>
      <c r="H24" s="150"/>
      <c r="I24" s="459"/>
      <c r="J24" s="151"/>
      <c r="K24" s="828"/>
      <c r="L24" s="157" t="str">
        <f>'８　算出基礎'!C29</f>
        <v>稲発酵粗飼料</v>
      </c>
      <c r="M24" s="155"/>
      <c r="N24" s="144">
        <f>'８　算出基礎'!D29</f>
        <v>244</v>
      </c>
      <c r="O24" s="157">
        <f>'８　算出基礎'!F29</f>
        <v>3348</v>
      </c>
      <c r="P24" s="157">
        <f>'８　算出基礎'!G29</f>
        <v>816912</v>
      </c>
      <c r="Q24" s="822" t="s">
        <v>364</v>
      </c>
      <c r="R24" s="823"/>
      <c r="S24" s="824"/>
    </row>
    <row r="25" spans="1:19" s="69" customFormat="1" ht="18" customHeight="1" x14ac:dyDescent="0.15">
      <c r="A25" s="68"/>
      <c r="B25" s="764"/>
      <c r="C25" s="761"/>
      <c r="D25" s="169" t="s">
        <v>87</v>
      </c>
      <c r="E25" s="177"/>
      <c r="F25" s="169">
        <f>SUM(F9:F24)/99</f>
        <v>176092.96755793225</v>
      </c>
      <c r="G25" s="181" t="s">
        <v>119</v>
      </c>
      <c r="H25" s="191">
        <v>0.01</v>
      </c>
      <c r="I25" s="83"/>
      <c r="J25" s="6"/>
      <c r="K25" s="828"/>
      <c r="L25" s="157" t="str">
        <f>'８　算出基礎'!C39</f>
        <v>子牛用配合飼料</v>
      </c>
      <c r="M25" s="155"/>
      <c r="N25" s="144">
        <f>'８　算出基礎'!D39</f>
        <v>34050</v>
      </c>
      <c r="O25" s="157">
        <f>'８　算出基礎'!F39</f>
        <v>71.3</v>
      </c>
      <c r="P25" s="157">
        <f>'８　算出基礎'!G39</f>
        <v>2427765</v>
      </c>
      <c r="Q25" s="772"/>
      <c r="R25" s="773"/>
      <c r="S25" s="774"/>
    </row>
    <row r="26" spans="1:19" s="69" customFormat="1" ht="18" customHeight="1" x14ac:dyDescent="0.15">
      <c r="A26" s="68"/>
      <c r="B26" s="764"/>
      <c r="C26" s="762"/>
      <c r="D26" s="438" t="s">
        <v>114</v>
      </c>
      <c r="E26" s="439"/>
      <c r="F26" s="103">
        <f>SUM(F9:F25)</f>
        <v>17609296.755793225</v>
      </c>
      <c r="G26" s="152"/>
      <c r="H26" s="83"/>
      <c r="I26" s="83"/>
      <c r="J26" s="86"/>
      <c r="K26" s="828"/>
      <c r="L26" s="324" t="str">
        <f>'８　算出基礎'!C40</f>
        <v>繁殖牛用配合飼料</v>
      </c>
      <c r="M26" s="155"/>
      <c r="N26" s="144">
        <f>'８　算出基礎'!D40</f>
        <v>30556</v>
      </c>
      <c r="O26" s="157">
        <f>'８　算出基礎'!F40</f>
        <v>65.099999999999994</v>
      </c>
      <c r="P26" s="157">
        <f>'８　算出基礎'!G40</f>
        <v>1989195.5999999999</v>
      </c>
      <c r="Q26" s="772"/>
      <c r="R26" s="773"/>
      <c r="S26" s="774"/>
    </row>
    <row r="27" spans="1:19" s="69" customFormat="1" ht="18" customHeight="1" x14ac:dyDescent="0.15">
      <c r="A27" s="68"/>
      <c r="B27" s="764"/>
      <c r="C27" s="766" t="s">
        <v>109</v>
      </c>
      <c r="D27" s="440" t="s">
        <v>43</v>
      </c>
      <c r="E27" s="18" t="s">
        <v>1</v>
      </c>
      <c r="F27" s="74"/>
      <c r="G27" s="162"/>
      <c r="H27" s="155"/>
      <c r="I27" s="79"/>
      <c r="J27" s="179"/>
      <c r="K27" s="828"/>
      <c r="L27" s="333" t="str">
        <f>'８　算出基礎'!C41</f>
        <v>育成牛用配合飼料</v>
      </c>
      <c r="M27" s="328"/>
      <c r="N27" s="329">
        <f>'８　算出基礎'!D41</f>
        <v>5475</v>
      </c>
      <c r="O27" s="329">
        <f>'８　算出基礎'!F41</f>
        <v>60.88</v>
      </c>
      <c r="P27" s="157">
        <f>'８　算出基礎'!G41</f>
        <v>333318</v>
      </c>
      <c r="Q27" s="772"/>
      <c r="R27" s="773"/>
      <c r="S27" s="774"/>
    </row>
    <row r="28" spans="1:19" s="69" customFormat="1" ht="18" customHeight="1" x14ac:dyDescent="0.15">
      <c r="A28" s="68"/>
      <c r="B28" s="764"/>
      <c r="C28" s="767"/>
      <c r="D28" s="441"/>
      <c r="E28" s="18" t="s">
        <v>2</v>
      </c>
      <c r="F28" s="104">
        <f>48.5*5000</f>
        <v>242500</v>
      </c>
      <c r="G28" s="162" t="s">
        <v>407</v>
      </c>
      <c r="H28" s="182"/>
      <c r="I28" s="182"/>
      <c r="J28" s="183"/>
      <c r="K28" s="828"/>
      <c r="L28" s="332" t="str">
        <f>'８　算出基礎'!C50</f>
        <v>大豆粕</v>
      </c>
      <c r="M28" s="330"/>
      <c r="N28" s="331">
        <f>'８　算出基礎'!D50</f>
        <v>2151</v>
      </c>
      <c r="O28" s="331">
        <f>'８　算出基礎'!F50</f>
        <v>100</v>
      </c>
      <c r="P28" s="157">
        <f>'８　算出基礎'!G50</f>
        <v>215100</v>
      </c>
      <c r="Q28" s="772"/>
      <c r="R28" s="773"/>
      <c r="S28" s="774"/>
    </row>
    <row r="29" spans="1:19" s="69" customFormat="1" ht="18" customHeight="1" thickBot="1" x14ac:dyDescent="0.2">
      <c r="A29" s="68"/>
      <c r="B29" s="764"/>
      <c r="C29" s="767"/>
      <c r="D29" s="442"/>
      <c r="E29" s="18" t="s">
        <v>6</v>
      </c>
      <c r="F29" s="74">
        <f>(F4+F5)*0.045</f>
        <v>968581.55249999999</v>
      </c>
      <c r="G29" s="445" t="s">
        <v>410</v>
      </c>
      <c r="H29" s="84"/>
      <c r="I29" s="182"/>
      <c r="J29" s="178"/>
      <c r="K29" s="828"/>
      <c r="L29" s="82" t="s">
        <v>23</v>
      </c>
      <c r="M29" s="81"/>
      <c r="N29" s="82"/>
      <c r="O29" s="82"/>
      <c r="P29" s="82">
        <f>SUM(P23:P28)</f>
        <v>7154790.5999999996</v>
      </c>
      <c r="Q29" s="775"/>
      <c r="R29" s="776"/>
      <c r="S29" s="777"/>
    </row>
    <row r="30" spans="1:19" s="69" customFormat="1" ht="18" customHeight="1" thickTop="1" x14ac:dyDescent="0.15">
      <c r="A30" s="68"/>
      <c r="B30" s="764"/>
      <c r="C30" s="767"/>
      <c r="D30" s="18" t="s">
        <v>177</v>
      </c>
      <c r="E30" s="25"/>
      <c r="F30" s="104">
        <f>3000*12</f>
        <v>36000</v>
      </c>
      <c r="G30" s="162" t="s">
        <v>310</v>
      </c>
      <c r="H30" s="185"/>
      <c r="I30" s="186"/>
      <c r="J30" s="184"/>
      <c r="K30" s="828"/>
      <c r="L30" s="144" t="s">
        <v>86</v>
      </c>
      <c r="M30" s="155"/>
      <c r="N30" s="384" t="s">
        <v>20</v>
      </c>
      <c r="O30" s="384" t="s">
        <v>18</v>
      </c>
      <c r="P30" s="384" t="s">
        <v>21</v>
      </c>
      <c r="Q30" s="778" t="s">
        <v>206</v>
      </c>
      <c r="R30" s="779"/>
      <c r="S30" s="780"/>
    </row>
    <row r="31" spans="1:19" s="69" customFormat="1" ht="18" customHeight="1" x14ac:dyDescent="0.15">
      <c r="A31" s="68"/>
      <c r="B31" s="764"/>
      <c r="C31" s="767"/>
      <c r="D31" s="18" t="s">
        <v>53</v>
      </c>
      <c r="E31" s="25"/>
      <c r="F31" s="104">
        <f>3000*12</f>
        <v>36000</v>
      </c>
      <c r="G31" s="162" t="s">
        <v>310</v>
      </c>
      <c r="H31" s="187"/>
      <c r="I31" s="188"/>
      <c r="J31" s="189"/>
      <c r="K31" s="828"/>
      <c r="L31" s="157"/>
      <c r="M31" s="158"/>
      <c r="N31" s="144"/>
      <c r="O31" s="159"/>
      <c r="P31" s="157"/>
      <c r="Q31" s="836"/>
      <c r="R31" s="837"/>
      <c r="S31" s="838"/>
    </row>
    <row r="32" spans="1:19" s="69" customFormat="1" ht="18" customHeight="1" x14ac:dyDescent="0.15">
      <c r="A32" s="68"/>
      <c r="B32" s="764"/>
      <c r="C32" s="767"/>
      <c r="D32" s="18" t="s">
        <v>70</v>
      </c>
      <c r="E32" s="19"/>
      <c r="F32" s="104">
        <f>'８　算出基礎'!V57</f>
        <v>1113029</v>
      </c>
      <c r="G32" s="237"/>
      <c r="H32" s="235"/>
      <c r="I32" s="235"/>
      <c r="J32" s="236"/>
      <c r="K32" s="828"/>
      <c r="L32" s="157"/>
      <c r="M32" s="158"/>
      <c r="N32" s="144"/>
      <c r="O32" s="159"/>
      <c r="P32" s="157"/>
      <c r="Q32" s="769"/>
      <c r="R32" s="770"/>
      <c r="S32" s="771"/>
    </row>
    <row r="33" spans="1:23" s="69" customFormat="1" ht="18" customHeight="1" x14ac:dyDescent="0.15">
      <c r="A33" s="68"/>
      <c r="B33" s="764"/>
      <c r="C33" s="767"/>
      <c r="D33" s="26" t="s">
        <v>54</v>
      </c>
      <c r="E33" s="27"/>
      <c r="F33" s="190"/>
      <c r="G33" s="144"/>
      <c r="H33" s="187"/>
      <c r="I33" s="188"/>
      <c r="J33" s="184"/>
      <c r="K33" s="828"/>
      <c r="L33" s="157"/>
      <c r="M33" s="155"/>
      <c r="N33" s="159"/>
      <c r="O33" s="159"/>
      <c r="P33" s="157"/>
      <c r="Q33" s="769"/>
      <c r="R33" s="770"/>
      <c r="S33" s="771"/>
    </row>
    <row r="34" spans="1:23" s="69" customFormat="1" ht="18" customHeight="1" x14ac:dyDescent="0.15">
      <c r="A34" s="68"/>
      <c r="B34" s="764"/>
      <c r="C34" s="767"/>
      <c r="D34" s="18" t="s">
        <v>44</v>
      </c>
      <c r="E34" s="19"/>
      <c r="F34" s="104">
        <f>'８　算出基礎'!N57</f>
        <v>64694.200000000004</v>
      </c>
      <c r="G34" s="237"/>
      <c r="H34" s="235"/>
      <c r="I34" s="235"/>
      <c r="J34" s="236"/>
      <c r="K34" s="828"/>
      <c r="L34" s="157"/>
      <c r="M34" s="158"/>
      <c r="N34" s="144"/>
      <c r="O34" s="159"/>
      <c r="P34" s="157"/>
      <c r="Q34" s="160"/>
      <c r="R34" s="161"/>
      <c r="S34" s="85"/>
    </row>
    <row r="35" spans="1:23" ht="18" customHeight="1" x14ac:dyDescent="0.15">
      <c r="B35" s="764"/>
      <c r="C35" s="767"/>
      <c r="D35" s="18" t="s">
        <v>309</v>
      </c>
      <c r="E35" s="19"/>
      <c r="F35" s="386">
        <f>(F4+F5+F6)*100/108*0.024</f>
        <v>483145.2111111111</v>
      </c>
      <c r="G35" s="144" t="s">
        <v>409</v>
      </c>
      <c r="H35" s="235"/>
      <c r="I35" s="170"/>
      <c r="J35" s="236"/>
      <c r="K35" s="828"/>
      <c r="L35" s="157"/>
      <c r="M35" s="158"/>
      <c r="N35" s="144"/>
      <c r="O35" s="159"/>
      <c r="P35" s="157"/>
      <c r="Q35" s="772"/>
      <c r="R35" s="773"/>
      <c r="S35" s="774"/>
    </row>
    <row r="36" spans="1:23" ht="18" customHeight="1" x14ac:dyDescent="0.15">
      <c r="B36" s="764"/>
      <c r="C36" s="767"/>
      <c r="D36" s="18" t="s">
        <v>178</v>
      </c>
      <c r="E36" s="25"/>
      <c r="F36" s="104">
        <f>SUM(F27:F35)/99</f>
        <v>29736.868319304158</v>
      </c>
      <c r="G36" s="309" t="s">
        <v>195</v>
      </c>
      <c r="H36" s="191">
        <v>0.01</v>
      </c>
      <c r="I36" s="154"/>
      <c r="J36" s="153"/>
      <c r="K36" s="828"/>
      <c r="L36" s="157"/>
      <c r="M36" s="158"/>
      <c r="N36" s="144"/>
      <c r="O36" s="159"/>
      <c r="P36" s="157"/>
      <c r="Q36" s="772"/>
      <c r="R36" s="773"/>
      <c r="S36" s="774"/>
    </row>
    <row r="37" spans="1:23" ht="18" customHeight="1" thickBot="1" x14ac:dyDescent="0.2">
      <c r="B37" s="765"/>
      <c r="C37" s="768"/>
      <c r="D37" s="443" t="s">
        <v>113</v>
      </c>
      <c r="E37" s="444"/>
      <c r="F37" s="145">
        <f>SUM(F27:F36)</f>
        <v>2973686.8319304157</v>
      </c>
      <c r="G37" s="146"/>
      <c r="H37" s="147"/>
      <c r="I37" s="148"/>
      <c r="J37" s="149"/>
      <c r="K37" s="828"/>
      <c r="L37" s="157"/>
      <c r="M37" s="155"/>
      <c r="N37" s="144"/>
      <c r="O37" s="159"/>
      <c r="P37" s="157"/>
      <c r="Q37" s="280"/>
      <c r="R37" s="281"/>
      <c r="S37" s="282"/>
    </row>
    <row r="38" spans="1:23" ht="18" customHeight="1" x14ac:dyDescent="0.15">
      <c r="B38" s="92"/>
      <c r="C38" s="88"/>
      <c r="D38" s="88"/>
      <c r="E38" s="88"/>
      <c r="F38" s="88"/>
      <c r="G38" s="88"/>
      <c r="H38" s="88"/>
      <c r="I38" s="88"/>
      <c r="J38" s="88"/>
      <c r="K38" s="828"/>
      <c r="L38" s="157"/>
      <c r="M38" s="155"/>
      <c r="N38" s="144"/>
      <c r="O38" s="159"/>
      <c r="P38" s="157"/>
      <c r="Q38" s="772"/>
      <c r="R38" s="773"/>
      <c r="S38" s="774"/>
    </row>
    <row r="39" spans="1:23" ht="18" customHeight="1" thickBot="1" x14ac:dyDescent="0.2">
      <c r="B39" s="80"/>
      <c r="C39" s="98"/>
      <c r="D39" s="80"/>
      <c r="E39" s="80"/>
      <c r="F39" s="96"/>
      <c r="G39" s="96"/>
      <c r="H39" s="97"/>
      <c r="I39" s="88"/>
      <c r="J39" s="88"/>
      <c r="K39" s="829"/>
      <c r="L39" s="94" t="s">
        <v>23</v>
      </c>
      <c r="M39" s="93"/>
      <c r="N39" s="94"/>
      <c r="O39" s="94"/>
      <c r="P39" s="94">
        <f>SUM(P32:P38)</f>
        <v>0</v>
      </c>
      <c r="Q39" s="833"/>
      <c r="R39" s="834"/>
      <c r="S39" s="835"/>
    </row>
    <row r="40" spans="1:23" s="87" customFormat="1" ht="18" customHeight="1" x14ac:dyDescent="0.15">
      <c r="A40" s="68"/>
      <c r="B40" s="68"/>
      <c r="C40" s="68"/>
      <c r="D40" s="68"/>
      <c r="E40" s="68"/>
      <c r="F40" s="68"/>
      <c r="G40" s="68"/>
      <c r="H40" s="68"/>
      <c r="I40" s="68"/>
      <c r="J40" s="68"/>
    </row>
    <row r="41" spans="1:23" s="87" customFormat="1" ht="18" customHeight="1" x14ac:dyDescent="0.15">
      <c r="A41" s="68"/>
      <c r="B41" s="68"/>
      <c r="C41" s="68"/>
      <c r="D41" s="68"/>
      <c r="E41" s="68"/>
      <c r="F41" s="68"/>
      <c r="G41" s="68"/>
      <c r="H41" s="68"/>
      <c r="I41" s="68"/>
      <c r="J41" s="68"/>
      <c r="T41" s="88"/>
    </row>
    <row r="42" spans="1:23" s="87" customFormat="1" ht="18" customHeight="1" x14ac:dyDescent="0.15">
      <c r="A42" s="68"/>
      <c r="B42" s="68"/>
      <c r="C42" s="68"/>
      <c r="D42" s="68"/>
      <c r="E42" s="68"/>
      <c r="F42" s="68"/>
      <c r="G42" s="68"/>
      <c r="H42" s="68"/>
      <c r="I42" s="68"/>
      <c r="J42" s="68"/>
      <c r="T42" s="69"/>
      <c r="U42" s="69"/>
      <c r="V42" s="69"/>
      <c r="W42" s="69"/>
    </row>
    <row r="43" spans="1:23" s="87" customFormat="1" ht="18" customHeight="1" x14ac:dyDescent="0.15">
      <c r="A43" s="68"/>
      <c r="B43" s="68"/>
      <c r="C43" s="68"/>
      <c r="D43" s="68"/>
      <c r="E43" s="68"/>
      <c r="F43" s="68"/>
      <c r="G43" s="68"/>
      <c r="H43" s="68"/>
      <c r="I43" s="68"/>
      <c r="J43" s="68"/>
      <c r="T43" s="89"/>
      <c r="U43" s="90"/>
      <c r="V43" s="91"/>
      <c r="W43" s="89"/>
    </row>
    <row r="44" spans="1:23" s="87" customFormat="1" ht="18" customHeight="1" x14ac:dyDescent="0.15">
      <c r="A44" s="68"/>
      <c r="B44" s="68"/>
      <c r="C44" s="68"/>
      <c r="D44" s="68"/>
      <c r="E44" s="68"/>
      <c r="F44" s="68"/>
      <c r="G44" s="68"/>
      <c r="H44" s="68"/>
      <c r="I44" s="68"/>
      <c r="J44" s="68"/>
      <c r="T44" s="69"/>
      <c r="U44" s="69"/>
      <c r="V44" s="69"/>
      <c r="W44" s="69"/>
    </row>
    <row r="45" spans="1:23" s="87" customFormat="1" ht="18" customHeight="1" x14ac:dyDescent="0.15">
      <c r="B45" s="68"/>
      <c r="C45" s="68"/>
      <c r="D45" s="68"/>
      <c r="E45" s="68"/>
      <c r="F45" s="68"/>
      <c r="G45" s="68"/>
      <c r="H45" s="68"/>
      <c r="I45" s="68"/>
      <c r="J45" s="68"/>
      <c r="T45" s="70"/>
      <c r="U45" s="88"/>
      <c r="V45" s="69"/>
      <c r="W45" s="89"/>
    </row>
    <row r="46" spans="1:23" s="87" customFormat="1" ht="18" customHeight="1" x14ac:dyDescent="0.15">
      <c r="B46" s="68"/>
      <c r="C46" s="68"/>
      <c r="D46" s="68"/>
      <c r="E46" s="68"/>
      <c r="F46" s="68"/>
      <c r="G46" s="68"/>
      <c r="H46" s="68"/>
      <c r="I46" s="68"/>
      <c r="J46" s="68"/>
      <c r="T46" s="70"/>
      <c r="U46" s="88"/>
      <c r="V46" s="69"/>
      <c r="W46" s="89"/>
    </row>
    <row r="47" spans="1:23" s="87" customFormat="1" ht="18" customHeight="1" x14ac:dyDescent="0.15">
      <c r="B47" s="68"/>
      <c r="C47" s="68"/>
      <c r="D47" s="68"/>
      <c r="E47" s="68"/>
      <c r="F47" s="68"/>
      <c r="G47" s="68"/>
      <c r="H47" s="68"/>
      <c r="I47" s="68"/>
      <c r="J47" s="68"/>
      <c r="T47" s="69"/>
      <c r="U47" s="69"/>
      <c r="V47" s="90"/>
      <c r="W47" s="69"/>
    </row>
    <row r="48" spans="1:23" s="87" customFormat="1" x14ac:dyDescent="0.15">
      <c r="B48" s="68"/>
      <c r="C48" s="68"/>
      <c r="D48" s="68"/>
      <c r="E48" s="68"/>
      <c r="F48" s="68"/>
      <c r="G48" s="68"/>
      <c r="H48" s="68"/>
      <c r="I48" s="68"/>
      <c r="J48" s="68"/>
      <c r="T48" s="70"/>
      <c r="U48" s="69"/>
      <c r="V48" s="69"/>
      <c r="W48" s="89"/>
    </row>
    <row r="49" spans="2:23" s="87" customFormat="1" x14ac:dyDescent="0.15">
      <c r="B49" s="68"/>
      <c r="C49" s="68"/>
      <c r="D49" s="68"/>
      <c r="E49" s="68"/>
      <c r="F49" s="68"/>
      <c r="G49" s="68"/>
      <c r="H49" s="68"/>
      <c r="I49" s="68"/>
      <c r="J49" s="68"/>
      <c r="T49" s="70"/>
      <c r="U49" s="69"/>
      <c r="V49" s="69"/>
      <c r="W49" s="89"/>
    </row>
    <row r="50" spans="2:23" s="87" customFormat="1" x14ac:dyDescent="0.15">
      <c r="B50" s="68"/>
      <c r="C50" s="68"/>
      <c r="D50" s="68"/>
      <c r="E50" s="68"/>
      <c r="F50" s="68"/>
      <c r="G50" s="68"/>
      <c r="H50" s="68"/>
      <c r="I50" s="68"/>
      <c r="J50" s="68"/>
      <c r="T50" s="70"/>
      <c r="U50" s="69"/>
      <c r="V50" s="69"/>
      <c r="W50" s="89"/>
    </row>
    <row r="51" spans="2:23" s="87" customFormat="1" x14ac:dyDescent="0.15">
      <c r="B51" s="68"/>
      <c r="C51" s="68"/>
      <c r="D51" s="68"/>
      <c r="E51" s="68"/>
      <c r="F51" s="68"/>
      <c r="G51" s="68"/>
      <c r="H51" s="68"/>
      <c r="I51" s="68"/>
      <c r="J51" s="68"/>
      <c r="T51" s="70"/>
      <c r="U51" s="69"/>
      <c r="V51" s="69"/>
      <c r="W51" s="89"/>
    </row>
    <row r="52" spans="2:23" s="87" customFormat="1" x14ac:dyDescent="0.15">
      <c r="B52" s="68"/>
      <c r="C52" s="68"/>
      <c r="D52" s="68"/>
      <c r="E52" s="68"/>
      <c r="F52" s="68"/>
      <c r="G52" s="68"/>
      <c r="H52" s="68"/>
      <c r="I52" s="68"/>
      <c r="J52" s="68"/>
      <c r="T52" s="70"/>
      <c r="U52" s="70"/>
      <c r="V52" s="70"/>
      <c r="W52" s="69"/>
    </row>
    <row r="53" spans="2:23" s="87" customFormat="1" ht="13.5" customHeight="1" x14ac:dyDescent="0.15">
      <c r="B53" s="68"/>
      <c r="C53" s="68"/>
      <c r="D53" s="68"/>
      <c r="E53" s="68"/>
      <c r="F53" s="68"/>
      <c r="G53" s="68"/>
      <c r="H53" s="68"/>
      <c r="I53" s="68"/>
      <c r="J53" s="68"/>
      <c r="T53" s="69"/>
      <c r="U53" s="69"/>
      <c r="V53" s="69"/>
      <c r="W53" s="90"/>
    </row>
    <row r="54" spans="2:23" s="87" customFormat="1" x14ac:dyDescent="0.15">
      <c r="B54" s="68"/>
      <c r="C54" s="68"/>
      <c r="D54" s="68"/>
      <c r="E54" s="68"/>
      <c r="F54" s="68"/>
      <c r="G54" s="68"/>
      <c r="H54" s="68"/>
      <c r="I54" s="68"/>
      <c r="J54" s="68"/>
      <c r="T54" s="89"/>
      <c r="U54" s="69"/>
      <c r="V54" s="90"/>
      <c r="W54" s="89"/>
    </row>
    <row r="55" spans="2:23" s="87" customFormat="1" x14ac:dyDescent="0.15">
      <c r="B55" s="68"/>
      <c r="C55" s="68"/>
      <c r="D55" s="68"/>
      <c r="E55" s="68"/>
      <c r="F55" s="68"/>
      <c r="G55" s="68"/>
      <c r="H55" s="68"/>
      <c r="I55" s="68"/>
      <c r="J55" s="68"/>
      <c r="T55" s="69"/>
      <c r="U55" s="69"/>
      <c r="V55" s="69"/>
      <c r="W55" s="69"/>
    </row>
    <row r="56" spans="2:23" s="87" customFormat="1" ht="13.5" customHeight="1" x14ac:dyDescent="0.15">
      <c r="B56" s="68"/>
      <c r="C56" s="68"/>
      <c r="D56" s="68"/>
      <c r="E56" s="68"/>
      <c r="F56" s="68"/>
      <c r="G56" s="68"/>
      <c r="H56" s="68"/>
      <c r="I56" s="68"/>
      <c r="J56" s="68"/>
      <c r="T56" s="70"/>
      <c r="U56" s="69"/>
      <c r="V56" s="70"/>
      <c r="W56" s="89"/>
    </row>
    <row r="57" spans="2:23" s="87" customFormat="1" x14ac:dyDescent="0.15">
      <c r="B57" s="68"/>
      <c r="C57" s="68"/>
      <c r="D57" s="68"/>
      <c r="E57" s="68"/>
      <c r="F57" s="68"/>
      <c r="G57" s="68"/>
      <c r="H57" s="68"/>
      <c r="I57" s="68"/>
      <c r="J57" s="68"/>
      <c r="T57" s="99"/>
      <c r="U57" s="69"/>
      <c r="V57" s="69"/>
      <c r="W57" s="89"/>
    </row>
    <row r="58" spans="2:23" s="87" customFormat="1" x14ac:dyDescent="0.15"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9"/>
      <c r="U58" s="70"/>
      <c r="V58" s="69"/>
      <c r="W58" s="69"/>
    </row>
    <row r="59" spans="2:23" s="87" customFormat="1" x14ac:dyDescent="0.15"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88"/>
      <c r="U59" s="88"/>
      <c r="V59" s="88"/>
      <c r="W59" s="88"/>
    </row>
    <row r="60" spans="2:23" s="87" customFormat="1" x14ac:dyDescent="0.15"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88"/>
    </row>
    <row r="61" spans="2:23" s="87" customFormat="1" x14ac:dyDescent="0.15"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88"/>
    </row>
    <row r="62" spans="2:23" s="87" customFormat="1" x14ac:dyDescent="0.15"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88"/>
    </row>
    <row r="63" spans="2:23" s="87" customFormat="1" x14ac:dyDescent="0.15"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</row>
    <row r="64" spans="2:23" s="87" customFormat="1" x14ac:dyDescent="0.15"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</row>
    <row r="65" spans="2:19" s="87" customFormat="1" ht="13.5" customHeight="1" x14ac:dyDescent="0.15"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</row>
    <row r="66" spans="2:19" s="87" customFormat="1" ht="13.5" customHeight="1" x14ac:dyDescent="0.15"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</row>
    <row r="67" spans="2:19" s="87" customFormat="1" x14ac:dyDescent="0.15"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</row>
    <row r="68" spans="2:19" s="87" customFormat="1" x14ac:dyDescent="0.15"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</row>
    <row r="69" spans="2:19" s="87" customFormat="1" x14ac:dyDescent="0.15"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</row>
    <row r="70" spans="2:19" s="87" customFormat="1" ht="13.5" customHeight="1" x14ac:dyDescent="0.15"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</row>
    <row r="71" spans="2:19" s="87" customFormat="1" x14ac:dyDescent="0.15"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</row>
    <row r="72" spans="2:19" s="87" customFormat="1" x14ac:dyDescent="0.15"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</row>
    <row r="73" spans="2:19" s="87" customFormat="1" x14ac:dyDescent="0.15"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</row>
    <row r="74" spans="2:19" s="87" customFormat="1" x14ac:dyDescent="0.15"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</row>
    <row r="75" spans="2:19" s="87" customFormat="1" x14ac:dyDescent="0.15"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</row>
    <row r="76" spans="2:19" s="87" customFormat="1" ht="13.5" customHeight="1" x14ac:dyDescent="0.15"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</row>
    <row r="77" spans="2:19" s="87" customFormat="1" x14ac:dyDescent="0.15"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</row>
    <row r="78" spans="2:19" s="87" customFormat="1" x14ac:dyDescent="0.15"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</row>
    <row r="79" spans="2:19" s="87" customFormat="1" x14ac:dyDescent="0.15"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</row>
    <row r="80" spans="2:19" s="87" customFormat="1" x14ac:dyDescent="0.15"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</row>
    <row r="81" spans="2:19" s="87" customFormat="1" x14ac:dyDescent="0.15"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</row>
    <row r="82" spans="2:19" s="87" customFormat="1" x14ac:dyDescent="0.15"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</row>
    <row r="83" spans="2:19" s="87" customFormat="1" x14ac:dyDescent="0.15"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</row>
    <row r="84" spans="2:19" s="87" customFormat="1" x14ac:dyDescent="0.15"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</row>
    <row r="85" spans="2:19" s="87" customFormat="1" x14ac:dyDescent="0.15"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</row>
    <row r="86" spans="2:19" s="87" customFormat="1" x14ac:dyDescent="0.15"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</row>
    <row r="87" spans="2:19" s="87" customFormat="1" x14ac:dyDescent="0.15"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</row>
    <row r="88" spans="2:19" s="87" customFormat="1" ht="13.5" customHeight="1" x14ac:dyDescent="0.15"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</row>
    <row r="89" spans="2:19" s="87" customFormat="1" x14ac:dyDescent="0.15"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</row>
    <row r="90" spans="2:19" s="87" customFormat="1" x14ac:dyDescent="0.15"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</row>
    <row r="91" spans="2:19" s="87" customFormat="1" ht="13.5" customHeight="1" x14ac:dyDescent="0.15"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</row>
    <row r="92" spans="2:19" s="87" customFormat="1" x14ac:dyDescent="0.15"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</row>
    <row r="93" spans="2:19" s="87" customFormat="1" x14ac:dyDescent="0.15"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</row>
    <row r="94" spans="2:19" s="87" customFormat="1" x14ac:dyDescent="0.15"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</row>
    <row r="95" spans="2:19" s="87" customFormat="1" x14ac:dyDescent="0.15"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</row>
    <row r="96" spans="2:19" s="87" customFormat="1" x14ac:dyDescent="0.15"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</row>
    <row r="97" spans="1:1" x14ac:dyDescent="0.15">
      <c r="A97" s="87"/>
    </row>
    <row r="98" spans="1:1" x14ac:dyDescent="0.15">
      <c r="A98" s="87"/>
    </row>
    <row r="99" spans="1:1" x14ac:dyDescent="0.15">
      <c r="A99" s="87"/>
    </row>
    <row r="100" spans="1:1" x14ac:dyDescent="0.15">
      <c r="A100" s="87"/>
    </row>
    <row r="101" spans="1:1" x14ac:dyDescent="0.15">
      <c r="A101" s="87"/>
    </row>
  </sheetData>
  <mergeCells count="51">
    <mergeCell ref="Q27:S27"/>
    <mergeCell ref="Q32:S32"/>
    <mergeCell ref="G14:J14"/>
    <mergeCell ref="G17:J17"/>
    <mergeCell ref="G15:J15"/>
    <mergeCell ref="Q14:S14"/>
    <mergeCell ref="Q18:S18"/>
    <mergeCell ref="I18:J18"/>
    <mergeCell ref="Q13:S13"/>
    <mergeCell ref="Q17:S17"/>
    <mergeCell ref="I19:J19"/>
    <mergeCell ref="K13:K39"/>
    <mergeCell ref="G16:J16"/>
    <mergeCell ref="Q35:S35"/>
    <mergeCell ref="Q36:S36"/>
    <mergeCell ref="Q23:S23"/>
    <mergeCell ref="Q24:S24"/>
    <mergeCell ref="Q25:S25"/>
    <mergeCell ref="Q26:S26"/>
    <mergeCell ref="Q39:S39"/>
    <mergeCell ref="Q31:S31"/>
    <mergeCell ref="Q38:S38"/>
    <mergeCell ref="Q21:S21"/>
    <mergeCell ref="Q22:S22"/>
    <mergeCell ref="B3:E3"/>
    <mergeCell ref="K3:S3"/>
    <mergeCell ref="R7:S7"/>
    <mergeCell ref="R8:S8"/>
    <mergeCell ref="G4:J4"/>
    <mergeCell ref="R4:S4"/>
    <mergeCell ref="R6:S6"/>
    <mergeCell ref="G7:J7"/>
    <mergeCell ref="G6:J6"/>
    <mergeCell ref="B4:C8"/>
    <mergeCell ref="G5:J5"/>
    <mergeCell ref="C9:C26"/>
    <mergeCell ref="B9:B37"/>
    <mergeCell ref="C27:C37"/>
    <mergeCell ref="Q33:S33"/>
    <mergeCell ref="Q28:S28"/>
    <mergeCell ref="Q29:S29"/>
    <mergeCell ref="Q30:S30"/>
    <mergeCell ref="D24:E24"/>
    <mergeCell ref="R9:S9"/>
    <mergeCell ref="R10:S10"/>
    <mergeCell ref="Q19:S19"/>
    <mergeCell ref="Q20:S20"/>
    <mergeCell ref="R11:S11"/>
    <mergeCell ref="Q15:S15"/>
    <mergeCell ref="Q16:S16"/>
    <mergeCell ref="R12:S12"/>
  </mergeCells>
  <phoneticPr fontId="4"/>
  <pageMargins left="0.78740157480314965" right="0.78740157480314965" top="0.78740157480314965" bottom="0.78740157480314965" header="0.39370078740157483" footer="0.39370078740157483"/>
  <pageSetup paperSize="9" scale="61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91"/>
  <sheetViews>
    <sheetView zoomScale="75" zoomScaleNormal="75" workbookViewId="0"/>
  </sheetViews>
  <sheetFormatPr defaultRowHeight="13.5" x14ac:dyDescent="0.15"/>
  <cols>
    <col min="1" max="1" width="1.625" style="29" customWidth="1"/>
    <col min="2" max="2" width="3.625" style="29" customWidth="1"/>
    <col min="3" max="3" width="15.625" style="29" customWidth="1"/>
    <col min="4" max="7" width="8.625" style="29" customWidth="1"/>
    <col min="8" max="8" width="1.625" style="133" customWidth="1"/>
    <col min="9" max="9" width="3.625" style="29" customWidth="1"/>
    <col min="10" max="10" width="15.625" style="29" customWidth="1"/>
    <col min="11" max="14" width="8.625" style="29" customWidth="1"/>
    <col min="15" max="15" width="3.5" style="29" customWidth="1"/>
    <col min="16" max="16" width="15.625" style="100" customWidth="1"/>
    <col min="17" max="17" width="8.625" style="29" customWidth="1"/>
    <col min="18" max="18" width="8.625" style="30" customWidth="1"/>
    <col min="19" max="21" width="8.625" style="29" customWidth="1"/>
    <col min="22" max="22" width="10.625" style="30" customWidth="1"/>
    <col min="23" max="245" width="9" style="29"/>
    <col min="246" max="246" width="1.375" style="29" customWidth="1"/>
    <col min="247" max="247" width="3.5" style="29" customWidth="1"/>
    <col min="248" max="248" width="22.125" style="29" customWidth="1"/>
    <col min="249" max="249" width="9.75" style="29" customWidth="1"/>
    <col min="250" max="250" width="7.375" style="29" customWidth="1"/>
    <col min="251" max="251" width="9" style="29"/>
    <col min="252" max="252" width="9.25" style="29" customWidth="1"/>
    <col min="253" max="253" width="3.5" style="29" customWidth="1"/>
    <col min="254" max="255" width="12.625" style="29" customWidth="1"/>
    <col min="256" max="256" width="9" style="29"/>
    <col min="257" max="257" width="7.75" style="29" customWidth="1"/>
    <col min="258" max="258" width="13.125" style="29" customWidth="1"/>
    <col min="259" max="259" width="6.125" style="29" customWidth="1"/>
    <col min="260" max="260" width="9.75" style="29" customWidth="1"/>
    <col min="261" max="261" width="1.375" style="29" customWidth="1"/>
    <col min="262" max="501" width="9" style="29"/>
    <col min="502" max="502" width="1.375" style="29" customWidth="1"/>
    <col min="503" max="503" width="3.5" style="29" customWidth="1"/>
    <col min="504" max="504" width="22.125" style="29" customWidth="1"/>
    <col min="505" max="505" width="9.75" style="29" customWidth="1"/>
    <col min="506" max="506" width="7.375" style="29" customWidth="1"/>
    <col min="507" max="507" width="9" style="29"/>
    <col min="508" max="508" width="9.25" style="29" customWidth="1"/>
    <col min="509" max="509" width="3.5" style="29" customWidth="1"/>
    <col min="510" max="511" width="12.625" style="29" customWidth="1"/>
    <col min="512" max="512" width="9" style="29"/>
    <col min="513" max="513" width="7.75" style="29" customWidth="1"/>
    <col min="514" max="514" width="13.125" style="29" customWidth="1"/>
    <col min="515" max="515" width="6.125" style="29" customWidth="1"/>
    <col min="516" max="516" width="9.75" style="29" customWidth="1"/>
    <col min="517" max="517" width="1.375" style="29" customWidth="1"/>
    <col min="518" max="757" width="9" style="29"/>
    <col min="758" max="758" width="1.375" style="29" customWidth="1"/>
    <col min="759" max="759" width="3.5" style="29" customWidth="1"/>
    <col min="760" max="760" width="22.125" style="29" customWidth="1"/>
    <col min="761" max="761" width="9.75" style="29" customWidth="1"/>
    <col min="762" max="762" width="7.375" style="29" customWidth="1"/>
    <col min="763" max="763" width="9" style="29"/>
    <col min="764" max="764" width="9.25" style="29" customWidth="1"/>
    <col min="765" max="765" width="3.5" style="29" customWidth="1"/>
    <col min="766" max="767" width="12.625" style="29" customWidth="1"/>
    <col min="768" max="768" width="9" style="29"/>
    <col min="769" max="769" width="7.75" style="29" customWidth="1"/>
    <col min="770" max="770" width="13.125" style="29" customWidth="1"/>
    <col min="771" max="771" width="6.125" style="29" customWidth="1"/>
    <col min="772" max="772" width="9.75" style="29" customWidth="1"/>
    <col min="773" max="773" width="1.375" style="29" customWidth="1"/>
    <col min="774" max="1013" width="9" style="29"/>
    <col min="1014" max="1014" width="1.375" style="29" customWidth="1"/>
    <col min="1015" max="1015" width="3.5" style="29" customWidth="1"/>
    <col min="1016" max="1016" width="22.125" style="29" customWidth="1"/>
    <col min="1017" max="1017" width="9.75" style="29" customWidth="1"/>
    <col min="1018" max="1018" width="7.375" style="29" customWidth="1"/>
    <col min="1019" max="1019" width="9" style="29"/>
    <col min="1020" max="1020" width="9.25" style="29" customWidth="1"/>
    <col min="1021" max="1021" width="3.5" style="29" customWidth="1"/>
    <col min="1022" max="1023" width="12.625" style="29" customWidth="1"/>
    <col min="1024" max="1024" width="9" style="29"/>
    <col min="1025" max="1025" width="7.75" style="29" customWidth="1"/>
    <col min="1026" max="1026" width="13.125" style="29" customWidth="1"/>
    <col min="1027" max="1027" width="6.125" style="29" customWidth="1"/>
    <col min="1028" max="1028" width="9.75" style="29" customWidth="1"/>
    <col min="1029" max="1029" width="1.375" style="29" customWidth="1"/>
    <col min="1030" max="1269" width="9" style="29"/>
    <col min="1270" max="1270" width="1.375" style="29" customWidth="1"/>
    <col min="1271" max="1271" width="3.5" style="29" customWidth="1"/>
    <col min="1272" max="1272" width="22.125" style="29" customWidth="1"/>
    <col min="1273" max="1273" width="9.75" style="29" customWidth="1"/>
    <col min="1274" max="1274" width="7.375" style="29" customWidth="1"/>
    <col min="1275" max="1275" width="9" style="29"/>
    <col min="1276" max="1276" width="9.25" style="29" customWidth="1"/>
    <col min="1277" max="1277" width="3.5" style="29" customWidth="1"/>
    <col min="1278" max="1279" width="12.625" style="29" customWidth="1"/>
    <col min="1280" max="1280" width="9" style="29"/>
    <col min="1281" max="1281" width="7.75" style="29" customWidth="1"/>
    <col min="1282" max="1282" width="13.125" style="29" customWidth="1"/>
    <col min="1283" max="1283" width="6.125" style="29" customWidth="1"/>
    <col min="1284" max="1284" width="9.75" style="29" customWidth="1"/>
    <col min="1285" max="1285" width="1.375" style="29" customWidth="1"/>
    <col min="1286" max="1525" width="9" style="29"/>
    <col min="1526" max="1526" width="1.375" style="29" customWidth="1"/>
    <col min="1527" max="1527" width="3.5" style="29" customWidth="1"/>
    <col min="1528" max="1528" width="22.125" style="29" customWidth="1"/>
    <col min="1529" max="1529" width="9.75" style="29" customWidth="1"/>
    <col min="1530" max="1530" width="7.375" style="29" customWidth="1"/>
    <col min="1531" max="1531" width="9" style="29"/>
    <col min="1532" max="1532" width="9.25" style="29" customWidth="1"/>
    <col min="1533" max="1533" width="3.5" style="29" customWidth="1"/>
    <col min="1534" max="1535" width="12.625" style="29" customWidth="1"/>
    <col min="1536" max="1536" width="9" style="29"/>
    <col min="1537" max="1537" width="7.75" style="29" customWidth="1"/>
    <col min="1538" max="1538" width="13.125" style="29" customWidth="1"/>
    <col min="1539" max="1539" width="6.125" style="29" customWidth="1"/>
    <col min="1540" max="1540" width="9.75" style="29" customWidth="1"/>
    <col min="1541" max="1541" width="1.375" style="29" customWidth="1"/>
    <col min="1542" max="1781" width="9" style="29"/>
    <col min="1782" max="1782" width="1.375" style="29" customWidth="1"/>
    <col min="1783" max="1783" width="3.5" style="29" customWidth="1"/>
    <col min="1784" max="1784" width="22.125" style="29" customWidth="1"/>
    <col min="1785" max="1785" width="9.75" style="29" customWidth="1"/>
    <col min="1786" max="1786" width="7.375" style="29" customWidth="1"/>
    <col min="1787" max="1787" width="9" style="29"/>
    <col min="1788" max="1788" width="9.25" style="29" customWidth="1"/>
    <col min="1789" max="1789" width="3.5" style="29" customWidth="1"/>
    <col min="1790" max="1791" width="12.625" style="29" customWidth="1"/>
    <col min="1792" max="1792" width="9" style="29"/>
    <col min="1793" max="1793" width="7.75" style="29" customWidth="1"/>
    <col min="1794" max="1794" width="13.125" style="29" customWidth="1"/>
    <col min="1795" max="1795" width="6.125" style="29" customWidth="1"/>
    <col min="1796" max="1796" width="9.75" style="29" customWidth="1"/>
    <col min="1797" max="1797" width="1.375" style="29" customWidth="1"/>
    <col min="1798" max="2037" width="9" style="29"/>
    <col min="2038" max="2038" width="1.375" style="29" customWidth="1"/>
    <col min="2039" max="2039" width="3.5" style="29" customWidth="1"/>
    <col min="2040" max="2040" width="22.125" style="29" customWidth="1"/>
    <col min="2041" max="2041" width="9.75" style="29" customWidth="1"/>
    <col min="2042" max="2042" width="7.375" style="29" customWidth="1"/>
    <col min="2043" max="2043" width="9" style="29"/>
    <col min="2044" max="2044" width="9.25" style="29" customWidth="1"/>
    <col min="2045" max="2045" width="3.5" style="29" customWidth="1"/>
    <col min="2046" max="2047" width="12.625" style="29" customWidth="1"/>
    <col min="2048" max="2048" width="9" style="29"/>
    <col min="2049" max="2049" width="7.75" style="29" customWidth="1"/>
    <col min="2050" max="2050" width="13.125" style="29" customWidth="1"/>
    <col min="2051" max="2051" width="6.125" style="29" customWidth="1"/>
    <col min="2052" max="2052" width="9.75" style="29" customWidth="1"/>
    <col min="2053" max="2053" width="1.375" style="29" customWidth="1"/>
    <col min="2054" max="2293" width="9" style="29"/>
    <col min="2294" max="2294" width="1.375" style="29" customWidth="1"/>
    <col min="2295" max="2295" width="3.5" style="29" customWidth="1"/>
    <col min="2296" max="2296" width="22.125" style="29" customWidth="1"/>
    <col min="2297" max="2297" width="9.75" style="29" customWidth="1"/>
    <col min="2298" max="2298" width="7.375" style="29" customWidth="1"/>
    <col min="2299" max="2299" width="9" style="29"/>
    <col min="2300" max="2300" width="9.25" style="29" customWidth="1"/>
    <col min="2301" max="2301" width="3.5" style="29" customWidth="1"/>
    <col min="2302" max="2303" width="12.625" style="29" customWidth="1"/>
    <col min="2304" max="2304" width="9" style="29"/>
    <col min="2305" max="2305" width="7.75" style="29" customWidth="1"/>
    <col min="2306" max="2306" width="13.125" style="29" customWidth="1"/>
    <col min="2307" max="2307" width="6.125" style="29" customWidth="1"/>
    <col min="2308" max="2308" width="9.75" style="29" customWidth="1"/>
    <col min="2309" max="2309" width="1.375" style="29" customWidth="1"/>
    <col min="2310" max="2549" width="9" style="29"/>
    <col min="2550" max="2550" width="1.375" style="29" customWidth="1"/>
    <col min="2551" max="2551" width="3.5" style="29" customWidth="1"/>
    <col min="2552" max="2552" width="22.125" style="29" customWidth="1"/>
    <col min="2553" max="2553" width="9.75" style="29" customWidth="1"/>
    <col min="2554" max="2554" width="7.375" style="29" customWidth="1"/>
    <col min="2555" max="2555" width="9" style="29"/>
    <col min="2556" max="2556" width="9.25" style="29" customWidth="1"/>
    <col min="2557" max="2557" width="3.5" style="29" customWidth="1"/>
    <col min="2558" max="2559" width="12.625" style="29" customWidth="1"/>
    <col min="2560" max="2560" width="9" style="29"/>
    <col min="2561" max="2561" width="7.75" style="29" customWidth="1"/>
    <col min="2562" max="2562" width="13.125" style="29" customWidth="1"/>
    <col min="2563" max="2563" width="6.125" style="29" customWidth="1"/>
    <col min="2564" max="2564" width="9.75" style="29" customWidth="1"/>
    <col min="2565" max="2565" width="1.375" style="29" customWidth="1"/>
    <col min="2566" max="2805" width="9" style="29"/>
    <col min="2806" max="2806" width="1.375" style="29" customWidth="1"/>
    <col min="2807" max="2807" width="3.5" style="29" customWidth="1"/>
    <col min="2808" max="2808" width="22.125" style="29" customWidth="1"/>
    <col min="2809" max="2809" width="9.75" style="29" customWidth="1"/>
    <col min="2810" max="2810" width="7.375" style="29" customWidth="1"/>
    <col min="2811" max="2811" width="9" style="29"/>
    <col min="2812" max="2812" width="9.25" style="29" customWidth="1"/>
    <col min="2813" max="2813" width="3.5" style="29" customWidth="1"/>
    <col min="2814" max="2815" width="12.625" style="29" customWidth="1"/>
    <col min="2816" max="2816" width="9" style="29"/>
    <col min="2817" max="2817" width="7.75" style="29" customWidth="1"/>
    <col min="2818" max="2818" width="13.125" style="29" customWidth="1"/>
    <col min="2819" max="2819" width="6.125" style="29" customWidth="1"/>
    <col min="2820" max="2820" width="9.75" style="29" customWidth="1"/>
    <col min="2821" max="2821" width="1.375" style="29" customWidth="1"/>
    <col min="2822" max="3061" width="9" style="29"/>
    <col min="3062" max="3062" width="1.375" style="29" customWidth="1"/>
    <col min="3063" max="3063" width="3.5" style="29" customWidth="1"/>
    <col min="3064" max="3064" width="22.125" style="29" customWidth="1"/>
    <col min="3065" max="3065" width="9.75" style="29" customWidth="1"/>
    <col min="3066" max="3066" width="7.375" style="29" customWidth="1"/>
    <col min="3067" max="3067" width="9" style="29"/>
    <col min="3068" max="3068" width="9.25" style="29" customWidth="1"/>
    <col min="3069" max="3069" width="3.5" style="29" customWidth="1"/>
    <col min="3070" max="3071" width="12.625" style="29" customWidth="1"/>
    <col min="3072" max="3072" width="9" style="29"/>
    <col min="3073" max="3073" width="7.75" style="29" customWidth="1"/>
    <col min="3074" max="3074" width="13.125" style="29" customWidth="1"/>
    <col min="3075" max="3075" width="6.125" style="29" customWidth="1"/>
    <col min="3076" max="3076" width="9.75" style="29" customWidth="1"/>
    <col min="3077" max="3077" width="1.375" style="29" customWidth="1"/>
    <col min="3078" max="3317" width="9" style="29"/>
    <col min="3318" max="3318" width="1.375" style="29" customWidth="1"/>
    <col min="3319" max="3319" width="3.5" style="29" customWidth="1"/>
    <col min="3320" max="3320" width="22.125" style="29" customWidth="1"/>
    <col min="3321" max="3321" width="9.75" style="29" customWidth="1"/>
    <col min="3322" max="3322" width="7.375" style="29" customWidth="1"/>
    <col min="3323" max="3323" width="9" style="29"/>
    <col min="3324" max="3324" width="9.25" style="29" customWidth="1"/>
    <col min="3325" max="3325" width="3.5" style="29" customWidth="1"/>
    <col min="3326" max="3327" width="12.625" style="29" customWidth="1"/>
    <col min="3328" max="3328" width="9" style="29"/>
    <col min="3329" max="3329" width="7.75" style="29" customWidth="1"/>
    <col min="3330" max="3330" width="13.125" style="29" customWidth="1"/>
    <col min="3331" max="3331" width="6.125" style="29" customWidth="1"/>
    <col min="3332" max="3332" width="9.75" style="29" customWidth="1"/>
    <col min="3333" max="3333" width="1.375" style="29" customWidth="1"/>
    <col min="3334" max="3573" width="9" style="29"/>
    <col min="3574" max="3574" width="1.375" style="29" customWidth="1"/>
    <col min="3575" max="3575" width="3.5" style="29" customWidth="1"/>
    <col min="3576" max="3576" width="22.125" style="29" customWidth="1"/>
    <col min="3577" max="3577" width="9.75" style="29" customWidth="1"/>
    <col min="3578" max="3578" width="7.375" style="29" customWidth="1"/>
    <col min="3579" max="3579" width="9" style="29"/>
    <col min="3580" max="3580" width="9.25" style="29" customWidth="1"/>
    <col min="3581" max="3581" width="3.5" style="29" customWidth="1"/>
    <col min="3582" max="3583" width="12.625" style="29" customWidth="1"/>
    <col min="3584" max="3584" width="9" style="29"/>
    <col min="3585" max="3585" width="7.75" style="29" customWidth="1"/>
    <col min="3586" max="3586" width="13.125" style="29" customWidth="1"/>
    <col min="3587" max="3587" width="6.125" style="29" customWidth="1"/>
    <col min="3588" max="3588" width="9.75" style="29" customWidth="1"/>
    <col min="3589" max="3589" width="1.375" style="29" customWidth="1"/>
    <col min="3590" max="3829" width="9" style="29"/>
    <col min="3830" max="3830" width="1.375" style="29" customWidth="1"/>
    <col min="3831" max="3831" width="3.5" style="29" customWidth="1"/>
    <col min="3832" max="3832" width="22.125" style="29" customWidth="1"/>
    <col min="3833" max="3833" width="9.75" style="29" customWidth="1"/>
    <col min="3834" max="3834" width="7.375" style="29" customWidth="1"/>
    <col min="3835" max="3835" width="9" style="29"/>
    <col min="3836" max="3836" width="9.25" style="29" customWidth="1"/>
    <col min="3837" max="3837" width="3.5" style="29" customWidth="1"/>
    <col min="3838" max="3839" width="12.625" style="29" customWidth="1"/>
    <col min="3840" max="3840" width="9" style="29"/>
    <col min="3841" max="3841" width="7.75" style="29" customWidth="1"/>
    <col min="3842" max="3842" width="13.125" style="29" customWidth="1"/>
    <col min="3843" max="3843" width="6.125" style="29" customWidth="1"/>
    <col min="3844" max="3844" width="9.75" style="29" customWidth="1"/>
    <col min="3845" max="3845" width="1.375" style="29" customWidth="1"/>
    <col min="3846" max="4085" width="9" style="29"/>
    <col min="4086" max="4086" width="1.375" style="29" customWidth="1"/>
    <col min="4087" max="4087" width="3.5" style="29" customWidth="1"/>
    <col min="4088" max="4088" width="22.125" style="29" customWidth="1"/>
    <col min="4089" max="4089" width="9.75" style="29" customWidth="1"/>
    <col min="4090" max="4090" width="7.375" style="29" customWidth="1"/>
    <col min="4091" max="4091" width="9" style="29"/>
    <col min="4092" max="4092" width="9.25" style="29" customWidth="1"/>
    <col min="4093" max="4093" width="3.5" style="29" customWidth="1"/>
    <col min="4094" max="4095" width="12.625" style="29" customWidth="1"/>
    <col min="4096" max="4096" width="9" style="29"/>
    <col min="4097" max="4097" width="7.75" style="29" customWidth="1"/>
    <col min="4098" max="4098" width="13.125" style="29" customWidth="1"/>
    <col min="4099" max="4099" width="6.125" style="29" customWidth="1"/>
    <col min="4100" max="4100" width="9.75" style="29" customWidth="1"/>
    <col min="4101" max="4101" width="1.375" style="29" customWidth="1"/>
    <col min="4102" max="4341" width="9" style="29"/>
    <col min="4342" max="4342" width="1.375" style="29" customWidth="1"/>
    <col min="4343" max="4343" width="3.5" style="29" customWidth="1"/>
    <col min="4344" max="4344" width="22.125" style="29" customWidth="1"/>
    <col min="4345" max="4345" width="9.75" style="29" customWidth="1"/>
    <col min="4346" max="4346" width="7.375" style="29" customWidth="1"/>
    <col min="4347" max="4347" width="9" style="29"/>
    <col min="4348" max="4348" width="9.25" style="29" customWidth="1"/>
    <col min="4349" max="4349" width="3.5" style="29" customWidth="1"/>
    <col min="4350" max="4351" width="12.625" style="29" customWidth="1"/>
    <col min="4352" max="4352" width="9" style="29"/>
    <col min="4353" max="4353" width="7.75" style="29" customWidth="1"/>
    <col min="4354" max="4354" width="13.125" style="29" customWidth="1"/>
    <col min="4355" max="4355" width="6.125" style="29" customWidth="1"/>
    <col min="4356" max="4356" width="9.75" style="29" customWidth="1"/>
    <col min="4357" max="4357" width="1.375" style="29" customWidth="1"/>
    <col min="4358" max="4597" width="9" style="29"/>
    <col min="4598" max="4598" width="1.375" style="29" customWidth="1"/>
    <col min="4599" max="4599" width="3.5" style="29" customWidth="1"/>
    <col min="4600" max="4600" width="22.125" style="29" customWidth="1"/>
    <col min="4601" max="4601" width="9.75" style="29" customWidth="1"/>
    <col min="4602" max="4602" width="7.375" style="29" customWidth="1"/>
    <col min="4603" max="4603" width="9" style="29"/>
    <col min="4604" max="4604" width="9.25" style="29" customWidth="1"/>
    <col min="4605" max="4605" width="3.5" style="29" customWidth="1"/>
    <col min="4606" max="4607" width="12.625" style="29" customWidth="1"/>
    <col min="4608" max="4608" width="9" style="29"/>
    <col min="4609" max="4609" width="7.75" style="29" customWidth="1"/>
    <col min="4610" max="4610" width="13.125" style="29" customWidth="1"/>
    <col min="4611" max="4611" width="6.125" style="29" customWidth="1"/>
    <col min="4612" max="4612" width="9.75" style="29" customWidth="1"/>
    <col min="4613" max="4613" width="1.375" style="29" customWidth="1"/>
    <col min="4614" max="4853" width="9" style="29"/>
    <col min="4854" max="4854" width="1.375" style="29" customWidth="1"/>
    <col min="4855" max="4855" width="3.5" style="29" customWidth="1"/>
    <col min="4856" max="4856" width="22.125" style="29" customWidth="1"/>
    <col min="4857" max="4857" width="9.75" style="29" customWidth="1"/>
    <col min="4858" max="4858" width="7.375" style="29" customWidth="1"/>
    <col min="4859" max="4859" width="9" style="29"/>
    <col min="4860" max="4860" width="9.25" style="29" customWidth="1"/>
    <col min="4861" max="4861" width="3.5" style="29" customWidth="1"/>
    <col min="4862" max="4863" width="12.625" style="29" customWidth="1"/>
    <col min="4864" max="4864" width="9" style="29"/>
    <col min="4865" max="4865" width="7.75" style="29" customWidth="1"/>
    <col min="4866" max="4866" width="13.125" style="29" customWidth="1"/>
    <col min="4867" max="4867" width="6.125" style="29" customWidth="1"/>
    <col min="4868" max="4868" width="9.75" style="29" customWidth="1"/>
    <col min="4869" max="4869" width="1.375" style="29" customWidth="1"/>
    <col min="4870" max="5109" width="9" style="29"/>
    <col min="5110" max="5110" width="1.375" style="29" customWidth="1"/>
    <col min="5111" max="5111" width="3.5" style="29" customWidth="1"/>
    <col min="5112" max="5112" width="22.125" style="29" customWidth="1"/>
    <col min="5113" max="5113" width="9.75" style="29" customWidth="1"/>
    <col min="5114" max="5114" width="7.375" style="29" customWidth="1"/>
    <col min="5115" max="5115" width="9" style="29"/>
    <col min="5116" max="5116" width="9.25" style="29" customWidth="1"/>
    <col min="5117" max="5117" width="3.5" style="29" customWidth="1"/>
    <col min="5118" max="5119" width="12.625" style="29" customWidth="1"/>
    <col min="5120" max="5120" width="9" style="29"/>
    <col min="5121" max="5121" width="7.75" style="29" customWidth="1"/>
    <col min="5122" max="5122" width="13.125" style="29" customWidth="1"/>
    <col min="5123" max="5123" width="6.125" style="29" customWidth="1"/>
    <col min="5124" max="5124" width="9.75" style="29" customWidth="1"/>
    <col min="5125" max="5125" width="1.375" style="29" customWidth="1"/>
    <col min="5126" max="5365" width="9" style="29"/>
    <col min="5366" max="5366" width="1.375" style="29" customWidth="1"/>
    <col min="5367" max="5367" width="3.5" style="29" customWidth="1"/>
    <col min="5368" max="5368" width="22.125" style="29" customWidth="1"/>
    <col min="5369" max="5369" width="9.75" style="29" customWidth="1"/>
    <col min="5370" max="5370" width="7.375" style="29" customWidth="1"/>
    <col min="5371" max="5371" width="9" style="29"/>
    <col min="5372" max="5372" width="9.25" style="29" customWidth="1"/>
    <col min="5373" max="5373" width="3.5" style="29" customWidth="1"/>
    <col min="5374" max="5375" width="12.625" style="29" customWidth="1"/>
    <col min="5376" max="5376" width="9" style="29"/>
    <col min="5377" max="5377" width="7.75" style="29" customWidth="1"/>
    <col min="5378" max="5378" width="13.125" style="29" customWidth="1"/>
    <col min="5379" max="5379" width="6.125" style="29" customWidth="1"/>
    <col min="5380" max="5380" width="9.75" style="29" customWidth="1"/>
    <col min="5381" max="5381" width="1.375" style="29" customWidth="1"/>
    <col min="5382" max="5621" width="9" style="29"/>
    <col min="5622" max="5622" width="1.375" style="29" customWidth="1"/>
    <col min="5623" max="5623" width="3.5" style="29" customWidth="1"/>
    <col min="5624" max="5624" width="22.125" style="29" customWidth="1"/>
    <col min="5625" max="5625" width="9.75" style="29" customWidth="1"/>
    <col min="5626" max="5626" width="7.375" style="29" customWidth="1"/>
    <col min="5627" max="5627" width="9" style="29"/>
    <col min="5628" max="5628" width="9.25" style="29" customWidth="1"/>
    <col min="5629" max="5629" width="3.5" style="29" customWidth="1"/>
    <col min="5630" max="5631" width="12.625" style="29" customWidth="1"/>
    <col min="5632" max="5632" width="9" style="29"/>
    <col min="5633" max="5633" width="7.75" style="29" customWidth="1"/>
    <col min="5634" max="5634" width="13.125" style="29" customWidth="1"/>
    <col min="5635" max="5635" width="6.125" style="29" customWidth="1"/>
    <col min="5636" max="5636" width="9.75" style="29" customWidth="1"/>
    <col min="5637" max="5637" width="1.375" style="29" customWidth="1"/>
    <col min="5638" max="5877" width="9" style="29"/>
    <col min="5878" max="5878" width="1.375" style="29" customWidth="1"/>
    <col min="5879" max="5879" width="3.5" style="29" customWidth="1"/>
    <col min="5880" max="5880" width="22.125" style="29" customWidth="1"/>
    <col min="5881" max="5881" width="9.75" style="29" customWidth="1"/>
    <col min="5882" max="5882" width="7.375" style="29" customWidth="1"/>
    <col min="5883" max="5883" width="9" style="29"/>
    <col min="5884" max="5884" width="9.25" style="29" customWidth="1"/>
    <col min="5885" max="5885" width="3.5" style="29" customWidth="1"/>
    <col min="5886" max="5887" width="12.625" style="29" customWidth="1"/>
    <col min="5888" max="5888" width="9" style="29"/>
    <col min="5889" max="5889" width="7.75" style="29" customWidth="1"/>
    <col min="5890" max="5890" width="13.125" style="29" customWidth="1"/>
    <col min="5891" max="5891" width="6.125" style="29" customWidth="1"/>
    <col min="5892" max="5892" width="9.75" style="29" customWidth="1"/>
    <col min="5893" max="5893" width="1.375" style="29" customWidth="1"/>
    <col min="5894" max="6133" width="9" style="29"/>
    <col min="6134" max="6134" width="1.375" style="29" customWidth="1"/>
    <col min="6135" max="6135" width="3.5" style="29" customWidth="1"/>
    <col min="6136" max="6136" width="22.125" style="29" customWidth="1"/>
    <col min="6137" max="6137" width="9.75" style="29" customWidth="1"/>
    <col min="6138" max="6138" width="7.375" style="29" customWidth="1"/>
    <col min="6139" max="6139" width="9" style="29"/>
    <col min="6140" max="6140" width="9.25" style="29" customWidth="1"/>
    <col min="6141" max="6141" width="3.5" style="29" customWidth="1"/>
    <col min="6142" max="6143" width="12.625" style="29" customWidth="1"/>
    <col min="6144" max="6144" width="9" style="29"/>
    <col min="6145" max="6145" width="7.75" style="29" customWidth="1"/>
    <col min="6146" max="6146" width="13.125" style="29" customWidth="1"/>
    <col min="6147" max="6147" width="6.125" style="29" customWidth="1"/>
    <col min="6148" max="6148" width="9.75" style="29" customWidth="1"/>
    <col min="6149" max="6149" width="1.375" style="29" customWidth="1"/>
    <col min="6150" max="6389" width="9" style="29"/>
    <col min="6390" max="6390" width="1.375" style="29" customWidth="1"/>
    <col min="6391" max="6391" width="3.5" style="29" customWidth="1"/>
    <col min="6392" max="6392" width="22.125" style="29" customWidth="1"/>
    <col min="6393" max="6393" width="9.75" style="29" customWidth="1"/>
    <col min="6394" max="6394" width="7.375" style="29" customWidth="1"/>
    <col min="6395" max="6395" width="9" style="29"/>
    <col min="6396" max="6396" width="9.25" style="29" customWidth="1"/>
    <col min="6397" max="6397" width="3.5" style="29" customWidth="1"/>
    <col min="6398" max="6399" width="12.625" style="29" customWidth="1"/>
    <col min="6400" max="6400" width="9" style="29"/>
    <col min="6401" max="6401" width="7.75" style="29" customWidth="1"/>
    <col min="6402" max="6402" width="13.125" style="29" customWidth="1"/>
    <col min="6403" max="6403" width="6.125" style="29" customWidth="1"/>
    <col min="6404" max="6404" width="9.75" style="29" customWidth="1"/>
    <col min="6405" max="6405" width="1.375" style="29" customWidth="1"/>
    <col min="6406" max="6645" width="9" style="29"/>
    <col min="6646" max="6646" width="1.375" style="29" customWidth="1"/>
    <col min="6647" max="6647" width="3.5" style="29" customWidth="1"/>
    <col min="6648" max="6648" width="22.125" style="29" customWidth="1"/>
    <col min="6649" max="6649" width="9.75" style="29" customWidth="1"/>
    <col min="6650" max="6650" width="7.375" style="29" customWidth="1"/>
    <col min="6651" max="6651" width="9" style="29"/>
    <col min="6652" max="6652" width="9.25" style="29" customWidth="1"/>
    <col min="6653" max="6653" width="3.5" style="29" customWidth="1"/>
    <col min="6654" max="6655" width="12.625" style="29" customWidth="1"/>
    <col min="6656" max="6656" width="9" style="29"/>
    <col min="6657" max="6657" width="7.75" style="29" customWidth="1"/>
    <col min="6658" max="6658" width="13.125" style="29" customWidth="1"/>
    <col min="6659" max="6659" width="6.125" style="29" customWidth="1"/>
    <col min="6660" max="6660" width="9.75" style="29" customWidth="1"/>
    <col min="6661" max="6661" width="1.375" style="29" customWidth="1"/>
    <col min="6662" max="6901" width="9" style="29"/>
    <col min="6902" max="6902" width="1.375" style="29" customWidth="1"/>
    <col min="6903" max="6903" width="3.5" style="29" customWidth="1"/>
    <col min="6904" max="6904" width="22.125" style="29" customWidth="1"/>
    <col min="6905" max="6905" width="9.75" style="29" customWidth="1"/>
    <col min="6906" max="6906" width="7.375" style="29" customWidth="1"/>
    <col min="6907" max="6907" width="9" style="29"/>
    <col min="6908" max="6908" width="9.25" style="29" customWidth="1"/>
    <col min="6909" max="6909" width="3.5" style="29" customWidth="1"/>
    <col min="6910" max="6911" width="12.625" style="29" customWidth="1"/>
    <col min="6912" max="6912" width="9" style="29"/>
    <col min="6913" max="6913" width="7.75" style="29" customWidth="1"/>
    <col min="6914" max="6914" width="13.125" style="29" customWidth="1"/>
    <col min="6915" max="6915" width="6.125" style="29" customWidth="1"/>
    <col min="6916" max="6916" width="9.75" style="29" customWidth="1"/>
    <col min="6917" max="6917" width="1.375" style="29" customWidth="1"/>
    <col min="6918" max="7157" width="9" style="29"/>
    <col min="7158" max="7158" width="1.375" style="29" customWidth="1"/>
    <col min="7159" max="7159" width="3.5" style="29" customWidth="1"/>
    <col min="7160" max="7160" width="22.125" style="29" customWidth="1"/>
    <col min="7161" max="7161" width="9.75" style="29" customWidth="1"/>
    <col min="7162" max="7162" width="7.375" style="29" customWidth="1"/>
    <col min="7163" max="7163" width="9" style="29"/>
    <col min="7164" max="7164" width="9.25" style="29" customWidth="1"/>
    <col min="7165" max="7165" width="3.5" style="29" customWidth="1"/>
    <col min="7166" max="7167" width="12.625" style="29" customWidth="1"/>
    <col min="7168" max="7168" width="9" style="29"/>
    <col min="7169" max="7169" width="7.75" style="29" customWidth="1"/>
    <col min="7170" max="7170" width="13.125" style="29" customWidth="1"/>
    <col min="7171" max="7171" width="6.125" style="29" customWidth="1"/>
    <col min="7172" max="7172" width="9.75" style="29" customWidth="1"/>
    <col min="7173" max="7173" width="1.375" style="29" customWidth="1"/>
    <col min="7174" max="7413" width="9" style="29"/>
    <col min="7414" max="7414" width="1.375" style="29" customWidth="1"/>
    <col min="7415" max="7415" width="3.5" style="29" customWidth="1"/>
    <col min="7416" max="7416" width="22.125" style="29" customWidth="1"/>
    <col min="7417" max="7417" width="9.75" style="29" customWidth="1"/>
    <col min="7418" max="7418" width="7.375" style="29" customWidth="1"/>
    <col min="7419" max="7419" width="9" style="29"/>
    <col min="7420" max="7420" width="9.25" style="29" customWidth="1"/>
    <col min="7421" max="7421" width="3.5" style="29" customWidth="1"/>
    <col min="7422" max="7423" width="12.625" style="29" customWidth="1"/>
    <col min="7424" max="7424" width="9" style="29"/>
    <col min="7425" max="7425" width="7.75" style="29" customWidth="1"/>
    <col min="7426" max="7426" width="13.125" style="29" customWidth="1"/>
    <col min="7427" max="7427" width="6.125" style="29" customWidth="1"/>
    <col min="7428" max="7428" width="9.75" style="29" customWidth="1"/>
    <col min="7429" max="7429" width="1.375" style="29" customWidth="1"/>
    <col min="7430" max="7669" width="9" style="29"/>
    <col min="7670" max="7670" width="1.375" style="29" customWidth="1"/>
    <col min="7671" max="7671" width="3.5" style="29" customWidth="1"/>
    <col min="7672" max="7672" width="22.125" style="29" customWidth="1"/>
    <col min="7673" max="7673" width="9.75" style="29" customWidth="1"/>
    <col min="7674" max="7674" width="7.375" style="29" customWidth="1"/>
    <col min="7675" max="7675" width="9" style="29"/>
    <col min="7676" max="7676" width="9.25" style="29" customWidth="1"/>
    <col min="7677" max="7677" width="3.5" style="29" customWidth="1"/>
    <col min="7678" max="7679" width="12.625" style="29" customWidth="1"/>
    <col min="7680" max="7680" width="9" style="29"/>
    <col min="7681" max="7681" width="7.75" style="29" customWidth="1"/>
    <col min="7682" max="7682" width="13.125" style="29" customWidth="1"/>
    <col min="7683" max="7683" width="6.125" style="29" customWidth="1"/>
    <col min="7684" max="7684" width="9.75" style="29" customWidth="1"/>
    <col min="7685" max="7685" width="1.375" style="29" customWidth="1"/>
    <col min="7686" max="7925" width="9" style="29"/>
    <col min="7926" max="7926" width="1.375" style="29" customWidth="1"/>
    <col min="7927" max="7927" width="3.5" style="29" customWidth="1"/>
    <col min="7928" max="7928" width="22.125" style="29" customWidth="1"/>
    <col min="7929" max="7929" width="9.75" style="29" customWidth="1"/>
    <col min="7930" max="7930" width="7.375" style="29" customWidth="1"/>
    <col min="7931" max="7931" width="9" style="29"/>
    <col min="7932" max="7932" width="9.25" style="29" customWidth="1"/>
    <col min="7933" max="7933" width="3.5" style="29" customWidth="1"/>
    <col min="7934" max="7935" width="12.625" style="29" customWidth="1"/>
    <col min="7936" max="7936" width="9" style="29"/>
    <col min="7937" max="7937" width="7.75" style="29" customWidth="1"/>
    <col min="7938" max="7938" width="13.125" style="29" customWidth="1"/>
    <col min="7939" max="7939" width="6.125" style="29" customWidth="1"/>
    <col min="7940" max="7940" width="9.75" style="29" customWidth="1"/>
    <col min="7941" max="7941" width="1.375" style="29" customWidth="1"/>
    <col min="7942" max="8181" width="9" style="29"/>
    <col min="8182" max="8182" width="1.375" style="29" customWidth="1"/>
    <col min="8183" max="8183" width="3.5" style="29" customWidth="1"/>
    <col min="8184" max="8184" width="22.125" style="29" customWidth="1"/>
    <col min="8185" max="8185" width="9.75" style="29" customWidth="1"/>
    <col min="8186" max="8186" width="7.375" style="29" customWidth="1"/>
    <col min="8187" max="8187" width="9" style="29"/>
    <col min="8188" max="8188" width="9.25" style="29" customWidth="1"/>
    <col min="8189" max="8189" width="3.5" style="29" customWidth="1"/>
    <col min="8190" max="8191" width="12.625" style="29" customWidth="1"/>
    <col min="8192" max="8192" width="9" style="29"/>
    <col min="8193" max="8193" width="7.75" style="29" customWidth="1"/>
    <col min="8194" max="8194" width="13.125" style="29" customWidth="1"/>
    <col min="8195" max="8195" width="6.125" style="29" customWidth="1"/>
    <col min="8196" max="8196" width="9.75" style="29" customWidth="1"/>
    <col min="8197" max="8197" width="1.375" style="29" customWidth="1"/>
    <col min="8198" max="8437" width="9" style="29"/>
    <col min="8438" max="8438" width="1.375" style="29" customWidth="1"/>
    <col min="8439" max="8439" width="3.5" style="29" customWidth="1"/>
    <col min="8440" max="8440" width="22.125" style="29" customWidth="1"/>
    <col min="8441" max="8441" width="9.75" style="29" customWidth="1"/>
    <col min="8442" max="8442" width="7.375" style="29" customWidth="1"/>
    <col min="8443" max="8443" width="9" style="29"/>
    <col min="8444" max="8444" width="9.25" style="29" customWidth="1"/>
    <col min="8445" max="8445" width="3.5" style="29" customWidth="1"/>
    <col min="8446" max="8447" width="12.625" style="29" customWidth="1"/>
    <col min="8448" max="8448" width="9" style="29"/>
    <col min="8449" max="8449" width="7.75" style="29" customWidth="1"/>
    <col min="8450" max="8450" width="13.125" style="29" customWidth="1"/>
    <col min="8451" max="8451" width="6.125" style="29" customWidth="1"/>
    <col min="8452" max="8452" width="9.75" style="29" customWidth="1"/>
    <col min="8453" max="8453" width="1.375" style="29" customWidth="1"/>
    <col min="8454" max="8693" width="9" style="29"/>
    <col min="8694" max="8694" width="1.375" style="29" customWidth="1"/>
    <col min="8695" max="8695" width="3.5" style="29" customWidth="1"/>
    <col min="8696" max="8696" width="22.125" style="29" customWidth="1"/>
    <col min="8697" max="8697" width="9.75" style="29" customWidth="1"/>
    <col min="8698" max="8698" width="7.375" style="29" customWidth="1"/>
    <col min="8699" max="8699" width="9" style="29"/>
    <col min="8700" max="8700" width="9.25" style="29" customWidth="1"/>
    <col min="8701" max="8701" width="3.5" style="29" customWidth="1"/>
    <col min="8702" max="8703" width="12.625" style="29" customWidth="1"/>
    <col min="8704" max="8704" width="9" style="29"/>
    <col min="8705" max="8705" width="7.75" style="29" customWidth="1"/>
    <col min="8706" max="8706" width="13.125" style="29" customWidth="1"/>
    <col min="8707" max="8707" width="6.125" style="29" customWidth="1"/>
    <col min="8708" max="8708" width="9.75" style="29" customWidth="1"/>
    <col min="8709" max="8709" width="1.375" style="29" customWidth="1"/>
    <col min="8710" max="8949" width="9" style="29"/>
    <col min="8950" max="8950" width="1.375" style="29" customWidth="1"/>
    <col min="8951" max="8951" width="3.5" style="29" customWidth="1"/>
    <col min="8952" max="8952" width="22.125" style="29" customWidth="1"/>
    <col min="8953" max="8953" width="9.75" style="29" customWidth="1"/>
    <col min="8954" max="8954" width="7.375" style="29" customWidth="1"/>
    <col min="8955" max="8955" width="9" style="29"/>
    <col min="8956" max="8956" width="9.25" style="29" customWidth="1"/>
    <col min="8957" max="8957" width="3.5" style="29" customWidth="1"/>
    <col min="8958" max="8959" width="12.625" style="29" customWidth="1"/>
    <col min="8960" max="8960" width="9" style="29"/>
    <col min="8961" max="8961" width="7.75" style="29" customWidth="1"/>
    <col min="8962" max="8962" width="13.125" style="29" customWidth="1"/>
    <col min="8963" max="8963" width="6.125" style="29" customWidth="1"/>
    <col min="8964" max="8964" width="9.75" style="29" customWidth="1"/>
    <col min="8965" max="8965" width="1.375" style="29" customWidth="1"/>
    <col min="8966" max="9205" width="9" style="29"/>
    <col min="9206" max="9206" width="1.375" style="29" customWidth="1"/>
    <col min="9207" max="9207" width="3.5" style="29" customWidth="1"/>
    <col min="9208" max="9208" width="22.125" style="29" customWidth="1"/>
    <col min="9209" max="9209" width="9.75" style="29" customWidth="1"/>
    <col min="9210" max="9210" width="7.375" style="29" customWidth="1"/>
    <col min="9211" max="9211" width="9" style="29"/>
    <col min="9212" max="9212" width="9.25" style="29" customWidth="1"/>
    <col min="9213" max="9213" width="3.5" style="29" customWidth="1"/>
    <col min="9214" max="9215" width="12.625" style="29" customWidth="1"/>
    <col min="9216" max="9216" width="9" style="29"/>
    <col min="9217" max="9217" width="7.75" style="29" customWidth="1"/>
    <col min="9218" max="9218" width="13.125" style="29" customWidth="1"/>
    <col min="9219" max="9219" width="6.125" style="29" customWidth="1"/>
    <col min="9220" max="9220" width="9.75" style="29" customWidth="1"/>
    <col min="9221" max="9221" width="1.375" style="29" customWidth="1"/>
    <col min="9222" max="9461" width="9" style="29"/>
    <col min="9462" max="9462" width="1.375" style="29" customWidth="1"/>
    <col min="9463" max="9463" width="3.5" style="29" customWidth="1"/>
    <col min="9464" max="9464" width="22.125" style="29" customWidth="1"/>
    <col min="9465" max="9465" width="9.75" style="29" customWidth="1"/>
    <col min="9466" max="9466" width="7.375" style="29" customWidth="1"/>
    <col min="9467" max="9467" width="9" style="29"/>
    <col min="9468" max="9468" width="9.25" style="29" customWidth="1"/>
    <col min="9469" max="9469" width="3.5" style="29" customWidth="1"/>
    <col min="9470" max="9471" width="12.625" style="29" customWidth="1"/>
    <col min="9472" max="9472" width="9" style="29"/>
    <col min="9473" max="9473" width="7.75" style="29" customWidth="1"/>
    <col min="9474" max="9474" width="13.125" style="29" customWidth="1"/>
    <col min="9475" max="9475" width="6.125" style="29" customWidth="1"/>
    <col min="9476" max="9476" width="9.75" style="29" customWidth="1"/>
    <col min="9477" max="9477" width="1.375" style="29" customWidth="1"/>
    <col min="9478" max="9717" width="9" style="29"/>
    <col min="9718" max="9718" width="1.375" style="29" customWidth="1"/>
    <col min="9719" max="9719" width="3.5" style="29" customWidth="1"/>
    <col min="9720" max="9720" width="22.125" style="29" customWidth="1"/>
    <col min="9721" max="9721" width="9.75" style="29" customWidth="1"/>
    <col min="9722" max="9722" width="7.375" style="29" customWidth="1"/>
    <col min="9723" max="9723" width="9" style="29"/>
    <col min="9724" max="9724" width="9.25" style="29" customWidth="1"/>
    <col min="9725" max="9725" width="3.5" style="29" customWidth="1"/>
    <col min="9726" max="9727" width="12.625" style="29" customWidth="1"/>
    <col min="9728" max="9728" width="9" style="29"/>
    <col min="9729" max="9729" width="7.75" style="29" customWidth="1"/>
    <col min="9730" max="9730" width="13.125" style="29" customWidth="1"/>
    <col min="9731" max="9731" width="6.125" style="29" customWidth="1"/>
    <col min="9732" max="9732" width="9.75" style="29" customWidth="1"/>
    <col min="9733" max="9733" width="1.375" style="29" customWidth="1"/>
    <col min="9734" max="9973" width="9" style="29"/>
    <col min="9974" max="9974" width="1.375" style="29" customWidth="1"/>
    <col min="9975" max="9975" width="3.5" style="29" customWidth="1"/>
    <col min="9976" max="9976" width="22.125" style="29" customWidth="1"/>
    <col min="9977" max="9977" width="9.75" style="29" customWidth="1"/>
    <col min="9978" max="9978" width="7.375" style="29" customWidth="1"/>
    <col min="9979" max="9979" width="9" style="29"/>
    <col min="9980" max="9980" width="9.25" style="29" customWidth="1"/>
    <col min="9981" max="9981" width="3.5" style="29" customWidth="1"/>
    <col min="9982" max="9983" width="12.625" style="29" customWidth="1"/>
    <col min="9984" max="9984" width="9" style="29"/>
    <col min="9985" max="9985" width="7.75" style="29" customWidth="1"/>
    <col min="9986" max="9986" width="13.125" style="29" customWidth="1"/>
    <col min="9987" max="9987" width="6.125" style="29" customWidth="1"/>
    <col min="9988" max="9988" width="9.75" style="29" customWidth="1"/>
    <col min="9989" max="9989" width="1.375" style="29" customWidth="1"/>
    <col min="9990" max="10229" width="9" style="29"/>
    <col min="10230" max="10230" width="1.375" style="29" customWidth="1"/>
    <col min="10231" max="10231" width="3.5" style="29" customWidth="1"/>
    <col min="10232" max="10232" width="22.125" style="29" customWidth="1"/>
    <col min="10233" max="10233" width="9.75" style="29" customWidth="1"/>
    <col min="10234" max="10234" width="7.375" style="29" customWidth="1"/>
    <col min="10235" max="10235" width="9" style="29"/>
    <col min="10236" max="10236" width="9.25" style="29" customWidth="1"/>
    <col min="10237" max="10237" width="3.5" style="29" customWidth="1"/>
    <col min="10238" max="10239" width="12.625" style="29" customWidth="1"/>
    <col min="10240" max="10240" width="9" style="29"/>
    <col min="10241" max="10241" width="7.75" style="29" customWidth="1"/>
    <col min="10242" max="10242" width="13.125" style="29" customWidth="1"/>
    <col min="10243" max="10243" width="6.125" style="29" customWidth="1"/>
    <col min="10244" max="10244" width="9.75" style="29" customWidth="1"/>
    <col min="10245" max="10245" width="1.375" style="29" customWidth="1"/>
    <col min="10246" max="10485" width="9" style="29"/>
    <col min="10486" max="10486" width="1.375" style="29" customWidth="1"/>
    <col min="10487" max="10487" width="3.5" style="29" customWidth="1"/>
    <col min="10488" max="10488" width="22.125" style="29" customWidth="1"/>
    <col min="10489" max="10489" width="9.75" style="29" customWidth="1"/>
    <col min="10490" max="10490" width="7.375" style="29" customWidth="1"/>
    <col min="10491" max="10491" width="9" style="29"/>
    <col min="10492" max="10492" width="9.25" style="29" customWidth="1"/>
    <col min="10493" max="10493" width="3.5" style="29" customWidth="1"/>
    <col min="10494" max="10495" width="12.625" style="29" customWidth="1"/>
    <col min="10496" max="10496" width="9" style="29"/>
    <col min="10497" max="10497" width="7.75" style="29" customWidth="1"/>
    <col min="10498" max="10498" width="13.125" style="29" customWidth="1"/>
    <col min="10499" max="10499" width="6.125" style="29" customWidth="1"/>
    <col min="10500" max="10500" width="9.75" style="29" customWidth="1"/>
    <col min="10501" max="10501" width="1.375" style="29" customWidth="1"/>
    <col min="10502" max="10741" width="9" style="29"/>
    <col min="10742" max="10742" width="1.375" style="29" customWidth="1"/>
    <col min="10743" max="10743" width="3.5" style="29" customWidth="1"/>
    <col min="10744" max="10744" width="22.125" style="29" customWidth="1"/>
    <col min="10745" max="10745" width="9.75" style="29" customWidth="1"/>
    <col min="10746" max="10746" width="7.375" style="29" customWidth="1"/>
    <col min="10747" max="10747" width="9" style="29"/>
    <col min="10748" max="10748" width="9.25" style="29" customWidth="1"/>
    <col min="10749" max="10749" width="3.5" style="29" customWidth="1"/>
    <col min="10750" max="10751" width="12.625" style="29" customWidth="1"/>
    <col min="10752" max="10752" width="9" style="29"/>
    <col min="10753" max="10753" width="7.75" style="29" customWidth="1"/>
    <col min="10754" max="10754" width="13.125" style="29" customWidth="1"/>
    <col min="10755" max="10755" width="6.125" style="29" customWidth="1"/>
    <col min="10756" max="10756" width="9.75" style="29" customWidth="1"/>
    <col min="10757" max="10757" width="1.375" style="29" customWidth="1"/>
    <col min="10758" max="10997" width="9" style="29"/>
    <col min="10998" max="10998" width="1.375" style="29" customWidth="1"/>
    <col min="10999" max="10999" width="3.5" style="29" customWidth="1"/>
    <col min="11000" max="11000" width="22.125" style="29" customWidth="1"/>
    <col min="11001" max="11001" width="9.75" style="29" customWidth="1"/>
    <col min="11002" max="11002" width="7.375" style="29" customWidth="1"/>
    <col min="11003" max="11003" width="9" style="29"/>
    <col min="11004" max="11004" width="9.25" style="29" customWidth="1"/>
    <col min="11005" max="11005" width="3.5" style="29" customWidth="1"/>
    <col min="11006" max="11007" width="12.625" style="29" customWidth="1"/>
    <col min="11008" max="11008" width="9" style="29"/>
    <col min="11009" max="11009" width="7.75" style="29" customWidth="1"/>
    <col min="11010" max="11010" width="13.125" style="29" customWidth="1"/>
    <col min="11011" max="11011" width="6.125" style="29" customWidth="1"/>
    <col min="11012" max="11012" width="9.75" style="29" customWidth="1"/>
    <col min="11013" max="11013" width="1.375" style="29" customWidth="1"/>
    <col min="11014" max="11253" width="9" style="29"/>
    <col min="11254" max="11254" width="1.375" style="29" customWidth="1"/>
    <col min="11255" max="11255" width="3.5" style="29" customWidth="1"/>
    <col min="11256" max="11256" width="22.125" style="29" customWidth="1"/>
    <col min="11257" max="11257" width="9.75" style="29" customWidth="1"/>
    <col min="11258" max="11258" width="7.375" style="29" customWidth="1"/>
    <col min="11259" max="11259" width="9" style="29"/>
    <col min="11260" max="11260" width="9.25" style="29" customWidth="1"/>
    <col min="11261" max="11261" width="3.5" style="29" customWidth="1"/>
    <col min="11262" max="11263" width="12.625" style="29" customWidth="1"/>
    <col min="11264" max="11264" width="9" style="29"/>
    <col min="11265" max="11265" width="7.75" style="29" customWidth="1"/>
    <col min="11266" max="11266" width="13.125" style="29" customWidth="1"/>
    <col min="11267" max="11267" width="6.125" style="29" customWidth="1"/>
    <col min="11268" max="11268" width="9.75" style="29" customWidth="1"/>
    <col min="11269" max="11269" width="1.375" style="29" customWidth="1"/>
    <col min="11270" max="11509" width="9" style="29"/>
    <col min="11510" max="11510" width="1.375" style="29" customWidth="1"/>
    <col min="11511" max="11511" width="3.5" style="29" customWidth="1"/>
    <col min="11512" max="11512" width="22.125" style="29" customWidth="1"/>
    <col min="11513" max="11513" width="9.75" style="29" customWidth="1"/>
    <col min="11514" max="11514" width="7.375" style="29" customWidth="1"/>
    <col min="11515" max="11515" width="9" style="29"/>
    <col min="11516" max="11516" width="9.25" style="29" customWidth="1"/>
    <col min="11517" max="11517" width="3.5" style="29" customWidth="1"/>
    <col min="11518" max="11519" width="12.625" style="29" customWidth="1"/>
    <col min="11520" max="11520" width="9" style="29"/>
    <col min="11521" max="11521" width="7.75" style="29" customWidth="1"/>
    <col min="11522" max="11522" width="13.125" style="29" customWidth="1"/>
    <col min="11523" max="11523" width="6.125" style="29" customWidth="1"/>
    <col min="11524" max="11524" width="9.75" style="29" customWidth="1"/>
    <col min="11525" max="11525" width="1.375" style="29" customWidth="1"/>
    <col min="11526" max="11765" width="9" style="29"/>
    <col min="11766" max="11766" width="1.375" style="29" customWidth="1"/>
    <col min="11767" max="11767" width="3.5" style="29" customWidth="1"/>
    <col min="11768" max="11768" width="22.125" style="29" customWidth="1"/>
    <col min="11769" max="11769" width="9.75" style="29" customWidth="1"/>
    <col min="11770" max="11770" width="7.375" style="29" customWidth="1"/>
    <col min="11771" max="11771" width="9" style="29"/>
    <col min="11772" max="11772" width="9.25" style="29" customWidth="1"/>
    <col min="11773" max="11773" width="3.5" style="29" customWidth="1"/>
    <col min="11774" max="11775" width="12.625" style="29" customWidth="1"/>
    <col min="11776" max="11776" width="9" style="29"/>
    <col min="11777" max="11777" width="7.75" style="29" customWidth="1"/>
    <col min="11778" max="11778" width="13.125" style="29" customWidth="1"/>
    <col min="11779" max="11779" width="6.125" style="29" customWidth="1"/>
    <col min="11780" max="11780" width="9.75" style="29" customWidth="1"/>
    <col min="11781" max="11781" width="1.375" style="29" customWidth="1"/>
    <col min="11782" max="12021" width="9" style="29"/>
    <col min="12022" max="12022" width="1.375" style="29" customWidth="1"/>
    <col min="12023" max="12023" width="3.5" style="29" customWidth="1"/>
    <col min="12024" max="12024" width="22.125" style="29" customWidth="1"/>
    <col min="12025" max="12025" width="9.75" style="29" customWidth="1"/>
    <col min="12026" max="12026" width="7.375" style="29" customWidth="1"/>
    <col min="12027" max="12027" width="9" style="29"/>
    <col min="12028" max="12028" width="9.25" style="29" customWidth="1"/>
    <col min="12029" max="12029" width="3.5" style="29" customWidth="1"/>
    <col min="12030" max="12031" width="12.625" style="29" customWidth="1"/>
    <col min="12032" max="12032" width="9" style="29"/>
    <col min="12033" max="12033" width="7.75" style="29" customWidth="1"/>
    <col min="12034" max="12034" width="13.125" style="29" customWidth="1"/>
    <col min="12035" max="12035" width="6.125" style="29" customWidth="1"/>
    <col min="12036" max="12036" width="9.75" style="29" customWidth="1"/>
    <col min="12037" max="12037" width="1.375" style="29" customWidth="1"/>
    <col min="12038" max="12277" width="9" style="29"/>
    <col min="12278" max="12278" width="1.375" style="29" customWidth="1"/>
    <col min="12279" max="12279" width="3.5" style="29" customWidth="1"/>
    <col min="12280" max="12280" width="22.125" style="29" customWidth="1"/>
    <col min="12281" max="12281" width="9.75" style="29" customWidth="1"/>
    <col min="12282" max="12282" width="7.375" style="29" customWidth="1"/>
    <col min="12283" max="12283" width="9" style="29"/>
    <col min="12284" max="12284" width="9.25" style="29" customWidth="1"/>
    <col min="12285" max="12285" width="3.5" style="29" customWidth="1"/>
    <col min="12286" max="12287" width="12.625" style="29" customWidth="1"/>
    <col min="12288" max="12288" width="9" style="29"/>
    <col min="12289" max="12289" width="7.75" style="29" customWidth="1"/>
    <col min="12290" max="12290" width="13.125" style="29" customWidth="1"/>
    <col min="12291" max="12291" width="6.125" style="29" customWidth="1"/>
    <col min="12292" max="12292" width="9.75" style="29" customWidth="1"/>
    <col min="12293" max="12293" width="1.375" style="29" customWidth="1"/>
    <col min="12294" max="12533" width="9" style="29"/>
    <col min="12534" max="12534" width="1.375" style="29" customWidth="1"/>
    <col min="12535" max="12535" width="3.5" style="29" customWidth="1"/>
    <col min="12536" max="12536" width="22.125" style="29" customWidth="1"/>
    <col min="12537" max="12537" width="9.75" style="29" customWidth="1"/>
    <col min="12538" max="12538" width="7.375" style="29" customWidth="1"/>
    <col min="12539" max="12539" width="9" style="29"/>
    <col min="12540" max="12540" width="9.25" style="29" customWidth="1"/>
    <col min="12541" max="12541" width="3.5" style="29" customWidth="1"/>
    <col min="12542" max="12543" width="12.625" style="29" customWidth="1"/>
    <col min="12544" max="12544" width="9" style="29"/>
    <col min="12545" max="12545" width="7.75" style="29" customWidth="1"/>
    <col min="12546" max="12546" width="13.125" style="29" customWidth="1"/>
    <col min="12547" max="12547" width="6.125" style="29" customWidth="1"/>
    <col min="12548" max="12548" width="9.75" style="29" customWidth="1"/>
    <col min="12549" max="12549" width="1.375" style="29" customWidth="1"/>
    <col min="12550" max="12789" width="9" style="29"/>
    <col min="12790" max="12790" width="1.375" style="29" customWidth="1"/>
    <col min="12791" max="12791" width="3.5" style="29" customWidth="1"/>
    <col min="12792" max="12792" width="22.125" style="29" customWidth="1"/>
    <col min="12793" max="12793" width="9.75" style="29" customWidth="1"/>
    <col min="12794" max="12794" width="7.375" style="29" customWidth="1"/>
    <col min="12795" max="12795" width="9" style="29"/>
    <col min="12796" max="12796" width="9.25" style="29" customWidth="1"/>
    <col min="12797" max="12797" width="3.5" style="29" customWidth="1"/>
    <col min="12798" max="12799" width="12.625" style="29" customWidth="1"/>
    <col min="12800" max="12800" width="9" style="29"/>
    <col min="12801" max="12801" width="7.75" style="29" customWidth="1"/>
    <col min="12802" max="12802" width="13.125" style="29" customWidth="1"/>
    <col min="12803" max="12803" width="6.125" style="29" customWidth="1"/>
    <col min="12804" max="12804" width="9.75" style="29" customWidth="1"/>
    <col min="12805" max="12805" width="1.375" style="29" customWidth="1"/>
    <col min="12806" max="13045" width="9" style="29"/>
    <col min="13046" max="13046" width="1.375" style="29" customWidth="1"/>
    <col min="13047" max="13047" width="3.5" style="29" customWidth="1"/>
    <col min="13048" max="13048" width="22.125" style="29" customWidth="1"/>
    <col min="13049" max="13049" width="9.75" style="29" customWidth="1"/>
    <col min="13050" max="13050" width="7.375" style="29" customWidth="1"/>
    <col min="13051" max="13051" width="9" style="29"/>
    <col min="13052" max="13052" width="9.25" style="29" customWidth="1"/>
    <col min="13053" max="13053" width="3.5" style="29" customWidth="1"/>
    <col min="13054" max="13055" width="12.625" style="29" customWidth="1"/>
    <col min="13056" max="13056" width="9" style="29"/>
    <col min="13057" max="13057" width="7.75" style="29" customWidth="1"/>
    <col min="13058" max="13058" width="13.125" style="29" customWidth="1"/>
    <col min="13059" max="13059" width="6.125" style="29" customWidth="1"/>
    <col min="13060" max="13060" width="9.75" style="29" customWidth="1"/>
    <col min="13061" max="13061" width="1.375" style="29" customWidth="1"/>
    <col min="13062" max="13301" width="9" style="29"/>
    <col min="13302" max="13302" width="1.375" style="29" customWidth="1"/>
    <col min="13303" max="13303" width="3.5" style="29" customWidth="1"/>
    <col min="13304" max="13304" width="22.125" style="29" customWidth="1"/>
    <col min="13305" max="13305" width="9.75" style="29" customWidth="1"/>
    <col min="13306" max="13306" width="7.375" style="29" customWidth="1"/>
    <col min="13307" max="13307" width="9" style="29"/>
    <col min="13308" max="13308" width="9.25" style="29" customWidth="1"/>
    <col min="13309" max="13309" width="3.5" style="29" customWidth="1"/>
    <col min="13310" max="13311" width="12.625" style="29" customWidth="1"/>
    <col min="13312" max="13312" width="9" style="29"/>
    <col min="13313" max="13313" width="7.75" style="29" customWidth="1"/>
    <col min="13314" max="13314" width="13.125" style="29" customWidth="1"/>
    <col min="13315" max="13315" width="6.125" style="29" customWidth="1"/>
    <col min="13316" max="13316" width="9.75" style="29" customWidth="1"/>
    <col min="13317" max="13317" width="1.375" style="29" customWidth="1"/>
    <col min="13318" max="13557" width="9" style="29"/>
    <col min="13558" max="13558" width="1.375" style="29" customWidth="1"/>
    <col min="13559" max="13559" width="3.5" style="29" customWidth="1"/>
    <col min="13560" max="13560" width="22.125" style="29" customWidth="1"/>
    <col min="13561" max="13561" width="9.75" style="29" customWidth="1"/>
    <col min="13562" max="13562" width="7.375" style="29" customWidth="1"/>
    <col min="13563" max="13563" width="9" style="29"/>
    <col min="13564" max="13564" width="9.25" style="29" customWidth="1"/>
    <col min="13565" max="13565" width="3.5" style="29" customWidth="1"/>
    <col min="13566" max="13567" width="12.625" style="29" customWidth="1"/>
    <col min="13568" max="13568" width="9" style="29"/>
    <col min="13569" max="13569" width="7.75" style="29" customWidth="1"/>
    <col min="13570" max="13570" width="13.125" style="29" customWidth="1"/>
    <col min="13571" max="13571" width="6.125" style="29" customWidth="1"/>
    <col min="13572" max="13572" width="9.75" style="29" customWidth="1"/>
    <col min="13573" max="13573" width="1.375" style="29" customWidth="1"/>
    <col min="13574" max="13813" width="9" style="29"/>
    <col min="13814" max="13814" width="1.375" style="29" customWidth="1"/>
    <col min="13815" max="13815" width="3.5" style="29" customWidth="1"/>
    <col min="13816" max="13816" width="22.125" style="29" customWidth="1"/>
    <col min="13817" max="13817" width="9.75" style="29" customWidth="1"/>
    <col min="13818" max="13818" width="7.375" style="29" customWidth="1"/>
    <col min="13819" max="13819" width="9" style="29"/>
    <col min="13820" max="13820" width="9.25" style="29" customWidth="1"/>
    <col min="13821" max="13821" width="3.5" style="29" customWidth="1"/>
    <col min="13822" max="13823" width="12.625" style="29" customWidth="1"/>
    <col min="13824" max="13824" width="9" style="29"/>
    <col min="13825" max="13825" width="7.75" style="29" customWidth="1"/>
    <col min="13826" max="13826" width="13.125" style="29" customWidth="1"/>
    <col min="13827" max="13827" width="6.125" style="29" customWidth="1"/>
    <col min="13828" max="13828" width="9.75" style="29" customWidth="1"/>
    <col min="13829" max="13829" width="1.375" style="29" customWidth="1"/>
    <col min="13830" max="14069" width="9" style="29"/>
    <col min="14070" max="14070" width="1.375" style="29" customWidth="1"/>
    <col min="14071" max="14071" width="3.5" style="29" customWidth="1"/>
    <col min="14072" max="14072" width="22.125" style="29" customWidth="1"/>
    <col min="14073" max="14073" width="9.75" style="29" customWidth="1"/>
    <col min="14074" max="14074" width="7.375" style="29" customWidth="1"/>
    <col min="14075" max="14075" width="9" style="29"/>
    <col min="14076" max="14076" width="9.25" style="29" customWidth="1"/>
    <col min="14077" max="14077" width="3.5" style="29" customWidth="1"/>
    <col min="14078" max="14079" width="12.625" style="29" customWidth="1"/>
    <col min="14080" max="14080" width="9" style="29"/>
    <col min="14081" max="14081" width="7.75" style="29" customWidth="1"/>
    <col min="14082" max="14082" width="13.125" style="29" customWidth="1"/>
    <col min="14083" max="14083" width="6.125" style="29" customWidth="1"/>
    <col min="14084" max="14084" width="9.75" style="29" customWidth="1"/>
    <col min="14085" max="14085" width="1.375" style="29" customWidth="1"/>
    <col min="14086" max="14325" width="9" style="29"/>
    <col min="14326" max="14326" width="1.375" style="29" customWidth="1"/>
    <col min="14327" max="14327" width="3.5" style="29" customWidth="1"/>
    <col min="14328" max="14328" width="22.125" style="29" customWidth="1"/>
    <col min="14329" max="14329" width="9.75" style="29" customWidth="1"/>
    <col min="14330" max="14330" width="7.375" style="29" customWidth="1"/>
    <col min="14331" max="14331" width="9" style="29"/>
    <col min="14332" max="14332" width="9.25" style="29" customWidth="1"/>
    <col min="14333" max="14333" width="3.5" style="29" customWidth="1"/>
    <col min="14334" max="14335" width="12.625" style="29" customWidth="1"/>
    <col min="14336" max="14336" width="9" style="29"/>
    <col min="14337" max="14337" width="7.75" style="29" customWidth="1"/>
    <col min="14338" max="14338" width="13.125" style="29" customWidth="1"/>
    <col min="14339" max="14339" width="6.125" style="29" customWidth="1"/>
    <col min="14340" max="14340" width="9.75" style="29" customWidth="1"/>
    <col min="14341" max="14341" width="1.375" style="29" customWidth="1"/>
    <col min="14342" max="14581" width="9" style="29"/>
    <col min="14582" max="14582" width="1.375" style="29" customWidth="1"/>
    <col min="14583" max="14583" width="3.5" style="29" customWidth="1"/>
    <col min="14584" max="14584" width="22.125" style="29" customWidth="1"/>
    <col min="14585" max="14585" width="9.75" style="29" customWidth="1"/>
    <col min="14586" max="14586" width="7.375" style="29" customWidth="1"/>
    <col min="14587" max="14587" width="9" style="29"/>
    <col min="14588" max="14588" width="9.25" style="29" customWidth="1"/>
    <col min="14589" max="14589" width="3.5" style="29" customWidth="1"/>
    <col min="14590" max="14591" width="12.625" style="29" customWidth="1"/>
    <col min="14592" max="14592" width="9" style="29"/>
    <col min="14593" max="14593" width="7.75" style="29" customWidth="1"/>
    <col min="14594" max="14594" width="13.125" style="29" customWidth="1"/>
    <col min="14595" max="14595" width="6.125" style="29" customWidth="1"/>
    <col min="14596" max="14596" width="9.75" style="29" customWidth="1"/>
    <col min="14597" max="14597" width="1.375" style="29" customWidth="1"/>
    <col min="14598" max="14837" width="9" style="29"/>
    <col min="14838" max="14838" width="1.375" style="29" customWidth="1"/>
    <col min="14839" max="14839" width="3.5" style="29" customWidth="1"/>
    <col min="14840" max="14840" width="22.125" style="29" customWidth="1"/>
    <col min="14841" max="14841" width="9.75" style="29" customWidth="1"/>
    <col min="14842" max="14842" width="7.375" style="29" customWidth="1"/>
    <col min="14843" max="14843" width="9" style="29"/>
    <col min="14844" max="14844" width="9.25" style="29" customWidth="1"/>
    <col min="14845" max="14845" width="3.5" style="29" customWidth="1"/>
    <col min="14846" max="14847" width="12.625" style="29" customWidth="1"/>
    <col min="14848" max="14848" width="9" style="29"/>
    <col min="14849" max="14849" width="7.75" style="29" customWidth="1"/>
    <col min="14850" max="14850" width="13.125" style="29" customWidth="1"/>
    <col min="14851" max="14851" width="6.125" style="29" customWidth="1"/>
    <col min="14852" max="14852" width="9.75" style="29" customWidth="1"/>
    <col min="14853" max="14853" width="1.375" style="29" customWidth="1"/>
    <col min="14854" max="15093" width="9" style="29"/>
    <col min="15094" max="15094" width="1.375" style="29" customWidth="1"/>
    <col min="15095" max="15095" width="3.5" style="29" customWidth="1"/>
    <col min="15096" max="15096" width="22.125" style="29" customWidth="1"/>
    <col min="15097" max="15097" width="9.75" style="29" customWidth="1"/>
    <col min="15098" max="15098" width="7.375" style="29" customWidth="1"/>
    <col min="15099" max="15099" width="9" style="29"/>
    <col min="15100" max="15100" width="9.25" style="29" customWidth="1"/>
    <col min="15101" max="15101" width="3.5" style="29" customWidth="1"/>
    <col min="15102" max="15103" width="12.625" style="29" customWidth="1"/>
    <col min="15104" max="15104" width="9" style="29"/>
    <col min="15105" max="15105" width="7.75" style="29" customWidth="1"/>
    <col min="15106" max="15106" width="13.125" style="29" customWidth="1"/>
    <col min="15107" max="15107" width="6.125" style="29" customWidth="1"/>
    <col min="15108" max="15108" width="9.75" style="29" customWidth="1"/>
    <col min="15109" max="15109" width="1.375" style="29" customWidth="1"/>
    <col min="15110" max="15349" width="9" style="29"/>
    <col min="15350" max="15350" width="1.375" style="29" customWidth="1"/>
    <col min="15351" max="15351" width="3.5" style="29" customWidth="1"/>
    <col min="15352" max="15352" width="22.125" style="29" customWidth="1"/>
    <col min="15353" max="15353" width="9.75" style="29" customWidth="1"/>
    <col min="15354" max="15354" width="7.375" style="29" customWidth="1"/>
    <col min="15355" max="15355" width="9" style="29"/>
    <col min="15356" max="15356" width="9.25" style="29" customWidth="1"/>
    <col min="15357" max="15357" width="3.5" style="29" customWidth="1"/>
    <col min="15358" max="15359" width="12.625" style="29" customWidth="1"/>
    <col min="15360" max="15360" width="9" style="29"/>
    <col min="15361" max="15361" width="7.75" style="29" customWidth="1"/>
    <col min="15362" max="15362" width="13.125" style="29" customWidth="1"/>
    <col min="15363" max="15363" width="6.125" style="29" customWidth="1"/>
    <col min="15364" max="15364" width="9.75" style="29" customWidth="1"/>
    <col min="15365" max="15365" width="1.375" style="29" customWidth="1"/>
    <col min="15366" max="15605" width="9" style="29"/>
    <col min="15606" max="15606" width="1.375" style="29" customWidth="1"/>
    <col min="15607" max="15607" width="3.5" style="29" customWidth="1"/>
    <col min="15608" max="15608" width="22.125" style="29" customWidth="1"/>
    <col min="15609" max="15609" width="9.75" style="29" customWidth="1"/>
    <col min="15610" max="15610" width="7.375" style="29" customWidth="1"/>
    <col min="15611" max="15611" width="9" style="29"/>
    <col min="15612" max="15612" width="9.25" style="29" customWidth="1"/>
    <col min="15613" max="15613" width="3.5" style="29" customWidth="1"/>
    <col min="15614" max="15615" width="12.625" style="29" customWidth="1"/>
    <col min="15616" max="15616" width="9" style="29"/>
    <col min="15617" max="15617" width="7.75" style="29" customWidth="1"/>
    <col min="15618" max="15618" width="13.125" style="29" customWidth="1"/>
    <col min="15619" max="15619" width="6.125" style="29" customWidth="1"/>
    <col min="15620" max="15620" width="9.75" style="29" customWidth="1"/>
    <col min="15621" max="15621" width="1.375" style="29" customWidth="1"/>
    <col min="15622" max="15861" width="9" style="29"/>
    <col min="15862" max="15862" width="1.375" style="29" customWidth="1"/>
    <col min="15863" max="15863" width="3.5" style="29" customWidth="1"/>
    <col min="15864" max="15864" width="22.125" style="29" customWidth="1"/>
    <col min="15865" max="15865" width="9.75" style="29" customWidth="1"/>
    <col min="15866" max="15866" width="7.375" style="29" customWidth="1"/>
    <col min="15867" max="15867" width="9" style="29"/>
    <col min="15868" max="15868" width="9.25" style="29" customWidth="1"/>
    <col min="15869" max="15869" width="3.5" style="29" customWidth="1"/>
    <col min="15870" max="15871" width="12.625" style="29" customWidth="1"/>
    <col min="15872" max="15872" width="9" style="29"/>
    <col min="15873" max="15873" width="7.75" style="29" customWidth="1"/>
    <col min="15874" max="15874" width="13.125" style="29" customWidth="1"/>
    <col min="15875" max="15875" width="6.125" style="29" customWidth="1"/>
    <col min="15876" max="15876" width="9.75" style="29" customWidth="1"/>
    <col min="15877" max="15877" width="1.375" style="29" customWidth="1"/>
    <col min="15878" max="16117" width="9" style="29"/>
    <col min="16118" max="16118" width="1.375" style="29" customWidth="1"/>
    <col min="16119" max="16119" width="3.5" style="29" customWidth="1"/>
    <col min="16120" max="16120" width="22.125" style="29" customWidth="1"/>
    <col min="16121" max="16121" width="9.75" style="29" customWidth="1"/>
    <col min="16122" max="16122" width="7.375" style="29" customWidth="1"/>
    <col min="16123" max="16123" width="9" style="29"/>
    <col min="16124" max="16124" width="9.25" style="29" customWidth="1"/>
    <col min="16125" max="16125" width="3.5" style="29" customWidth="1"/>
    <col min="16126" max="16127" width="12.625" style="29" customWidth="1"/>
    <col min="16128" max="16128" width="9" style="29"/>
    <col min="16129" max="16129" width="7.75" style="29" customWidth="1"/>
    <col min="16130" max="16130" width="13.125" style="29" customWidth="1"/>
    <col min="16131" max="16131" width="6.125" style="29" customWidth="1"/>
    <col min="16132" max="16132" width="9.75" style="29" customWidth="1"/>
    <col min="16133" max="16133" width="1.375" style="29" customWidth="1"/>
    <col min="16134" max="16384" width="9" style="29"/>
  </cols>
  <sheetData>
    <row r="1" spans="2:22" ht="9.9499999999999993" customHeight="1" x14ac:dyDescent="0.15"/>
    <row r="2" spans="2:22" ht="24.95" customHeight="1" x14ac:dyDescent="0.15">
      <c r="B2" s="29" t="s">
        <v>209</v>
      </c>
      <c r="C2" s="31"/>
      <c r="D2" s="5"/>
      <c r="E2" s="5"/>
      <c r="F2" s="31"/>
      <c r="G2" s="69"/>
      <c r="H2" s="79"/>
      <c r="I2" s="69"/>
      <c r="J2" s="69"/>
      <c r="K2" s="69"/>
      <c r="L2" s="69"/>
      <c r="M2" s="69"/>
      <c r="N2" s="69"/>
      <c r="O2" s="5"/>
    </row>
    <row r="3" spans="2:22" ht="15.4" customHeight="1" thickBot="1" x14ac:dyDescent="0.2">
      <c r="B3" s="29" t="s">
        <v>196</v>
      </c>
      <c r="I3" s="5" t="s">
        <v>115</v>
      </c>
      <c r="P3" s="133" t="s">
        <v>137</v>
      </c>
    </row>
    <row r="4" spans="2:22" ht="15.4" customHeight="1" x14ac:dyDescent="0.15">
      <c r="B4" s="213" t="s">
        <v>50</v>
      </c>
      <c r="C4" s="119" t="s">
        <v>89</v>
      </c>
      <c r="D4" s="119" t="s">
        <v>78</v>
      </c>
      <c r="E4" s="119" t="s">
        <v>79</v>
      </c>
      <c r="F4" s="119" t="s">
        <v>18</v>
      </c>
      <c r="G4" s="108" t="s">
        <v>80</v>
      </c>
      <c r="H4" s="120"/>
      <c r="I4" s="899" t="s">
        <v>50</v>
      </c>
      <c r="J4" s="895" t="s">
        <v>94</v>
      </c>
      <c r="K4" s="125" t="s">
        <v>90</v>
      </c>
      <c r="L4" s="125" t="s">
        <v>81</v>
      </c>
      <c r="M4" s="895" t="s">
        <v>18</v>
      </c>
      <c r="N4" s="897" t="s">
        <v>80</v>
      </c>
      <c r="O4" s="143"/>
      <c r="P4" s="214" t="s">
        <v>97</v>
      </c>
      <c r="Q4" s="215" t="s">
        <v>98</v>
      </c>
      <c r="R4" s="215" t="s">
        <v>99</v>
      </c>
      <c r="S4" s="215" t="s">
        <v>100</v>
      </c>
      <c r="T4" s="901" t="s">
        <v>102</v>
      </c>
      <c r="U4" s="902"/>
      <c r="V4" s="216" t="s">
        <v>103</v>
      </c>
    </row>
    <row r="5" spans="2:22" ht="15.4" customHeight="1" x14ac:dyDescent="0.15">
      <c r="B5" s="751" t="s">
        <v>197</v>
      </c>
      <c r="C5" s="28" t="s">
        <v>294</v>
      </c>
      <c r="D5" s="28">
        <v>270</v>
      </c>
      <c r="E5" s="34" t="s">
        <v>299</v>
      </c>
      <c r="F5" s="28">
        <v>750</v>
      </c>
      <c r="G5" s="109">
        <f t="shared" ref="G5:G6" si="0">D5*F5</f>
        <v>202500</v>
      </c>
      <c r="H5" s="121"/>
      <c r="I5" s="900"/>
      <c r="J5" s="896"/>
      <c r="K5" s="127" t="s">
        <v>82</v>
      </c>
      <c r="L5" s="127" t="s">
        <v>92</v>
      </c>
      <c r="M5" s="896"/>
      <c r="N5" s="898"/>
      <c r="O5" s="143"/>
      <c r="P5" s="217" t="s">
        <v>101</v>
      </c>
      <c r="Q5" s="106"/>
      <c r="R5" s="141"/>
      <c r="S5" s="106"/>
      <c r="T5" s="892"/>
      <c r="U5" s="893"/>
      <c r="V5" s="136" t="e">
        <f>Q5*S5/T5</f>
        <v>#DIV/0!</v>
      </c>
    </row>
    <row r="6" spans="2:22" ht="15.4" customHeight="1" x14ac:dyDescent="0.15">
      <c r="B6" s="752"/>
      <c r="C6" s="28" t="s">
        <v>381</v>
      </c>
      <c r="D6" s="28">
        <v>135</v>
      </c>
      <c r="E6" s="34" t="s">
        <v>201</v>
      </c>
      <c r="F6" s="28">
        <v>980</v>
      </c>
      <c r="G6" s="110">
        <f t="shared" si="0"/>
        <v>132300</v>
      </c>
      <c r="H6" s="121"/>
      <c r="I6" s="903" t="s">
        <v>93</v>
      </c>
      <c r="J6" s="28"/>
      <c r="K6" s="128"/>
      <c r="L6" s="128"/>
      <c r="M6" s="128"/>
      <c r="N6" s="110">
        <f>K6*L6*M6</f>
        <v>0</v>
      </c>
      <c r="O6" s="143"/>
      <c r="P6" s="217" t="s">
        <v>140</v>
      </c>
      <c r="Q6" s="106"/>
      <c r="R6" s="141"/>
      <c r="S6" s="106"/>
      <c r="T6" s="892"/>
      <c r="U6" s="893"/>
      <c r="V6" s="136" t="e">
        <f t="shared" ref="V6:V15" si="1">Q6*S6/T6</f>
        <v>#DIV/0!</v>
      </c>
    </row>
    <row r="7" spans="2:22" ht="15.4" customHeight="1" thickBot="1" x14ac:dyDescent="0.2">
      <c r="B7" s="875"/>
      <c r="C7" s="111" t="s">
        <v>83</v>
      </c>
      <c r="D7" s="111"/>
      <c r="E7" s="111"/>
      <c r="F7" s="111"/>
      <c r="G7" s="112">
        <f>SUM(G5:G6)</f>
        <v>334800</v>
      </c>
      <c r="H7" s="121"/>
      <c r="I7" s="752"/>
      <c r="J7" s="28"/>
      <c r="K7" s="128"/>
      <c r="L7" s="128"/>
      <c r="M7" s="128"/>
      <c r="N7" s="110">
        <f t="shared" ref="N7:N9" si="2">K7*L7*M7</f>
        <v>0</v>
      </c>
      <c r="O7" s="143"/>
      <c r="P7" s="217" t="s">
        <v>141</v>
      </c>
      <c r="Q7" s="106"/>
      <c r="R7" s="141"/>
      <c r="S7" s="106"/>
      <c r="T7" s="892"/>
      <c r="U7" s="893"/>
      <c r="V7" s="136" t="e">
        <f t="shared" si="1"/>
        <v>#DIV/0!</v>
      </c>
    </row>
    <row r="8" spans="2:22" ht="15.4" customHeight="1" thickTop="1" x14ac:dyDescent="0.15">
      <c r="B8" s="876" t="s">
        <v>88</v>
      </c>
      <c r="C8" s="28" t="s">
        <v>300</v>
      </c>
      <c r="D8" s="28">
        <v>9000</v>
      </c>
      <c r="E8" s="34" t="s">
        <v>298</v>
      </c>
      <c r="F8" s="28">
        <v>31</v>
      </c>
      <c r="G8" s="110">
        <f>D8*F8</f>
        <v>279000</v>
      </c>
      <c r="H8" s="121"/>
      <c r="I8" s="752"/>
      <c r="J8" s="28"/>
      <c r="K8" s="128"/>
      <c r="L8" s="128"/>
      <c r="M8" s="128"/>
      <c r="N8" s="110">
        <f t="shared" si="2"/>
        <v>0</v>
      </c>
      <c r="O8" s="143"/>
      <c r="P8" s="217" t="s">
        <v>142</v>
      </c>
      <c r="Q8" s="106"/>
      <c r="R8" s="141"/>
      <c r="S8" s="106"/>
      <c r="T8" s="892"/>
      <c r="U8" s="893"/>
      <c r="V8" s="136" t="e">
        <f t="shared" si="1"/>
        <v>#DIV/0!</v>
      </c>
    </row>
    <row r="9" spans="2:22" ht="15.4" customHeight="1" x14ac:dyDescent="0.15">
      <c r="B9" s="752"/>
      <c r="C9" s="28" t="s">
        <v>301</v>
      </c>
      <c r="D9" s="28">
        <v>3600</v>
      </c>
      <c r="E9" s="34" t="s">
        <v>298</v>
      </c>
      <c r="F9" s="28">
        <v>120</v>
      </c>
      <c r="G9" s="110">
        <f>D9*F9</f>
        <v>432000</v>
      </c>
      <c r="H9" s="121"/>
      <c r="I9" s="752"/>
      <c r="J9" s="28"/>
      <c r="K9" s="128"/>
      <c r="L9" s="128"/>
      <c r="M9" s="128"/>
      <c r="N9" s="110">
        <f t="shared" si="2"/>
        <v>0</v>
      </c>
      <c r="O9" s="143"/>
      <c r="P9" s="217" t="s">
        <v>143</v>
      </c>
      <c r="Q9" s="106"/>
      <c r="R9" s="141"/>
      <c r="S9" s="106"/>
      <c r="T9" s="892"/>
      <c r="U9" s="893"/>
      <c r="V9" s="136" t="e">
        <f t="shared" si="1"/>
        <v>#DIV/0!</v>
      </c>
    </row>
    <row r="10" spans="2:22" ht="15.4" customHeight="1" thickBot="1" x14ac:dyDescent="0.2">
      <c r="B10" s="752"/>
      <c r="C10" s="28" t="s">
        <v>254</v>
      </c>
      <c r="D10" s="28">
        <v>1800</v>
      </c>
      <c r="E10" s="34" t="s">
        <v>298</v>
      </c>
      <c r="F10" s="28">
        <v>90</v>
      </c>
      <c r="G10" s="110">
        <f>D10*F10</f>
        <v>162000</v>
      </c>
      <c r="H10" s="121"/>
      <c r="I10" s="875"/>
      <c r="J10" s="218" t="s">
        <v>144</v>
      </c>
      <c r="K10" s="129">
        <f t="shared" ref="K10:L10" si="3">SUM(K6:K9)</f>
        <v>0</v>
      </c>
      <c r="L10" s="129">
        <f t="shared" si="3"/>
        <v>0</v>
      </c>
      <c r="M10" s="129"/>
      <c r="N10" s="124">
        <f>SUM(N6:N9)</f>
        <v>0</v>
      </c>
      <c r="O10" s="143"/>
      <c r="P10" s="217" t="s">
        <v>145</v>
      </c>
      <c r="Q10" s="106"/>
      <c r="R10" s="141"/>
      <c r="S10" s="106"/>
      <c r="T10" s="892"/>
      <c r="U10" s="893"/>
      <c r="V10" s="136" t="e">
        <f t="shared" si="1"/>
        <v>#DIV/0!</v>
      </c>
    </row>
    <row r="11" spans="2:22" ht="15.4" customHeight="1" thickTop="1" thickBot="1" x14ac:dyDescent="0.2">
      <c r="B11" s="875"/>
      <c r="C11" s="113" t="s">
        <v>84</v>
      </c>
      <c r="D11" s="114"/>
      <c r="E11" s="114"/>
      <c r="F11" s="114"/>
      <c r="G11" s="115">
        <f>SUM(G8:G10)</f>
        <v>873000</v>
      </c>
      <c r="H11" s="121"/>
      <c r="I11" s="876" t="s">
        <v>146</v>
      </c>
      <c r="J11" s="28"/>
      <c r="K11" s="128"/>
      <c r="L11" s="128"/>
      <c r="M11" s="128"/>
      <c r="N11" s="110">
        <f>K11*L11*M11</f>
        <v>0</v>
      </c>
      <c r="O11" s="143"/>
      <c r="P11" s="217" t="s">
        <v>147</v>
      </c>
      <c r="Q11" s="106"/>
      <c r="R11" s="141"/>
      <c r="S11" s="106"/>
      <c r="T11" s="892"/>
      <c r="U11" s="893"/>
      <c r="V11" s="136" t="e">
        <f t="shared" si="1"/>
        <v>#DIV/0!</v>
      </c>
    </row>
    <row r="12" spans="2:22" ht="15.4" customHeight="1" thickTop="1" x14ac:dyDescent="0.15">
      <c r="B12" s="876" t="s">
        <v>293</v>
      </c>
      <c r="C12" s="28" t="s">
        <v>335</v>
      </c>
      <c r="D12" s="28">
        <v>469</v>
      </c>
      <c r="E12" s="34" t="s">
        <v>304</v>
      </c>
      <c r="F12" s="28">
        <v>87.7</v>
      </c>
      <c r="G12" s="110">
        <f>D12*F12</f>
        <v>41131.300000000003</v>
      </c>
      <c r="H12" s="121"/>
      <c r="I12" s="752"/>
      <c r="J12" s="28"/>
      <c r="K12" s="128"/>
      <c r="L12" s="128"/>
      <c r="M12" s="128"/>
      <c r="N12" s="110">
        <f t="shared" ref="N12:N14" si="4">K12*L12*M12</f>
        <v>0</v>
      </c>
      <c r="O12" s="143"/>
      <c r="P12" s="217" t="s">
        <v>148</v>
      </c>
      <c r="Q12" s="106"/>
      <c r="R12" s="141"/>
      <c r="S12" s="106"/>
      <c r="T12" s="892"/>
      <c r="U12" s="893"/>
      <c r="V12" s="136" t="e">
        <f t="shared" si="1"/>
        <v>#DIV/0!</v>
      </c>
    </row>
    <row r="13" spans="2:22" ht="15.4" customHeight="1" x14ac:dyDescent="0.15">
      <c r="B13" s="752"/>
      <c r="C13" s="28" t="s">
        <v>336</v>
      </c>
      <c r="D13" s="28">
        <v>494</v>
      </c>
      <c r="E13" s="34" t="s">
        <v>304</v>
      </c>
      <c r="F13" s="28">
        <v>87.7</v>
      </c>
      <c r="G13" s="110">
        <f>D13*F13</f>
        <v>43323.8</v>
      </c>
      <c r="H13" s="121"/>
      <c r="I13" s="752"/>
      <c r="J13" s="28"/>
      <c r="K13" s="128"/>
      <c r="L13" s="128"/>
      <c r="M13" s="128"/>
      <c r="N13" s="110">
        <f t="shared" si="4"/>
        <v>0</v>
      </c>
      <c r="O13" s="143"/>
      <c r="P13" s="217" t="s">
        <v>149</v>
      </c>
      <c r="Q13" s="106"/>
      <c r="R13" s="141"/>
      <c r="S13" s="106"/>
      <c r="T13" s="892"/>
      <c r="U13" s="893"/>
      <c r="V13" s="136" t="e">
        <f t="shared" si="1"/>
        <v>#DIV/0!</v>
      </c>
    </row>
    <row r="14" spans="2:22" ht="15.4" customHeight="1" x14ac:dyDescent="0.15">
      <c r="B14" s="752"/>
      <c r="C14" s="28" t="s">
        <v>337</v>
      </c>
      <c r="D14" s="28">
        <v>550</v>
      </c>
      <c r="E14" s="34" t="s">
        <v>304</v>
      </c>
      <c r="F14" s="28">
        <v>87.7</v>
      </c>
      <c r="G14" s="110">
        <f>D14*F14</f>
        <v>48235</v>
      </c>
      <c r="H14" s="121"/>
      <c r="I14" s="752"/>
      <c r="J14" s="28"/>
      <c r="K14" s="128"/>
      <c r="L14" s="128"/>
      <c r="M14" s="128"/>
      <c r="N14" s="110">
        <f t="shared" si="4"/>
        <v>0</v>
      </c>
      <c r="O14" s="143"/>
      <c r="P14" s="217" t="s">
        <v>150</v>
      </c>
      <c r="Q14" s="106"/>
      <c r="R14" s="141"/>
      <c r="S14" s="106"/>
      <c r="T14" s="892"/>
      <c r="U14" s="893"/>
      <c r="V14" s="136" t="e">
        <f t="shared" si="1"/>
        <v>#DIV/0!</v>
      </c>
    </row>
    <row r="15" spans="2:22" ht="15.4" customHeight="1" thickBot="1" x14ac:dyDescent="0.2">
      <c r="B15" s="752"/>
      <c r="C15" s="28"/>
      <c r="D15" s="28"/>
      <c r="E15" s="28"/>
      <c r="F15" s="28"/>
      <c r="G15" s="110">
        <f t="shared" ref="G15" si="5">D15*F15</f>
        <v>0</v>
      </c>
      <c r="H15" s="121"/>
      <c r="I15" s="875"/>
      <c r="J15" s="218" t="s">
        <v>144</v>
      </c>
      <c r="K15" s="129">
        <f t="shared" ref="K15" si="6">SUM(K11:K14)</f>
        <v>0</v>
      </c>
      <c r="L15" s="129">
        <f t="shared" ref="L15" si="7">SUM(L11:L14)</f>
        <v>0</v>
      </c>
      <c r="M15" s="129"/>
      <c r="N15" s="124">
        <f>SUM(N11:N14)</f>
        <v>0</v>
      </c>
      <c r="O15" s="143"/>
      <c r="P15" s="217" t="s">
        <v>151</v>
      </c>
      <c r="Q15" s="106"/>
      <c r="R15" s="141"/>
      <c r="S15" s="106"/>
      <c r="T15" s="892"/>
      <c r="U15" s="893"/>
      <c r="V15" s="136" t="e">
        <f t="shared" si="1"/>
        <v>#DIV/0!</v>
      </c>
    </row>
    <row r="16" spans="2:22" ht="15.4" customHeight="1" thickTop="1" thickBot="1" x14ac:dyDescent="0.2">
      <c r="B16" s="875"/>
      <c r="C16" s="113" t="s">
        <v>84</v>
      </c>
      <c r="D16" s="114"/>
      <c r="E16" s="114"/>
      <c r="F16" s="114"/>
      <c r="G16" s="115">
        <f>SUM(G12:G15)</f>
        <v>132690.1</v>
      </c>
      <c r="H16" s="121"/>
      <c r="I16" s="876" t="s">
        <v>95</v>
      </c>
      <c r="J16" s="28"/>
      <c r="K16" s="128"/>
      <c r="L16" s="128"/>
      <c r="M16" s="128"/>
      <c r="N16" s="110">
        <f>K16*L16*M16</f>
        <v>0</v>
      </c>
      <c r="O16" s="143"/>
      <c r="P16" s="217"/>
      <c r="Q16" s="106"/>
      <c r="R16" s="279"/>
      <c r="S16" s="106"/>
      <c r="T16" s="892"/>
      <c r="U16" s="893"/>
      <c r="V16" s="136"/>
    </row>
    <row r="17" spans="2:22" ht="15.4" customHeight="1" thickTop="1" x14ac:dyDescent="0.15">
      <c r="B17" s="877" t="s">
        <v>319</v>
      </c>
      <c r="C17" s="28" t="s">
        <v>296</v>
      </c>
      <c r="D17" s="28">
        <v>10</v>
      </c>
      <c r="E17" s="34" t="s">
        <v>85</v>
      </c>
      <c r="F17" s="28">
        <v>5460</v>
      </c>
      <c r="G17" s="110">
        <f t="shared" ref="G17" si="8">D17*F17</f>
        <v>54600</v>
      </c>
      <c r="H17" s="121"/>
      <c r="I17" s="752"/>
      <c r="J17" s="28"/>
      <c r="K17" s="128"/>
      <c r="L17" s="128"/>
      <c r="M17" s="128"/>
      <c r="N17" s="110">
        <f t="shared" ref="N17:N18" si="9">K17*L17*M17</f>
        <v>0</v>
      </c>
      <c r="O17" s="143"/>
      <c r="P17" s="217"/>
      <c r="Q17" s="106"/>
      <c r="R17" s="279"/>
      <c r="S17" s="106"/>
      <c r="T17" s="892"/>
      <c r="U17" s="893"/>
      <c r="V17" s="136"/>
    </row>
    <row r="18" spans="2:22" ht="15.4" customHeight="1" x14ac:dyDescent="0.15">
      <c r="B18" s="878"/>
      <c r="C18" s="28" t="s">
        <v>297</v>
      </c>
      <c r="D18" s="28">
        <v>17</v>
      </c>
      <c r="E18" s="34" t="s">
        <v>85</v>
      </c>
      <c r="F18" s="28">
        <v>9550</v>
      </c>
      <c r="G18" s="110">
        <f>D18*F18</f>
        <v>162350</v>
      </c>
      <c r="H18" s="121"/>
      <c r="I18" s="752"/>
      <c r="J18" s="28"/>
      <c r="K18" s="128"/>
      <c r="L18" s="128"/>
      <c r="M18" s="128"/>
      <c r="N18" s="110">
        <f t="shared" si="9"/>
        <v>0</v>
      </c>
      <c r="O18" s="143"/>
      <c r="P18" s="217"/>
      <c r="Q18" s="106"/>
      <c r="R18" s="141"/>
      <c r="S18" s="106"/>
      <c r="T18" s="892"/>
      <c r="U18" s="893"/>
      <c r="V18" s="136"/>
    </row>
    <row r="19" spans="2:22" ht="15.4" customHeight="1" thickBot="1" x14ac:dyDescent="0.2">
      <c r="B19" s="878"/>
      <c r="C19" s="28"/>
      <c r="D19" s="28"/>
      <c r="E19" s="28"/>
      <c r="F19" s="28"/>
      <c r="G19" s="110">
        <f t="shared" ref="G19" si="10">D19*F19</f>
        <v>0</v>
      </c>
      <c r="H19" s="121"/>
      <c r="I19" s="875"/>
      <c r="J19" s="218" t="s">
        <v>152</v>
      </c>
      <c r="K19" s="129">
        <f>SUM(K16:K18)</f>
        <v>0</v>
      </c>
      <c r="L19" s="130">
        <f>SUM(L16:L18)</f>
        <v>0</v>
      </c>
      <c r="M19" s="131"/>
      <c r="N19" s="124">
        <f>SUM(N16:N18)</f>
        <v>0</v>
      </c>
      <c r="O19" s="143"/>
      <c r="P19" s="217"/>
      <c r="Q19" s="106"/>
      <c r="R19" s="141"/>
      <c r="S19" s="106"/>
      <c r="T19" s="892"/>
      <c r="U19" s="893"/>
      <c r="V19" s="136"/>
    </row>
    <row r="20" spans="2:22" ht="15.4" customHeight="1" thickTop="1" thickBot="1" x14ac:dyDescent="0.2">
      <c r="B20" s="879"/>
      <c r="C20" s="113" t="s">
        <v>84</v>
      </c>
      <c r="D20" s="114"/>
      <c r="E20" s="114"/>
      <c r="F20" s="114"/>
      <c r="G20" s="115">
        <f>SUM(G17:G19)</f>
        <v>216950</v>
      </c>
      <c r="H20" s="121"/>
      <c r="I20" s="876" t="s">
        <v>96</v>
      </c>
      <c r="J20" s="28"/>
      <c r="K20" s="128"/>
      <c r="L20" s="128"/>
      <c r="M20" s="128"/>
      <c r="N20" s="110">
        <f>K20*L20*M20</f>
        <v>0</v>
      </c>
      <c r="O20" s="143"/>
      <c r="P20" s="137" t="s">
        <v>23</v>
      </c>
      <c r="Q20" s="138"/>
      <c r="R20" s="138"/>
      <c r="S20" s="138"/>
      <c r="T20" s="894"/>
      <c r="U20" s="889"/>
      <c r="V20" s="139" t="e">
        <f>SUM(V5:V19)</f>
        <v>#DIV/0!</v>
      </c>
    </row>
    <row r="21" spans="2:22" ht="15.4" customHeight="1" thickTop="1" x14ac:dyDescent="0.15">
      <c r="B21" s="882" t="s">
        <v>320</v>
      </c>
      <c r="C21" s="28" t="s">
        <v>316</v>
      </c>
      <c r="D21" s="28">
        <v>8</v>
      </c>
      <c r="E21" s="34" t="s">
        <v>85</v>
      </c>
      <c r="F21" s="28">
        <v>5460</v>
      </c>
      <c r="G21" s="110">
        <f t="shared" ref="G21" si="11">D21*F21</f>
        <v>43680</v>
      </c>
      <c r="H21" s="121"/>
      <c r="I21" s="752"/>
      <c r="J21" s="28"/>
      <c r="K21" s="128"/>
      <c r="L21" s="128"/>
      <c r="M21" s="128"/>
      <c r="N21" s="110">
        <f t="shared" ref="N21:N22" si="12">K21*L21*M21</f>
        <v>0</v>
      </c>
      <c r="O21" s="143"/>
    </row>
    <row r="22" spans="2:22" ht="15.4" customHeight="1" thickBot="1" x14ac:dyDescent="0.2">
      <c r="B22" s="878"/>
      <c r="C22" s="334" t="s">
        <v>317</v>
      </c>
      <c r="D22" s="334">
        <v>7</v>
      </c>
      <c r="E22" s="335" t="s">
        <v>85</v>
      </c>
      <c r="F22" s="334">
        <v>9550</v>
      </c>
      <c r="G22" s="110">
        <f>D22*F22</f>
        <v>66850</v>
      </c>
      <c r="H22" s="121"/>
      <c r="I22" s="752"/>
      <c r="J22" s="28"/>
      <c r="K22" s="128"/>
      <c r="L22" s="128"/>
      <c r="M22" s="128"/>
      <c r="N22" s="110">
        <f t="shared" si="12"/>
        <v>0</v>
      </c>
      <c r="O22" s="143"/>
      <c r="P22" s="133" t="s">
        <v>138</v>
      </c>
    </row>
    <row r="23" spans="2:22" ht="15.4" customHeight="1" thickBot="1" x14ac:dyDescent="0.2">
      <c r="B23" s="883"/>
      <c r="C23" s="113" t="s">
        <v>84</v>
      </c>
      <c r="D23" s="114"/>
      <c r="E23" s="114"/>
      <c r="F23" s="114"/>
      <c r="G23" s="115">
        <f>SUM(G21:G22)</f>
        <v>110530</v>
      </c>
      <c r="H23" s="121"/>
      <c r="I23" s="875"/>
      <c r="J23" s="218" t="s">
        <v>152</v>
      </c>
      <c r="K23" s="129">
        <f>SUM(K20:K22)</f>
        <v>0</v>
      </c>
      <c r="L23" s="130">
        <f>SUM(L20:L22)</f>
        <v>0</v>
      </c>
      <c r="M23" s="131"/>
      <c r="N23" s="124">
        <f>SUM(N20:N22)</f>
        <v>0</v>
      </c>
      <c r="O23" s="143"/>
      <c r="P23" s="214" t="s">
        <v>104</v>
      </c>
      <c r="Q23" s="215" t="s">
        <v>98</v>
      </c>
      <c r="R23" s="215" t="s">
        <v>99</v>
      </c>
      <c r="S23" s="215" t="s">
        <v>153</v>
      </c>
      <c r="T23" s="215" t="s">
        <v>102</v>
      </c>
      <c r="U23" s="270" t="s">
        <v>173</v>
      </c>
      <c r="V23" s="216" t="s">
        <v>103</v>
      </c>
    </row>
    <row r="24" spans="2:22" ht="15.4" customHeight="1" thickTop="1" thickBot="1" x14ac:dyDescent="0.2">
      <c r="B24" s="880" t="s">
        <v>208</v>
      </c>
      <c r="C24" s="881"/>
      <c r="D24" s="116"/>
      <c r="E24" s="116"/>
      <c r="F24" s="123"/>
      <c r="G24" s="117">
        <f>G7+G11+G16+G20+G23</f>
        <v>1667970.1</v>
      </c>
      <c r="I24" s="876" t="s">
        <v>176</v>
      </c>
      <c r="J24" s="28"/>
      <c r="K24" s="128"/>
      <c r="L24" s="128"/>
      <c r="M24" s="128"/>
      <c r="N24" s="110">
        <f>K24*L24*M24</f>
        <v>0</v>
      </c>
      <c r="O24" s="143"/>
      <c r="P24" s="217" t="s">
        <v>154</v>
      </c>
      <c r="Q24" s="106"/>
      <c r="R24" s="271"/>
      <c r="S24" s="106"/>
      <c r="T24" s="106"/>
      <c r="U24" s="107"/>
      <c r="V24" s="136" t="e">
        <f>Q24*S24/T24/U24*10</f>
        <v>#DIV/0!</v>
      </c>
    </row>
    <row r="25" spans="2:22" ht="15.4" customHeight="1" x14ac:dyDescent="0.15">
      <c r="H25" s="122"/>
      <c r="I25" s="752"/>
      <c r="J25" s="28"/>
      <c r="K25" s="128"/>
      <c r="L25" s="128"/>
      <c r="M25" s="128"/>
      <c r="N25" s="110">
        <f t="shared" ref="N25:N26" si="13">K25*L25*M25</f>
        <v>0</v>
      </c>
      <c r="O25" s="143"/>
      <c r="P25" s="217" t="s">
        <v>155</v>
      </c>
      <c r="Q25" s="106"/>
      <c r="R25" s="141"/>
      <c r="S25" s="106"/>
      <c r="T25" s="106"/>
      <c r="U25" s="107"/>
      <c r="V25" s="136" t="e">
        <f t="shared" ref="V25:V26" si="14">Q25*S25/T25/U25*10</f>
        <v>#DIV/0!</v>
      </c>
    </row>
    <row r="26" spans="2:22" ht="15.4" customHeight="1" thickBot="1" x14ac:dyDescent="0.2">
      <c r="B26" s="5" t="s">
        <v>198</v>
      </c>
      <c r="C26" s="5"/>
      <c r="D26" s="31"/>
      <c r="E26" s="5"/>
      <c r="F26" s="31"/>
      <c r="G26" s="32"/>
      <c r="H26" s="120"/>
      <c r="I26" s="752"/>
      <c r="J26" s="28"/>
      <c r="K26" s="128"/>
      <c r="L26" s="128"/>
      <c r="M26" s="128"/>
      <c r="N26" s="110">
        <f t="shared" si="13"/>
        <v>0</v>
      </c>
      <c r="O26" s="143"/>
      <c r="P26" s="217" t="s">
        <v>156</v>
      </c>
      <c r="Q26" s="106"/>
      <c r="R26" s="271"/>
      <c r="S26" s="106"/>
      <c r="T26" s="106"/>
      <c r="U26" s="107"/>
      <c r="V26" s="136" t="e">
        <f t="shared" si="14"/>
        <v>#DIV/0!</v>
      </c>
    </row>
    <row r="27" spans="2:22" ht="15.4" customHeight="1" thickBot="1" x14ac:dyDescent="0.2">
      <c r="B27" s="213" t="s">
        <v>50</v>
      </c>
      <c r="C27" s="119" t="s">
        <v>77</v>
      </c>
      <c r="D27" s="119" t="s">
        <v>78</v>
      </c>
      <c r="E27" s="119" t="s">
        <v>79</v>
      </c>
      <c r="F27" s="119" t="s">
        <v>18</v>
      </c>
      <c r="G27" s="108" t="s">
        <v>80</v>
      </c>
      <c r="H27" s="121"/>
      <c r="I27" s="875"/>
      <c r="J27" s="218" t="s">
        <v>144</v>
      </c>
      <c r="K27" s="129">
        <f>SUM(K24:K26)</f>
        <v>0</v>
      </c>
      <c r="L27" s="130">
        <f>SUM(L24:L26)</f>
        <v>0</v>
      </c>
      <c r="M27" s="131"/>
      <c r="N27" s="124">
        <f>SUM(N24:N26)</f>
        <v>0</v>
      </c>
      <c r="O27" s="143"/>
      <c r="P27" s="217" t="s">
        <v>175</v>
      </c>
      <c r="Q27" s="106"/>
      <c r="R27" s="271"/>
      <c r="S27" s="106"/>
      <c r="T27" s="106"/>
      <c r="U27" s="107"/>
      <c r="V27" s="136" t="e">
        <f t="shared" ref="V27" si="15">Q27*S27/T27/U27*10</f>
        <v>#DIV/0!</v>
      </c>
    </row>
    <row r="28" spans="2:22" ht="15.4" customHeight="1" thickTop="1" x14ac:dyDescent="0.15">
      <c r="B28" s="751" t="s">
        <v>199</v>
      </c>
      <c r="C28" s="28" t="s">
        <v>471</v>
      </c>
      <c r="D28" s="28">
        <v>22875</v>
      </c>
      <c r="E28" s="34" t="s">
        <v>201</v>
      </c>
      <c r="F28" s="28">
        <v>60</v>
      </c>
      <c r="G28" s="109">
        <f t="shared" ref="G28:G37" si="16">D28*F28</f>
        <v>1372500</v>
      </c>
      <c r="H28" s="121"/>
      <c r="I28" s="876" t="s">
        <v>91</v>
      </c>
      <c r="J28" s="28"/>
      <c r="K28" s="128"/>
      <c r="L28" s="128"/>
      <c r="M28" s="128"/>
      <c r="N28" s="110">
        <f>K28*L28*M28</f>
        <v>0</v>
      </c>
      <c r="O28" s="143"/>
      <c r="P28" s="217"/>
      <c r="Q28" s="106"/>
      <c r="R28" s="271"/>
      <c r="S28" s="106"/>
      <c r="T28" s="106"/>
      <c r="U28" s="283"/>
      <c r="V28" s="136"/>
    </row>
    <row r="29" spans="2:22" ht="15.4" customHeight="1" x14ac:dyDescent="0.15">
      <c r="B29" s="752"/>
      <c r="C29" s="28" t="s">
        <v>360</v>
      </c>
      <c r="D29" s="28">
        <v>244</v>
      </c>
      <c r="E29" s="34" t="s">
        <v>361</v>
      </c>
      <c r="F29" s="28">
        <v>3348</v>
      </c>
      <c r="G29" s="110">
        <f t="shared" si="16"/>
        <v>816912</v>
      </c>
      <c r="H29" s="121"/>
      <c r="I29" s="752"/>
      <c r="J29" s="28"/>
      <c r="K29" s="128"/>
      <c r="L29" s="128"/>
      <c r="M29" s="128"/>
      <c r="N29" s="110">
        <f t="shared" ref="N29:N30" si="17">K29*L29*M29</f>
        <v>0</v>
      </c>
      <c r="O29" s="30"/>
      <c r="P29" s="217"/>
      <c r="Q29" s="106"/>
      <c r="R29" s="271"/>
      <c r="S29" s="106"/>
      <c r="T29" s="106"/>
      <c r="U29" s="283"/>
      <c r="V29" s="136"/>
    </row>
    <row r="30" spans="2:22" ht="15.4" customHeight="1" x14ac:dyDescent="0.15">
      <c r="B30" s="752"/>
      <c r="C30" s="28"/>
      <c r="D30" s="28"/>
      <c r="E30" s="34" t="s">
        <v>201</v>
      </c>
      <c r="F30" s="28"/>
      <c r="G30" s="110">
        <f t="shared" si="16"/>
        <v>0</v>
      </c>
      <c r="H30" s="121"/>
      <c r="I30" s="752"/>
      <c r="J30" s="28"/>
      <c r="K30" s="128"/>
      <c r="L30" s="128"/>
      <c r="M30" s="128"/>
      <c r="N30" s="110">
        <f t="shared" si="17"/>
        <v>0</v>
      </c>
      <c r="P30" s="217"/>
      <c r="Q30" s="106"/>
      <c r="R30" s="141"/>
      <c r="S30" s="106"/>
      <c r="T30" s="106"/>
      <c r="U30" s="107"/>
      <c r="V30" s="136"/>
    </row>
    <row r="31" spans="2:22" ht="15.4" customHeight="1" thickBot="1" x14ac:dyDescent="0.2">
      <c r="B31" s="752"/>
      <c r="C31" s="28"/>
      <c r="D31" s="28"/>
      <c r="E31" s="34" t="s">
        <v>201</v>
      </c>
      <c r="F31" s="28"/>
      <c r="G31" s="110">
        <f t="shared" si="16"/>
        <v>0</v>
      </c>
      <c r="H31" s="121"/>
      <c r="I31" s="887"/>
      <c r="J31" s="219" t="s">
        <v>157</v>
      </c>
      <c r="K31" s="132">
        <f>SUM(K28:K30)</f>
        <v>0</v>
      </c>
      <c r="L31" s="134">
        <f>SUM(L28:L30)</f>
        <v>0</v>
      </c>
      <c r="M31" s="135"/>
      <c r="N31" s="126">
        <f>SUM(N28:N30)</f>
        <v>0</v>
      </c>
      <c r="P31" s="217"/>
      <c r="Q31" s="106"/>
      <c r="R31" s="141"/>
      <c r="S31" s="106"/>
      <c r="T31" s="106"/>
      <c r="U31" s="107"/>
      <c r="V31" s="136"/>
    </row>
    <row r="32" spans="2:22" ht="15.4" customHeight="1" x14ac:dyDescent="0.15">
      <c r="B32" s="752"/>
      <c r="C32" s="284"/>
      <c r="D32" s="284"/>
      <c r="E32" s="34" t="s">
        <v>201</v>
      </c>
      <c r="F32" s="284"/>
      <c r="G32" s="110">
        <f t="shared" si="16"/>
        <v>0</v>
      </c>
      <c r="H32" s="121"/>
      <c r="I32" s="101"/>
      <c r="J32" s="101"/>
      <c r="K32" s="101"/>
      <c r="L32" s="101"/>
      <c r="M32" s="101"/>
      <c r="N32" s="101"/>
      <c r="P32" s="217"/>
      <c r="Q32" s="106"/>
      <c r="R32" s="141"/>
      <c r="S32" s="106"/>
      <c r="T32" s="106"/>
      <c r="U32" s="107"/>
      <c r="V32" s="136"/>
    </row>
    <row r="33" spans="2:22" ht="15.4" customHeight="1" thickBot="1" x14ac:dyDescent="0.2">
      <c r="B33" s="752"/>
      <c r="C33" s="284"/>
      <c r="D33" s="284"/>
      <c r="E33" s="34" t="s">
        <v>201</v>
      </c>
      <c r="F33" s="284"/>
      <c r="G33" s="110">
        <f t="shared" si="16"/>
        <v>0</v>
      </c>
      <c r="H33" s="121"/>
      <c r="I33" s="95" t="s">
        <v>136</v>
      </c>
      <c r="J33" s="88"/>
      <c r="K33" s="88"/>
      <c r="L33" s="88"/>
      <c r="M33" s="88"/>
      <c r="P33" s="217"/>
      <c r="Q33" s="106"/>
      <c r="R33" s="141"/>
      <c r="S33" s="106"/>
      <c r="T33" s="106"/>
      <c r="U33" s="107"/>
      <c r="V33" s="136"/>
    </row>
    <row r="34" spans="2:22" ht="15.4" customHeight="1" thickBot="1" x14ac:dyDescent="0.2">
      <c r="B34" s="752"/>
      <c r="C34" s="28"/>
      <c r="D34" s="28"/>
      <c r="E34" s="34" t="s">
        <v>201</v>
      </c>
      <c r="F34" s="28"/>
      <c r="G34" s="110">
        <f t="shared" si="16"/>
        <v>0</v>
      </c>
      <c r="H34" s="121"/>
      <c r="I34" s="193" t="s">
        <v>125</v>
      </c>
      <c r="J34" s="194" t="s">
        <v>3</v>
      </c>
      <c r="K34" s="873" t="s">
        <v>126</v>
      </c>
      <c r="L34" s="874"/>
      <c r="M34" s="274" t="s">
        <v>173</v>
      </c>
      <c r="N34" s="220" t="s">
        <v>158</v>
      </c>
      <c r="P34" s="221" t="s">
        <v>130</v>
      </c>
      <c r="Q34" s="138"/>
      <c r="R34" s="138"/>
      <c r="S34" s="138"/>
      <c r="T34" s="138"/>
      <c r="U34" s="140"/>
      <c r="V34" s="139" t="e">
        <f>SUM(V24:V33)</f>
        <v>#DIV/0!</v>
      </c>
    </row>
    <row r="35" spans="2:22" ht="15.4" customHeight="1" x14ac:dyDescent="0.15">
      <c r="B35" s="752"/>
      <c r="C35" s="28"/>
      <c r="D35" s="28"/>
      <c r="E35" s="34" t="s">
        <v>201</v>
      </c>
      <c r="F35" s="28"/>
      <c r="G35" s="110">
        <f t="shared" si="16"/>
        <v>0</v>
      </c>
      <c r="H35" s="121"/>
      <c r="I35" s="859" t="s">
        <v>0</v>
      </c>
      <c r="J35" s="118" t="s">
        <v>123</v>
      </c>
      <c r="K35" s="869"/>
      <c r="L35" s="869"/>
      <c r="M35" s="192"/>
      <c r="N35" s="207">
        <f>('６　固定資本装備と減価償却費 '!I5+'６　固定資本装備と減価償却費 '!I6+'６　固定資本装備と減価償却費 '!I7)/2*0.3*0.014</f>
        <v>46498.200000000004</v>
      </c>
    </row>
    <row r="36" spans="2:22" ht="15.4" customHeight="1" thickBot="1" x14ac:dyDescent="0.2">
      <c r="B36" s="752"/>
      <c r="C36" s="28"/>
      <c r="D36" s="28"/>
      <c r="E36" s="34" t="s">
        <v>201</v>
      </c>
      <c r="F36" s="28"/>
      <c r="G36" s="110">
        <f t="shared" si="16"/>
        <v>0</v>
      </c>
      <c r="H36" s="121"/>
      <c r="I36" s="890"/>
      <c r="J36" s="118" t="s">
        <v>124</v>
      </c>
      <c r="K36" s="869"/>
      <c r="L36" s="869"/>
      <c r="M36" s="192"/>
      <c r="N36" s="207"/>
      <c r="P36" s="95" t="s">
        <v>131</v>
      </c>
      <c r="Q36" s="88"/>
      <c r="R36" s="88"/>
      <c r="S36" s="88"/>
      <c r="T36" s="88"/>
    </row>
    <row r="37" spans="2:22" ht="15.4" customHeight="1" x14ac:dyDescent="0.15">
      <c r="B37" s="752"/>
      <c r="C37" s="28"/>
      <c r="D37" s="28"/>
      <c r="E37" s="34" t="s">
        <v>201</v>
      </c>
      <c r="F37" s="28"/>
      <c r="G37" s="110">
        <f t="shared" si="16"/>
        <v>0</v>
      </c>
      <c r="H37" s="121"/>
      <c r="I37" s="890"/>
      <c r="J37" s="118"/>
      <c r="K37" s="869"/>
      <c r="L37" s="869"/>
      <c r="M37" s="192"/>
      <c r="N37" s="207"/>
      <c r="O37" s="133"/>
      <c r="P37" s="193" t="s">
        <v>120</v>
      </c>
      <c r="Q37" s="856" t="s">
        <v>132</v>
      </c>
      <c r="R37" s="856"/>
      <c r="S37" s="206" t="s">
        <v>249</v>
      </c>
      <c r="T37" s="206" t="s">
        <v>134</v>
      </c>
      <c r="U37" s="273" t="s">
        <v>246</v>
      </c>
      <c r="V37" s="222" t="s">
        <v>158</v>
      </c>
    </row>
    <row r="38" spans="2:22" ht="15.4" customHeight="1" thickBot="1" x14ac:dyDescent="0.2">
      <c r="B38" s="875"/>
      <c r="C38" s="111" t="s">
        <v>83</v>
      </c>
      <c r="D38" s="111"/>
      <c r="E38" s="111"/>
      <c r="F38" s="111"/>
      <c r="G38" s="112">
        <f>SUM(G28:G37)</f>
        <v>2189412</v>
      </c>
      <c r="H38" s="121"/>
      <c r="I38" s="890"/>
      <c r="J38" s="118"/>
      <c r="K38" s="869"/>
      <c r="L38" s="869"/>
      <c r="M38" s="192"/>
      <c r="N38" s="207"/>
      <c r="O38" s="133"/>
      <c r="P38" s="912" t="s">
        <v>133</v>
      </c>
      <c r="Q38" s="199" t="s">
        <v>243</v>
      </c>
      <c r="R38" s="226" t="s">
        <v>247</v>
      </c>
      <c r="S38" s="200">
        <v>17140</v>
      </c>
      <c r="T38" s="227"/>
      <c r="U38" s="200">
        <v>55</v>
      </c>
      <c r="V38" s="207">
        <f>S38*U38</f>
        <v>942700</v>
      </c>
    </row>
    <row r="39" spans="2:22" ht="15.4" customHeight="1" thickTop="1" x14ac:dyDescent="0.15">
      <c r="B39" s="876" t="s">
        <v>200</v>
      </c>
      <c r="C39" s="28" t="s">
        <v>472</v>
      </c>
      <c r="D39" s="28">
        <v>34050</v>
      </c>
      <c r="E39" s="34" t="s">
        <v>201</v>
      </c>
      <c r="F39" s="28">
        <v>71.3</v>
      </c>
      <c r="G39" s="110">
        <f t="shared" ref="G39:G41" si="18">D39*F39</f>
        <v>2427765</v>
      </c>
      <c r="H39" s="121"/>
      <c r="I39" s="890"/>
      <c r="J39" s="118"/>
      <c r="K39" s="869"/>
      <c r="L39" s="869"/>
      <c r="M39" s="192"/>
      <c r="N39" s="207"/>
      <c r="O39" s="133"/>
      <c r="P39" s="910"/>
      <c r="Q39" s="199"/>
      <c r="R39" s="226" t="s">
        <v>248</v>
      </c>
      <c r="S39" s="200">
        <v>4433</v>
      </c>
      <c r="T39" s="227"/>
      <c r="U39" s="200">
        <v>33</v>
      </c>
      <c r="V39" s="207">
        <f>S39*U39</f>
        <v>146289</v>
      </c>
    </row>
    <row r="40" spans="2:22" ht="15.4" customHeight="1" x14ac:dyDescent="0.15">
      <c r="B40" s="752"/>
      <c r="C40" s="28" t="s">
        <v>473</v>
      </c>
      <c r="D40" s="28">
        <v>30556</v>
      </c>
      <c r="E40" s="34" t="s">
        <v>201</v>
      </c>
      <c r="F40" s="28">
        <v>65.099999999999994</v>
      </c>
      <c r="G40" s="110">
        <f t="shared" si="18"/>
        <v>1989195.5999999999</v>
      </c>
      <c r="H40" s="121"/>
      <c r="I40" s="890"/>
      <c r="J40" s="118" t="s">
        <v>121</v>
      </c>
      <c r="K40" s="869"/>
      <c r="L40" s="869"/>
      <c r="M40" s="192">
        <v>100</v>
      </c>
      <c r="N40" s="207">
        <v>196</v>
      </c>
      <c r="O40" s="133"/>
      <c r="P40" s="910"/>
      <c r="Q40" s="199" t="s">
        <v>244</v>
      </c>
      <c r="R40" s="226"/>
      <c r="S40" s="200"/>
      <c r="T40" s="227"/>
      <c r="U40" s="200"/>
      <c r="V40" s="207"/>
    </row>
    <row r="41" spans="2:22" ht="15.4" customHeight="1" x14ac:dyDescent="0.15">
      <c r="B41" s="752"/>
      <c r="C41" s="28" t="s">
        <v>474</v>
      </c>
      <c r="D41" s="28">
        <v>5475</v>
      </c>
      <c r="E41" s="34" t="s">
        <v>201</v>
      </c>
      <c r="F41" s="28">
        <v>60.88</v>
      </c>
      <c r="G41" s="110">
        <f t="shared" si="18"/>
        <v>333318</v>
      </c>
      <c r="H41" s="121"/>
      <c r="I41" s="890"/>
      <c r="J41" s="118" t="s">
        <v>122</v>
      </c>
      <c r="K41" s="869"/>
      <c r="L41" s="869"/>
      <c r="M41" s="192"/>
      <c r="N41" s="207"/>
      <c r="O41" s="133"/>
      <c r="P41" s="910"/>
      <c r="Q41" s="199" t="s">
        <v>245</v>
      </c>
      <c r="R41" s="226"/>
      <c r="S41" s="200"/>
      <c r="T41" s="227"/>
      <c r="U41" s="200"/>
      <c r="V41" s="207"/>
    </row>
    <row r="42" spans="2:22" ht="15.4" customHeight="1" thickBot="1" x14ac:dyDescent="0.2">
      <c r="B42" s="752"/>
      <c r="C42" s="284"/>
      <c r="D42" s="284"/>
      <c r="E42" s="34" t="s">
        <v>201</v>
      </c>
      <c r="F42" s="284"/>
      <c r="G42" s="110">
        <f t="shared" ref="G42:G47" si="19">D42*F42</f>
        <v>0</v>
      </c>
      <c r="H42" s="121"/>
      <c r="I42" s="891"/>
      <c r="J42" s="195" t="s">
        <v>84</v>
      </c>
      <c r="K42" s="867"/>
      <c r="L42" s="868"/>
      <c r="M42" s="196"/>
      <c r="N42" s="203">
        <f>SUM(N35:N41)</f>
        <v>46694.200000000004</v>
      </c>
      <c r="O42" s="133"/>
      <c r="P42" s="910"/>
      <c r="Q42" s="199"/>
      <c r="R42" s="226"/>
      <c r="S42" s="200"/>
      <c r="T42" s="227"/>
      <c r="U42" s="200"/>
      <c r="V42" s="207"/>
    </row>
    <row r="43" spans="2:22" ht="15.4" customHeight="1" thickTop="1" x14ac:dyDescent="0.15">
      <c r="B43" s="752"/>
      <c r="C43" s="284"/>
      <c r="D43" s="284"/>
      <c r="E43" s="34" t="s">
        <v>201</v>
      </c>
      <c r="F43" s="284"/>
      <c r="G43" s="110">
        <f t="shared" si="19"/>
        <v>0</v>
      </c>
      <c r="H43" s="121"/>
      <c r="I43" s="857" t="s">
        <v>127</v>
      </c>
      <c r="J43" s="197" t="s">
        <v>159</v>
      </c>
      <c r="K43" s="860"/>
      <c r="L43" s="860"/>
      <c r="M43" s="198"/>
      <c r="N43" s="223">
        <v>4100</v>
      </c>
      <c r="O43" s="133"/>
      <c r="P43" s="910"/>
      <c r="Q43" s="199"/>
      <c r="R43" s="226"/>
      <c r="S43" s="200"/>
      <c r="T43" s="227"/>
      <c r="U43" s="200"/>
      <c r="V43" s="207"/>
    </row>
    <row r="44" spans="2:22" ht="15.4" customHeight="1" thickBot="1" x14ac:dyDescent="0.2">
      <c r="B44" s="752"/>
      <c r="C44" s="28"/>
      <c r="D44" s="28"/>
      <c r="E44" s="34" t="s">
        <v>201</v>
      </c>
      <c r="F44" s="28"/>
      <c r="G44" s="110">
        <f t="shared" si="19"/>
        <v>0</v>
      </c>
      <c r="H44" s="121"/>
      <c r="I44" s="858"/>
      <c r="J44" s="199" t="s">
        <v>159</v>
      </c>
      <c r="K44" s="869"/>
      <c r="L44" s="869"/>
      <c r="M44" s="192"/>
      <c r="N44" s="207"/>
      <c r="O44" s="133"/>
      <c r="P44" s="913"/>
      <c r="Q44" s="208" t="s">
        <v>135</v>
      </c>
      <c r="R44" s="209"/>
      <c r="S44" s="209"/>
      <c r="T44" s="209"/>
      <c r="U44" s="209"/>
      <c r="V44" s="210">
        <f>SUM(V38:V43)</f>
        <v>1088989</v>
      </c>
    </row>
    <row r="45" spans="2:22" ht="15.4" customHeight="1" thickTop="1" x14ac:dyDescent="0.15">
      <c r="B45" s="752"/>
      <c r="C45" s="28"/>
      <c r="D45" s="28"/>
      <c r="E45" s="34" t="s">
        <v>201</v>
      </c>
      <c r="F45" s="28"/>
      <c r="G45" s="110">
        <f t="shared" si="19"/>
        <v>0</v>
      </c>
      <c r="H45" s="121"/>
      <c r="I45" s="858"/>
      <c r="J45" s="118"/>
      <c r="K45" s="869"/>
      <c r="L45" s="869"/>
      <c r="M45" s="192"/>
      <c r="N45" s="207"/>
      <c r="O45" s="133"/>
      <c r="P45" s="909" t="s">
        <v>139</v>
      </c>
      <c r="Q45" s="906" t="s">
        <v>161</v>
      </c>
      <c r="R45" s="228" t="s">
        <v>162</v>
      </c>
      <c r="S45" s="199">
        <v>24040</v>
      </c>
      <c r="T45" s="227">
        <v>1</v>
      </c>
      <c r="U45" s="199">
        <v>1</v>
      </c>
      <c r="V45" s="207">
        <v>24040</v>
      </c>
    </row>
    <row r="46" spans="2:22" ht="15.4" customHeight="1" thickBot="1" x14ac:dyDescent="0.2">
      <c r="B46" s="752"/>
      <c r="C46" s="28"/>
      <c r="D46" s="28"/>
      <c r="E46" s="28"/>
      <c r="F46" s="28"/>
      <c r="G46" s="110">
        <f t="shared" si="19"/>
        <v>0</v>
      </c>
      <c r="H46" s="121"/>
      <c r="I46" s="870"/>
      <c r="J46" s="195" t="s">
        <v>84</v>
      </c>
      <c r="K46" s="867"/>
      <c r="L46" s="868"/>
      <c r="M46" s="196"/>
      <c r="N46" s="203">
        <f>SUM(N43:N45)</f>
        <v>4100</v>
      </c>
      <c r="O46" s="133"/>
      <c r="P46" s="910"/>
      <c r="Q46" s="907"/>
      <c r="R46" s="228"/>
      <c r="S46" s="199"/>
      <c r="T46" s="227"/>
      <c r="U46" s="199"/>
      <c r="V46" s="207"/>
    </row>
    <row r="47" spans="2:22" ht="15.4" customHeight="1" thickTop="1" x14ac:dyDescent="0.15">
      <c r="B47" s="752"/>
      <c r="C47" s="28"/>
      <c r="D47" s="28"/>
      <c r="E47" s="28"/>
      <c r="F47" s="28"/>
      <c r="G47" s="110">
        <f t="shared" si="19"/>
        <v>0</v>
      </c>
      <c r="H47" s="121"/>
      <c r="I47" s="857" t="s">
        <v>128</v>
      </c>
      <c r="J47" s="197" t="s">
        <v>160</v>
      </c>
      <c r="K47" s="860"/>
      <c r="L47" s="860"/>
      <c r="M47" s="198"/>
      <c r="N47" s="223">
        <v>11500</v>
      </c>
      <c r="O47" s="133"/>
      <c r="P47" s="910"/>
      <c r="Q47" s="907"/>
      <c r="R47" s="228"/>
      <c r="S47" s="199"/>
      <c r="T47" s="199"/>
      <c r="U47" s="118"/>
      <c r="V47" s="229"/>
    </row>
    <row r="48" spans="2:22" ht="15.4" customHeight="1" x14ac:dyDescent="0.15">
      <c r="B48" s="752"/>
      <c r="C48" s="28"/>
      <c r="D48" s="28"/>
      <c r="E48" s="28"/>
      <c r="F48" s="28"/>
      <c r="G48" s="110">
        <f t="shared" ref="G48:G52" si="20">D48*F48</f>
        <v>0</v>
      </c>
      <c r="H48" s="121"/>
      <c r="I48" s="858"/>
      <c r="J48" s="199" t="s">
        <v>160</v>
      </c>
      <c r="K48" s="869"/>
      <c r="L48" s="869"/>
      <c r="M48" s="192"/>
      <c r="N48" s="207"/>
      <c r="O48" s="133"/>
      <c r="P48" s="910"/>
      <c r="Q48" s="907"/>
      <c r="R48" s="228"/>
      <c r="S48" s="199"/>
      <c r="T48" s="227"/>
      <c r="U48" s="199"/>
      <c r="V48" s="207"/>
    </row>
    <row r="49" spans="2:22" ht="15.4" customHeight="1" thickBot="1" x14ac:dyDescent="0.2">
      <c r="B49" s="875"/>
      <c r="C49" s="113" t="s">
        <v>84</v>
      </c>
      <c r="D49" s="114">
        <f>SUM(D39:D48)</f>
        <v>70081</v>
      </c>
      <c r="E49" s="114"/>
      <c r="F49" s="114"/>
      <c r="G49" s="115">
        <f>SUM(G39:G48)</f>
        <v>4750278.5999999996</v>
      </c>
      <c r="H49" s="121"/>
      <c r="I49" s="858"/>
      <c r="J49" s="118"/>
      <c r="K49" s="869"/>
      <c r="L49" s="869"/>
      <c r="M49" s="192"/>
      <c r="N49" s="207"/>
      <c r="O49" s="133"/>
      <c r="P49" s="910"/>
      <c r="Q49" s="908"/>
      <c r="R49" s="228"/>
      <c r="S49" s="199"/>
      <c r="T49" s="199"/>
      <c r="U49" s="118"/>
      <c r="V49" s="229"/>
    </row>
    <row r="50" spans="2:22" ht="15.4" customHeight="1" thickTop="1" thickBot="1" x14ac:dyDescent="0.2">
      <c r="B50" s="876" t="s">
        <v>362</v>
      </c>
      <c r="C50" s="28" t="s">
        <v>363</v>
      </c>
      <c r="D50" s="28">
        <v>2151</v>
      </c>
      <c r="E50" s="34" t="s">
        <v>298</v>
      </c>
      <c r="F50" s="28">
        <v>100</v>
      </c>
      <c r="G50" s="110">
        <f t="shared" si="20"/>
        <v>215100</v>
      </c>
      <c r="H50" s="121"/>
      <c r="I50" s="870"/>
      <c r="J50" s="195" t="s">
        <v>84</v>
      </c>
      <c r="K50" s="867"/>
      <c r="L50" s="868"/>
      <c r="M50" s="196"/>
      <c r="N50" s="203">
        <f>SUM(N47:N49)</f>
        <v>11500</v>
      </c>
      <c r="O50" s="133"/>
      <c r="P50" s="910"/>
      <c r="Q50" s="208" t="s">
        <v>135</v>
      </c>
      <c r="R50" s="209"/>
      <c r="S50" s="209"/>
      <c r="T50" s="209"/>
      <c r="U50" s="209"/>
      <c r="V50" s="210">
        <f>SUM(V45:V49)</f>
        <v>24040</v>
      </c>
    </row>
    <row r="51" spans="2:22" ht="15.4" customHeight="1" thickTop="1" x14ac:dyDescent="0.15">
      <c r="B51" s="752"/>
      <c r="C51" s="28"/>
      <c r="D51" s="28"/>
      <c r="E51" s="28"/>
      <c r="F51" s="28"/>
      <c r="G51" s="110">
        <f t="shared" si="20"/>
        <v>0</v>
      </c>
      <c r="H51" s="121"/>
      <c r="I51" s="857" t="s">
        <v>129</v>
      </c>
      <c r="J51" s="197" t="s">
        <v>36</v>
      </c>
      <c r="K51" s="860"/>
      <c r="L51" s="860"/>
      <c r="M51" s="211"/>
      <c r="N51" s="224">
        <v>2400</v>
      </c>
      <c r="O51" s="133"/>
      <c r="P51" s="910"/>
      <c r="Q51" s="906" t="s">
        <v>163</v>
      </c>
      <c r="R51" s="228"/>
      <c r="S51" s="199"/>
      <c r="T51" s="227"/>
      <c r="U51" s="199"/>
      <c r="V51" s="207"/>
    </row>
    <row r="52" spans="2:22" ht="15.4" customHeight="1" x14ac:dyDescent="0.15">
      <c r="B52" s="752"/>
      <c r="C52" s="28"/>
      <c r="D52" s="28"/>
      <c r="E52" s="28"/>
      <c r="F52" s="28"/>
      <c r="G52" s="110">
        <f t="shared" si="20"/>
        <v>0</v>
      </c>
      <c r="H52" s="121"/>
      <c r="I52" s="858"/>
      <c r="J52" s="199"/>
      <c r="K52" s="861"/>
      <c r="L52" s="862"/>
      <c r="M52" s="212"/>
      <c r="N52" s="207"/>
      <c r="O52" s="133"/>
      <c r="P52" s="910"/>
      <c r="Q52" s="907"/>
      <c r="R52" s="228"/>
      <c r="S52" s="199"/>
      <c r="T52" s="227"/>
      <c r="U52" s="199"/>
      <c r="V52" s="207"/>
    </row>
    <row r="53" spans="2:22" ht="14.25" thickBot="1" x14ac:dyDescent="0.2">
      <c r="B53" s="875"/>
      <c r="C53" s="113" t="s">
        <v>84</v>
      </c>
      <c r="D53" s="114"/>
      <c r="E53" s="114"/>
      <c r="F53" s="114"/>
      <c r="G53" s="115">
        <f>SUM(G50:G52)</f>
        <v>215100</v>
      </c>
      <c r="I53" s="858"/>
      <c r="J53" s="199"/>
      <c r="K53" s="861"/>
      <c r="L53" s="862"/>
      <c r="M53" s="212"/>
      <c r="N53" s="207"/>
      <c r="O53" s="133"/>
      <c r="P53" s="910"/>
      <c r="Q53" s="907"/>
      <c r="R53" s="228"/>
      <c r="S53" s="199"/>
      <c r="T53" s="199"/>
      <c r="U53" s="118"/>
      <c r="V53" s="229"/>
    </row>
    <row r="54" spans="2:22" ht="14.25" thickTop="1" x14ac:dyDescent="0.15">
      <c r="B54" s="876"/>
      <c r="C54" s="28"/>
      <c r="D54" s="28"/>
      <c r="E54" s="34"/>
      <c r="F54" s="28"/>
      <c r="G54" s="110">
        <f>D54*F54</f>
        <v>0</v>
      </c>
      <c r="I54" s="858"/>
      <c r="J54" s="192"/>
      <c r="K54" s="863"/>
      <c r="L54" s="864"/>
      <c r="M54" s="212"/>
      <c r="N54" s="207"/>
      <c r="O54" s="133"/>
      <c r="P54" s="910"/>
      <c r="Q54" s="907"/>
      <c r="R54" s="228"/>
      <c r="S54" s="199"/>
      <c r="T54" s="227"/>
      <c r="U54" s="199"/>
      <c r="V54" s="207"/>
    </row>
    <row r="55" spans="2:22" x14ac:dyDescent="0.15">
      <c r="B55" s="752"/>
      <c r="C55" s="334"/>
      <c r="D55" s="334"/>
      <c r="E55" s="335"/>
      <c r="F55" s="334"/>
      <c r="G55" s="336">
        <f>D55*F55</f>
        <v>0</v>
      </c>
      <c r="I55" s="858"/>
      <c r="J55" s="199"/>
      <c r="K55" s="861"/>
      <c r="L55" s="862"/>
      <c r="M55" s="212"/>
      <c r="N55" s="225"/>
      <c r="O55" s="133"/>
      <c r="P55" s="910"/>
      <c r="Q55" s="908"/>
      <c r="R55" s="228"/>
      <c r="S55" s="199"/>
      <c r="T55" s="199"/>
      <c r="U55" s="118"/>
      <c r="V55" s="229"/>
    </row>
    <row r="56" spans="2:22" ht="14.25" thickBot="1" x14ac:dyDescent="0.2">
      <c r="B56" s="886"/>
      <c r="C56" s="113" t="s">
        <v>84</v>
      </c>
      <c r="D56" s="114"/>
      <c r="E56" s="114"/>
      <c r="F56" s="114"/>
      <c r="G56" s="115">
        <f>SUM(G54:G55)</f>
        <v>0</v>
      </c>
      <c r="I56" s="859"/>
      <c r="J56" s="201" t="s">
        <v>84</v>
      </c>
      <c r="K56" s="865"/>
      <c r="L56" s="866"/>
      <c r="M56" s="202"/>
      <c r="N56" s="204">
        <f>SUM(N51:N55)</f>
        <v>2400</v>
      </c>
      <c r="O56" s="133"/>
      <c r="P56" s="911"/>
      <c r="Q56" s="232" t="s">
        <v>135</v>
      </c>
      <c r="R56" s="233"/>
      <c r="S56" s="233"/>
      <c r="T56" s="233"/>
      <c r="U56" s="233"/>
      <c r="V56" s="234">
        <f>SUM(V51:V55)</f>
        <v>0</v>
      </c>
    </row>
    <row r="57" spans="2:22" ht="15" thickTop="1" thickBot="1" x14ac:dyDescent="0.2">
      <c r="B57" s="884" t="s">
        <v>208</v>
      </c>
      <c r="C57" s="885"/>
      <c r="D57" s="116"/>
      <c r="E57" s="116"/>
      <c r="F57" s="116"/>
      <c r="G57" s="117">
        <f>G38+G49+G53+G56</f>
        <v>7154790.5999999996</v>
      </c>
      <c r="I57" s="888" t="s">
        <v>130</v>
      </c>
      <c r="J57" s="889"/>
      <c r="K57" s="871"/>
      <c r="L57" s="872"/>
      <c r="M57" s="140"/>
      <c r="N57" s="205">
        <f>SUM(N42,N46,N50,N56)</f>
        <v>64694.200000000004</v>
      </c>
      <c r="O57" s="133"/>
      <c r="P57" s="904" t="s">
        <v>130</v>
      </c>
      <c r="Q57" s="905"/>
      <c r="R57" s="230"/>
      <c r="S57" s="230"/>
      <c r="T57" s="230"/>
      <c r="U57" s="230"/>
      <c r="V57" s="231">
        <f>SUM(V44,V50,V56)</f>
        <v>1113029</v>
      </c>
    </row>
    <row r="58" spans="2:22" x14ac:dyDescent="0.15">
      <c r="O58" s="133"/>
      <c r="V58" s="29"/>
    </row>
    <row r="59" spans="2:22" x14ac:dyDescent="0.15">
      <c r="I59" s="133"/>
      <c r="J59" s="133"/>
      <c r="K59" s="133"/>
      <c r="L59" s="133"/>
      <c r="M59" s="133"/>
      <c r="N59" s="133"/>
      <c r="O59" s="133"/>
    </row>
    <row r="60" spans="2:22" x14ac:dyDescent="0.15">
      <c r="I60" s="133"/>
      <c r="J60" s="133"/>
      <c r="K60" s="133"/>
      <c r="L60" s="133"/>
      <c r="M60" s="133"/>
      <c r="N60" s="133"/>
      <c r="O60" s="133"/>
    </row>
    <row r="61" spans="2:22" x14ac:dyDescent="0.15">
      <c r="I61" s="133"/>
      <c r="J61" s="133"/>
      <c r="K61" s="133"/>
      <c r="L61" s="133"/>
      <c r="M61" s="133"/>
      <c r="N61" s="133"/>
      <c r="O61" s="133"/>
    </row>
    <row r="62" spans="2:22" x14ac:dyDescent="0.15">
      <c r="I62" s="133"/>
      <c r="J62" s="133"/>
      <c r="K62" s="133"/>
      <c r="L62" s="133"/>
      <c r="M62" s="133"/>
      <c r="N62" s="133"/>
      <c r="O62" s="133"/>
    </row>
    <row r="63" spans="2:22" x14ac:dyDescent="0.15">
      <c r="I63" s="133"/>
      <c r="J63" s="133"/>
      <c r="K63" s="133"/>
      <c r="L63" s="133"/>
      <c r="M63" s="133"/>
      <c r="N63" s="133"/>
      <c r="O63" s="133"/>
    </row>
    <row r="64" spans="2:22" x14ac:dyDescent="0.15">
      <c r="I64" s="133"/>
      <c r="J64" s="133"/>
      <c r="K64" s="133"/>
      <c r="L64" s="133"/>
      <c r="M64" s="133"/>
      <c r="N64" s="133"/>
      <c r="O64" s="133"/>
    </row>
    <row r="65" spans="9:15" x14ac:dyDescent="0.15">
      <c r="I65" s="133"/>
      <c r="J65" s="133"/>
      <c r="K65" s="133"/>
      <c r="L65" s="133"/>
      <c r="M65" s="133"/>
      <c r="N65" s="133"/>
      <c r="O65" s="133"/>
    </row>
    <row r="66" spans="9:15" x14ac:dyDescent="0.15">
      <c r="I66" s="133"/>
      <c r="J66" s="133"/>
      <c r="K66" s="133"/>
      <c r="L66" s="133"/>
      <c r="M66" s="133"/>
      <c r="N66" s="133"/>
      <c r="O66" s="133"/>
    </row>
    <row r="67" spans="9:15" x14ac:dyDescent="0.15">
      <c r="I67" s="133"/>
      <c r="J67" s="133"/>
      <c r="K67" s="133"/>
      <c r="L67" s="133"/>
      <c r="M67" s="133"/>
      <c r="N67" s="133"/>
      <c r="O67" s="133"/>
    </row>
    <row r="68" spans="9:15" x14ac:dyDescent="0.15">
      <c r="I68" s="133"/>
      <c r="J68" s="133"/>
      <c r="K68" s="133"/>
      <c r="L68" s="133"/>
      <c r="M68" s="133"/>
      <c r="N68" s="133"/>
      <c r="O68" s="133"/>
    </row>
    <row r="69" spans="9:15" x14ac:dyDescent="0.15">
      <c r="I69" s="133"/>
      <c r="J69" s="133"/>
      <c r="K69" s="133"/>
      <c r="L69" s="133"/>
      <c r="M69" s="133"/>
      <c r="N69" s="133"/>
      <c r="O69" s="133"/>
    </row>
    <row r="70" spans="9:15" x14ac:dyDescent="0.15">
      <c r="I70" s="133"/>
      <c r="J70" s="133"/>
      <c r="K70" s="133"/>
      <c r="L70" s="133"/>
      <c r="M70" s="133"/>
      <c r="N70" s="133"/>
      <c r="O70" s="133"/>
    </row>
    <row r="71" spans="9:15" x14ac:dyDescent="0.15">
      <c r="I71" s="133"/>
      <c r="J71" s="133"/>
      <c r="K71" s="133"/>
      <c r="L71" s="133"/>
      <c r="M71" s="133"/>
      <c r="N71" s="133"/>
      <c r="O71" s="133"/>
    </row>
    <row r="72" spans="9:15" x14ac:dyDescent="0.15">
      <c r="I72" s="133"/>
      <c r="J72" s="133"/>
      <c r="K72" s="133"/>
      <c r="L72" s="133"/>
      <c r="M72" s="133"/>
      <c r="N72" s="133"/>
      <c r="O72" s="133"/>
    </row>
    <row r="73" spans="9:15" x14ac:dyDescent="0.15">
      <c r="I73" s="133"/>
      <c r="J73" s="133"/>
      <c r="K73" s="133"/>
      <c r="L73" s="133"/>
      <c r="M73" s="133"/>
      <c r="N73" s="133"/>
      <c r="O73" s="133"/>
    </row>
    <row r="74" spans="9:15" x14ac:dyDescent="0.15">
      <c r="I74" s="133"/>
      <c r="J74" s="133"/>
      <c r="K74" s="133"/>
      <c r="L74" s="133"/>
      <c r="M74" s="133"/>
      <c r="N74" s="133"/>
      <c r="O74" s="133"/>
    </row>
    <row r="75" spans="9:15" x14ac:dyDescent="0.15">
      <c r="I75" s="133"/>
      <c r="J75" s="133"/>
      <c r="K75" s="133"/>
      <c r="L75" s="133"/>
      <c r="M75" s="133"/>
      <c r="N75" s="133"/>
      <c r="O75" s="133"/>
    </row>
    <row r="76" spans="9:15" x14ac:dyDescent="0.15">
      <c r="I76" s="133"/>
      <c r="J76" s="133"/>
      <c r="K76" s="133"/>
      <c r="L76" s="133"/>
      <c r="M76" s="133"/>
      <c r="N76" s="133"/>
      <c r="O76" s="133"/>
    </row>
    <row r="77" spans="9:15" x14ac:dyDescent="0.15">
      <c r="I77" s="133"/>
      <c r="J77" s="133"/>
      <c r="K77" s="133"/>
      <c r="L77" s="133"/>
      <c r="M77" s="133"/>
      <c r="N77" s="133"/>
      <c r="O77" s="133"/>
    </row>
    <row r="78" spans="9:15" x14ac:dyDescent="0.15">
      <c r="I78" s="133"/>
      <c r="J78" s="133"/>
      <c r="K78" s="133"/>
      <c r="L78" s="133"/>
      <c r="M78" s="133"/>
      <c r="N78" s="133"/>
      <c r="O78" s="133"/>
    </row>
    <row r="79" spans="9:15" x14ac:dyDescent="0.15">
      <c r="I79" s="133"/>
      <c r="J79" s="133"/>
      <c r="K79" s="133"/>
      <c r="L79" s="133"/>
      <c r="M79" s="133"/>
      <c r="N79" s="133"/>
      <c r="O79" s="133"/>
    </row>
    <row r="80" spans="9:15" x14ac:dyDescent="0.15">
      <c r="I80" s="133"/>
      <c r="J80" s="133"/>
      <c r="K80" s="133"/>
      <c r="L80" s="133"/>
      <c r="M80" s="133"/>
      <c r="N80" s="133"/>
      <c r="O80" s="133"/>
    </row>
    <row r="81" spans="2:15" x14ac:dyDescent="0.15">
      <c r="I81" s="133"/>
      <c r="J81" s="133"/>
      <c r="K81" s="133"/>
      <c r="L81" s="133"/>
      <c r="M81" s="133"/>
      <c r="N81" s="133"/>
      <c r="O81" s="133"/>
    </row>
    <row r="82" spans="2:15" x14ac:dyDescent="0.15">
      <c r="I82" s="133"/>
      <c r="J82" s="133"/>
      <c r="K82" s="133"/>
      <c r="L82" s="133"/>
      <c r="M82" s="133"/>
      <c r="N82" s="133"/>
      <c r="O82" s="133"/>
    </row>
    <row r="83" spans="2:15" x14ac:dyDescent="0.15">
      <c r="B83" s="120"/>
      <c r="C83" s="121"/>
      <c r="D83" s="121"/>
      <c r="E83" s="121"/>
      <c r="F83" s="121"/>
      <c r="I83" s="133"/>
      <c r="J83" s="133"/>
      <c r="K83" s="133"/>
      <c r="L83" s="133"/>
      <c r="M83" s="133"/>
      <c r="N83" s="133"/>
      <c r="O83" s="133"/>
    </row>
    <row r="84" spans="2:15" x14ac:dyDescent="0.15">
      <c r="B84" s="120"/>
      <c r="C84" s="121"/>
      <c r="D84" s="121"/>
      <c r="E84" s="121"/>
      <c r="F84" s="121"/>
      <c r="I84" s="133"/>
      <c r="J84" s="133"/>
      <c r="K84" s="133"/>
      <c r="L84" s="133"/>
      <c r="M84" s="133"/>
      <c r="N84" s="133"/>
      <c r="O84" s="133"/>
    </row>
    <row r="85" spans="2:15" x14ac:dyDescent="0.15">
      <c r="I85" s="133"/>
      <c r="J85" s="133"/>
      <c r="K85" s="133"/>
      <c r="L85" s="133"/>
      <c r="M85" s="133"/>
      <c r="N85" s="133"/>
      <c r="O85" s="133"/>
    </row>
    <row r="86" spans="2:15" x14ac:dyDescent="0.15">
      <c r="I86" s="133"/>
      <c r="J86" s="133"/>
      <c r="K86" s="133"/>
      <c r="L86" s="133"/>
      <c r="M86" s="133"/>
      <c r="N86" s="133"/>
      <c r="O86" s="133"/>
    </row>
    <row r="87" spans="2:15" x14ac:dyDescent="0.15">
      <c r="I87" s="133"/>
      <c r="J87" s="133"/>
      <c r="K87" s="133"/>
      <c r="L87" s="133"/>
      <c r="M87" s="133"/>
      <c r="N87" s="133"/>
      <c r="O87" s="133"/>
    </row>
    <row r="88" spans="2:15" x14ac:dyDescent="0.15">
      <c r="I88" s="133"/>
      <c r="J88" s="133"/>
      <c r="K88" s="133"/>
      <c r="L88" s="133"/>
      <c r="M88" s="133"/>
      <c r="N88" s="133"/>
      <c r="O88" s="133"/>
    </row>
    <row r="89" spans="2:15" x14ac:dyDescent="0.15">
      <c r="I89" s="133"/>
      <c r="J89" s="133"/>
      <c r="K89" s="133"/>
      <c r="L89" s="133"/>
      <c r="M89" s="133"/>
      <c r="N89" s="133"/>
      <c r="O89" s="133"/>
    </row>
    <row r="90" spans="2:15" x14ac:dyDescent="0.15">
      <c r="I90" s="133"/>
      <c r="J90" s="133"/>
      <c r="K90" s="133"/>
      <c r="L90" s="133"/>
      <c r="M90" s="133"/>
      <c r="N90" s="133"/>
      <c r="O90" s="133"/>
    </row>
    <row r="91" spans="2:15" x14ac:dyDescent="0.15">
      <c r="I91" s="133"/>
      <c r="J91" s="133"/>
      <c r="K91" s="133"/>
      <c r="L91" s="133"/>
      <c r="M91" s="133"/>
      <c r="N91" s="133"/>
      <c r="O91" s="133"/>
    </row>
    <row r="92" spans="2:15" x14ac:dyDescent="0.15">
      <c r="I92" s="133"/>
      <c r="J92" s="133"/>
      <c r="K92" s="133"/>
      <c r="L92" s="133"/>
      <c r="M92" s="133"/>
      <c r="N92" s="133"/>
      <c r="O92" s="133"/>
    </row>
    <row r="93" spans="2:15" x14ac:dyDescent="0.15">
      <c r="I93" s="133"/>
      <c r="J93" s="133"/>
      <c r="K93" s="133"/>
      <c r="L93" s="133"/>
      <c r="M93" s="133"/>
      <c r="N93" s="133"/>
      <c r="O93" s="133"/>
    </row>
    <row r="94" spans="2:15" x14ac:dyDescent="0.15">
      <c r="I94" s="133"/>
      <c r="J94" s="133"/>
      <c r="K94" s="133"/>
      <c r="L94" s="133"/>
      <c r="M94" s="133"/>
      <c r="N94" s="133"/>
      <c r="O94" s="133"/>
    </row>
    <row r="95" spans="2:15" x14ac:dyDescent="0.15">
      <c r="I95" s="133"/>
      <c r="J95" s="133"/>
      <c r="K95" s="133"/>
      <c r="L95" s="133"/>
      <c r="M95" s="133"/>
      <c r="N95" s="133"/>
      <c r="O95" s="133"/>
    </row>
    <row r="96" spans="2:15" x14ac:dyDescent="0.15">
      <c r="I96" s="133"/>
      <c r="J96" s="133"/>
      <c r="K96" s="133"/>
      <c r="L96" s="133"/>
      <c r="M96" s="133"/>
      <c r="N96" s="133"/>
      <c r="O96" s="133"/>
    </row>
    <row r="97" spans="9:15" x14ac:dyDescent="0.15">
      <c r="I97" s="133"/>
      <c r="J97" s="133"/>
      <c r="K97" s="133"/>
      <c r="L97" s="133"/>
      <c r="M97" s="133"/>
      <c r="N97" s="133"/>
      <c r="O97" s="133"/>
    </row>
    <row r="98" spans="9:15" x14ac:dyDescent="0.15">
      <c r="I98" s="133"/>
      <c r="J98" s="133"/>
      <c r="K98" s="133"/>
      <c r="L98" s="133"/>
      <c r="M98" s="133"/>
      <c r="N98" s="133"/>
      <c r="O98" s="133"/>
    </row>
    <row r="99" spans="9:15" x14ac:dyDescent="0.15">
      <c r="I99" s="133"/>
      <c r="J99" s="133"/>
      <c r="K99" s="133"/>
      <c r="L99" s="133"/>
      <c r="M99" s="133"/>
      <c r="N99" s="133"/>
      <c r="O99" s="133"/>
    </row>
    <row r="100" spans="9:15" x14ac:dyDescent="0.15">
      <c r="I100" s="133"/>
      <c r="J100" s="133"/>
      <c r="K100" s="133"/>
      <c r="L100" s="133"/>
      <c r="M100" s="133"/>
      <c r="N100" s="133"/>
      <c r="O100" s="133"/>
    </row>
    <row r="101" spans="9:15" x14ac:dyDescent="0.15">
      <c r="I101" s="133"/>
      <c r="J101" s="133"/>
      <c r="K101" s="133"/>
      <c r="L101" s="133"/>
      <c r="M101" s="133"/>
      <c r="N101" s="133"/>
      <c r="O101" s="133"/>
    </row>
    <row r="102" spans="9:15" x14ac:dyDescent="0.15">
      <c r="I102" s="133"/>
      <c r="J102" s="133"/>
      <c r="K102" s="133"/>
      <c r="L102" s="133"/>
      <c r="M102" s="133"/>
      <c r="N102" s="133"/>
      <c r="O102" s="133"/>
    </row>
    <row r="103" spans="9:15" x14ac:dyDescent="0.15">
      <c r="I103" s="133"/>
      <c r="J103" s="133"/>
      <c r="K103" s="133"/>
      <c r="L103" s="133"/>
      <c r="M103" s="133"/>
      <c r="N103" s="133"/>
      <c r="O103" s="133"/>
    </row>
    <row r="104" spans="9:15" x14ac:dyDescent="0.15">
      <c r="I104" s="133"/>
      <c r="J104" s="133"/>
      <c r="K104" s="133"/>
      <c r="L104" s="133"/>
      <c r="M104" s="133"/>
      <c r="N104" s="133"/>
      <c r="O104" s="133"/>
    </row>
    <row r="105" spans="9:15" x14ac:dyDescent="0.15">
      <c r="I105" s="133"/>
      <c r="J105" s="133"/>
      <c r="K105" s="133"/>
      <c r="L105" s="133"/>
      <c r="M105" s="133"/>
      <c r="N105" s="133"/>
      <c r="O105" s="133"/>
    </row>
    <row r="106" spans="9:15" x14ac:dyDescent="0.15">
      <c r="I106" s="133"/>
      <c r="J106" s="133"/>
      <c r="K106" s="133"/>
      <c r="L106" s="133"/>
      <c r="M106" s="133"/>
      <c r="N106" s="133"/>
      <c r="O106" s="133"/>
    </row>
    <row r="107" spans="9:15" x14ac:dyDescent="0.15">
      <c r="I107" s="133"/>
      <c r="J107" s="133"/>
      <c r="K107" s="133"/>
      <c r="L107" s="133"/>
      <c r="M107" s="133"/>
      <c r="N107" s="133"/>
      <c r="O107" s="133"/>
    </row>
    <row r="108" spans="9:15" x14ac:dyDescent="0.15">
      <c r="I108" s="133"/>
      <c r="J108" s="133"/>
      <c r="K108" s="133"/>
      <c r="L108" s="133"/>
      <c r="M108" s="133"/>
      <c r="N108" s="133"/>
      <c r="O108" s="133"/>
    </row>
    <row r="109" spans="9:15" x14ac:dyDescent="0.15">
      <c r="I109" s="133"/>
      <c r="J109" s="133"/>
      <c r="K109" s="133"/>
      <c r="L109" s="133"/>
      <c r="M109" s="133"/>
      <c r="N109" s="133"/>
      <c r="O109" s="133"/>
    </row>
    <row r="110" spans="9:15" x14ac:dyDescent="0.15">
      <c r="I110" s="133"/>
      <c r="J110" s="133"/>
      <c r="K110" s="133"/>
      <c r="L110" s="133"/>
      <c r="M110" s="133"/>
      <c r="N110" s="133"/>
      <c r="O110" s="133"/>
    </row>
    <row r="111" spans="9:15" x14ac:dyDescent="0.15">
      <c r="I111" s="133"/>
      <c r="J111" s="133"/>
      <c r="K111" s="133"/>
      <c r="L111" s="133"/>
      <c r="M111" s="133"/>
      <c r="N111" s="133"/>
      <c r="O111" s="133"/>
    </row>
    <row r="112" spans="9:15" x14ac:dyDescent="0.15">
      <c r="I112" s="133"/>
      <c r="J112" s="133"/>
      <c r="K112" s="133"/>
      <c r="L112" s="133"/>
      <c r="M112" s="133"/>
      <c r="N112" s="133"/>
      <c r="O112" s="133"/>
    </row>
    <row r="113" spans="9:15" x14ac:dyDescent="0.15">
      <c r="I113" s="133"/>
      <c r="J113" s="133"/>
      <c r="K113" s="133"/>
      <c r="L113" s="133"/>
      <c r="M113" s="133"/>
      <c r="N113" s="133"/>
      <c r="O113" s="133"/>
    </row>
    <row r="114" spans="9:15" x14ac:dyDescent="0.15">
      <c r="I114" s="133"/>
      <c r="J114" s="133"/>
      <c r="K114" s="133"/>
      <c r="L114" s="133"/>
      <c r="M114" s="133"/>
      <c r="N114" s="133"/>
      <c r="O114" s="133"/>
    </row>
    <row r="115" spans="9:15" x14ac:dyDescent="0.15">
      <c r="I115" s="133"/>
      <c r="J115" s="133"/>
      <c r="K115" s="133"/>
      <c r="L115" s="133"/>
      <c r="M115" s="133"/>
      <c r="N115" s="133"/>
      <c r="O115" s="133"/>
    </row>
    <row r="116" spans="9:15" x14ac:dyDescent="0.15">
      <c r="I116" s="133"/>
      <c r="J116" s="133"/>
      <c r="K116" s="133"/>
      <c r="L116" s="133"/>
      <c r="M116" s="133"/>
      <c r="N116" s="133"/>
      <c r="O116" s="133"/>
    </row>
    <row r="117" spans="9:15" x14ac:dyDescent="0.15">
      <c r="I117" s="133"/>
      <c r="J117" s="133"/>
      <c r="K117" s="133"/>
      <c r="L117" s="133"/>
      <c r="M117" s="133"/>
      <c r="N117" s="133"/>
      <c r="O117" s="133"/>
    </row>
    <row r="118" spans="9:15" x14ac:dyDescent="0.15">
      <c r="I118" s="133"/>
      <c r="J118" s="133"/>
      <c r="K118" s="133"/>
      <c r="L118" s="133"/>
      <c r="M118" s="133"/>
      <c r="N118" s="133"/>
      <c r="O118" s="133"/>
    </row>
    <row r="119" spans="9:15" x14ac:dyDescent="0.15">
      <c r="I119" s="133"/>
      <c r="J119" s="133"/>
      <c r="K119" s="133"/>
      <c r="L119" s="133"/>
      <c r="M119" s="133"/>
      <c r="N119" s="133"/>
      <c r="O119" s="133"/>
    </row>
    <row r="120" spans="9:15" x14ac:dyDescent="0.15">
      <c r="I120" s="133"/>
      <c r="J120" s="133"/>
      <c r="K120" s="133"/>
      <c r="L120" s="133"/>
      <c r="M120" s="133"/>
      <c r="N120" s="133"/>
      <c r="O120" s="133"/>
    </row>
    <row r="121" spans="9:15" x14ac:dyDescent="0.15">
      <c r="I121" s="133"/>
      <c r="J121" s="133"/>
      <c r="K121" s="133"/>
      <c r="L121" s="133"/>
      <c r="M121" s="133"/>
      <c r="N121" s="133"/>
      <c r="O121" s="133"/>
    </row>
    <row r="122" spans="9:15" x14ac:dyDescent="0.15">
      <c r="I122" s="133"/>
      <c r="J122" s="133"/>
      <c r="K122" s="133"/>
      <c r="L122" s="133"/>
      <c r="M122" s="133"/>
      <c r="N122" s="133"/>
      <c r="O122" s="133"/>
    </row>
    <row r="123" spans="9:15" x14ac:dyDescent="0.15">
      <c r="I123" s="133"/>
      <c r="J123" s="133"/>
      <c r="K123" s="133"/>
      <c r="L123" s="133"/>
      <c r="M123" s="133"/>
      <c r="N123" s="133"/>
      <c r="O123" s="133"/>
    </row>
    <row r="124" spans="9:15" x14ac:dyDescent="0.15">
      <c r="I124" s="133"/>
      <c r="J124" s="133"/>
      <c r="K124" s="133"/>
      <c r="L124" s="133"/>
      <c r="M124" s="133"/>
      <c r="N124" s="133"/>
      <c r="O124" s="133"/>
    </row>
    <row r="125" spans="9:15" x14ac:dyDescent="0.15">
      <c r="I125" s="133"/>
      <c r="J125" s="133"/>
      <c r="K125" s="133"/>
      <c r="L125" s="133"/>
      <c r="M125" s="133"/>
      <c r="N125" s="133"/>
      <c r="O125" s="133"/>
    </row>
    <row r="126" spans="9:15" x14ac:dyDescent="0.15">
      <c r="I126" s="133"/>
      <c r="J126" s="133"/>
      <c r="K126" s="133"/>
      <c r="L126" s="133"/>
      <c r="M126" s="133"/>
      <c r="N126" s="133"/>
      <c r="O126" s="133"/>
    </row>
    <row r="127" spans="9:15" x14ac:dyDescent="0.15">
      <c r="I127" s="133"/>
      <c r="J127" s="133"/>
      <c r="K127" s="133"/>
      <c r="L127" s="133"/>
      <c r="M127" s="133"/>
      <c r="N127" s="133"/>
      <c r="O127" s="133"/>
    </row>
    <row r="128" spans="9:15" x14ac:dyDescent="0.15">
      <c r="I128" s="133"/>
      <c r="J128" s="133"/>
      <c r="K128" s="133"/>
      <c r="L128" s="133"/>
      <c r="M128" s="133"/>
      <c r="N128" s="133"/>
      <c r="O128" s="133"/>
    </row>
    <row r="129" spans="9:15" x14ac:dyDescent="0.15">
      <c r="I129" s="133"/>
      <c r="J129" s="133"/>
      <c r="K129" s="133"/>
      <c r="L129" s="133"/>
      <c r="M129" s="133"/>
      <c r="N129" s="133"/>
      <c r="O129" s="133"/>
    </row>
    <row r="130" spans="9:15" x14ac:dyDescent="0.15">
      <c r="I130" s="133"/>
      <c r="J130" s="133"/>
      <c r="K130" s="133"/>
      <c r="L130" s="133"/>
      <c r="M130" s="133"/>
      <c r="N130" s="133"/>
      <c r="O130" s="133"/>
    </row>
    <row r="131" spans="9:15" x14ac:dyDescent="0.15">
      <c r="I131" s="133"/>
      <c r="J131" s="133"/>
      <c r="K131" s="133"/>
      <c r="L131" s="133"/>
      <c r="M131" s="133"/>
      <c r="N131" s="133"/>
      <c r="O131" s="133"/>
    </row>
    <row r="132" spans="9:15" x14ac:dyDescent="0.15">
      <c r="I132" s="133"/>
      <c r="J132" s="133"/>
      <c r="K132" s="133"/>
      <c r="L132" s="133"/>
      <c r="M132" s="133"/>
      <c r="N132" s="133"/>
      <c r="O132" s="133"/>
    </row>
    <row r="133" spans="9:15" x14ac:dyDescent="0.15">
      <c r="I133" s="133"/>
      <c r="J133" s="133"/>
      <c r="K133" s="133"/>
      <c r="L133" s="133"/>
      <c r="M133" s="133"/>
      <c r="N133" s="133"/>
      <c r="O133" s="133"/>
    </row>
    <row r="134" spans="9:15" x14ac:dyDescent="0.15">
      <c r="I134" s="133"/>
      <c r="J134" s="133"/>
      <c r="K134" s="133"/>
      <c r="L134" s="133"/>
      <c r="M134" s="133"/>
      <c r="N134" s="133"/>
      <c r="O134" s="133"/>
    </row>
    <row r="135" spans="9:15" x14ac:dyDescent="0.15">
      <c r="I135" s="133"/>
      <c r="J135" s="133"/>
      <c r="K135" s="133"/>
      <c r="L135" s="133"/>
      <c r="M135" s="133"/>
      <c r="N135" s="133"/>
      <c r="O135" s="133"/>
    </row>
    <row r="136" spans="9:15" x14ac:dyDescent="0.15">
      <c r="I136" s="133"/>
      <c r="J136" s="133"/>
      <c r="K136" s="133"/>
      <c r="L136" s="133"/>
      <c r="M136" s="133"/>
      <c r="N136" s="133"/>
      <c r="O136" s="133"/>
    </row>
    <row r="137" spans="9:15" x14ac:dyDescent="0.15">
      <c r="I137" s="133"/>
      <c r="J137" s="133"/>
      <c r="K137" s="133"/>
      <c r="L137" s="133"/>
      <c r="M137" s="133"/>
      <c r="N137" s="133"/>
      <c r="O137" s="133"/>
    </row>
    <row r="138" spans="9:15" x14ac:dyDescent="0.15">
      <c r="I138" s="133"/>
      <c r="J138" s="133"/>
      <c r="K138" s="133"/>
      <c r="L138" s="133"/>
      <c r="M138" s="133"/>
      <c r="N138" s="133"/>
      <c r="O138" s="133"/>
    </row>
    <row r="139" spans="9:15" x14ac:dyDescent="0.15">
      <c r="I139" s="133"/>
      <c r="J139" s="133"/>
      <c r="K139" s="133"/>
      <c r="L139" s="133"/>
      <c r="M139" s="133"/>
      <c r="N139" s="133"/>
    </row>
    <row r="140" spans="9:15" x14ac:dyDescent="0.15">
      <c r="I140" s="133"/>
      <c r="J140" s="133"/>
      <c r="K140" s="133"/>
      <c r="L140" s="133"/>
      <c r="M140" s="133"/>
      <c r="N140" s="133"/>
    </row>
    <row r="141" spans="9:15" x14ac:dyDescent="0.15">
      <c r="I141" s="133"/>
      <c r="J141" s="133"/>
      <c r="K141" s="133"/>
      <c r="L141" s="133"/>
      <c r="M141" s="133"/>
      <c r="N141" s="133"/>
    </row>
    <row r="142" spans="9:15" x14ac:dyDescent="0.15">
      <c r="I142" s="133"/>
      <c r="J142" s="133"/>
      <c r="K142" s="133"/>
      <c r="L142" s="133"/>
      <c r="M142" s="133"/>
      <c r="N142" s="133"/>
    </row>
    <row r="143" spans="9:15" x14ac:dyDescent="0.15">
      <c r="I143" s="133"/>
      <c r="J143" s="133"/>
      <c r="K143" s="133"/>
      <c r="L143" s="133"/>
      <c r="M143" s="133"/>
      <c r="N143" s="133"/>
    </row>
    <row r="144" spans="9:15" x14ac:dyDescent="0.15">
      <c r="I144" s="133"/>
      <c r="J144" s="133"/>
      <c r="K144" s="133"/>
      <c r="L144" s="133"/>
      <c r="M144" s="133"/>
      <c r="N144" s="133"/>
    </row>
    <row r="145" spans="9:14" x14ac:dyDescent="0.15">
      <c r="I145" s="133"/>
      <c r="J145" s="133"/>
      <c r="K145" s="133"/>
      <c r="L145" s="133"/>
      <c r="M145" s="133"/>
      <c r="N145" s="133"/>
    </row>
    <row r="146" spans="9:14" x14ac:dyDescent="0.15">
      <c r="I146" s="133"/>
      <c r="J146" s="133"/>
      <c r="K146" s="133"/>
      <c r="L146" s="133"/>
      <c r="M146" s="133"/>
      <c r="N146" s="133"/>
    </row>
    <row r="147" spans="9:14" x14ac:dyDescent="0.15">
      <c r="I147" s="133"/>
      <c r="J147" s="133"/>
      <c r="K147" s="133"/>
      <c r="L147" s="133"/>
      <c r="M147" s="133"/>
      <c r="N147" s="133"/>
    </row>
    <row r="148" spans="9:14" x14ac:dyDescent="0.15">
      <c r="I148" s="133"/>
      <c r="J148" s="133"/>
      <c r="K148" s="133"/>
      <c r="L148" s="133"/>
      <c r="M148" s="133"/>
      <c r="N148" s="133"/>
    </row>
    <row r="149" spans="9:14" x14ac:dyDescent="0.15">
      <c r="I149" s="133"/>
      <c r="J149" s="133"/>
      <c r="K149" s="133"/>
      <c r="L149" s="133"/>
      <c r="M149" s="133"/>
      <c r="N149" s="133"/>
    </row>
    <row r="150" spans="9:14" x14ac:dyDescent="0.15">
      <c r="I150" s="133"/>
      <c r="J150" s="133"/>
      <c r="K150" s="133"/>
      <c r="L150" s="133"/>
      <c r="M150" s="133"/>
      <c r="N150" s="133"/>
    </row>
    <row r="151" spans="9:14" x14ac:dyDescent="0.15">
      <c r="I151" s="133"/>
      <c r="J151" s="133"/>
      <c r="K151" s="133"/>
      <c r="L151" s="133"/>
      <c r="M151" s="133"/>
      <c r="N151" s="133"/>
    </row>
    <row r="152" spans="9:14" x14ac:dyDescent="0.15">
      <c r="I152" s="133"/>
      <c r="J152" s="133"/>
      <c r="K152" s="133"/>
      <c r="L152" s="133"/>
      <c r="M152" s="133"/>
      <c r="N152" s="133"/>
    </row>
    <row r="153" spans="9:14" x14ac:dyDescent="0.15">
      <c r="I153" s="133"/>
      <c r="J153" s="133"/>
      <c r="K153" s="133"/>
      <c r="L153" s="133"/>
      <c r="M153" s="133"/>
      <c r="N153" s="133"/>
    </row>
    <row r="154" spans="9:14" x14ac:dyDescent="0.15">
      <c r="I154" s="133"/>
      <c r="J154" s="133"/>
      <c r="K154" s="133"/>
      <c r="L154" s="133"/>
      <c r="M154" s="133"/>
      <c r="N154" s="133"/>
    </row>
    <row r="155" spans="9:14" x14ac:dyDescent="0.15">
      <c r="J155" s="133"/>
      <c r="K155" s="133"/>
      <c r="L155" s="133"/>
      <c r="M155" s="133"/>
      <c r="N155" s="133"/>
    </row>
    <row r="156" spans="9:14" x14ac:dyDescent="0.15">
      <c r="J156" s="133"/>
      <c r="K156" s="133"/>
      <c r="L156" s="133"/>
      <c r="M156" s="133"/>
      <c r="N156" s="133"/>
    </row>
    <row r="172" spans="15:15" x14ac:dyDescent="0.15">
      <c r="O172" s="133"/>
    </row>
    <row r="173" spans="15:15" x14ac:dyDescent="0.15">
      <c r="O173" s="133"/>
    </row>
    <row r="174" spans="15:15" x14ac:dyDescent="0.15">
      <c r="O174" s="133"/>
    </row>
    <row r="175" spans="15:15" x14ac:dyDescent="0.15">
      <c r="O175" s="133"/>
    </row>
    <row r="176" spans="15:15" x14ac:dyDescent="0.15">
      <c r="O176" s="133"/>
    </row>
    <row r="177" spans="15:15" x14ac:dyDescent="0.15">
      <c r="O177" s="133"/>
    </row>
    <row r="178" spans="15:15" x14ac:dyDescent="0.15">
      <c r="O178" s="133"/>
    </row>
    <row r="179" spans="15:15" x14ac:dyDescent="0.15">
      <c r="O179" s="133"/>
    </row>
    <row r="180" spans="15:15" x14ac:dyDescent="0.15">
      <c r="O180" s="133"/>
    </row>
    <row r="181" spans="15:15" x14ac:dyDescent="0.15">
      <c r="O181" s="133"/>
    </row>
    <row r="182" spans="15:15" x14ac:dyDescent="0.15">
      <c r="O182" s="133"/>
    </row>
    <row r="183" spans="15:15" x14ac:dyDescent="0.15">
      <c r="O183" s="133"/>
    </row>
    <row r="184" spans="15:15" x14ac:dyDescent="0.15">
      <c r="O184" s="133"/>
    </row>
    <row r="185" spans="15:15" x14ac:dyDescent="0.15">
      <c r="O185" s="133"/>
    </row>
    <row r="186" spans="15:15" x14ac:dyDescent="0.15">
      <c r="O186" s="133"/>
    </row>
    <row r="187" spans="15:15" x14ac:dyDescent="0.15">
      <c r="O187" s="133"/>
    </row>
    <row r="188" spans="15:15" x14ac:dyDescent="0.15">
      <c r="O188" s="133"/>
    </row>
    <row r="189" spans="15:15" x14ac:dyDescent="0.15">
      <c r="O189" s="133"/>
    </row>
    <row r="190" spans="15:15" x14ac:dyDescent="0.15">
      <c r="O190" s="133"/>
    </row>
    <row r="191" spans="15:15" x14ac:dyDescent="0.15">
      <c r="O191" s="133"/>
    </row>
  </sheetData>
  <mergeCells count="73">
    <mergeCell ref="P57:Q57"/>
    <mergeCell ref="Q45:Q49"/>
    <mergeCell ref="Q51:Q55"/>
    <mergeCell ref="P45:P56"/>
    <mergeCell ref="P38:P44"/>
    <mergeCell ref="T13:U13"/>
    <mergeCell ref="M4:M5"/>
    <mergeCell ref="N4:N5"/>
    <mergeCell ref="J4:J5"/>
    <mergeCell ref="I4:I5"/>
    <mergeCell ref="T4:U4"/>
    <mergeCell ref="T5:U5"/>
    <mergeCell ref="T6:U6"/>
    <mergeCell ref="T7:U7"/>
    <mergeCell ref="T8:U8"/>
    <mergeCell ref="T9:U9"/>
    <mergeCell ref="T10:U10"/>
    <mergeCell ref="T11:U11"/>
    <mergeCell ref="T12:U12"/>
    <mergeCell ref="I6:I10"/>
    <mergeCell ref="I11:I15"/>
    <mergeCell ref="T14:U14"/>
    <mergeCell ref="T15:U15"/>
    <mergeCell ref="T18:U18"/>
    <mergeCell ref="T19:U19"/>
    <mergeCell ref="T20:U20"/>
    <mergeCell ref="T16:U16"/>
    <mergeCell ref="T17:U17"/>
    <mergeCell ref="B57:C57"/>
    <mergeCell ref="B54:B56"/>
    <mergeCell ref="I16:I19"/>
    <mergeCell ref="I20:I23"/>
    <mergeCell ref="I28:I31"/>
    <mergeCell ref="I24:I27"/>
    <mergeCell ref="B50:B53"/>
    <mergeCell ref="B39:B49"/>
    <mergeCell ref="I57:J57"/>
    <mergeCell ref="I35:I42"/>
    <mergeCell ref="B5:B7"/>
    <mergeCell ref="B8:B11"/>
    <mergeCell ref="B12:B16"/>
    <mergeCell ref="B17:B20"/>
    <mergeCell ref="B28:B38"/>
    <mergeCell ref="B24:C24"/>
    <mergeCell ref="B21:B23"/>
    <mergeCell ref="K45:L45"/>
    <mergeCell ref="K46:L46"/>
    <mergeCell ref="K57:L57"/>
    <mergeCell ref="K34:L34"/>
    <mergeCell ref="K35:L35"/>
    <mergeCell ref="K36:L36"/>
    <mergeCell ref="K39:L39"/>
    <mergeCell ref="K40:L40"/>
    <mergeCell ref="K41:L41"/>
    <mergeCell ref="K37:L37"/>
    <mergeCell ref="K38:L38"/>
    <mergeCell ref="K42:L42"/>
    <mergeCell ref="Q37:R37"/>
    <mergeCell ref="I51:I56"/>
    <mergeCell ref="K51:L51"/>
    <mergeCell ref="K52:L52"/>
    <mergeCell ref="K53:L53"/>
    <mergeCell ref="K54:L54"/>
    <mergeCell ref="K55:L55"/>
    <mergeCell ref="K56:L56"/>
    <mergeCell ref="K50:L50"/>
    <mergeCell ref="K47:L47"/>
    <mergeCell ref="K48:L48"/>
    <mergeCell ref="K49:L49"/>
    <mergeCell ref="I43:I46"/>
    <mergeCell ref="I47:I50"/>
    <mergeCell ref="K43:L43"/>
    <mergeCell ref="K44:L44"/>
  </mergeCells>
  <phoneticPr fontId="4"/>
  <pageMargins left="0.78740157480314965" right="0.78740157480314965" top="0.78740157480314965" bottom="0.78740157480314965" header="0.39370078740157483" footer="0.39370078740157483"/>
  <pageSetup paperSize="9" scale="60" orientation="landscape" horizontalDpi="4294967293" verticalDpi="300" r:id="rId1"/>
  <headerFooter alignWithMargins="0"/>
  <ignoredErrors>
    <ignoredError sqref="G4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１　対象経営の概要，２　前提条件 (2)</vt:lpstr>
      <vt:lpstr>３－１　標準技術 (採草) </vt:lpstr>
      <vt:lpstr>３－２　標準技術 (放牧)</vt:lpstr>
      <vt:lpstr>３－３　標準技術（稲ワラ） </vt:lpstr>
      <vt:lpstr>４　経営収支</vt:lpstr>
      <vt:lpstr>５　作業時間計</vt:lpstr>
      <vt:lpstr>６　固定資本装備と減価償却費 </vt:lpstr>
      <vt:lpstr>７　収支</vt:lpstr>
      <vt:lpstr>８　算出基礎</vt:lpstr>
      <vt:lpstr>'４　経営収支'!Print_Area</vt:lpstr>
      <vt:lpstr>'５　作業時間計'!Print_Area</vt:lpstr>
      <vt:lpstr>'６　固定資本装備と減価償却費 '!Print_Area</vt:lpstr>
      <vt:lpstr>'７　収支'!Print_Area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金谷新作</dc:creator>
  <cp:lastModifiedBy>広島県</cp:lastModifiedBy>
  <cp:lastPrinted>2015-03-03T09:37:10Z</cp:lastPrinted>
  <dcterms:created xsi:type="dcterms:W3CDTF">2005-02-26T02:20:11Z</dcterms:created>
  <dcterms:modified xsi:type="dcterms:W3CDTF">2015-03-25T06:14:06Z</dcterms:modified>
</cp:coreProperties>
</file>