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4030" windowHeight="4995" tabRatio="881"/>
  </bookViews>
  <sheets>
    <sheet name="１　対象経営の概要，２　前提条件" sheetId="19" r:id="rId1"/>
    <sheet name="３　標準技術" sheetId="24" r:id="rId2"/>
    <sheet name="４　経営収支(50a)" sheetId="22" r:id="rId3"/>
    <sheet name="５　作業別旬別作業時間" sheetId="27" r:id="rId4"/>
    <sheet name="６　固定資本装備と減価償却費" sheetId="30" r:id="rId5"/>
    <sheet name="７　トルコギキョウ部門収支" sheetId="35" r:id="rId6"/>
    <sheet name="８　経費算出基礎" sheetId="36" r:id="rId7"/>
    <sheet name="９　単価算出基礎" sheetId="42" r:id="rId8"/>
  </sheets>
  <externalReferences>
    <externalReference r:id="rId9"/>
  </externalReference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経営収支(50a)'!$A$1:$P$38</definedName>
    <definedName name="_xlnm.Print_Area" localSheetId="3">'５　作業別旬別作業時間'!$A$1:$AN$54</definedName>
    <definedName name="_xlnm.Print_Area" localSheetId="4">'６　固定資本装備と減価償却費'!$1:$44</definedName>
    <definedName name="_xlnm.Print_Area" localSheetId="5">'７　トルコギキョウ部門収支'!$A$1:$S$45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K37" i="22" l="1"/>
  <c r="AN48" i="27"/>
  <c r="AN49" i="27"/>
  <c r="AN51" i="27"/>
  <c r="D52" i="27"/>
  <c r="E52" i="27"/>
  <c r="F52" i="27"/>
  <c r="F53" i="27" s="1"/>
  <c r="G52" i="27"/>
  <c r="D53" i="27"/>
  <c r="E53" i="27"/>
  <c r="G53" i="27"/>
  <c r="AN54" i="27" l="1"/>
  <c r="F22" i="35" l="1"/>
  <c r="L5" i="30"/>
  <c r="P5" i="30"/>
  <c r="F14" i="35" l="1"/>
  <c r="F13" i="35"/>
  <c r="P18" i="30"/>
  <c r="P19" i="30"/>
  <c r="L17" i="30"/>
  <c r="P17" i="30" s="1"/>
  <c r="P16" i="30"/>
  <c r="L16" i="30"/>
  <c r="L15" i="30"/>
  <c r="P15" i="30" s="1"/>
  <c r="L14" i="30"/>
  <c r="P14" i="30" s="1"/>
  <c r="L13" i="30"/>
  <c r="P13" i="30" s="1"/>
  <c r="P9" i="30"/>
  <c r="L9" i="30"/>
  <c r="L8" i="30"/>
  <c r="P8" i="30" s="1"/>
  <c r="E8" i="30"/>
  <c r="L7" i="30"/>
  <c r="P7" i="30" s="1"/>
  <c r="L6" i="30"/>
  <c r="P6" i="30" s="1"/>
  <c r="F28" i="35"/>
  <c r="F26" i="35"/>
  <c r="F21" i="35"/>
  <c r="F16" i="35"/>
  <c r="F15" i="35"/>
  <c r="P32" i="35"/>
  <c r="P31" i="35"/>
  <c r="P30" i="35"/>
  <c r="P25" i="35"/>
  <c r="P24" i="35"/>
  <c r="P28" i="35" s="1"/>
  <c r="P19" i="35"/>
  <c r="P18" i="35"/>
  <c r="P17" i="35"/>
  <c r="M10" i="35"/>
  <c r="N10" i="35" s="1"/>
  <c r="M9" i="35"/>
  <c r="N9" i="35" s="1"/>
  <c r="N8" i="35"/>
  <c r="M8" i="35"/>
  <c r="M7" i="35"/>
  <c r="N7" i="35" s="1"/>
  <c r="M6" i="35"/>
  <c r="N6" i="35" s="1"/>
  <c r="M5" i="35"/>
  <c r="N5" i="35" s="1"/>
  <c r="V27" i="36"/>
  <c r="V26" i="36"/>
  <c r="V25" i="36"/>
  <c r="V24" i="36"/>
  <c r="V11" i="36"/>
  <c r="V10" i="36"/>
  <c r="V9" i="36"/>
  <c r="V8" i="36"/>
  <c r="V7" i="36"/>
  <c r="V6" i="36"/>
  <c r="V5" i="36"/>
  <c r="V20" i="36" s="1"/>
  <c r="N58" i="36"/>
  <c r="N35" i="36"/>
  <c r="N30" i="36"/>
  <c r="N29" i="36"/>
  <c r="N28" i="36"/>
  <c r="N20" i="36"/>
  <c r="N13" i="36"/>
  <c r="N12" i="36"/>
  <c r="N11" i="36"/>
  <c r="D42" i="36"/>
  <c r="D41" i="36"/>
  <c r="D40" i="36"/>
  <c r="D39" i="36"/>
  <c r="D29" i="36"/>
  <c r="D28" i="36"/>
  <c r="O19" i="42"/>
  <c r="O18" i="42"/>
  <c r="O17" i="42"/>
  <c r="O16" i="42"/>
  <c r="O15" i="42"/>
  <c r="O10" i="42"/>
  <c r="O9" i="42"/>
  <c r="O8" i="42"/>
  <c r="O7" i="42"/>
  <c r="O6" i="42"/>
  <c r="N31" i="36" l="1"/>
  <c r="H22" i="22" l="1"/>
  <c r="I22" i="22"/>
  <c r="H7" i="22"/>
  <c r="I7" i="22"/>
  <c r="G24" i="22"/>
  <c r="F24" i="22" s="1"/>
  <c r="G26" i="22"/>
  <c r="F26" i="22" s="1"/>
  <c r="G27" i="22"/>
  <c r="F27" i="22" s="1"/>
  <c r="G29" i="22"/>
  <c r="F29" i="22" s="1"/>
  <c r="G14" i="22"/>
  <c r="F14" i="22" s="1"/>
  <c r="G15" i="22"/>
  <c r="F15" i="22" s="1"/>
  <c r="G16" i="22"/>
  <c r="F16" i="22" s="1"/>
  <c r="G17" i="22"/>
  <c r="F17" i="22" s="1"/>
  <c r="G18" i="22"/>
  <c r="F18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23" i="22"/>
  <c r="F23" i="22" s="1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7" i="36" l="1"/>
  <c r="N50" i="36"/>
  <c r="N46" i="36"/>
  <c r="N56" i="36"/>
  <c r="V56" i="36"/>
  <c r="V50" i="36"/>
  <c r="V44" i="36"/>
  <c r="V57" i="36" l="1"/>
  <c r="N42" i="36"/>
  <c r="N57" i="36" s="1"/>
  <c r="N60" i="36" s="1"/>
  <c r="P10" i="30"/>
  <c r="AM52" i="27" l="1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33" i="22"/>
  <c r="G19" i="36"/>
  <c r="G18" i="36"/>
  <c r="L31" i="36"/>
  <c r="K31" i="36"/>
  <c r="L23" i="36"/>
  <c r="K23" i="36"/>
  <c r="L19" i="36"/>
  <c r="K19" i="36"/>
  <c r="N22" i="36"/>
  <c r="N21" i="36"/>
  <c r="N18" i="36"/>
  <c r="N17" i="36"/>
  <c r="N16" i="36"/>
  <c r="L15" i="36"/>
  <c r="K15" i="36"/>
  <c r="L10" i="36"/>
  <c r="K10" i="36"/>
  <c r="N14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8" i="36"/>
  <c r="G6" i="36"/>
  <c r="G5" i="36"/>
  <c r="P11" i="35"/>
  <c r="P15" i="35"/>
  <c r="G56" i="36"/>
  <c r="G55" i="36"/>
  <c r="G54" i="36"/>
  <c r="G52" i="36"/>
  <c r="G51" i="36"/>
  <c r="G50" i="36"/>
  <c r="G48" i="36"/>
  <c r="G40" i="36"/>
  <c r="G39" i="36"/>
  <c r="G49" i="36" s="1"/>
  <c r="G37" i="36"/>
  <c r="G36" i="36"/>
  <c r="G30" i="36"/>
  <c r="G29" i="36"/>
  <c r="G28" i="36"/>
  <c r="N11" i="35"/>
  <c r="P27" i="30"/>
  <c r="P26" i="30"/>
  <c r="P20" i="30"/>
  <c r="P36" i="30"/>
  <c r="G43" i="30"/>
  <c r="P42" i="30"/>
  <c r="P41" i="30"/>
  <c r="P40" i="30"/>
  <c r="G38" i="30"/>
  <c r="P35" i="30"/>
  <c r="P34" i="30"/>
  <c r="P33" i="30"/>
  <c r="P30" i="30"/>
  <c r="P29" i="30"/>
  <c r="P28" i="30"/>
  <c r="P25" i="30"/>
  <c r="P21" i="30"/>
  <c r="G12" i="30"/>
  <c r="P11" i="30"/>
  <c r="AN35" i="27"/>
  <c r="AN36" i="27"/>
  <c r="AN27" i="27"/>
  <c r="AN28" i="27"/>
  <c r="AN29" i="27"/>
  <c r="AN30" i="27"/>
  <c r="AN31" i="27"/>
  <c r="AN32" i="27"/>
  <c r="AN33" i="27"/>
  <c r="AN34" i="27"/>
  <c r="AN12" i="27"/>
  <c r="AM37" i="27"/>
  <c r="AM46" i="27" s="1"/>
  <c r="AL37" i="27"/>
  <c r="AL46" i="27" s="1"/>
  <c r="AK37" i="27"/>
  <c r="AK46" i="27" s="1"/>
  <c r="AJ37" i="27"/>
  <c r="AJ46" i="27" s="1"/>
  <c r="AI37" i="27"/>
  <c r="AI46" i="27" s="1"/>
  <c r="AH37" i="27"/>
  <c r="AH46" i="27" s="1"/>
  <c r="AG37" i="27"/>
  <c r="AG46" i="27" s="1"/>
  <c r="AF37" i="27"/>
  <c r="AF46" i="27" s="1"/>
  <c r="AE37" i="27"/>
  <c r="AE46" i="27" s="1"/>
  <c r="AD37" i="27"/>
  <c r="AD46" i="27" s="1"/>
  <c r="AC37" i="27"/>
  <c r="AC46" i="27" s="1"/>
  <c r="AB37" i="27"/>
  <c r="AB46" i="27" s="1"/>
  <c r="AA37" i="27"/>
  <c r="AA46" i="27" s="1"/>
  <c r="Z37" i="27"/>
  <c r="Z46" i="27" s="1"/>
  <c r="Y37" i="27"/>
  <c r="Y46" i="27" s="1"/>
  <c r="X37" i="27"/>
  <c r="X46" i="27" s="1"/>
  <c r="W37" i="27"/>
  <c r="W46" i="27" s="1"/>
  <c r="V37" i="27"/>
  <c r="V46" i="27" s="1"/>
  <c r="U37" i="27"/>
  <c r="U46" i="27" s="1"/>
  <c r="T37" i="27"/>
  <c r="T46" i="27" s="1"/>
  <c r="S37" i="27"/>
  <c r="S46" i="27" s="1"/>
  <c r="R37" i="27"/>
  <c r="R46" i="27" s="1"/>
  <c r="Q37" i="27"/>
  <c r="Q46" i="27" s="1"/>
  <c r="P37" i="27"/>
  <c r="P46" i="27" s="1"/>
  <c r="O37" i="27"/>
  <c r="O46" i="27" s="1"/>
  <c r="N37" i="27"/>
  <c r="N46" i="27" s="1"/>
  <c r="M37" i="27"/>
  <c r="M46" i="27" s="1"/>
  <c r="L37" i="27"/>
  <c r="L46" i="27" s="1"/>
  <c r="K37" i="27"/>
  <c r="K46" i="27" s="1"/>
  <c r="J37" i="27"/>
  <c r="J46" i="27" s="1"/>
  <c r="I37" i="27"/>
  <c r="I46" i="27" s="1"/>
  <c r="H37" i="27"/>
  <c r="H46" i="27" s="1"/>
  <c r="G37" i="27"/>
  <c r="G46" i="27" s="1"/>
  <c r="F37" i="27"/>
  <c r="F46" i="27" s="1"/>
  <c r="E37" i="27"/>
  <c r="E46" i="27" s="1"/>
  <c r="D37" i="27"/>
  <c r="D46" i="27" s="1"/>
  <c r="AN26" i="27"/>
  <c r="AN25" i="27"/>
  <c r="AN24" i="27"/>
  <c r="AN23" i="27"/>
  <c r="AN22" i="27"/>
  <c r="AN21" i="27"/>
  <c r="AN20" i="27"/>
  <c r="AN19" i="27"/>
  <c r="AN18" i="27"/>
  <c r="AN17" i="27"/>
  <c r="AN16" i="27"/>
  <c r="AN15" i="27"/>
  <c r="AN14" i="27"/>
  <c r="AN13" i="27"/>
  <c r="AB53" i="27" l="1"/>
  <c r="AA53" i="27"/>
  <c r="I12" i="30"/>
  <c r="G16" i="36"/>
  <c r="N23" i="36"/>
  <c r="L12" i="30"/>
  <c r="F6" i="35"/>
  <c r="F33" i="22"/>
  <c r="N37" i="22"/>
  <c r="I43" i="30"/>
  <c r="S53" i="27"/>
  <c r="K53" i="27"/>
  <c r="O53" i="27"/>
  <c r="W53" i="27"/>
  <c r="AE53" i="27"/>
  <c r="AI53" i="27"/>
  <c r="AM53" i="27"/>
  <c r="N53" i="27"/>
  <c r="V53" i="27"/>
  <c r="AD53" i="27"/>
  <c r="AH53" i="27"/>
  <c r="M53" i="27"/>
  <c r="U53" i="27"/>
  <c r="Y53" i="27"/>
  <c r="AG53" i="27"/>
  <c r="AK53" i="27"/>
  <c r="J53" i="27"/>
  <c r="R53" i="27"/>
  <c r="Z53" i="27"/>
  <c r="AL53" i="27"/>
  <c r="I53" i="27"/>
  <c r="Q53" i="27"/>
  <c r="AC53" i="27"/>
  <c r="T53" i="27"/>
  <c r="AF53" i="27"/>
  <c r="X53" i="27"/>
  <c r="P53" i="27"/>
  <c r="H53" i="27"/>
  <c r="L53" i="27"/>
  <c r="AJ53" i="27"/>
  <c r="AN52" i="27"/>
  <c r="K38" i="27"/>
  <c r="H38" i="27"/>
  <c r="G20" i="36"/>
  <c r="R11" i="35"/>
  <c r="F4" i="35" s="1"/>
  <c r="F23" i="35" s="1"/>
  <c r="N15" i="36"/>
  <c r="V34" i="36"/>
  <c r="F11" i="35" s="1"/>
  <c r="G13" i="22" s="1"/>
  <c r="F13" i="22" s="1"/>
  <c r="N19" i="36"/>
  <c r="N10" i="36"/>
  <c r="G7" i="36"/>
  <c r="G11" i="36"/>
  <c r="G24" i="36"/>
  <c r="G53" i="36"/>
  <c r="F10" i="35"/>
  <c r="G12" i="22" s="1"/>
  <c r="F12" i="22" s="1"/>
  <c r="G57" i="36"/>
  <c r="G38" i="36"/>
  <c r="I38" i="30"/>
  <c r="G44" i="30"/>
  <c r="P37" i="30"/>
  <c r="P32" i="30"/>
  <c r="P23" i="30"/>
  <c r="P24" i="30"/>
  <c r="P31" i="30"/>
  <c r="AN37" i="27"/>
  <c r="T38" i="27"/>
  <c r="T47" i="27" s="1"/>
  <c r="AF38" i="27"/>
  <c r="AF47" i="27" s="1"/>
  <c r="W38" i="27"/>
  <c r="W47" i="27" s="1"/>
  <c r="AI38" i="27"/>
  <c r="AI47" i="27" s="1"/>
  <c r="AL38" i="27"/>
  <c r="AL47" i="27" s="1"/>
  <c r="AN38" i="27"/>
  <c r="E38" i="27"/>
  <c r="E47" i="27" s="1"/>
  <c r="Q38" i="27"/>
  <c r="Q47" i="27" s="1"/>
  <c r="AC38" i="27"/>
  <c r="AC47" i="27" s="1"/>
  <c r="N38" i="27"/>
  <c r="N47" i="27" s="1"/>
  <c r="Z38" i="27"/>
  <c r="Z47" i="27" s="1"/>
  <c r="G25" i="22" l="1"/>
  <c r="F25" i="22" s="1"/>
  <c r="F30" i="35"/>
  <c r="F29" i="35"/>
  <c r="AN53" i="27"/>
  <c r="G8" i="22"/>
  <c r="F8" i="22" s="1"/>
  <c r="G5" i="22"/>
  <c r="F5" i="22" s="1"/>
  <c r="P12" i="30"/>
  <c r="G28" i="22"/>
  <c r="F28" i="22" s="1"/>
  <c r="K47" i="27"/>
  <c r="H47" i="27"/>
  <c r="AN46" i="27"/>
  <c r="P37" i="35"/>
  <c r="F9" i="35" s="1"/>
  <c r="G11" i="22" s="1"/>
  <c r="F11" i="22" s="1"/>
  <c r="P22" i="35"/>
  <c r="F7" i="35" s="1"/>
  <c r="G9" i="22" s="1"/>
  <c r="F9" i="22" s="1"/>
  <c r="F8" i="35"/>
  <c r="G10" i="22" s="1"/>
  <c r="F10" i="22" s="1"/>
  <c r="Q11" i="35"/>
  <c r="I44" i="30"/>
  <c r="P22" i="30"/>
  <c r="P38" i="30" s="1"/>
  <c r="L38" i="30"/>
  <c r="L43" i="30"/>
  <c r="P39" i="30"/>
  <c r="P43" i="30" s="1"/>
  <c r="G19" i="22" l="1"/>
  <c r="F19" i="22" s="1"/>
  <c r="F20" i="35"/>
  <c r="L44" i="30"/>
  <c r="AN47" i="27"/>
  <c r="G37" i="22" s="1"/>
  <c r="F37" i="22" s="1"/>
  <c r="G31" i="22" l="1"/>
  <c r="F31" i="22" s="1"/>
  <c r="G30" i="22"/>
  <c r="F30" i="22" s="1"/>
  <c r="P44" i="30"/>
  <c r="G7" i="22"/>
  <c r="F32" i="22" l="1"/>
  <c r="F7" i="22"/>
  <c r="G32" i="22" l="1"/>
  <c r="G21" i="22"/>
  <c r="F21" i="22" s="1"/>
  <c r="F22" i="22" s="1"/>
  <c r="F34" i="22" s="1"/>
  <c r="F35" i="22" s="1"/>
  <c r="F36" i="22" l="1"/>
  <c r="F38" i="22"/>
  <c r="G22" i="22"/>
  <c r="G34" i="22" s="1"/>
  <c r="G35" i="22" s="1"/>
  <c r="G38" i="22" l="1"/>
  <c r="G36" i="22"/>
</calcChain>
</file>

<file path=xl/sharedStrings.xml><?xml version="1.0" encoding="utf-8"?>
<sst xmlns="http://schemas.openxmlformats.org/spreadsheetml/2006/main" count="961" uniqueCount="439">
  <si>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</si>
  <si>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</si>
  <si>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</si>
  <si>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</si>
  <si>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</si>
  <si>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</si>
  <si>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</si>
  <si>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</si>
  <si>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</si>
  <si>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</si>
  <si>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</si>
  <si>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</si>
  <si>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</si>
  <si>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</si>
  <si>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</si>
  <si>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</si>
  <si>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</si>
  <si>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</si>
  <si>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</si>
  <si>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</si>
  <si>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</si>
  <si>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</si>
  <si>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</si>
  <si>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</si>
  <si>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</si>
  <si>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</si>
  <si>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</si>
  <si>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</si>
  <si>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</si>
  <si>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</si>
  <si>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</si>
  <si>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</si>
  <si>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</si>
  <si>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</si>
  <si>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</si>
  <si>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</si>
  <si>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</si>
  <si>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</si>
  <si>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</si>
  <si>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</si>
  <si>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</si>
  <si>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</si>
  <si>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</si>
  <si>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</si>
  <si>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</si>
  <si>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</si>
  <si>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</si>
  <si>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</si>
  <si>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</si>
  <si>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</si>
  <si>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</si>
  <si>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</si>
  <si>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</si>
  <si>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</si>
  <si>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</si>
  <si>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</si>
  <si>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</si>
  <si>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</si>
  <si>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</si>
  <si>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</si>
  <si>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</si>
  <si>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</si>
  <si>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</si>
  <si>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</si>
  <si>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</si>
  <si>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</si>
  <si>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</si>
  <si>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</si>
  <si>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</si>
  <si>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</si>
  <si>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</si>
  <si>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</si>
  <si>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</si>
  <si>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</si>
  <si>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</si>
  <si>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</si>
  <si>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</si>
  <si>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</si>
  <si>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</si>
  <si>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</si>
  <si>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</si>
  <si>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</si>
  <si>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</si>
  <si>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</si>
  <si>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</si>
  <si>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</si>
  <si>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</si>
  <si>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</si>
  <si>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</si>
  <si>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</si>
  <si>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</si>
  <si>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</si>
  <si>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</si>
  <si>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</si>
  <si>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○○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</si>
  <si>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</si>
  <si>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</si>
  <si>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</si>
  <si>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</si>
  <si>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</si>
  <si>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</si>
  <si>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</si>
  <si>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</si>
  <si>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</si>
  <si>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</si>
  <si>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</si>
  <si>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</si>
  <si>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</si>
  <si>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</si>
  <si>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</si>
  <si>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</si>
  <si>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</si>
  <si>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</si>
  <si>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</si>
  <si>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</si>
  <si>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</si>
  <si>
    <t>小計</t>
  </si>
  <si>
    <t>燃料費の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</si>
  <si>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</si>
  <si>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</si>
  <si>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</si>
  <si>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</si>
  <si>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</si>
  <si>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</si>
  <si>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</si>
  <si>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</si>
  <si>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</si>
  <si>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</si>
  <si>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</si>
  <si>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</si>
  <si>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</si>
  <si>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</si>
  <si>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</si>
  <si>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</si>
  <si>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</si>
  <si>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</si>
  <si>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</si>
  <si>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</si>
  <si>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</si>
  <si>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</si>
  <si>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</si>
  <si>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</si>
  <si>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</si>
  <si>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</si>
  <si>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</si>
  <si>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</si>
  <si>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</si>
  <si>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</si>
  <si>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</si>
  <si>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</si>
  <si>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</si>
  <si>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</si>
  <si>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</si>
  <si>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</si>
  <si>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</si>
  <si>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</si>
  <si>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</si>
  <si>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</si>
  <si>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</si>
  <si>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</si>
  <si>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</si>
  <si>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</si>
  <si>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</si>
  <si>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</si>
  <si>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</si>
  <si>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</si>
  <si>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</si>
  <si>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</si>
  <si>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</si>
  <si>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</si>
  <si>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</si>
  <si>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○○共済</t>
    <rPh sb="2" eb="4">
      <t>キョウサイ</t>
    </rPh>
    <phoneticPr fontId="4"/>
  </si>
  <si>
    <t>◇◇共済</t>
    <rPh sb="2" eb="4">
      <t>キョウサイ</t>
    </rPh>
    <phoneticPr fontId="4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</si>
  <si>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</si>
  <si>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</si>
  <si>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</si>
  <si>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</si>
  <si>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</si>
  <si>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</si>
  <si>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</si>
  <si>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</si>
  <si>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</si>
  <si>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</si>
  <si>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</si>
  <si>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</si>
  <si>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</si>
  <si>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</si>
  <si>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</si>
  <si>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</si>
  <si>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</si>
  <si>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</si>
  <si>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</si>
  <si>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</si>
  <si>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</si>
  <si>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</si>
  <si>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</si>
  <si>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</si>
  <si>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</si>
  <si>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</si>
  <si>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</si>
  <si>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月別平均価格の推移</t>
  </si>
  <si>
    <t>（全産地）</t>
    <phoneticPr fontId="4"/>
  </si>
  <si>
    <t>平均</t>
  </si>
  <si>
    <t>平　　均</t>
  </si>
  <si>
    <t>㎡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</si>
  <si>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</si>
  <si>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</si>
  <si>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</si>
  <si>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</si>
  <si>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</si>
  <si>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</si>
  <si>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</si>
  <si>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</si>
  <si>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</si>
  <si>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</si>
  <si>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</si>
  <si>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</si>
  <si>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</si>
  <si>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</si>
  <si>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</si>
  <si>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</si>
  <si>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</si>
  <si>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</si>
  <si>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</si>
  <si>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</si>
  <si>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</si>
  <si>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</si>
  <si>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</si>
  <si>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</si>
  <si>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</si>
  <si>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</si>
  <si>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</si>
  <si>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</si>
  <si>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</si>
  <si>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</si>
  <si>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</si>
  <si>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</si>
  <si>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</si>
  <si>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</si>
  <si>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</si>
  <si>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</si>
  <si>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９　単価の算出基礎（○○，1kg当たり）</t>
    <rPh sb="2" eb="4">
      <t>タンカ</t>
    </rPh>
    <phoneticPr fontId="4"/>
  </si>
  <si>
    <t>10a機械</t>
    <phoneticPr fontId="4"/>
  </si>
  <si>
    <t>ℓ・kw／時</t>
    <rPh sb="5" eb="6">
      <t>ジ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</si>
  <si>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</si>
  <si>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</si>
  <si>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</si>
  <si>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３　標準技術（トルコギキョウ）</t>
    <rPh sb="2" eb="4">
      <t>ヒョウジュン</t>
    </rPh>
    <rPh sb="4" eb="6">
      <t>ギジュツ</t>
    </rPh>
    <phoneticPr fontId="4"/>
  </si>
  <si>
    <t>トルコギキョウ</t>
    <phoneticPr fontId="4"/>
  </si>
  <si>
    <t>圃場準備・後片付け</t>
    <rPh sb="0" eb="1">
      <t>ホ</t>
    </rPh>
    <rPh sb="1" eb="2">
      <t>バ</t>
    </rPh>
    <rPh sb="2" eb="4">
      <t>ジュンビ</t>
    </rPh>
    <rPh sb="5" eb="8">
      <t>アトカタヅ</t>
    </rPh>
    <phoneticPr fontId="4"/>
  </si>
  <si>
    <t>定植</t>
    <rPh sb="0" eb="2">
      <t>テイショク</t>
    </rPh>
    <phoneticPr fontId="4"/>
  </si>
  <si>
    <t>追肥</t>
    <rPh sb="0" eb="2">
      <t>ツイヒ</t>
    </rPh>
    <phoneticPr fontId="4"/>
  </si>
  <si>
    <t>管理</t>
    <rPh sb="0" eb="2">
      <t>カンリ</t>
    </rPh>
    <phoneticPr fontId="4"/>
  </si>
  <si>
    <t>収穫</t>
    <rPh sb="0" eb="2">
      <t>シュウカク</t>
    </rPh>
    <phoneticPr fontId="4"/>
  </si>
  <si>
    <t>病害虫防除</t>
    <rPh sb="0" eb="3">
      <t>ビョウガイチュウ</t>
    </rPh>
    <rPh sb="3" eb="5">
      <t>ボウジョ</t>
    </rPh>
    <phoneticPr fontId="4"/>
  </si>
  <si>
    <t>育苗</t>
    <rPh sb="0" eb="1">
      <t>イク</t>
    </rPh>
    <rPh sb="1" eb="2">
      <t>ナエ</t>
    </rPh>
    <phoneticPr fontId="4"/>
  </si>
  <si>
    <t>土壌消毒
堆肥，土壌改良資材を事前に混和・基肥施用後，耕起，畝立て
畝が十分湿っている状態でマルチ張り
支柱，ﾌﾗﾜｰﾈｯﾄの設置</t>
    <rPh sb="0" eb="2">
      <t>ドジョウ</t>
    </rPh>
    <rPh sb="2" eb="4">
      <t>ショウドク</t>
    </rPh>
    <rPh sb="5" eb="7">
      <t>タイヒ</t>
    </rPh>
    <rPh sb="8" eb="10">
      <t>ドジョウ</t>
    </rPh>
    <rPh sb="10" eb="12">
      <t>カイリョウ</t>
    </rPh>
    <rPh sb="12" eb="14">
      <t>シザイ</t>
    </rPh>
    <rPh sb="15" eb="17">
      <t>ジゼン</t>
    </rPh>
    <rPh sb="18" eb="20">
      <t>コンワ</t>
    </rPh>
    <rPh sb="21" eb="22">
      <t>モト</t>
    </rPh>
    <rPh sb="22" eb="23">
      <t>コエ</t>
    </rPh>
    <rPh sb="23" eb="25">
      <t>セヨウ</t>
    </rPh>
    <rPh sb="25" eb="26">
      <t>ゴ</t>
    </rPh>
    <rPh sb="27" eb="28">
      <t>タガヤ</t>
    </rPh>
    <rPh sb="28" eb="29">
      <t>オ</t>
    </rPh>
    <rPh sb="30" eb="31">
      <t>ウネ</t>
    </rPh>
    <rPh sb="31" eb="32">
      <t>タ</t>
    </rPh>
    <rPh sb="34" eb="35">
      <t>ウネ</t>
    </rPh>
    <rPh sb="36" eb="38">
      <t>ジュウブン</t>
    </rPh>
    <rPh sb="38" eb="39">
      <t>シメ</t>
    </rPh>
    <rPh sb="43" eb="45">
      <t>ジョウタイ</t>
    </rPh>
    <rPh sb="49" eb="50">
      <t>ハ</t>
    </rPh>
    <rPh sb="52" eb="54">
      <t>シチュウ</t>
    </rPh>
    <rPh sb="63" eb="65">
      <t>セッチ</t>
    </rPh>
    <phoneticPr fontId="4"/>
  </si>
  <si>
    <t>出荷規格に従い，選花，結束，箱詰め</t>
    <rPh sb="0" eb="2">
      <t>シュッカ</t>
    </rPh>
    <rPh sb="2" eb="4">
      <t>キカク</t>
    </rPh>
    <rPh sb="5" eb="6">
      <t>シタガ</t>
    </rPh>
    <rPh sb="8" eb="9">
      <t>エラ</t>
    </rPh>
    <rPh sb="9" eb="10">
      <t>ハナ</t>
    </rPh>
    <rPh sb="11" eb="13">
      <t>ケッソク</t>
    </rPh>
    <rPh sb="14" eb="16">
      <t>ハコヅ</t>
    </rPh>
    <phoneticPr fontId="4"/>
  </si>
  <si>
    <t>定期的な予防散布の徹底
（灰色かび病，夜蛾類等）</t>
    <rPh sb="0" eb="3">
      <t>テイキテキ</t>
    </rPh>
    <rPh sb="4" eb="6">
      <t>ヨボウ</t>
    </rPh>
    <rPh sb="6" eb="8">
      <t>サンプ</t>
    </rPh>
    <rPh sb="9" eb="11">
      <t>テッテイ</t>
    </rPh>
    <rPh sb="13" eb="15">
      <t>ハイイロ</t>
    </rPh>
    <rPh sb="17" eb="18">
      <t>ビョウ</t>
    </rPh>
    <rPh sb="19" eb="20">
      <t>ヨル</t>
    </rPh>
    <rPh sb="20" eb="21">
      <t>ガ</t>
    </rPh>
    <rPh sb="21" eb="22">
      <t>ルイ</t>
    </rPh>
    <rPh sb="22" eb="23">
      <t>トウ</t>
    </rPh>
    <phoneticPr fontId="4"/>
  </si>
  <si>
    <t>種子冷蔵10℃30日・湿潤暗黒条件下30～35日間保持
クーラー育苗
苗冷蔵10℃
高温時は寒冷紗（50％遮光）被覆。</t>
    <rPh sb="0" eb="2">
      <t>シュシ</t>
    </rPh>
    <rPh sb="2" eb="4">
      <t>レイゾウ</t>
    </rPh>
    <rPh sb="9" eb="10">
      <t>ヒ</t>
    </rPh>
    <rPh sb="11" eb="13">
      <t>シツジュン</t>
    </rPh>
    <rPh sb="13" eb="15">
      <t>アンコク</t>
    </rPh>
    <rPh sb="15" eb="17">
      <t>ジョウケン</t>
    </rPh>
    <rPh sb="17" eb="18">
      <t>シタ</t>
    </rPh>
    <rPh sb="23" eb="24">
      <t>ヒ</t>
    </rPh>
    <rPh sb="24" eb="25">
      <t>アイダ</t>
    </rPh>
    <rPh sb="25" eb="27">
      <t>ホジ</t>
    </rPh>
    <rPh sb="32" eb="33">
      <t>イク</t>
    </rPh>
    <rPh sb="33" eb="34">
      <t>ナエ</t>
    </rPh>
    <rPh sb="35" eb="36">
      <t>ナエ</t>
    </rPh>
    <rPh sb="36" eb="38">
      <t>レイゾウ</t>
    </rPh>
    <rPh sb="42" eb="45">
      <t>コウオンジ</t>
    </rPh>
    <rPh sb="46" eb="49">
      <t>カンレイシャ</t>
    </rPh>
    <rPh sb="53" eb="55">
      <t>シャコウ</t>
    </rPh>
    <rPh sb="56" eb="58">
      <t>ヒフク</t>
    </rPh>
    <phoneticPr fontId="4"/>
  </si>
  <si>
    <t>定植前</t>
    <rPh sb="0" eb="2">
      <t>テイショク</t>
    </rPh>
    <rPh sb="2" eb="3">
      <t>マエ</t>
    </rPh>
    <phoneticPr fontId="4"/>
  </si>
  <si>
    <t>開花前</t>
    <rPh sb="0" eb="2">
      <t>カイカ</t>
    </rPh>
    <rPh sb="2" eb="3">
      <t>マエ</t>
    </rPh>
    <phoneticPr fontId="4"/>
  </si>
  <si>
    <t>収穫後</t>
    <rPh sb="0" eb="2">
      <t>シュウカク</t>
    </rPh>
    <rPh sb="2" eb="3">
      <t>ゴ</t>
    </rPh>
    <phoneticPr fontId="4"/>
  </si>
  <si>
    <t>全期間</t>
    <rPh sb="0" eb="3">
      <t>ゼンキカン</t>
    </rPh>
    <phoneticPr fontId="4"/>
  </si>
  <si>
    <t>トラクター　　　　　　　
管理機　　　　　　　　　　　　　　　　軽トラック　　　　　　　</t>
    <rPh sb="13" eb="15">
      <t>カンリ</t>
    </rPh>
    <rPh sb="15" eb="16">
      <t>キ</t>
    </rPh>
    <rPh sb="32" eb="33">
      <t>ケイ</t>
    </rPh>
    <phoneticPr fontId="4"/>
  </si>
  <si>
    <t>ペーパーポット育苗</t>
    <rPh sb="7" eb="8">
      <t>イク</t>
    </rPh>
    <rPh sb="8" eb="9">
      <t>ナエ</t>
    </rPh>
    <phoneticPr fontId="4"/>
  </si>
  <si>
    <t>肥料</t>
    <rPh sb="0" eb="2">
      <t>ヒリョウ</t>
    </rPh>
    <phoneticPr fontId="4"/>
  </si>
  <si>
    <t>暖房機</t>
    <rPh sb="0" eb="3">
      <t>ダンボウキ</t>
    </rPh>
    <phoneticPr fontId="4"/>
  </si>
  <si>
    <t>軽トラック</t>
    <rPh sb="0" eb="1">
      <t>ケイ</t>
    </rPh>
    <phoneticPr fontId="3"/>
  </si>
  <si>
    <t>作業場
選花機　　　　　　　　
結束機　　　　　　　　　　　　　冷蔵庫　　　　　　　　
軽トラック</t>
    <rPh sb="0" eb="2">
      <t>サギョウ</t>
    </rPh>
    <rPh sb="2" eb="3">
      <t>バ</t>
    </rPh>
    <rPh sb="4" eb="5">
      <t>セン</t>
    </rPh>
    <rPh sb="5" eb="6">
      <t>ハナ</t>
    </rPh>
    <rPh sb="6" eb="7">
      <t>キ</t>
    </rPh>
    <rPh sb="16" eb="18">
      <t>ケッソク</t>
    </rPh>
    <rPh sb="18" eb="19">
      <t>キ</t>
    </rPh>
    <rPh sb="32" eb="35">
      <t>レイゾウコ</t>
    </rPh>
    <rPh sb="44" eb="45">
      <t>ケイ</t>
    </rPh>
    <phoneticPr fontId="4"/>
  </si>
  <si>
    <t>動力噴霧機
軽トラック</t>
    <rPh sb="0" eb="2">
      <t>ドウリョク</t>
    </rPh>
    <rPh sb="2" eb="4">
      <t>フンム</t>
    </rPh>
    <rPh sb="4" eb="5">
      <t>キ</t>
    </rPh>
    <rPh sb="6" eb="7">
      <t>ケイ</t>
    </rPh>
    <phoneticPr fontId="4"/>
  </si>
  <si>
    <t>種子</t>
    <rPh sb="0" eb="2">
      <t>シュシ</t>
    </rPh>
    <phoneticPr fontId="4"/>
  </si>
  <si>
    <t>1～6人</t>
    <rPh sb="3" eb="4">
      <t>ニン</t>
    </rPh>
    <phoneticPr fontId="4"/>
  </si>
  <si>
    <t>マルチ</t>
    <phoneticPr fontId="4"/>
  </si>
  <si>
    <t>出荷箱
ガムテープ
結束紐</t>
    <rPh sb="0" eb="2">
      <t>シュッカ</t>
    </rPh>
    <rPh sb="2" eb="3">
      <t>バコ</t>
    </rPh>
    <rPh sb="10" eb="12">
      <t>ケッソク</t>
    </rPh>
    <rPh sb="12" eb="13">
      <t>ヒモ</t>
    </rPh>
    <phoneticPr fontId="4"/>
  </si>
  <si>
    <t>殺菌剤，殺虫剤</t>
    <rPh sb="0" eb="3">
      <t>サッキンザイ</t>
    </rPh>
    <rPh sb="4" eb="7">
      <t>サッチュウザイ</t>
    </rPh>
    <phoneticPr fontId="4"/>
  </si>
  <si>
    <t>定植後に苗が萎れないよう注意する。
育苗日数よりも葉数・葉面積が指標となる。（約6週間育苗）</t>
    <rPh sb="0" eb="2">
      <t>テイショク</t>
    </rPh>
    <rPh sb="2" eb="3">
      <t>ゴ</t>
    </rPh>
    <rPh sb="4" eb="5">
      <t>ナエ</t>
    </rPh>
    <rPh sb="6" eb="7">
      <t>シオ</t>
    </rPh>
    <rPh sb="12" eb="14">
      <t>チュウイ</t>
    </rPh>
    <rPh sb="39" eb="40">
      <t>ヤク</t>
    </rPh>
    <rPh sb="41" eb="43">
      <t>シュウカン</t>
    </rPh>
    <rPh sb="43" eb="44">
      <t>イク</t>
    </rPh>
    <rPh sb="44" eb="45">
      <t>ナエ</t>
    </rPh>
    <phoneticPr fontId="4"/>
  </si>
  <si>
    <t>摘蕾（下位側枝整理・摘蕾）は，できるだけほ場で行い，切り花品質の向上を図る。
生産コスト100円/本以内を目標にする。
ブラスチング発生に留意する。（低照度・多窒素で発生）</t>
    <rPh sb="21" eb="22">
      <t>ジョウ</t>
    </rPh>
    <rPh sb="23" eb="24">
      <t>オコナ</t>
    </rPh>
    <rPh sb="26" eb="27">
      <t>キ</t>
    </rPh>
    <rPh sb="28" eb="29">
      <t>ハナ</t>
    </rPh>
    <rPh sb="29" eb="31">
      <t>ヒンシツ</t>
    </rPh>
    <rPh sb="32" eb="34">
      <t>コウジョウ</t>
    </rPh>
    <rPh sb="35" eb="36">
      <t>ハカ</t>
    </rPh>
    <rPh sb="39" eb="41">
      <t>セイサン</t>
    </rPh>
    <rPh sb="47" eb="48">
      <t>エン</t>
    </rPh>
    <rPh sb="49" eb="50">
      <t>ホン</t>
    </rPh>
    <rPh sb="50" eb="52">
      <t>イナイ</t>
    </rPh>
    <rPh sb="53" eb="55">
      <t>モクヒョウ</t>
    </rPh>
    <rPh sb="75" eb="76">
      <t>テイ</t>
    </rPh>
    <rPh sb="76" eb="78">
      <t>ショウド</t>
    </rPh>
    <rPh sb="79" eb="80">
      <t>オオ</t>
    </rPh>
    <rPh sb="80" eb="82">
      <t>チッソ</t>
    </rPh>
    <rPh sb="83" eb="85">
      <t>ハッセイ</t>
    </rPh>
    <phoneticPr fontId="4"/>
  </si>
  <si>
    <t>花芽分化発達は，高温・長日・高日照条件下で促進される。
出荷の切り前を確認し，適期出荷を行う。
ボリューム（切り花重）確保に努める。</t>
    <rPh sb="0" eb="1">
      <t>ハナ</t>
    </rPh>
    <rPh sb="1" eb="2">
      <t>メ</t>
    </rPh>
    <rPh sb="2" eb="4">
      <t>ブンカ</t>
    </rPh>
    <rPh sb="4" eb="6">
      <t>ハッタツ</t>
    </rPh>
    <rPh sb="8" eb="10">
      <t>コウオン</t>
    </rPh>
    <rPh sb="11" eb="13">
      <t>チョウジツ</t>
    </rPh>
    <rPh sb="14" eb="15">
      <t>タカ</t>
    </rPh>
    <rPh sb="15" eb="17">
      <t>ニッショウ</t>
    </rPh>
    <rPh sb="17" eb="20">
      <t>ジョウケンカ</t>
    </rPh>
    <rPh sb="21" eb="23">
      <t>ソクシン</t>
    </rPh>
    <rPh sb="28" eb="30">
      <t>シュッカ</t>
    </rPh>
    <rPh sb="31" eb="32">
      <t>キ</t>
    </rPh>
    <rPh sb="33" eb="34">
      <t>マエ</t>
    </rPh>
    <rPh sb="35" eb="37">
      <t>カクニン</t>
    </rPh>
    <rPh sb="39" eb="41">
      <t>テッキ</t>
    </rPh>
    <rPh sb="41" eb="43">
      <t>シュッカ</t>
    </rPh>
    <rPh sb="44" eb="45">
      <t>オコナ</t>
    </rPh>
    <rPh sb="54" eb="55">
      <t>キ</t>
    </rPh>
    <rPh sb="56" eb="57">
      <t>ハナ</t>
    </rPh>
    <rPh sb="57" eb="58">
      <t>オモ</t>
    </rPh>
    <rPh sb="59" eb="61">
      <t>カクホ</t>
    </rPh>
    <rPh sb="62" eb="63">
      <t>ツト</t>
    </rPh>
    <phoneticPr fontId="4"/>
  </si>
  <si>
    <t>病害虫防除基準に準じて散布する。
除湿を目的に，ハウス内と外気の温度差が大きい時は短時間換気を行う。</t>
    <rPh sb="0" eb="3">
      <t>ビョウガイチュウ</t>
    </rPh>
    <rPh sb="3" eb="5">
      <t>ボウジョ</t>
    </rPh>
    <rPh sb="5" eb="7">
      <t>キジュン</t>
    </rPh>
    <rPh sb="8" eb="9">
      <t>ジュン</t>
    </rPh>
    <rPh sb="11" eb="13">
      <t>サンプ</t>
    </rPh>
    <rPh sb="17" eb="19">
      <t>ジョシツ</t>
    </rPh>
    <rPh sb="20" eb="22">
      <t>モクテキ</t>
    </rPh>
    <rPh sb="27" eb="28">
      <t>ナイ</t>
    </rPh>
    <rPh sb="29" eb="31">
      <t>ガイキ</t>
    </rPh>
    <rPh sb="32" eb="35">
      <t>オンドサ</t>
    </rPh>
    <rPh sb="36" eb="37">
      <t>オオ</t>
    </rPh>
    <rPh sb="39" eb="40">
      <t>トキ</t>
    </rPh>
    <rPh sb="41" eb="44">
      <t>タンジカン</t>
    </rPh>
    <rPh sb="44" eb="46">
      <t>カンキ</t>
    </rPh>
    <rPh sb="47" eb="48">
      <t>オコナ</t>
    </rPh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</si>
  <si>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</si>
  <si>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</si>
  <si>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</si>
  <si>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</si>
  <si>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</si>
  <si>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○</t>
  </si>
  <si>
    <t>×</t>
    <phoneticPr fontId="3"/>
  </si>
  <si>
    <t>▽</t>
  </si>
  <si>
    <t>×</t>
    <phoneticPr fontId="3"/>
  </si>
  <si>
    <t>×</t>
    <phoneticPr fontId="3"/>
  </si>
  <si>
    <t>　播種</t>
    <phoneticPr fontId="3"/>
  </si>
  <si>
    <t>　育苗</t>
    <phoneticPr fontId="3"/>
  </si>
  <si>
    <t>　定植準備</t>
    <phoneticPr fontId="3"/>
  </si>
  <si>
    <t>　支柱・ネット張り</t>
    <phoneticPr fontId="3"/>
  </si>
  <si>
    <t>　定植</t>
    <phoneticPr fontId="3"/>
  </si>
  <si>
    <t>　潅水・追肥</t>
    <phoneticPr fontId="3"/>
  </si>
  <si>
    <t>　病害虫防除</t>
    <phoneticPr fontId="3"/>
  </si>
  <si>
    <t>　除草</t>
    <phoneticPr fontId="3"/>
  </si>
  <si>
    <t>　電照・温度管理</t>
    <phoneticPr fontId="3"/>
  </si>
  <si>
    <t>　摘蕾</t>
    <phoneticPr fontId="3"/>
  </si>
  <si>
    <t>　出荷</t>
    <phoneticPr fontId="3"/>
  </si>
  <si>
    <t>　後片づけ</t>
    <phoneticPr fontId="3"/>
  </si>
  <si>
    <t>　</t>
    <phoneticPr fontId="3"/>
  </si>
  <si>
    <t>　　</t>
    <phoneticPr fontId="3"/>
  </si>
  <si>
    <t>ｔ</t>
    <phoneticPr fontId="3"/>
  </si>
  <si>
    <t>袋</t>
    <rPh sb="0" eb="1">
      <t>フクロ</t>
    </rPh>
    <phoneticPr fontId="3"/>
  </si>
  <si>
    <t>瓶</t>
    <rPh sb="0" eb="1">
      <t>ビン</t>
    </rPh>
    <phoneticPr fontId="3"/>
  </si>
  <si>
    <t>本</t>
    <rPh sb="0" eb="1">
      <t>ホン</t>
    </rPh>
    <phoneticPr fontId="3"/>
  </si>
  <si>
    <t>防除</t>
    <rPh sb="0" eb="2">
      <t>ボウジョ</t>
    </rPh>
    <phoneticPr fontId="3"/>
  </si>
  <si>
    <t>収穫出荷</t>
    <rPh sb="0" eb="2">
      <t>シュウカク</t>
    </rPh>
    <rPh sb="2" eb="4">
      <t>シュッカ</t>
    </rPh>
    <phoneticPr fontId="3"/>
  </si>
  <si>
    <t>施肥</t>
    <rPh sb="0" eb="2">
      <t>セヒ</t>
    </rPh>
    <phoneticPr fontId="3"/>
  </si>
  <si>
    <t>電照</t>
    <rPh sb="0" eb="2">
      <t>デンショウ</t>
    </rPh>
    <phoneticPr fontId="3"/>
  </si>
  <si>
    <t>冷蔵庫</t>
    <rPh sb="0" eb="3">
      <t>レイゾウコ</t>
    </rPh>
    <phoneticPr fontId="3"/>
  </si>
  <si>
    <t>防蛾灯</t>
    <rPh sb="0" eb="3">
      <t>ボウガトウ</t>
    </rPh>
    <phoneticPr fontId="3"/>
  </si>
  <si>
    <t>作業場</t>
    <phoneticPr fontId="3"/>
  </si>
  <si>
    <t>トラクター</t>
    <phoneticPr fontId="3"/>
  </si>
  <si>
    <t>消費税</t>
    <rPh sb="0" eb="3">
      <t>ショウヒゼイ</t>
    </rPh>
    <phoneticPr fontId="3"/>
  </si>
  <si>
    <t>売上高*0.3*0.08</t>
    <rPh sb="0" eb="2">
      <t>ウリアゲ</t>
    </rPh>
    <rPh sb="2" eb="3">
      <t>ダカ</t>
    </rPh>
    <phoneticPr fontId="3"/>
  </si>
  <si>
    <t>合　　　　計</t>
    <rPh sb="0" eb="1">
      <t>ア</t>
    </rPh>
    <rPh sb="5" eb="6">
      <t>ケイ</t>
    </rPh>
    <phoneticPr fontId="3"/>
  </si>
  <si>
    <t>ビニール</t>
  </si>
  <si>
    <t>マルチ</t>
  </si>
  <si>
    <t>ｍ</t>
  </si>
  <si>
    <t>支柱</t>
  </si>
  <si>
    <t>フラワーネット</t>
  </si>
  <si>
    <t>電球（電照用）</t>
  </si>
  <si>
    <t>個</t>
  </si>
  <si>
    <t>寒冷紗</t>
  </si>
  <si>
    <t>針金</t>
  </si>
  <si>
    <t>ｍ</t>
    <phoneticPr fontId="4"/>
  </si>
  <si>
    <t>収穫台車</t>
    <rPh sb="0" eb="2">
      <t>シュウカク</t>
    </rPh>
    <rPh sb="2" eb="4">
      <t>ダイシャ</t>
    </rPh>
    <phoneticPr fontId="3"/>
  </si>
  <si>
    <t>台</t>
    <rPh sb="0" eb="1">
      <t>ダイ</t>
    </rPh>
    <phoneticPr fontId="3"/>
  </si>
  <si>
    <t>収穫鋏</t>
    <rPh sb="0" eb="2">
      <t>シュウカク</t>
    </rPh>
    <rPh sb="2" eb="3">
      <t>ハサミ</t>
    </rPh>
    <phoneticPr fontId="3"/>
  </si>
  <si>
    <t>個</t>
    <rPh sb="0" eb="1">
      <t>コ</t>
    </rPh>
    <phoneticPr fontId="3"/>
  </si>
  <si>
    <t>防除マスク</t>
    <rPh sb="0" eb="2">
      <t>ボウジョ</t>
    </rPh>
    <phoneticPr fontId="3"/>
  </si>
  <si>
    <t>マスクフィルター</t>
    <phoneticPr fontId="3"/>
  </si>
  <si>
    <t>施設園芸共済</t>
    <rPh sb="0" eb="2">
      <t>シセツ</t>
    </rPh>
    <rPh sb="2" eb="4">
      <t>エンゲイ</t>
    </rPh>
    <rPh sb="4" eb="6">
      <t>キョウサイ</t>
    </rPh>
    <phoneticPr fontId="3"/>
  </si>
  <si>
    <t>1種類</t>
    <rPh sb="1" eb="3">
      <t>シュルイ</t>
    </rPh>
    <phoneticPr fontId="4"/>
  </si>
  <si>
    <t>2種類</t>
    <phoneticPr fontId="4"/>
  </si>
  <si>
    <t>殺虫剤</t>
    <phoneticPr fontId="4"/>
  </si>
  <si>
    <t>4種類</t>
    <phoneticPr fontId="4"/>
  </si>
  <si>
    <t>除草剤</t>
    <phoneticPr fontId="4"/>
  </si>
  <si>
    <t>調整剤</t>
    <rPh sb="0" eb="3">
      <t>チョウセイザイ</t>
    </rPh>
    <phoneticPr fontId="4"/>
  </si>
  <si>
    <t>ガソリン</t>
    <phoneticPr fontId="4"/>
  </si>
  <si>
    <t>(リットル)</t>
  </si>
  <si>
    <t>電力</t>
    <phoneticPr fontId="4"/>
  </si>
  <si>
    <t>(kwh)</t>
    <phoneticPr fontId="4"/>
  </si>
  <si>
    <t>右表（粗収益の算出基礎）</t>
    <rPh sb="0" eb="1">
      <t>ミギ</t>
    </rPh>
    <rPh sb="1" eb="2">
      <t>ヒョウ</t>
    </rPh>
    <rPh sb="3" eb="6">
      <t>ソシュウエキ</t>
    </rPh>
    <rPh sb="7" eb="9">
      <t>サンシュツ</t>
    </rPh>
    <rPh sb="9" eb="11">
      <t>キソ</t>
    </rPh>
    <phoneticPr fontId="17"/>
  </si>
  <si>
    <t>3000円/10a</t>
    <rPh sb="4" eb="5">
      <t>エン</t>
    </rPh>
    <phoneticPr fontId="4"/>
  </si>
  <si>
    <t>売上原価の1.0％</t>
    <rPh sb="0" eb="2">
      <t>ウリアゲ</t>
    </rPh>
    <rPh sb="2" eb="4">
      <t>ゲンカ</t>
    </rPh>
    <phoneticPr fontId="4"/>
  </si>
  <si>
    <t>箱＋輪ゴム，日持ち保存剤他</t>
    <rPh sb="0" eb="1">
      <t>ハコ</t>
    </rPh>
    <rPh sb="2" eb="3">
      <t>ワ</t>
    </rPh>
    <rPh sb="6" eb="8">
      <t>ヒモ</t>
    </rPh>
    <rPh sb="9" eb="12">
      <t>ホゾンザイ</t>
    </rPh>
    <rPh sb="12" eb="13">
      <t>タ</t>
    </rPh>
    <phoneticPr fontId="4"/>
  </si>
  <si>
    <t>販売額×14％（JA2.5％，全農1.5％，市場9.5％）</t>
    <phoneticPr fontId="3"/>
  </si>
  <si>
    <t>販売費・一般管理費の1％</t>
    <rPh sb="0" eb="2">
      <t>ハンバイ</t>
    </rPh>
    <rPh sb="4" eb="6">
      <t>イッパン</t>
    </rPh>
    <rPh sb="6" eb="9">
      <t>カンリヒ</t>
    </rPh>
    <phoneticPr fontId="4"/>
  </si>
  <si>
    <t>作業場</t>
    <phoneticPr fontId="4"/>
  </si>
  <si>
    <t>木造・瓦</t>
  </si>
  <si>
    <t>㎡</t>
    <phoneticPr fontId="4"/>
  </si>
  <si>
    <t>10a/50a</t>
    <phoneticPr fontId="3"/>
  </si>
  <si>
    <t>灌水施設</t>
  </si>
  <si>
    <t>電磁弁パイプ</t>
  </si>
  <si>
    <t>10a/10a</t>
    <phoneticPr fontId="3"/>
  </si>
  <si>
    <t>ビニールハウス</t>
  </si>
  <si>
    <t>鉄パイプ</t>
  </si>
  <si>
    <t>ミスト灌水施設</t>
    <phoneticPr fontId="3"/>
  </si>
  <si>
    <t>塩ビ管・タイマー</t>
  </si>
  <si>
    <t>冷蔵庫</t>
  </si>
  <si>
    <t>10a/50a</t>
    <phoneticPr fontId="3"/>
  </si>
  <si>
    <t>トルコギキョウ</t>
    <phoneticPr fontId="4"/>
  </si>
  <si>
    <t>施設（11-6月出荷）</t>
    <rPh sb="0" eb="2">
      <t>シセツ</t>
    </rPh>
    <rPh sb="7" eb="8">
      <t>ガツ</t>
    </rPh>
    <rPh sb="8" eb="10">
      <t>シュッカ</t>
    </rPh>
    <phoneticPr fontId="3"/>
  </si>
  <si>
    <t>８　経費の算出基礎（トルコギキョウ，10a当たり）</t>
    <rPh sb="2" eb="4">
      <t>ケイヒ</t>
    </rPh>
    <rPh sb="5" eb="7">
      <t>サンシュツ</t>
    </rPh>
    <rPh sb="7" eb="9">
      <t>キソ</t>
    </rPh>
    <rPh sb="21" eb="22">
      <t>ア</t>
    </rPh>
    <phoneticPr fontId="4"/>
  </si>
  <si>
    <t>20ps中古</t>
    <rPh sb="4" eb="6">
      <t>チュウコ</t>
    </rPh>
    <phoneticPr fontId="3"/>
  </si>
  <si>
    <t>動力噴霧機</t>
    <rPh sb="4" eb="5">
      <t>キ</t>
    </rPh>
    <phoneticPr fontId="3"/>
  </si>
  <si>
    <t>可動式6ps</t>
    <rPh sb="0" eb="3">
      <t>カドウシキ</t>
    </rPh>
    <phoneticPr fontId="3"/>
  </si>
  <si>
    <t>4WD中古</t>
    <rPh sb="3" eb="5">
      <t>チュウコ</t>
    </rPh>
    <phoneticPr fontId="3"/>
  </si>
  <si>
    <t>温風暖房機</t>
  </si>
  <si>
    <t>200㎡用×20台</t>
    <phoneticPr fontId="3"/>
  </si>
  <si>
    <t>電照施設</t>
    <rPh sb="0" eb="2">
      <t>デンショウ</t>
    </rPh>
    <rPh sb="2" eb="4">
      <t>シセツ</t>
    </rPh>
    <phoneticPr fontId="3"/>
  </si>
  <si>
    <t>5000㎡</t>
    <phoneticPr fontId="3"/>
  </si>
  <si>
    <t>一式</t>
    <rPh sb="0" eb="1">
      <t>イチ</t>
    </rPh>
    <rPh sb="1" eb="2">
      <t>シキ</t>
    </rPh>
    <phoneticPr fontId="3"/>
  </si>
  <si>
    <t xml:space="preserve"> 10a/50a</t>
    <phoneticPr fontId="3"/>
  </si>
  <si>
    <t>作目：トルコギキョウ</t>
    <rPh sb="0" eb="2">
      <t>サクモク</t>
    </rPh>
    <phoneticPr fontId="3"/>
  </si>
  <si>
    <t>作型：</t>
    <rPh sb="0" eb="1">
      <t>サク</t>
    </rPh>
    <rPh sb="1" eb="2">
      <t>ガタ</t>
    </rPh>
    <phoneticPr fontId="3"/>
  </si>
  <si>
    <t>５　作業別・旬別作業時間（トルコギキョウ）</t>
    <phoneticPr fontId="4"/>
  </si>
  <si>
    <t>トルコギキョウ専作</t>
    <rPh sb="7" eb="8">
      <t>セン</t>
    </rPh>
    <rPh sb="8" eb="9">
      <t>サク</t>
    </rPh>
    <phoneticPr fontId="3"/>
  </si>
  <si>
    <t>施設（秋～春）</t>
    <phoneticPr fontId="3"/>
  </si>
  <si>
    <t>南部</t>
    <phoneticPr fontId="3"/>
  </si>
  <si>
    <t>50a</t>
    <phoneticPr fontId="4"/>
  </si>
  <si>
    <t>トルコギキョウ</t>
    <phoneticPr fontId="4"/>
  </si>
  <si>
    <t>①トルコ（11月出荷）</t>
  </si>
  <si>
    <t>6ａ</t>
  </si>
  <si>
    <t>（中晩生品種）</t>
  </si>
  <si>
    <t>×</t>
    <phoneticPr fontId="4"/>
  </si>
  <si>
    <t>　└→2番花（6月出荷）</t>
  </si>
  <si>
    <t>(6ａ)</t>
  </si>
  <si>
    <t>②トルコ（12月出荷）</t>
  </si>
  <si>
    <t>（早生品種）</t>
  </si>
  <si>
    <t>　└→2番花（5月出荷）</t>
  </si>
  <si>
    <t>③トルコ（3月出荷）</t>
  </si>
  <si>
    <t>④トルコ（4月出荷）</t>
  </si>
  <si>
    <t>⑤トルコ（5月出荷）</t>
  </si>
  <si>
    <t>×</t>
    <phoneticPr fontId="4"/>
  </si>
  <si>
    <t xml:space="preserve">  ○ 播  種    ▽冷蔵庫入庫    × 定　植</t>
    <phoneticPr fontId="4"/>
  </si>
  <si>
    <t>収穫 ・出荷</t>
  </si>
  <si>
    <t>加温開始</t>
  </si>
  <si>
    <t>加温終了</t>
  </si>
  <si>
    <t>苗冷蔵</t>
  </si>
  <si>
    <t>種子冷蔵</t>
  </si>
  <si>
    <t>排水良好な圃場での施設栽培</t>
    <rPh sb="0" eb="2">
      <t>ハイスイ</t>
    </rPh>
    <rPh sb="2" eb="4">
      <t>リョウコウ</t>
    </rPh>
    <rPh sb="5" eb="6">
      <t>ホ</t>
    </rPh>
    <rPh sb="6" eb="7">
      <t>バ</t>
    </rPh>
    <rPh sb="9" eb="11">
      <t>シセツ</t>
    </rPh>
    <rPh sb="11" eb="13">
      <t>サイバイ</t>
    </rPh>
    <phoneticPr fontId="4"/>
  </si>
  <si>
    <t>暖房機，冷蔵庫，電照施設，防蛾灯，トラクター
トラック，管理機，防除機，</t>
    <phoneticPr fontId="4"/>
  </si>
  <si>
    <t>個選による市場出荷および産直販売</t>
    <rPh sb="0" eb="1">
      <t>コ</t>
    </rPh>
    <rPh sb="1" eb="2">
      <t>セン</t>
    </rPh>
    <rPh sb="5" eb="7">
      <t>シジョウ</t>
    </rPh>
    <rPh sb="7" eb="9">
      <t>シュッカ</t>
    </rPh>
    <rPh sb="12" eb="14">
      <t>サンチョク</t>
    </rPh>
    <rPh sb="14" eb="16">
      <t>ハンバイ</t>
    </rPh>
    <phoneticPr fontId="4"/>
  </si>
  <si>
    <t>八重咲き大輪系統</t>
    <phoneticPr fontId="4"/>
  </si>
  <si>
    <t>抑制栽培2度切り，促成栽培の複合</t>
  </si>
  <si>
    <t>ミスト灌水・ペーパーポット育苗
種子冷蔵10℃30日間・苗冷蔵10℃30日間・加温10℃，
出荷前処理
縦箱出荷</t>
    <phoneticPr fontId="4"/>
  </si>
  <si>
    <t>150円／箱</t>
    <rPh sb="3" eb="4">
      <t>エン</t>
    </rPh>
    <rPh sb="5" eb="6">
      <t>ハコ</t>
    </rPh>
    <phoneticPr fontId="4"/>
  </si>
  <si>
    <t>A</t>
    <phoneticPr fontId="4"/>
  </si>
  <si>
    <t>B</t>
    <phoneticPr fontId="4"/>
  </si>
  <si>
    <t>自家労力+補助労力</t>
    <rPh sb="0" eb="2">
      <t>ジカ</t>
    </rPh>
    <rPh sb="2" eb="4">
      <t>ロウリョク</t>
    </rPh>
    <rPh sb="5" eb="7">
      <t>ホジョ</t>
    </rPh>
    <rPh sb="7" eb="9">
      <t>ロウリョク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</si>
  <si>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</si>
  <si>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</si>
  <si>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</si>
  <si>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施設（11-6月出荷）</t>
    <rPh sb="0" eb="2">
      <t>シセツ</t>
    </rPh>
    <rPh sb="7" eb="8">
      <t>ツキ</t>
    </rPh>
    <rPh sb="8" eb="10">
      <t>シュッカ</t>
    </rPh>
    <phoneticPr fontId="4"/>
  </si>
  <si>
    <t>新規就農者</t>
    <rPh sb="0" eb="2">
      <t>シンキ</t>
    </rPh>
    <rPh sb="2" eb="4">
      <t>シュウノウ</t>
    </rPh>
    <rPh sb="4" eb="5">
      <t>シャ</t>
    </rPh>
    <phoneticPr fontId="3"/>
  </si>
  <si>
    <t>７　経営収支（10a当たり）</t>
    <rPh sb="10" eb="11">
      <t>ア</t>
    </rPh>
    <phoneticPr fontId="4"/>
  </si>
  <si>
    <t>本葉3～3.5枚
10cm×10cm（5条）
（苗の地際を押さえつけない）
定植後，1週間程度遮光</t>
    <rPh sb="0" eb="1">
      <t>ホン</t>
    </rPh>
    <rPh sb="1" eb="2">
      <t>ハ</t>
    </rPh>
    <rPh sb="7" eb="8">
      <t>マイ</t>
    </rPh>
    <rPh sb="20" eb="21">
      <t>ジョウ</t>
    </rPh>
    <rPh sb="24" eb="25">
      <t>ナエ</t>
    </rPh>
    <rPh sb="26" eb="27">
      <t>チ</t>
    </rPh>
    <rPh sb="27" eb="28">
      <t>サイ</t>
    </rPh>
    <rPh sb="29" eb="30">
      <t>オ</t>
    </rPh>
    <rPh sb="38" eb="40">
      <t>テイショク</t>
    </rPh>
    <rPh sb="40" eb="41">
      <t>ゴ</t>
    </rPh>
    <rPh sb="43" eb="45">
      <t>シュウカン</t>
    </rPh>
    <rPh sb="45" eb="47">
      <t>テイド</t>
    </rPh>
    <rPh sb="47" eb="49">
      <t>シャコウ</t>
    </rPh>
    <phoneticPr fontId="4"/>
  </si>
  <si>
    <t>定植後，液肥で追肥2～3回実施（追肥は発蕾までに終了）</t>
    <rPh sb="0" eb="2">
      <t>テイショク</t>
    </rPh>
    <rPh sb="2" eb="3">
      <t>ゴ</t>
    </rPh>
    <rPh sb="4" eb="6">
      <t>エキヒ</t>
    </rPh>
    <rPh sb="7" eb="9">
      <t>ツイヒ</t>
    </rPh>
    <rPh sb="12" eb="13">
      <t>カイ</t>
    </rPh>
    <rPh sb="13" eb="15">
      <t>ジッシ</t>
    </rPh>
    <rPh sb="16" eb="18">
      <t>ツイヒ</t>
    </rPh>
    <rPh sb="19" eb="20">
      <t>ハツ</t>
    </rPh>
    <rPh sb="20" eb="21">
      <t>ツボミ</t>
    </rPh>
    <rPh sb="24" eb="26">
      <t>シュウリョウ</t>
    </rPh>
    <phoneticPr fontId="4"/>
  </si>
  <si>
    <t xml:space="preserve">高昼温・低夜温（日中20℃・夜間10℃目標）
高温管理では花弁数が減少
発蕾後，間隔をあけてかん水
</t>
    <rPh sb="0" eb="1">
      <t>タカ</t>
    </rPh>
    <rPh sb="1" eb="2">
      <t>ヒル</t>
    </rPh>
    <rPh sb="2" eb="3">
      <t>アツシ</t>
    </rPh>
    <rPh sb="4" eb="5">
      <t>テイ</t>
    </rPh>
    <rPh sb="5" eb="7">
      <t>ヤオン</t>
    </rPh>
    <rPh sb="8" eb="10">
      <t>ニッチュウ</t>
    </rPh>
    <rPh sb="14" eb="16">
      <t>ヤカン</t>
    </rPh>
    <rPh sb="19" eb="21">
      <t>モクヒョウ</t>
    </rPh>
    <rPh sb="23" eb="25">
      <t>コウオン</t>
    </rPh>
    <rPh sb="25" eb="27">
      <t>カンリ</t>
    </rPh>
    <rPh sb="29" eb="30">
      <t>ハナ</t>
    </rPh>
    <rPh sb="30" eb="31">
      <t>ベン</t>
    </rPh>
    <rPh sb="31" eb="32">
      <t>スウ</t>
    </rPh>
    <rPh sb="33" eb="35">
      <t>ゲンショウ</t>
    </rPh>
    <rPh sb="36" eb="37">
      <t>ハツ</t>
    </rPh>
    <rPh sb="37" eb="38">
      <t>ツボミ</t>
    </rPh>
    <rPh sb="38" eb="39">
      <t>ゴ</t>
    </rPh>
    <rPh sb="40" eb="42">
      <t>カンカク</t>
    </rPh>
    <rPh sb="48" eb="49">
      <t>スイ</t>
    </rPh>
    <phoneticPr fontId="4"/>
  </si>
  <si>
    <t>適期収穫
植物残渣を圃場に放置しない
前処理剤に基部浸漬処理</t>
    <rPh sb="0" eb="2">
      <t>テッキ</t>
    </rPh>
    <rPh sb="2" eb="4">
      <t>シュウカク</t>
    </rPh>
    <rPh sb="5" eb="7">
      <t>ショクブツ</t>
    </rPh>
    <rPh sb="7" eb="9">
      <t>ザンサ</t>
    </rPh>
    <rPh sb="10" eb="11">
      <t>ホ</t>
    </rPh>
    <rPh sb="11" eb="12">
      <t>バ</t>
    </rPh>
    <rPh sb="13" eb="15">
      <t>ホウチ</t>
    </rPh>
    <rPh sb="19" eb="20">
      <t>マエ</t>
    </rPh>
    <rPh sb="20" eb="22">
      <t>ショリ</t>
    </rPh>
    <rPh sb="22" eb="23">
      <t>ザイ</t>
    </rPh>
    <rPh sb="24" eb="26">
      <t>キブ</t>
    </rPh>
    <rPh sb="26" eb="28">
      <t>シンセキ</t>
    </rPh>
    <rPh sb="28" eb="30">
      <t>ショリ</t>
    </rPh>
    <phoneticPr fontId="4"/>
  </si>
  <si>
    <t>適度な土壌水分で耕起する。
かん水チューブを設置する。</t>
    <rPh sb="0" eb="2">
      <t>テキド</t>
    </rPh>
    <rPh sb="3" eb="5">
      <t>ドジョウ</t>
    </rPh>
    <rPh sb="5" eb="7">
      <t>スイブン</t>
    </rPh>
    <rPh sb="8" eb="9">
      <t>タガヤ</t>
    </rPh>
    <rPh sb="9" eb="10">
      <t>オ</t>
    </rPh>
    <rPh sb="16" eb="17">
      <t>スイ</t>
    </rPh>
    <rPh sb="22" eb="24">
      <t>セッチ</t>
    </rPh>
    <phoneticPr fontId="4"/>
  </si>
  <si>
    <t>水揚げを十分行う。採花後は速やかに前処理剤の入った液に漬け，出来るだけ涼しい場所に置く。
濡れたら乾かしてから出荷する。（目標：切花長70cm2花2蕾）</t>
    <rPh sb="0" eb="2">
      <t>ミズア</t>
    </rPh>
    <rPh sb="4" eb="6">
      <t>ジュウブン</t>
    </rPh>
    <rPh sb="6" eb="7">
      <t>オコナ</t>
    </rPh>
    <rPh sb="9" eb="11">
      <t>サイカ</t>
    </rPh>
    <rPh sb="11" eb="12">
      <t>ゴ</t>
    </rPh>
    <rPh sb="13" eb="14">
      <t>スミ</t>
    </rPh>
    <rPh sb="17" eb="18">
      <t>マエ</t>
    </rPh>
    <rPh sb="18" eb="20">
      <t>ショリ</t>
    </rPh>
    <rPh sb="20" eb="21">
      <t>ザイ</t>
    </rPh>
    <rPh sb="22" eb="23">
      <t>ハイ</t>
    </rPh>
    <rPh sb="25" eb="26">
      <t>エキ</t>
    </rPh>
    <rPh sb="27" eb="28">
      <t>ツ</t>
    </rPh>
    <rPh sb="30" eb="32">
      <t>デキ</t>
    </rPh>
    <rPh sb="35" eb="36">
      <t>スズ</t>
    </rPh>
    <rPh sb="38" eb="40">
      <t>バショ</t>
    </rPh>
    <rPh sb="41" eb="42">
      <t>オ</t>
    </rPh>
    <rPh sb="45" eb="46">
      <t>ヌ</t>
    </rPh>
    <rPh sb="49" eb="50">
      <t>カワ</t>
    </rPh>
    <rPh sb="55" eb="57">
      <t>シュッカ</t>
    </rPh>
    <rPh sb="61" eb="63">
      <t>モクヒョウ</t>
    </rPh>
    <rPh sb="64" eb="65">
      <t>キリ</t>
    </rPh>
    <rPh sb="65" eb="66">
      <t>ハナ</t>
    </rPh>
    <rPh sb="66" eb="67">
      <t>チョウ</t>
    </rPh>
    <rPh sb="72" eb="73">
      <t>ハナ</t>
    </rPh>
    <rPh sb="74" eb="75">
      <t>ツボミ</t>
    </rPh>
    <phoneticPr fontId="4"/>
  </si>
  <si>
    <t>育苗中の温度管理，日数は絶対条件。発芽まで乾かさない。
品種選択に留意する。
種子冷蔵終了から定植までハウス内でクーラー育苗する。
育苗中は，底面給水は行わず，ミスト散水が良い。</t>
    <rPh sb="0" eb="2">
      <t>イクビョウ</t>
    </rPh>
    <rPh sb="2" eb="3">
      <t>チュウ</t>
    </rPh>
    <rPh sb="4" eb="6">
      <t>オンド</t>
    </rPh>
    <rPh sb="6" eb="8">
      <t>カンリ</t>
    </rPh>
    <rPh sb="9" eb="11">
      <t>ニッスウ</t>
    </rPh>
    <rPh sb="12" eb="14">
      <t>ゼッタイ</t>
    </rPh>
    <rPh sb="14" eb="16">
      <t>ジョウケン</t>
    </rPh>
    <rPh sb="17" eb="19">
      <t>ハツガ</t>
    </rPh>
    <rPh sb="21" eb="22">
      <t>カワ</t>
    </rPh>
    <rPh sb="28" eb="30">
      <t>ヒンシュ</t>
    </rPh>
    <rPh sb="30" eb="32">
      <t>センタク</t>
    </rPh>
    <rPh sb="33" eb="35">
      <t>リュウイ</t>
    </rPh>
    <rPh sb="39" eb="41">
      <t>シュシ</t>
    </rPh>
    <rPh sb="41" eb="43">
      <t>レイゾウ</t>
    </rPh>
    <rPh sb="43" eb="45">
      <t>シュウリョウ</t>
    </rPh>
    <rPh sb="47" eb="49">
      <t>テイショク</t>
    </rPh>
    <rPh sb="54" eb="55">
      <t>ナイ</t>
    </rPh>
    <rPh sb="60" eb="62">
      <t>イクビョウ</t>
    </rPh>
    <rPh sb="66" eb="67">
      <t>イク</t>
    </rPh>
    <rPh sb="67" eb="68">
      <t>ナエ</t>
    </rPh>
    <rPh sb="68" eb="69">
      <t>チュウ</t>
    </rPh>
    <rPh sb="71" eb="73">
      <t>テイメン</t>
    </rPh>
    <rPh sb="73" eb="75">
      <t>キュウスイ</t>
    </rPh>
    <rPh sb="76" eb="77">
      <t>オコナ</t>
    </rPh>
    <rPh sb="83" eb="85">
      <t>サンスイ</t>
    </rPh>
    <rPh sb="86" eb="87">
      <t>ヨ</t>
    </rPh>
    <phoneticPr fontId="4"/>
  </si>
  <si>
    <t>調製，出荷</t>
    <rPh sb="0" eb="2">
      <t>チョウセイ</t>
    </rPh>
    <rPh sb="3" eb="5">
      <t>シュッカ</t>
    </rPh>
    <phoneticPr fontId="4"/>
  </si>
  <si>
    <t>　収穫調製</t>
    <rPh sb="3" eb="5">
      <t>チョウセイ</t>
    </rPh>
    <phoneticPr fontId="3"/>
  </si>
  <si>
    <t>セル苗</t>
    <phoneticPr fontId="4"/>
  </si>
  <si>
    <t>A</t>
    <phoneticPr fontId="4"/>
  </si>
  <si>
    <t>A</t>
    <phoneticPr fontId="4"/>
  </si>
  <si>
    <t>A</t>
    <phoneticPr fontId="4"/>
  </si>
  <si>
    <t>B</t>
    <phoneticPr fontId="4"/>
  </si>
  <si>
    <t>B</t>
    <phoneticPr fontId="3"/>
  </si>
  <si>
    <t>B</t>
    <phoneticPr fontId="4"/>
  </si>
  <si>
    <t>C</t>
    <phoneticPr fontId="4"/>
  </si>
  <si>
    <t>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</si>
</sst>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m/d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bgColor theme="1"/>
      </patternFill>
    </fill>
  </fills>
  <borders count="25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dotted">
        <color indexed="8"/>
      </right>
      <top style="medium">
        <color indexed="64"/>
      </top>
      <bottom style="thin">
        <color indexed="8"/>
      </bottom>
      <diagonal/>
    </border>
    <border>
      <left style="dotted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double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8"/>
      </right>
      <top style="double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</cellStyleXfs>
  <cellXfs count="82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5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32" xfId="0" applyFont="1" applyBorder="1" applyAlignment="1">
      <alignment vertical="center" wrapText="1"/>
    </xf>
    <xf numFmtId="0" fontId="0" fillId="0" borderId="61" xfId="0" applyFont="1" applyBorder="1" applyAlignment="1">
      <alignment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181" fontId="0" fillId="0" borderId="36" xfId="0" applyNumberFormat="1" applyFont="1" applyBorder="1" applyAlignment="1">
      <alignment horizontal="right" vertical="center"/>
    </xf>
    <xf numFmtId="181" fontId="0" fillId="3" borderId="36" xfId="0" applyNumberFormat="1" applyFont="1" applyFill="1" applyBorder="1" applyAlignment="1">
      <alignment horizontal="right" vertical="center"/>
    </xf>
    <xf numFmtId="181" fontId="0" fillId="3" borderId="38" xfId="0" applyNumberFormat="1" applyFont="1" applyFill="1" applyBorder="1" applyAlignment="1">
      <alignment horizontal="right" vertical="center"/>
    </xf>
    <xf numFmtId="181" fontId="0" fillId="0" borderId="23" xfId="0" applyNumberFormat="1" applyFont="1" applyBorder="1" applyAlignment="1">
      <alignment horizontal="right" vertical="center"/>
    </xf>
    <xf numFmtId="181" fontId="0" fillId="0" borderId="31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69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29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5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108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5" xfId="2" applyFont="1" applyBorder="1" applyAlignment="1">
      <alignment vertical="center" wrapText="1"/>
    </xf>
    <xf numFmtId="0" fontId="8" fillId="0" borderId="72" xfId="2" applyFont="1" applyBorder="1" applyAlignment="1">
      <alignment vertical="center" wrapText="1"/>
    </xf>
    <xf numFmtId="0" fontId="1" fillId="0" borderId="85" xfId="2" applyFont="1" applyBorder="1" applyAlignment="1">
      <alignment horizontal="center" vertical="center" wrapText="1"/>
    </xf>
    <xf numFmtId="0" fontId="8" fillId="0" borderId="72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6" xfId="0" applyNumberFormat="1" applyFont="1" applyFill="1" applyBorder="1" applyAlignment="1">
      <alignment vertical="center" shrinkToFit="1"/>
    </xf>
    <xf numFmtId="178" fontId="0" fillId="2" borderId="106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/>
    </xf>
    <xf numFmtId="177" fontId="0" fillId="0" borderId="85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08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21" xfId="0" applyNumberFormat="1" applyFont="1" applyBorder="1" applyAlignment="1">
      <alignment horizontal="center" vertical="center" shrinkToFit="1"/>
    </xf>
    <xf numFmtId="176" fontId="0" fillId="6" borderId="110" xfId="0" applyNumberFormat="1" applyFont="1" applyFill="1" applyBorder="1" applyAlignment="1">
      <alignment vertical="center" shrinkToFit="1"/>
    </xf>
    <xf numFmtId="179" fontId="0" fillId="0" borderId="124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6" xfId="0" applyNumberFormat="1" applyFont="1" applyFill="1" applyBorder="1" applyAlignment="1">
      <alignment vertical="center" shrinkToFit="1"/>
    </xf>
    <xf numFmtId="183" fontId="0" fillId="6" borderId="50" xfId="0" applyNumberFormat="1" applyFont="1" applyFill="1" applyBorder="1" applyAlignment="1">
      <alignment vertical="center" shrinkToFit="1"/>
    </xf>
    <xf numFmtId="183" fontId="0" fillId="6" borderId="21" xfId="0" applyNumberFormat="1" applyFont="1" applyFill="1" applyBorder="1" applyAlignment="1">
      <alignment vertical="center" shrinkToFit="1"/>
    </xf>
    <xf numFmtId="183" fontId="0" fillId="6" borderId="118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09" xfId="0" applyNumberFormat="1" applyFont="1" applyFill="1" applyBorder="1" applyAlignment="1">
      <alignment vertical="center" shrinkToFit="1"/>
    </xf>
    <xf numFmtId="183" fontId="0" fillId="6" borderId="126" xfId="0" applyNumberFormat="1" applyFont="1" applyFill="1" applyBorder="1" applyAlignment="1">
      <alignment vertical="center" shrinkToFit="1"/>
    </xf>
    <xf numFmtId="177" fontId="0" fillId="0" borderId="72" xfId="0" applyNumberFormat="1" applyFont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7" fontId="0" fillId="2" borderId="110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5" xfId="0" applyNumberFormat="1" applyFill="1" applyBorder="1" applyAlignment="1">
      <alignment vertical="center"/>
    </xf>
    <xf numFmtId="177" fontId="0" fillId="6" borderId="136" xfId="0" applyNumberFormat="1" applyFont="1" applyFill="1" applyBorder="1" applyAlignment="1">
      <alignment vertical="center" shrinkToFit="1"/>
    </xf>
    <xf numFmtId="177" fontId="0" fillId="0" borderId="136" xfId="3" applyNumberFormat="1" applyFont="1" applyBorder="1" applyAlignment="1">
      <alignment vertical="center"/>
    </xf>
    <xf numFmtId="177" fontId="0" fillId="0" borderId="103" xfId="3" applyNumberFormat="1" applyFont="1" applyBorder="1" applyAlignment="1">
      <alignment horizontal="right" vertical="center"/>
    </xf>
    <xf numFmtId="177" fontId="0" fillId="0" borderId="103" xfId="3" applyNumberFormat="1" applyFont="1" applyBorder="1" applyAlignment="1">
      <alignment horizontal="left" vertical="center" shrinkToFit="1"/>
    </xf>
    <xf numFmtId="177" fontId="0" fillId="0" borderId="137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38" xfId="0" applyNumberFormat="1" applyFont="1" applyFill="1" applyBorder="1" applyAlignment="1">
      <alignment vertical="center"/>
    </xf>
    <xf numFmtId="177" fontId="0" fillId="0" borderId="135" xfId="0" applyNumberFormat="1" applyFont="1" applyFill="1" applyBorder="1" applyAlignment="1">
      <alignment horizontal="center" vertical="center"/>
    </xf>
    <xf numFmtId="177" fontId="0" fillId="0" borderId="135" xfId="0" applyNumberFormat="1" applyFont="1" applyFill="1" applyBorder="1" applyAlignment="1">
      <alignment vertical="center"/>
    </xf>
    <xf numFmtId="177" fontId="0" fillId="0" borderId="138" xfId="0" applyNumberFormat="1" applyFill="1" applyBorder="1" applyAlignment="1">
      <alignment vertical="center"/>
    </xf>
    <xf numFmtId="178" fontId="0" fillId="0" borderId="13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19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5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7" xfId="0" applyNumberFormat="1" applyFont="1" applyFill="1" applyBorder="1" applyAlignment="1">
      <alignment vertical="center"/>
    </xf>
    <xf numFmtId="177" fontId="0" fillId="0" borderId="20" xfId="0" applyNumberFormat="1" applyFill="1" applyBorder="1" applyAlignment="1">
      <alignment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47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8" xfId="0" applyNumberFormat="1" applyFont="1" applyFill="1" applyBorder="1" applyAlignment="1">
      <alignment horizontal="left" vertical="center"/>
    </xf>
    <xf numFmtId="177" fontId="0" fillId="0" borderId="138" xfId="3" applyNumberFormat="1" applyFont="1" applyFill="1" applyBorder="1" applyAlignment="1">
      <alignment vertical="center" shrinkToFit="1"/>
    </xf>
    <xf numFmtId="178" fontId="0" fillId="0" borderId="139" xfId="0" applyNumberFormat="1" applyFont="1" applyFill="1" applyBorder="1" applyAlignment="1">
      <alignment horizontal="left" vertical="center"/>
    </xf>
    <xf numFmtId="176" fontId="0" fillId="0" borderId="23" xfId="0" applyNumberFormat="1" applyFont="1" applyBorder="1" applyAlignment="1">
      <alignment vertical="center"/>
    </xf>
    <xf numFmtId="177" fontId="0" fillId="0" borderId="141" xfId="3" applyNumberFormat="1" applyFont="1" applyBorder="1" applyAlignment="1">
      <alignment horizontal="center" vertical="center" shrinkToFit="1"/>
    </xf>
    <xf numFmtId="177" fontId="0" fillId="0" borderId="73" xfId="3" applyNumberFormat="1" applyFont="1" applyBorder="1" applyAlignment="1">
      <alignment horizontal="center" vertical="center" shrinkToFit="1"/>
    </xf>
    <xf numFmtId="176" fontId="0" fillId="2" borderId="48" xfId="0" applyNumberFormat="1" applyFont="1" applyFill="1" applyBorder="1" applyAlignment="1">
      <alignment horizontal="center"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146" xfId="3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/>
    </xf>
    <xf numFmtId="177" fontId="0" fillId="0" borderId="23" xfId="3" applyNumberFormat="1" applyFont="1" applyBorder="1" applyAlignment="1">
      <alignment vertical="center" shrinkToFit="1"/>
    </xf>
    <xf numFmtId="177" fontId="0" fillId="0" borderId="23" xfId="3" applyNumberFormat="1" applyFont="1" applyFill="1" applyBorder="1" applyAlignment="1">
      <alignment vertical="center" shrinkToFit="1"/>
    </xf>
    <xf numFmtId="176" fontId="0" fillId="2" borderId="37" xfId="0" applyNumberFormat="1" applyFont="1" applyFill="1" applyBorder="1" applyAlignment="1">
      <alignment horizontal="center" vertical="center" shrinkToFit="1"/>
    </xf>
    <xf numFmtId="177" fontId="0" fillId="2" borderId="37" xfId="0" applyNumberFormat="1" applyFont="1" applyFill="1" applyBorder="1" applyAlignment="1">
      <alignment vertical="center" shrinkToFit="1"/>
    </xf>
    <xf numFmtId="176" fontId="0" fillId="2" borderId="144" xfId="0" applyNumberFormat="1" applyFont="1" applyFill="1" applyBorder="1" applyAlignment="1">
      <alignment vertical="center" shrinkToFit="1"/>
    </xf>
    <xf numFmtId="176" fontId="0" fillId="2" borderId="62" xfId="0" applyNumberFormat="1" applyFont="1" applyFill="1" applyBorder="1" applyAlignment="1">
      <alignment vertical="center" shrinkToFit="1"/>
    </xf>
    <xf numFmtId="176" fontId="0" fillId="2" borderId="110" xfId="0" applyNumberFormat="1" applyFont="1" applyFill="1" applyBorder="1" applyAlignment="1">
      <alignment vertical="center" shrinkToFit="1"/>
    </xf>
    <xf numFmtId="177" fontId="0" fillId="0" borderId="34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8" xfId="3" applyNumberFormat="1" applyFont="1" applyFill="1" applyBorder="1" applyAlignment="1">
      <alignment horizontal="center" vertical="center" shrinkToFit="1"/>
    </xf>
    <xf numFmtId="177" fontId="0" fillId="2" borderId="48" xfId="3" applyNumberFormat="1" applyFont="1" applyFill="1" applyBorder="1" applyAlignment="1">
      <alignment vertical="center" shrinkToFit="1"/>
    </xf>
    <xf numFmtId="176" fontId="0" fillId="6" borderId="144" xfId="0" applyNumberFormat="1" applyFont="1" applyFill="1" applyBorder="1" applyAlignment="1">
      <alignment vertical="center"/>
    </xf>
    <xf numFmtId="176" fontId="0" fillId="0" borderId="23" xfId="3" applyNumberFormat="1" applyFont="1" applyFill="1" applyBorder="1" applyAlignment="1">
      <alignment vertical="center" shrinkToFit="1"/>
    </xf>
    <xf numFmtId="176" fontId="0" fillId="0" borderId="107" xfId="0" applyNumberFormat="1" applyFont="1" applyBorder="1" applyAlignment="1">
      <alignment vertical="center" shrinkToFit="1"/>
    </xf>
    <xf numFmtId="177" fontId="0" fillId="0" borderId="107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08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vertical="center" shrinkToFit="1"/>
    </xf>
    <xf numFmtId="176" fontId="0" fillId="6" borderId="106" xfId="0" applyNumberFormat="1" applyFont="1" applyFill="1" applyBorder="1" applyAlignment="1">
      <alignment horizontal="center" vertical="center" shrinkToFit="1"/>
    </xf>
    <xf numFmtId="176" fontId="0" fillId="6" borderId="118" xfId="0" applyNumberFormat="1" applyFont="1" applyFill="1" applyBorder="1" applyAlignment="1">
      <alignment horizontal="center" vertical="center" shrinkToFit="1"/>
    </xf>
    <xf numFmtId="177" fontId="0" fillId="0" borderId="104" xfId="0" applyNumberFormat="1" applyFont="1" applyBorder="1" applyAlignment="1">
      <alignment horizontal="center" vertical="center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47" xfId="0" applyNumberFormat="1" applyFont="1" applyBorder="1" applyAlignment="1">
      <alignment vertical="center"/>
    </xf>
    <xf numFmtId="176" fontId="0" fillId="0" borderId="125" xfId="0" applyNumberFormat="1" applyFont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9" fontId="0" fillId="0" borderId="23" xfId="3" applyNumberFormat="1" applyFont="1" applyFill="1" applyBorder="1" applyAlignment="1">
      <alignment vertical="center" shrinkToFit="1"/>
    </xf>
    <xf numFmtId="3" fontId="0" fillId="0" borderId="23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54" xfId="0" applyNumberFormat="1" applyFont="1" applyFill="1" applyBorder="1" applyAlignment="1">
      <alignment vertical="center" shrinkToFit="1"/>
    </xf>
    <xf numFmtId="176" fontId="0" fillId="2" borderId="155" xfId="0" applyNumberFormat="1" applyFont="1" applyFill="1" applyBorder="1" applyAlignment="1">
      <alignment vertical="center" shrinkToFit="1"/>
    </xf>
    <xf numFmtId="177" fontId="0" fillId="2" borderId="151" xfId="3" applyNumberFormat="1" applyFont="1" applyFill="1" applyBorder="1" applyAlignment="1">
      <alignment horizontal="center" vertical="center" shrinkToFit="1"/>
    </xf>
    <xf numFmtId="177" fontId="0" fillId="2" borderId="151" xfId="3" applyNumberFormat="1" applyFont="1" applyFill="1" applyBorder="1" applyAlignment="1">
      <alignment vertical="center" shrinkToFit="1"/>
    </xf>
    <xf numFmtId="176" fontId="0" fillId="6" borderId="156" xfId="0" applyNumberFormat="1" applyFont="1" applyFill="1" applyBorder="1" applyAlignment="1">
      <alignment vertical="center"/>
    </xf>
    <xf numFmtId="181" fontId="0" fillId="0" borderId="121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1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8" xfId="0" applyNumberFormat="1" applyFont="1" applyBorder="1" applyAlignment="1">
      <alignment vertical="center"/>
    </xf>
    <xf numFmtId="176" fontId="0" fillId="0" borderId="85" xfId="0" applyNumberFormat="1" applyBorder="1" applyAlignment="1">
      <alignment vertical="center"/>
    </xf>
    <xf numFmtId="176" fontId="0" fillId="0" borderId="85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69" xfId="0" applyNumberFormat="1" applyFont="1" applyBorder="1" applyAlignment="1">
      <alignment vertical="center" shrinkToFit="1"/>
    </xf>
    <xf numFmtId="176" fontId="0" fillId="0" borderId="75" xfId="0" applyNumberFormat="1" applyBorder="1" applyAlignment="1">
      <alignment vertical="center"/>
    </xf>
    <xf numFmtId="179" fontId="0" fillId="0" borderId="173" xfId="0" applyNumberFormat="1" applyFont="1" applyBorder="1" applyAlignment="1">
      <alignment vertical="center" shrinkToFit="1"/>
    </xf>
    <xf numFmtId="176" fontId="0" fillId="0" borderId="50" xfId="0" applyNumberFormat="1" applyBorder="1" applyAlignment="1">
      <alignment horizontal="center" vertical="center"/>
    </xf>
    <xf numFmtId="184" fontId="0" fillId="0" borderId="171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69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5" xfId="0" applyNumberFormat="1" applyFont="1" applyBorder="1" applyAlignment="1">
      <alignment vertical="center" shrinkToFit="1"/>
    </xf>
    <xf numFmtId="9" fontId="0" fillId="0" borderId="85" xfId="0" applyNumberFormat="1" applyFont="1" applyBorder="1" applyAlignment="1">
      <alignment vertical="center" shrinkToFit="1"/>
    </xf>
    <xf numFmtId="182" fontId="0" fillId="0" borderId="85" xfId="4" applyNumberFormat="1" applyFont="1" applyBorder="1" applyAlignment="1">
      <alignment vertical="center" shrinkToFit="1"/>
    </xf>
    <xf numFmtId="176" fontId="0" fillId="0" borderId="85" xfId="0" applyNumberFormat="1" applyFont="1" applyBorder="1" applyAlignment="1">
      <alignment horizontal="right" vertical="center" shrinkToFit="1"/>
    </xf>
    <xf numFmtId="49" fontId="0" fillId="0" borderId="85" xfId="0" applyNumberFormat="1" applyFont="1" applyBorder="1" applyAlignment="1">
      <alignment vertical="center" shrinkToFit="1"/>
    </xf>
    <xf numFmtId="176" fontId="0" fillId="2" borderId="85" xfId="0" applyNumberFormat="1" applyFont="1" applyFill="1" applyBorder="1" applyAlignment="1">
      <alignment vertical="center" shrinkToFit="1"/>
    </xf>
    <xf numFmtId="176" fontId="0" fillId="2" borderId="85" xfId="0" applyNumberFormat="1" applyFont="1" applyFill="1" applyBorder="1" applyAlignment="1">
      <alignment horizontal="left" vertical="center" shrinkToFit="1"/>
    </xf>
    <xf numFmtId="179" fontId="0" fillId="2" borderId="85" xfId="0" applyNumberFormat="1" applyFont="1" applyFill="1" applyBorder="1" applyAlignment="1">
      <alignment vertical="center" shrinkToFit="1"/>
    </xf>
    <xf numFmtId="9" fontId="0" fillId="0" borderId="85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5" xfId="0" applyNumberFormat="1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177" fontId="0" fillId="0" borderId="73" xfId="0" applyNumberFormat="1" applyBorder="1" applyAlignment="1">
      <alignment horizontal="center" vertical="center" shrinkToFit="1"/>
    </xf>
    <xf numFmtId="177" fontId="0" fillId="0" borderId="47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152" xfId="0" applyNumberFormat="1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160" xfId="0" applyNumberFormat="1" applyFont="1" applyFill="1" applyBorder="1" applyAlignment="1">
      <alignment vertical="center"/>
    </xf>
    <xf numFmtId="177" fontId="0" fillId="0" borderId="152" xfId="0" applyNumberFormat="1" applyFont="1" applyBorder="1" applyAlignment="1">
      <alignment vertical="center" shrinkToFit="1"/>
    </xf>
    <xf numFmtId="176" fontId="0" fillId="0" borderId="135" xfId="0" applyNumberFormat="1" applyFont="1" applyBorder="1" applyAlignment="1">
      <alignment vertical="center" shrinkToFit="1"/>
    </xf>
    <xf numFmtId="185" fontId="0" fillId="0" borderId="74" xfId="0" applyNumberFormat="1" applyFont="1" applyBorder="1" applyAlignment="1">
      <alignment horizontal="center" vertical="center"/>
    </xf>
    <xf numFmtId="0" fontId="0" fillId="0" borderId="175" xfId="0" applyFont="1" applyBorder="1" applyAlignment="1">
      <alignment horizontal="center" vertical="center"/>
    </xf>
    <xf numFmtId="181" fontId="0" fillId="0" borderId="175" xfId="0" applyNumberFormat="1" applyFont="1" applyBorder="1" applyAlignment="1">
      <alignment horizontal="right" vertical="center"/>
    </xf>
    <xf numFmtId="181" fontId="0" fillId="4" borderId="38" xfId="0" applyNumberFormat="1" applyFont="1" applyFill="1" applyBorder="1" applyAlignment="1">
      <alignment horizontal="right" vertical="center"/>
    </xf>
    <xf numFmtId="181" fontId="0" fillId="0" borderId="36" xfId="0" applyNumberFormat="1" applyFont="1" applyFill="1" applyBorder="1" applyAlignment="1">
      <alignment horizontal="right" vertical="center"/>
    </xf>
    <xf numFmtId="181" fontId="0" fillId="7" borderId="36" xfId="0" applyNumberFormat="1" applyFont="1" applyFill="1" applyBorder="1" applyAlignment="1">
      <alignment horizontal="right" vertical="center"/>
    </xf>
    <xf numFmtId="181" fontId="0" fillId="7" borderId="39" xfId="1" applyNumberFormat="1" applyFont="1" applyFill="1" applyBorder="1" applyAlignment="1">
      <alignment horizontal="right" vertical="center"/>
    </xf>
    <xf numFmtId="181" fontId="0" fillId="0" borderId="35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1" fontId="0" fillId="5" borderId="35" xfId="0" applyNumberFormat="1" applyFont="1" applyFill="1" applyBorder="1" applyAlignment="1">
      <alignment vertical="center"/>
    </xf>
    <xf numFmtId="181" fontId="0" fillId="3" borderId="23" xfId="1" applyNumberFormat="1" applyFont="1" applyFill="1" applyBorder="1" applyAlignment="1">
      <alignment horizontal="right" vertical="center"/>
    </xf>
    <xf numFmtId="181" fontId="0" fillId="0" borderId="35" xfId="0" applyNumberFormat="1" applyFont="1" applyBorder="1" applyAlignment="1">
      <alignment horizontal="right" vertical="center"/>
    </xf>
    <xf numFmtId="182" fontId="0" fillId="3" borderId="23" xfId="1" applyNumberFormat="1" applyFont="1" applyFill="1" applyBorder="1" applyAlignment="1">
      <alignment horizontal="right" vertical="center"/>
    </xf>
    <xf numFmtId="181" fontId="0" fillId="3" borderId="44" xfId="1" applyNumberFormat="1" applyFont="1" applyFill="1" applyBorder="1" applyAlignment="1">
      <alignment horizontal="right" vertical="center"/>
    </xf>
    <xf numFmtId="0" fontId="0" fillId="0" borderId="176" xfId="0" applyFont="1" applyBorder="1" applyAlignment="1">
      <alignment horizontal="center" vertical="center"/>
    </xf>
    <xf numFmtId="185" fontId="0" fillId="0" borderId="131" xfId="0" applyNumberFormat="1" applyFont="1" applyBorder="1" applyAlignment="1">
      <alignment horizontal="center" vertical="center"/>
    </xf>
    <xf numFmtId="181" fontId="0" fillId="0" borderId="176" xfId="0" applyNumberFormat="1" applyFont="1" applyBorder="1" applyAlignment="1">
      <alignment horizontal="right" vertical="center"/>
    </xf>
    <xf numFmtId="181" fontId="0" fillId="4" borderId="188" xfId="0" applyNumberFormat="1" applyFont="1" applyFill="1" applyBorder="1" applyAlignment="1">
      <alignment horizontal="right" vertical="center"/>
    </xf>
    <xf numFmtId="181" fontId="0" fillId="0" borderId="35" xfId="0" applyNumberFormat="1" applyFont="1" applyFill="1" applyBorder="1" applyAlignment="1">
      <alignment horizontal="right" vertical="center"/>
    </xf>
    <xf numFmtId="181" fontId="0" fillId="7" borderId="51" xfId="1" applyNumberFormat="1" applyFont="1" applyFill="1" applyBorder="1" applyAlignment="1">
      <alignment horizontal="right" vertical="center"/>
    </xf>
    <xf numFmtId="181" fontId="0" fillId="3" borderId="31" xfId="1" applyNumberFormat="1" applyFont="1" applyFill="1" applyBorder="1" applyAlignment="1">
      <alignment horizontal="right" vertical="center"/>
    </xf>
    <xf numFmtId="182" fontId="0" fillId="3" borderId="31" xfId="1" applyNumberFormat="1" applyFont="1" applyFill="1" applyBorder="1" applyAlignment="1">
      <alignment horizontal="right" vertical="center"/>
    </xf>
    <xf numFmtId="181" fontId="0" fillId="3" borderId="42" xfId="1" applyNumberFormat="1" applyFont="1" applyFill="1" applyBorder="1" applyAlignment="1">
      <alignment horizontal="right" vertical="center"/>
    </xf>
    <xf numFmtId="181" fontId="0" fillId="4" borderId="151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76" fontId="4" fillId="0" borderId="190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1" xfId="0" applyNumberFormat="1" applyFont="1" applyBorder="1" applyAlignment="1">
      <alignment horizontal="center" vertical="center" shrinkToFit="1"/>
    </xf>
    <xf numFmtId="176" fontId="0" fillId="0" borderId="19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8" xfId="0" applyNumberFormat="1" applyFont="1" applyFill="1" applyBorder="1" applyAlignment="1">
      <alignment vertical="center" shrinkToFit="1"/>
    </xf>
    <xf numFmtId="179" fontId="9" fillId="5" borderId="121" xfId="0" applyNumberFormat="1" applyFont="1" applyFill="1" applyBorder="1" applyAlignment="1">
      <alignment horizontal="center" vertical="center" shrinkToFit="1"/>
    </xf>
    <xf numFmtId="179" fontId="9" fillId="5" borderId="124" xfId="0" applyNumberFormat="1" applyFont="1" applyFill="1" applyBorder="1" applyAlignment="1">
      <alignment horizontal="center" vertical="center" shrinkToFit="1"/>
    </xf>
    <xf numFmtId="0" fontId="1" fillId="0" borderId="53" xfId="2" applyFont="1" applyFill="1" applyBorder="1" applyAlignment="1">
      <alignment horizontal="center" vertical="center" shrinkToFit="1"/>
    </xf>
    <xf numFmtId="0" fontId="1" fillId="0" borderId="53" xfId="2" applyFont="1" applyFill="1" applyBorder="1" applyAlignment="1">
      <alignment horizontal="center" vertical="center" wrapText="1"/>
    </xf>
    <xf numFmtId="0" fontId="6" fillId="0" borderId="85" xfId="2" applyFont="1" applyFill="1" applyBorder="1" applyAlignment="1">
      <alignment horizontal="left" vertical="top" wrapText="1"/>
    </xf>
    <xf numFmtId="0" fontId="6" fillId="0" borderId="85" xfId="2" applyFont="1" applyFill="1" applyBorder="1" applyAlignment="1">
      <alignment horizontal="center" vertical="center" wrapText="1"/>
    </xf>
    <xf numFmtId="0" fontId="6" fillId="0" borderId="85" xfId="2" applyFont="1" applyFill="1" applyBorder="1" applyAlignment="1">
      <alignment vertical="top" wrapText="1"/>
    </xf>
    <xf numFmtId="0" fontId="6" fillId="0" borderId="154" xfId="2" applyFont="1" applyFill="1" applyBorder="1" applyAlignment="1">
      <alignment vertical="top" wrapText="1"/>
    </xf>
    <xf numFmtId="0" fontId="6" fillId="0" borderId="154" xfId="2" applyFont="1" applyFill="1" applyBorder="1" applyAlignment="1">
      <alignment horizontal="left" vertical="top" wrapText="1"/>
    </xf>
    <xf numFmtId="179" fontId="0" fillId="0" borderId="72" xfId="0" applyNumberFormat="1" applyFont="1" applyBorder="1" applyAlignment="1">
      <alignment vertical="center" shrinkToFit="1"/>
    </xf>
    <xf numFmtId="176" fontId="16" fillId="0" borderId="10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111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/>
    </xf>
    <xf numFmtId="176" fontId="16" fillId="0" borderId="79" xfId="0" applyNumberFormat="1" applyFont="1" applyBorder="1" applyAlignment="1">
      <alignment horizontal="center" vertical="center"/>
    </xf>
    <xf numFmtId="176" fontId="16" fillId="0" borderId="135" xfId="0" applyNumberFormat="1" applyFont="1" applyBorder="1" applyAlignment="1">
      <alignment vertical="center"/>
    </xf>
    <xf numFmtId="176" fontId="16" fillId="0" borderId="138" xfId="0" applyNumberFormat="1" applyFont="1" applyBorder="1" applyAlignment="1">
      <alignment vertical="center"/>
    </xf>
    <xf numFmtId="177" fontId="16" fillId="0" borderId="135" xfId="0" applyNumberFormat="1" applyFont="1" applyFill="1" applyBorder="1">
      <alignment vertical="center"/>
    </xf>
    <xf numFmtId="176" fontId="0" fillId="0" borderId="23" xfId="0" applyNumberFormat="1" applyFill="1" applyBorder="1" applyAlignment="1">
      <alignment vertical="center"/>
    </xf>
    <xf numFmtId="177" fontId="16" fillId="0" borderId="23" xfId="0" applyNumberFormat="1" applyFont="1" applyBorder="1" applyAlignment="1">
      <alignment vertical="center"/>
    </xf>
    <xf numFmtId="176" fontId="0" fillId="0" borderId="45" xfId="0" applyNumberFormat="1" applyFill="1" applyBorder="1" applyAlignment="1">
      <alignment vertical="center"/>
    </xf>
    <xf numFmtId="177" fontId="16" fillId="0" borderId="45" xfId="0" applyNumberFormat="1" applyFont="1" applyBorder="1" applyAlignment="1">
      <alignment vertical="center"/>
    </xf>
    <xf numFmtId="177" fontId="16" fillId="0" borderId="135" xfId="0" applyNumberFormat="1" applyFont="1" applyFill="1" applyBorder="1" applyAlignment="1">
      <alignment vertical="center" shrinkToFit="1"/>
    </xf>
    <xf numFmtId="176" fontId="0" fillId="0" borderId="135" xfId="0" applyNumberFormat="1" applyFill="1" applyBorder="1">
      <alignment vertical="center"/>
    </xf>
    <xf numFmtId="179" fontId="0" fillId="0" borderId="135" xfId="0" applyNumberFormat="1" applyFill="1" applyBorder="1" applyAlignment="1">
      <alignment vertical="center"/>
    </xf>
    <xf numFmtId="179" fontId="0" fillId="0" borderId="135" xfId="0" applyNumberFormat="1" applyFill="1" applyBorder="1">
      <alignment vertical="center"/>
    </xf>
    <xf numFmtId="176" fontId="5" fillId="0" borderId="135" xfId="0" applyNumberFormat="1" applyFont="1" applyFill="1" applyBorder="1">
      <alignment vertical="center"/>
    </xf>
    <xf numFmtId="176" fontId="0" fillId="0" borderId="135" xfId="0" applyNumberFormat="1" applyFill="1" applyBorder="1" applyAlignment="1">
      <alignment vertical="center"/>
    </xf>
    <xf numFmtId="176" fontId="1" fillId="0" borderId="23" xfId="11" applyNumberFormat="1" applyFill="1" applyBorder="1"/>
    <xf numFmtId="178" fontId="16" fillId="0" borderId="45" xfId="0" applyNumberFormat="1" applyFont="1" applyBorder="1" applyAlignment="1">
      <alignment vertical="center"/>
    </xf>
    <xf numFmtId="178" fontId="16" fillId="0" borderId="23" xfId="0" applyNumberFormat="1" applyFont="1" applyBorder="1" applyAlignment="1">
      <alignment vertical="center"/>
    </xf>
    <xf numFmtId="176" fontId="16" fillId="0" borderId="58" xfId="0" applyNumberFormat="1" applyFont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7" fontId="16" fillId="0" borderId="39" xfId="0" applyNumberFormat="1" applyFont="1" applyBorder="1" applyAlignment="1">
      <alignment vertical="center"/>
    </xf>
    <xf numFmtId="176" fontId="16" fillId="0" borderId="23" xfId="0" applyNumberFormat="1" applyFont="1" applyBorder="1" applyAlignment="1">
      <alignment vertical="center"/>
    </xf>
    <xf numFmtId="176" fontId="16" fillId="0" borderId="146" xfId="0" applyNumberFormat="1" applyFont="1" applyBorder="1" applyAlignment="1">
      <alignment vertical="center"/>
    </xf>
    <xf numFmtId="177" fontId="16" fillId="0" borderId="146" xfId="0" applyNumberFormat="1" applyFont="1" applyBorder="1" applyAlignment="1">
      <alignment vertical="center"/>
    </xf>
    <xf numFmtId="176" fontId="16" fillId="0" borderId="147" xfId="0" applyNumberFormat="1" applyFont="1" applyBorder="1" applyAlignment="1">
      <alignment vertical="center"/>
    </xf>
    <xf numFmtId="176" fontId="0" fillId="0" borderId="23" xfId="0" applyNumberFormat="1" applyFill="1" applyBorder="1">
      <alignment vertical="center"/>
    </xf>
    <xf numFmtId="176" fontId="0" fillId="0" borderId="58" xfId="0" applyNumberFormat="1" applyFill="1" applyBorder="1">
      <alignment vertical="center"/>
    </xf>
    <xf numFmtId="177" fontId="16" fillId="0" borderId="147" xfId="0" applyNumberFormat="1" applyFont="1" applyBorder="1" applyAlignment="1">
      <alignment vertical="center"/>
    </xf>
    <xf numFmtId="176" fontId="0" fillId="0" borderId="151" xfId="0" applyNumberFormat="1" applyFill="1" applyBorder="1" applyAlignment="1">
      <alignment horizontal="center" vertical="center"/>
    </xf>
    <xf numFmtId="176" fontId="0" fillId="0" borderId="44" xfId="0" applyNumberFormat="1" applyFill="1" applyBorder="1">
      <alignment vertical="center"/>
    </xf>
    <xf numFmtId="176" fontId="0" fillId="0" borderId="60" xfId="0" applyNumberFormat="1" applyFill="1" applyBorder="1">
      <alignment vertical="center"/>
    </xf>
    <xf numFmtId="177" fontId="16" fillId="0" borderId="198" xfId="0" applyNumberFormat="1" applyFont="1" applyFill="1" applyBorder="1">
      <alignment vertical="center"/>
    </xf>
    <xf numFmtId="177" fontId="16" fillId="0" borderId="23" xfId="0" applyNumberFormat="1" applyFont="1" applyFill="1" applyBorder="1">
      <alignment vertical="center"/>
    </xf>
    <xf numFmtId="177" fontId="16" fillId="0" borderId="23" xfId="0" applyNumberFormat="1" applyFont="1" applyFill="1" applyBorder="1" applyAlignment="1">
      <alignment horizontal="center" vertical="center"/>
    </xf>
    <xf numFmtId="177" fontId="16" fillId="0" borderId="58" xfId="0" applyNumberFormat="1" applyFont="1" applyFill="1" applyBorder="1">
      <alignment vertical="center"/>
    </xf>
    <xf numFmtId="177" fontId="16" fillId="0" borderId="198" xfId="0" applyNumberFormat="1" applyFont="1" applyFill="1" applyBorder="1" applyAlignment="1">
      <alignment vertical="center" shrinkToFit="1"/>
    </xf>
    <xf numFmtId="177" fontId="16" fillId="0" borderId="198" xfId="0" applyNumberFormat="1" applyFont="1" applyFill="1" applyBorder="1" applyAlignment="1">
      <alignment vertical="center"/>
    </xf>
    <xf numFmtId="176" fontId="16" fillId="0" borderId="93" xfId="0" applyNumberFormat="1" applyFont="1" applyBorder="1" applyAlignment="1">
      <alignment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45" xfId="0" applyNumberFormat="1" applyFill="1" applyBorder="1">
      <alignment vertical="center"/>
    </xf>
    <xf numFmtId="176" fontId="0" fillId="0" borderId="45" xfId="0" applyNumberFormat="1" applyFill="1" applyBorder="1" applyAlignment="1">
      <alignment horizontal="center" vertical="center"/>
    </xf>
    <xf numFmtId="176" fontId="0" fillId="0" borderId="63" xfId="0" applyNumberFormat="1" applyFill="1" applyBorder="1">
      <alignment vertical="center"/>
    </xf>
    <xf numFmtId="177" fontId="16" fillId="0" borderId="135" xfId="0" applyNumberFormat="1" applyFont="1" applyFill="1" applyBorder="1" applyAlignment="1">
      <alignment vertical="center"/>
    </xf>
    <xf numFmtId="177" fontId="16" fillId="0" borderId="138" xfId="0" applyNumberFormat="1" applyFont="1" applyFill="1" applyBorder="1" applyAlignment="1">
      <alignment horizontal="center" vertical="center"/>
    </xf>
    <xf numFmtId="178" fontId="16" fillId="0" borderId="135" xfId="0" applyNumberFormat="1" applyFont="1" applyFill="1" applyBorder="1">
      <alignment vertical="center"/>
    </xf>
    <xf numFmtId="177" fontId="16" fillId="0" borderId="135" xfId="0" applyNumberFormat="1" applyFont="1" applyFill="1" applyBorder="1" applyAlignment="1">
      <alignment horizontal="center" vertical="center"/>
    </xf>
    <xf numFmtId="177" fontId="16" fillId="0" borderId="135" xfId="0" applyNumberFormat="1" applyFont="1" applyFill="1" applyBorder="1" applyAlignment="1">
      <alignment horizontal="left" vertical="center"/>
    </xf>
    <xf numFmtId="177" fontId="16" fillId="0" borderId="138" xfId="0" applyNumberFormat="1" applyFont="1" applyFill="1" applyBorder="1" applyAlignment="1">
      <alignment vertical="center"/>
    </xf>
    <xf numFmtId="177" fontId="16" fillId="0" borderId="199" xfId="0" applyNumberFormat="1" applyFont="1" applyFill="1" applyBorder="1" applyAlignment="1">
      <alignment vertical="center"/>
    </xf>
    <xf numFmtId="177" fontId="16" fillId="0" borderId="23" xfId="0" applyNumberFormat="1" applyFont="1" applyFill="1" applyBorder="1" applyAlignment="1">
      <alignment vertical="center"/>
    </xf>
    <xf numFmtId="177" fontId="16" fillId="0" borderId="138" xfId="0" applyNumberFormat="1" applyFont="1" applyFill="1" applyBorder="1">
      <alignment vertical="center"/>
    </xf>
    <xf numFmtId="177" fontId="16" fillId="0" borderId="10" xfId="0" applyNumberFormat="1" applyFont="1" applyFill="1" applyBorder="1">
      <alignment vertical="center"/>
    </xf>
    <xf numFmtId="177" fontId="16" fillId="0" borderId="0" xfId="0" applyNumberFormat="1" applyFont="1" applyFill="1" applyBorder="1" applyAlignment="1">
      <alignment vertical="center"/>
    </xf>
    <xf numFmtId="176" fontId="16" fillId="0" borderId="135" xfId="0" applyNumberFormat="1" applyFont="1" applyFill="1" applyBorder="1">
      <alignment vertical="center"/>
    </xf>
    <xf numFmtId="176" fontId="16" fillId="0" borderId="135" xfId="0" applyNumberFormat="1" applyFont="1" applyFill="1" applyBorder="1" applyAlignment="1">
      <alignment horizontal="left" vertical="center"/>
    </xf>
    <xf numFmtId="176" fontId="16" fillId="0" borderId="135" xfId="0" applyNumberFormat="1" applyFont="1" applyFill="1" applyBorder="1" applyAlignment="1">
      <alignment horizontal="center"/>
    </xf>
    <xf numFmtId="179" fontId="16" fillId="0" borderId="135" xfId="0" applyNumberFormat="1" applyFont="1" applyFill="1" applyBorder="1">
      <alignment vertical="center"/>
    </xf>
    <xf numFmtId="176" fontId="16" fillId="0" borderId="135" xfId="0" applyNumberFormat="1" applyFont="1" applyFill="1" applyBorder="1" applyAlignment="1">
      <alignment vertical="center"/>
    </xf>
    <xf numFmtId="176" fontId="16" fillId="0" borderId="200" xfId="0" applyNumberFormat="1" applyFont="1" applyFill="1" applyBorder="1" applyAlignment="1">
      <alignment vertical="center"/>
    </xf>
    <xf numFmtId="176" fontId="16" fillId="0" borderId="135" xfId="0" applyNumberFormat="1" applyFont="1" applyFill="1" applyBorder="1" applyAlignment="1">
      <alignment vertical="center" shrinkToFit="1"/>
    </xf>
    <xf numFmtId="179" fontId="16" fillId="0" borderId="135" xfId="0" applyNumberFormat="1" applyFont="1" applyFill="1" applyBorder="1" applyAlignment="1">
      <alignment horizontal="right"/>
    </xf>
    <xf numFmtId="179" fontId="16" fillId="0" borderId="135" xfId="0" applyNumberFormat="1" applyFont="1" applyFill="1" applyBorder="1" applyAlignment="1">
      <alignment vertical="center"/>
    </xf>
    <xf numFmtId="177" fontId="16" fillId="0" borderId="0" xfId="0" applyNumberFormat="1" applyFont="1" applyBorder="1" applyAlignment="1">
      <alignment vertical="center"/>
    </xf>
    <xf numFmtId="176" fontId="16" fillId="0" borderId="135" xfId="0" applyNumberFormat="1" applyFont="1" applyFill="1" applyBorder="1" applyAlignment="1">
      <alignment horizontal="right" vertical="center"/>
    </xf>
    <xf numFmtId="176" fontId="16" fillId="0" borderId="135" xfId="0" quotePrefix="1" applyNumberFormat="1" applyFont="1" applyFill="1" applyBorder="1" applyAlignment="1">
      <alignment horizontal="center" vertical="center"/>
    </xf>
    <xf numFmtId="176" fontId="16" fillId="0" borderId="0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86" fontId="16" fillId="0" borderId="28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8" borderId="152" xfId="0" applyFont="1" applyFill="1" applyBorder="1" applyAlignment="1">
      <alignment horizontal="center" vertical="center" wrapText="1"/>
    </xf>
    <xf numFmtId="0" fontId="16" fillId="8" borderId="15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8" borderId="47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135" xfId="0" applyFont="1" applyBorder="1" applyAlignment="1">
      <alignment vertical="center"/>
    </xf>
    <xf numFmtId="0" fontId="16" fillId="0" borderId="138" xfId="0" applyFont="1" applyBorder="1" applyAlignment="1">
      <alignment vertical="center"/>
    </xf>
    <xf numFmtId="0" fontId="16" fillId="0" borderId="189" xfId="0" applyFont="1" applyBorder="1" applyAlignment="1">
      <alignment vertical="center"/>
    </xf>
    <xf numFmtId="0" fontId="16" fillId="0" borderId="204" xfId="0" applyFont="1" applyBorder="1" applyAlignment="1">
      <alignment vertical="center"/>
    </xf>
    <xf numFmtId="0" fontId="16" fillId="0" borderId="205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210" xfId="2" applyFont="1" applyBorder="1" applyAlignment="1">
      <alignment horizontal="center" vertical="center" wrapText="1"/>
    </xf>
    <xf numFmtId="0" fontId="16" fillId="0" borderId="215" xfId="0" applyFont="1" applyBorder="1" applyAlignment="1">
      <alignment horizontal="center" vertical="center" wrapText="1"/>
    </xf>
    <xf numFmtId="0" fontId="16" fillId="0" borderId="215" xfId="0" applyFont="1" applyFill="1" applyBorder="1" applyAlignment="1">
      <alignment horizontal="center" vertical="center" wrapText="1"/>
    </xf>
    <xf numFmtId="0" fontId="16" fillId="0" borderId="215" xfId="0" applyFont="1" applyBorder="1" applyAlignment="1">
      <alignment vertical="center"/>
    </xf>
    <xf numFmtId="0" fontId="16" fillId="8" borderId="216" xfId="0" applyFont="1" applyFill="1" applyBorder="1" applyAlignment="1">
      <alignment horizontal="center" vertical="center" wrapText="1"/>
    </xf>
    <xf numFmtId="0" fontId="16" fillId="0" borderId="218" xfId="0" applyFont="1" applyBorder="1" applyAlignment="1">
      <alignment vertical="center"/>
    </xf>
    <xf numFmtId="0" fontId="16" fillId="0" borderId="220" xfId="0" applyFont="1" applyBorder="1" applyAlignment="1">
      <alignment vertical="center"/>
    </xf>
    <xf numFmtId="0" fontId="18" fillId="0" borderId="215" xfId="0" applyFont="1" applyBorder="1" applyAlignment="1">
      <alignment vertical="center"/>
    </xf>
    <xf numFmtId="0" fontId="18" fillId="0" borderId="136" xfId="0" applyFont="1" applyBorder="1" applyAlignment="1">
      <alignment vertical="center"/>
    </xf>
    <xf numFmtId="0" fontId="16" fillId="0" borderId="103" xfId="0" applyFont="1" applyBorder="1" applyAlignment="1">
      <alignment vertical="center"/>
    </xf>
    <xf numFmtId="0" fontId="16" fillId="0" borderId="178" xfId="0" applyFont="1" applyBorder="1" applyAlignment="1">
      <alignment vertical="center"/>
    </xf>
    <xf numFmtId="179" fontId="16" fillId="0" borderId="1" xfId="0" applyNumberFormat="1" applyFont="1" applyBorder="1" applyAlignment="1">
      <alignment vertical="center" shrinkToFit="1"/>
    </xf>
    <xf numFmtId="179" fontId="16" fillId="0" borderId="65" xfId="0" applyNumberFormat="1" applyFont="1" applyBorder="1" applyAlignment="1">
      <alignment vertical="center" shrinkToFit="1"/>
    </xf>
    <xf numFmtId="176" fontId="0" fillId="0" borderId="135" xfId="0" applyNumberFormat="1" applyFont="1" applyFill="1" applyBorder="1" applyAlignment="1">
      <alignment horizontal="right"/>
    </xf>
    <xf numFmtId="0" fontId="0" fillId="0" borderId="222" xfId="0" applyFill="1" applyBorder="1">
      <alignment vertical="center"/>
    </xf>
    <xf numFmtId="0" fontId="0" fillId="0" borderId="223" xfId="0" applyFill="1" applyBorder="1">
      <alignment vertical="center"/>
    </xf>
    <xf numFmtId="0" fontId="0" fillId="0" borderId="224" xfId="0" applyFill="1" applyBorder="1">
      <alignment vertical="center"/>
    </xf>
    <xf numFmtId="0" fontId="0" fillId="0" borderId="225" xfId="0" applyFill="1" applyBorder="1">
      <alignment vertical="center"/>
    </xf>
    <xf numFmtId="179" fontId="16" fillId="0" borderId="226" xfId="0" applyNumberFormat="1" applyFont="1" applyFill="1" applyBorder="1">
      <alignment vertical="center"/>
    </xf>
    <xf numFmtId="179" fontId="16" fillId="0" borderId="227" xfId="0" applyNumberFormat="1" applyFont="1" applyFill="1" applyBorder="1">
      <alignment vertical="center"/>
    </xf>
    <xf numFmtId="179" fontId="0" fillId="0" borderId="228" xfId="0" applyNumberFormat="1" applyFont="1" applyBorder="1" applyAlignment="1">
      <alignment vertical="center" shrinkToFit="1"/>
    </xf>
    <xf numFmtId="179" fontId="0" fillId="0" borderId="229" xfId="0" applyNumberFormat="1" applyFont="1" applyBorder="1" applyAlignment="1">
      <alignment vertical="center" shrinkToFit="1"/>
    </xf>
    <xf numFmtId="179" fontId="0" fillId="0" borderId="230" xfId="0" applyNumberFormat="1" applyFont="1" applyBorder="1" applyAlignment="1">
      <alignment vertical="center" shrinkToFit="1"/>
    </xf>
    <xf numFmtId="179" fontId="0" fillId="0" borderId="231" xfId="0" applyNumberFormat="1" applyFont="1" applyBorder="1" applyAlignment="1">
      <alignment vertical="center" shrinkToFit="1"/>
    </xf>
    <xf numFmtId="184" fontId="0" fillId="0" borderId="232" xfId="0" applyNumberFormat="1" applyFont="1" applyBorder="1" applyAlignment="1">
      <alignment vertical="center" shrinkToFit="1"/>
    </xf>
    <xf numFmtId="184" fontId="0" fillId="0" borderId="233" xfId="0" applyNumberFormat="1" applyFont="1" applyBorder="1" applyAlignment="1">
      <alignment vertical="center" shrinkToFit="1"/>
    </xf>
    <xf numFmtId="184" fontId="13" fillId="0" borderId="233" xfId="0" applyNumberFormat="1" applyFont="1" applyBorder="1" applyAlignment="1">
      <alignment vertical="center" shrinkToFit="1"/>
    </xf>
    <xf numFmtId="176" fontId="16" fillId="0" borderId="234" xfId="0" applyNumberFormat="1" applyFont="1" applyBorder="1" applyAlignment="1">
      <alignment horizontal="center" vertical="center"/>
    </xf>
    <xf numFmtId="176" fontId="16" fillId="0" borderId="235" xfId="0" applyNumberFormat="1" applyFont="1" applyBorder="1" applyAlignment="1">
      <alignment horizontal="center" vertical="center"/>
    </xf>
    <xf numFmtId="0" fontId="0" fillId="0" borderId="236" xfId="0" applyFill="1" applyBorder="1">
      <alignment vertical="center"/>
    </xf>
    <xf numFmtId="0" fontId="0" fillId="0" borderId="237" xfId="0" applyFill="1" applyBorder="1">
      <alignment vertical="center"/>
    </xf>
    <xf numFmtId="179" fontId="16" fillId="0" borderId="238" xfId="0" applyNumberFormat="1" applyFont="1" applyFill="1" applyBorder="1">
      <alignment vertical="center"/>
    </xf>
    <xf numFmtId="176" fontId="16" fillId="0" borderId="239" xfId="0" applyNumberFormat="1" applyFont="1" applyBorder="1" applyAlignment="1">
      <alignment horizontal="center" vertical="center"/>
    </xf>
    <xf numFmtId="0" fontId="0" fillId="0" borderId="240" xfId="0" applyFill="1" applyBorder="1">
      <alignment vertical="center"/>
    </xf>
    <xf numFmtId="0" fontId="0" fillId="0" borderId="241" xfId="0" applyFill="1" applyBorder="1">
      <alignment vertical="center"/>
    </xf>
    <xf numFmtId="179" fontId="16" fillId="0" borderId="242" xfId="0" applyNumberFormat="1" applyFont="1" applyFill="1" applyBorder="1">
      <alignment vertical="center"/>
    </xf>
    <xf numFmtId="179" fontId="0" fillId="0" borderId="243" xfId="0" applyNumberFormat="1" applyFont="1" applyBorder="1" applyAlignment="1">
      <alignment vertical="center" shrinkToFit="1"/>
    </xf>
    <xf numFmtId="179" fontId="0" fillId="0" borderId="244" xfId="0" applyNumberFormat="1" applyFont="1" applyBorder="1" applyAlignment="1">
      <alignment vertical="center" shrinkToFit="1"/>
    </xf>
    <xf numFmtId="184" fontId="0" fillId="0" borderId="245" xfId="0" applyNumberFormat="1" applyFont="1" applyBorder="1" applyAlignment="1">
      <alignment vertical="center" shrinkToFit="1"/>
    </xf>
    <xf numFmtId="176" fontId="16" fillId="0" borderId="246" xfId="0" applyNumberFormat="1" applyFont="1" applyBorder="1" applyAlignment="1">
      <alignment horizontal="center" vertical="center"/>
    </xf>
    <xf numFmtId="0" fontId="0" fillId="0" borderId="247" xfId="0" applyFill="1" applyBorder="1">
      <alignment vertical="center"/>
    </xf>
    <xf numFmtId="0" fontId="0" fillId="0" borderId="248" xfId="0" applyFill="1" applyBorder="1">
      <alignment vertical="center"/>
    </xf>
    <xf numFmtId="179" fontId="16" fillId="0" borderId="249" xfId="0" applyNumberFormat="1" applyFont="1" applyFill="1" applyBorder="1">
      <alignment vertical="center"/>
    </xf>
    <xf numFmtId="179" fontId="0" fillId="0" borderId="250" xfId="0" applyNumberFormat="1" applyFont="1" applyBorder="1" applyAlignment="1">
      <alignment vertical="center" shrinkToFit="1"/>
    </xf>
    <xf numFmtId="179" fontId="0" fillId="0" borderId="251" xfId="0" applyNumberFormat="1" applyFont="1" applyBorder="1" applyAlignment="1">
      <alignment vertical="center" shrinkToFit="1"/>
    </xf>
    <xf numFmtId="184" fontId="0" fillId="0" borderId="252" xfId="0" applyNumberFormat="1" applyFont="1" applyBorder="1" applyAlignment="1">
      <alignment vertical="center" shrinkToFit="1"/>
    </xf>
    <xf numFmtId="176" fontId="16" fillId="0" borderId="253" xfId="0" applyNumberFormat="1" applyFont="1" applyBorder="1" applyAlignment="1">
      <alignment horizontal="center" vertical="center"/>
    </xf>
    <xf numFmtId="179" fontId="0" fillId="0" borderId="105" xfId="0" applyNumberFormat="1" applyFont="1" applyBorder="1" applyAlignment="1">
      <alignment vertical="center" shrinkToFit="1"/>
    </xf>
    <xf numFmtId="184" fontId="0" fillId="0" borderId="182" xfId="1" applyNumberFormat="1" applyFont="1" applyFill="1" applyBorder="1">
      <alignment vertical="center"/>
    </xf>
    <xf numFmtId="179" fontId="0" fillId="0" borderId="139" xfId="0" applyNumberFormat="1" applyFont="1" applyBorder="1" applyAlignment="1">
      <alignment vertical="center" shrinkToFit="1"/>
    </xf>
    <xf numFmtId="179" fontId="0" fillId="0" borderId="254" xfId="0" applyNumberFormat="1" applyFont="1" applyBorder="1" applyAlignment="1">
      <alignment vertical="center" shrinkToFit="1"/>
    </xf>
    <xf numFmtId="179" fontId="0" fillId="0" borderId="140" xfId="0" applyNumberFormat="1" applyFont="1" applyBorder="1" applyAlignment="1">
      <alignment vertical="center" shrinkToFit="1"/>
    </xf>
    <xf numFmtId="182" fontId="0" fillId="0" borderId="138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6" fillId="0" borderId="126" xfId="0" applyNumberFormat="1" applyFont="1" applyFill="1" applyBorder="1" applyAlignment="1">
      <alignment vertical="top" wrapText="1"/>
    </xf>
    <xf numFmtId="0" fontId="1" fillId="0" borderId="154" xfId="2" applyFont="1" applyBorder="1" applyAlignment="1">
      <alignment horizontal="center" vertical="center" wrapText="1"/>
    </xf>
    <xf numFmtId="0" fontId="1" fillId="0" borderId="155" xfId="2" applyFont="1" applyBorder="1" applyAlignment="1">
      <alignment horizontal="center" vertical="center" wrapText="1"/>
    </xf>
    <xf numFmtId="179" fontId="16" fillId="0" borderId="255" xfId="0" applyNumberFormat="1" applyFont="1" applyFill="1" applyBorder="1">
      <alignment vertical="center"/>
    </xf>
    <xf numFmtId="179" fontId="16" fillId="0" borderId="66" xfId="0" applyNumberFormat="1" applyFont="1" applyFill="1" applyBorder="1">
      <alignment vertical="center"/>
    </xf>
    <xf numFmtId="179" fontId="16" fillId="0" borderId="228" xfId="0" applyNumberFormat="1" applyFont="1" applyFill="1" applyBorder="1">
      <alignment vertical="center"/>
    </xf>
    <xf numFmtId="179" fontId="16" fillId="0" borderId="229" xfId="0" applyNumberFormat="1" applyFont="1" applyFill="1" applyBorder="1">
      <alignment vertical="center"/>
    </xf>
    <xf numFmtId="179" fontId="16" fillId="0" borderId="228" xfId="0" applyNumberFormat="1" applyFont="1" applyBorder="1" applyAlignment="1">
      <alignment vertical="center" shrinkToFit="1"/>
    </xf>
    <xf numFmtId="179" fontId="16" fillId="0" borderId="229" xfId="0" applyNumberFormat="1" applyFont="1" applyBorder="1" applyAlignment="1">
      <alignment vertical="center" shrinkToFit="1"/>
    </xf>
    <xf numFmtId="179" fontId="16" fillId="0" borderId="256" xfId="0" applyNumberFormat="1" applyFont="1" applyFill="1" applyBorder="1">
      <alignment vertical="center"/>
    </xf>
    <xf numFmtId="179" fontId="16" fillId="0" borderId="65" xfId="0" applyNumberFormat="1" applyFont="1" applyFill="1" applyBorder="1">
      <alignment vertical="center"/>
    </xf>
    <xf numFmtId="179" fontId="16" fillId="0" borderId="257" xfId="0" applyNumberFormat="1" applyFont="1" applyFill="1" applyBorder="1">
      <alignment vertical="center"/>
    </xf>
    <xf numFmtId="179" fontId="16" fillId="0" borderId="243" xfId="0" applyNumberFormat="1" applyFont="1" applyFill="1" applyBorder="1">
      <alignment vertical="center"/>
    </xf>
    <xf numFmtId="179" fontId="16" fillId="0" borderId="243" xfId="0" applyNumberFormat="1" applyFont="1" applyBorder="1" applyAlignment="1">
      <alignment vertical="center" shrinkToFit="1"/>
    </xf>
    <xf numFmtId="179" fontId="16" fillId="0" borderId="138" xfId="0" applyNumberFormat="1" applyFont="1" applyBorder="1" applyAlignment="1">
      <alignment vertical="center" shrinkToFit="1"/>
    </xf>
    <xf numFmtId="179" fontId="16" fillId="0" borderId="258" xfId="0" applyNumberFormat="1" applyFont="1" applyFill="1" applyBorder="1">
      <alignment vertical="center"/>
    </xf>
    <xf numFmtId="179" fontId="16" fillId="0" borderId="250" xfId="0" applyNumberFormat="1" applyFont="1" applyFill="1" applyBorder="1">
      <alignment vertical="center"/>
    </xf>
    <xf numFmtId="179" fontId="16" fillId="0" borderId="250" xfId="0" applyNumberFormat="1" applyFont="1" applyBorder="1" applyAlignment="1">
      <alignment vertical="center" shrinkToFit="1"/>
    </xf>
    <xf numFmtId="179" fontId="16" fillId="0" borderId="135" xfId="0" applyNumberFormat="1" applyFont="1" applyBorder="1" applyAlignment="1">
      <alignment vertical="center" shrinkToFit="1"/>
    </xf>
    <xf numFmtId="179" fontId="0" fillId="0" borderId="160" xfId="0" applyNumberFormat="1" applyFont="1" applyBorder="1" applyAlignment="1">
      <alignment vertical="center" shrinkToFit="1"/>
    </xf>
    <xf numFmtId="176" fontId="16" fillId="0" borderId="112" xfId="0" applyNumberFormat="1" applyFont="1" applyBorder="1" applyAlignment="1">
      <alignment vertical="center"/>
    </xf>
    <xf numFmtId="0" fontId="0" fillId="0" borderId="53" xfId="2" applyFont="1" applyFill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79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162" xfId="0" applyFont="1" applyBorder="1" applyAlignment="1">
      <alignment horizontal="center"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162" xfId="0" quotePrefix="1" applyFont="1" applyBorder="1" applyAlignment="1">
      <alignment horizontal="center" vertical="center" shrinkToFit="1"/>
    </xf>
    <xf numFmtId="0" fontId="8" fillId="0" borderId="165" xfId="0" applyFont="1" applyBorder="1" applyAlignment="1">
      <alignment horizontal="center" vertical="center" shrinkToFit="1"/>
    </xf>
    <xf numFmtId="0" fontId="8" fillId="0" borderId="95" xfId="0" quotePrefix="1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0" fontId="1" fillId="0" borderId="93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1" fillId="0" borderId="36" xfId="2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" fillId="0" borderId="59" xfId="2" applyFont="1" applyBorder="1" applyAlignment="1">
      <alignment horizontal="center" vertical="center"/>
    </xf>
    <xf numFmtId="0" fontId="1" fillId="0" borderId="44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6" fillId="0" borderId="45" xfId="0" applyFont="1" applyBorder="1" applyAlignment="1">
      <alignment vertical="center"/>
    </xf>
    <xf numFmtId="0" fontId="16" fillId="0" borderId="63" xfId="0" applyFont="1" applyBorder="1" applyAlignment="1">
      <alignment vertical="center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/>
    </xf>
    <xf numFmtId="0" fontId="1" fillId="0" borderId="90" xfId="2" applyFont="1" applyBorder="1" applyAlignment="1">
      <alignment horizontal="center" vertical="center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8" fillId="0" borderId="219" xfId="2" applyFont="1" applyBorder="1" applyAlignment="1">
      <alignment horizontal="center" vertical="center" wrapText="1"/>
    </xf>
    <xf numFmtId="0" fontId="8" fillId="0" borderId="214" xfId="2" applyFont="1" applyBorder="1" applyAlignment="1">
      <alignment horizontal="center" vertical="center" wrapText="1"/>
    </xf>
    <xf numFmtId="0" fontId="8" fillId="0" borderId="221" xfId="2" applyFont="1" applyBorder="1" applyAlignment="1">
      <alignment horizontal="center" vertical="center" wrapText="1"/>
    </xf>
    <xf numFmtId="0" fontId="8" fillId="0" borderId="208" xfId="2" applyFont="1" applyBorder="1" applyAlignment="1">
      <alignment horizontal="center" vertical="center" wrapText="1"/>
    </xf>
    <xf numFmtId="0" fontId="8" fillId="0" borderId="213" xfId="2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8" fillId="0" borderId="207" xfId="2" applyFont="1" applyBorder="1" applyAlignment="1">
      <alignment horizontal="center" vertical="center" wrapText="1"/>
    </xf>
    <xf numFmtId="0" fontId="8" fillId="0" borderId="209" xfId="2" applyFont="1" applyBorder="1" applyAlignment="1">
      <alignment horizontal="center" vertical="center" wrapText="1"/>
    </xf>
    <xf numFmtId="0" fontId="8" fillId="0" borderId="212" xfId="2" applyFont="1" applyBorder="1" applyAlignment="1">
      <alignment horizontal="center" vertical="center" wrapText="1"/>
    </xf>
    <xf numFmtId="0" fontId="8" fillId="0" borderId="211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textRotation="255" shrinkToFit="1"/>
    </xf>
    <xf numFmtId="0" fontId="8" fillId="0" borderId="214" xfId="2" applyFont="1" applyBorder="1" applyAlignment="1">
      <alignment horizontal="center" vertical="center" textRotation="255" shrinkToFit="1"/>
    </xf>
    <xf numFmtId="0" fontId="8" fillId="0" borderId="217" xfId="2" applyFont="1" applyBorder="1" applyAlignment="1">
      <alignment horizontal="center" vertical="center" textRotation="255" shrinkToFit="1"/>
    </xf>
    <xf numFmtId="0" fontId="16" fillId="0" borderId="1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7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3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9" xfId="2" applyFont="1" applyBorder="1" applyAlignment="1">
      <alignment horizontal="left" vertical="center" wrapText="1"/>
    </xf>
    <xf numFmtId="0" fontId="18" fillId="0" borderId="201" xfId="0" applyFont="1" applyBorder="1" applyAlignment="1">
      <alignment horizontal="center" vertical="center"/>
    </xf>
    <xf numFmtId="0" fontId="1" fillId="0" borderId="202" xfId="0" applyFont="1" applyBorder="1" applyAlignment="1">
      <alignment horizontal="center" vertical="center"/>
    </xf>
    <xf numFmtId="0" fontId="1" fillId="0" borderId="203" xfId="0" applyFont="1" applyBorder="1" applyAlignment="1">
      <alignment horizontal="center" vertical="center"/>
    </xf>
    <xf numFmtId="0" fontId="18" fillId="0" borderId="201" xfId="0" applyFont="1" applyBorder="1" applyAlignment="1">
      <alignment horizontal="center" vertical="center" wrapText="1"/>
    </xf>
    <xf numFmtId="0" fontId="18" fillId="0" borderId="202" xfId="0" applyFont="1" applyBorder="1" applyAlignment="1">
      <alignment horizontal="center" vertical="center" wrapText="1"/>
    </xf>
    <xf numFmtId="0" fontId="18" fillId="0" borderId="203" xfId="0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textRotation="255" wrapText="1"/>
    </xf>
    <xf numFmtId="0" fontId="8" fillId="0" borderId="107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1" fillId="0" borderId="80" xfId="2" applyFont="1" applyBorder="1" applyAlignment="1">
      <alignment horizontal="center" vertical="center"/>
    </xf>
    <xf numFmtId="0" fontId="1" fillId="0" borderId="81" xfId="2" applyFont="1" applyBorder="1" applyAlignment="1">
      <alignment horizontal="center" vertical="center"/>
    </xf>
    <xf numFmtId="0" fontId="1" fillId="0" borderId="70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103" xfId="0" applyFont="1" applyBorder="1" applyAlignment="1">
      <alignment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0" borderId="151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0" fontId="0" fillId="0" borderId="151" xfId="0" applyFont="1" applyBorder="1" applyAlignment="1">
      <alignment vertical="center" wrapText="1"/>
    </xf>
    <xf numFmtId="0" fontId="0" fillId="0" borderId="39" xfId="0" applyFont="1" applyBorder="1" applyAlignment="1">
      <alignment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3" borderId="183" xfId="0" applyFont="1" applyFill="1" applyBorder="1" applyAlignment="1">
      <alignment horizontal="center" vertical="center"/>
    </xf>
    <xf numFmtId="0" fontId="0" fillId="3" borderId="113" xfId="0" applyFont="1" applyFill="1" applyBorder="1" applyAlignment="1">
      <alignment horizontal="center" vertical="center"/>
    </xf>
    <xf numFmtId="0" fontId="0" fillId="3" borderId="18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185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181" fontId="0" fillId="0" borderId="31" xfId="0" applyNumberFormat="1" applyFont="1" applyBorder="1" applyAlignment="1">
      <alignment vertical="center"/>
    </xf>
    <xf numFmtId="181" fontId="0" fillId="0" borderId="35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0" fontId="0" fillId="7" borderId="100" xfId="0" applyFont="1" applyFill="1" applyBorder="1" applyAlignment="1">
      <alignment horizontal="center" vertical="center"/>
    </xf>
    <xf numFmtId="0" fontId="0" fillId="7" borderId="39" xfId="0" applyFont="1" applyFill="1" applyBorder="1" applyAlignment="1">
      <alignment horizontal="center" vertical="center"/>
    </xf>
    <xf numFmtId="0" fontId="0" fillId="0" borderId="151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124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180" fontId="0" fillId="0" borderId="176" xfId="1" applyNumberFormat="1" applyFont="1" applyBorder="1" applyAlignment="1">
      <alignment horizontal="center" vertical="center"/>
    </xf>
    <xf numFmtId="180" fontId="0" fillId="0" borderId="102" xfId="1" applyNumberFormat="1" applyFont="1" applyBorder="1" applyAlignment="1">
      <alignment horizontal="center" vertical="center"/>
    </xf>
    <xf numFmtId="180" fontId="0" fillId="0" borderId="177" xfId="1" applyNumberFormat="1" applyFont="1" applyBorder="1" applyAlignment="1">
      <alignment horizontal="center" vertical="center"/>
    </xf>
    <xf numFmtId="180" fontId="0" fillId="0" borderId="131" xfId="1" applyNumberFormat="1" applyFont="1" applyBorder="1" applyAlignment="1">
      <alignment horizontal="center" vertical="center"/>
    </xf>
    <xf numFmtId="180" fontId="0" fillId="0" borderId="103" xfId="1" applyNumberFormat="1" applyFont="1" applyBorder="1" applyAlignment="1">
      <alignment horizontal="center" vertical="center"/>
    </xf>
    <xf numFmtId="180" fontId="0" fillId="0" borderId="178" xfId="1" applyNumberFormat="1" applyFont="1" applyBorder="1" applyAlignment="1">
      <alignment horizontal="center" vertical="center"/>
    </xf>
    <xf numFmtId="181" fontId="0" fillId="0" borderId="179" xfId="0" applyNumberFormat="1" applyFont="1" applyBorder="1" applyAlignment="1">
      <alignment vertical="center"/>
    </xf>
    <xf numFmtId="181" fontId="0" fillId="0" borderId="180" xfId="0" applyNumberFormat="1" applyFont="1" applyBorder="1" applyAlignment="1">
      <alignment vertical="center"/>
    </xf>
    <xf numFmtId="181" fontId="0" fillId="0" borderId="181" xfId="0" applyNumberFormat="1" applyFont="1" applyBorder="1" applyAlignment="1">
      <alignment vertical="center"/>
    </xf>
    <xf numFmtId="181" fontId="0" fillId="0" borderId="42" xfId="0" applyNumberFormat="1" applyFont="1" applyBorder="1" applyAlignment="1">
      <alignment vertical="center"/>
    </xf>
    <xf numFmtId="181" fontId="0" fillId="0" borderId="43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0" fontId="0" fillId="0" borderId="142" xfId="0" applyFont="1" applyBorder="1" applyAlignment="1">
      <alignment horizontal="center" vertical="center" textRotation="255"/>
    </xf>
    <xf numFmtId="0" fontId="0" fillId="0" borderId="100" xfId="0" applyFont="1" applyBorder="1" applyAlignment="1">
      <alignment horizontal="center" vertical="center" textRotation="255"/>
    </xf>
    <xf numFmtId="0" fontId="0" fillId="3" borderId="94" xfId="0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4" borderId="151" xfId="0" applyFont="1" applyFill="1" applyBorder="1" applyAlignment="1">
      <alignment horizontal="center" vertical="center" textRotation="255" wrapText="1"/>
    </xf>
    <xf numFmtId="0" fontId="0" fillId="4" borderId="39" xfId="0" applyFont="1" applyFill="1" applyBorder="1" applyAlignment="1">
      <alignment horizontal="center" vertical="center" textRotation="255" wrapText="1"/>
    </xf>
    <xf numFmtId="0" fontId="0" fillId="4" borderId="124" xfId="0" applyFont="1" applyFill="1" applyBorder="1" applyAlignment="1">
      <alignment horizontal="center" vertical="center" textRotation="255" wrapText="1"/>
    </xf>
    <xf numFmtId="0" fontId="0" fillId="4" borderId="151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176" fontId="0" fillId="0" borderId="174" xfId="0" applyNumberFormat="1" applyBorder="1" applyAlignment="1">
      <alignment horizontal="center" vertical="center"/>
    </xf>
    <xf numFmtId="176" fontId="0" fillId="0" borderId="11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2" xfId="0" applyNumberFormat="1" applyFont="1" applyBorder="1" applyAlignment="1">
      <alignment horizontal="center" vertical="center"/>
    </xf>
    <xf numFmtId="176" fontId="0" fillId="0" borderId="132" xfId="0" applyNumberFormat="1" applyFont="1" applyBorder="1" applyAlignment="1">
      <alignment horizontal="center" vertical="center"/>
    </xf>
    <xf numFmtId="176" fontId="0" fillId="0" borderId="111" xfId="0" applyNumberFormat="1" applyFont="1" applyBorder="1" applyAlignment="1">
      <alignment horizontal="center" vertical="center"/>
    </xf>
    <xf numFmtId="176" fontId="0" fillId="0" borderId="17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2" xfId="0" applyNumberForma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166" xfId="0" applyNumberFormat="1" applyFont="1" applyBorder="1" applyAlignment="1">
      <alignment horizontal="center" vertical="center"/>
    </xf>
    <xf numFmtId="176" fontId="0" fillId="0" borderId="16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left" vertical="center" indent="1"/>
    </xf>
    <xf numFmtId="176" fontId="0" fillId="0" borderId="47" xfId="0" applyNumberFormat="1" applyFont="1" applyBorder="1" applyAlignment="1">
      <alignment horizontal="left" vertical="center" indent="1"/>
    </xf>
    <xf numFmtId="176" fontId="0" fillId="0" borderId="70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16" fillId="0" borderId="70" xfId="0" applyNumberFormat="1" applyFont="1" applyBorder="1" applyAlignment="1">
      <alignment vertical="center"/>
    </xf>
    <xf numFmtId="176" fontId="16" fillId="0" borderId="47" xfId="0" applyNumberFormat="1" applyFont="1" applyBorder="1" applyAlignment="1">
      <alignment vertical="center"/>
    </xf>
    <xf numFmtId="176" fontId="16" fillId="0" borderId="70" xfId="0" applyNumberFormat="1" applyFont="1" applyBorder="1" applyAlignment="1">
      <alignment vertical="center" shrinkToFit="1"/>
    </xf>
    <xf numFmtId="176" fontId="16" fillId="0" borderId="47" xfId="0" applyNumberFormat="1" applyFont="1" applyBorder="1" applyAlignment="1">
      <alignment vertical="center" shrinkToFit="1"/>
    </xf>
    <xf numFmtId="176" fontId="0" fillId="0" borderId="9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7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6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7" fontId="0" fillId="0" borderId="35" xfId="0" applyNumberFormat="1" applyFont="1" applyFill="1" applyBorder="1" applyAlignment="1">
      <alignment vertical="center" shrinkToFit="1"/>
    </xf>
    <xf numFmtId="177" fontId="16" fillId="0" borderId="152" xfId="0" applyNumberFormat="1" applyFont="1" applyFill="1" applyBorder="1" applyAlignment="1">
      <alignment vertical="center"/>
    </xf>
    <xf numFmtId="177" fontId="16" fillId="0" borderId="159" xfId="0" applyNumberFormat="1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5" xfId="0" applyNumberForma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0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30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18" xfId="0" applyNumberFormat="1" applyFont="1" applyBorder="1" applyAlignment="1">
      <alignment vertical="center"/>
    </xf>
    <xf numFmtId="177" fontId="0" fillId="0" borderId="126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0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2" borderId="24" xfId="0" applyNumberFormat="1" applyFont="1" applyFill="1" applyBorder="1" applyAlignment="1">
      <alignment horizontal="right" vertical="center" shrinkToFit="1"/>
    </xf>
    <xf numFmtId="177" fontId="0" fillId="2" borderId="26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7" fontId="0" fillId="0" borderId="105" xfId="0" applyNumberFormat="1" applyFont="1" applyFill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6" borderId="42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29" xfId="0" applyNumberFormat="1" applyFill="1" applyBorder="1" applyAlignment="1">
      <alignment horizontal="center" vertical="center" shrinkToFit="1"/>
    </xf>
    <xf numFmtId="177" fontId="0" fillId="2" borderId="130" xfId="0" applyNumberFormat="1" applyFill="1" applyBorder="1" applyAlignment="1">
      <alignment horizontal="center" vertical="center" shrinkToFit="1"/>
    </xf>
    <xf numFmtId="177" fontId="0" fillId="0" borderId="132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22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9" xfId="0" applyNumberFormat="1" applyFill="1" applyBorder="1" applyAlignment="1">
      <alignment horizontal="center" vertical="center" textRotation="255" shrinkToFit="1"/>
    </xf>
    <xf numFmtId="0" fontId="0" fillId="0" borderId="128" xfId="0" applyFill="1" applyBorder="1" applyAlignment="1">
      <alignment horizontal="center" vertical="center" textRotation="255" wrapText="1"/>
    </xf>
    <xf numFmtId="0" fontId="0" fillId="0" borderId="39" xfId="0" applyFill="1" applyBorder="1" applyAlignment="1">
      <alignment horizontal="center" vertical="center" textRotation="255" wrapText="1"/>
    </xf>
    <xf numFmtId="0" fontId="0" fillId="0" borderId="74" xfId="0" applyFill="1" applyBorder="1" applyAlignment="1">
      <alignment horizontal="center" vertical="center" textRotation="255" wrapText="1"/>
    </xf>
    <xf numFmtId="177" fontId="0" fillId="0" borderId="22" xfId="0" applyNumberFormat="1" applyFont="1" applyFill="1" applyBorder="1" applyAlignment="1">
      <alignment vertical="center" shrinkToFit="1"/>
    </xf>
    <xf numFmtId="177" fontId="0" fillId="0" borderId="82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6" fontId="16" fillId="0" borderId="157" xfId="0" applyNumberFormat="1" applyFont="1" applyBorder="1" applyAlignment="1">
      <alignment horizontal="center" vertical="center" textRotation="255" shrinkToFit="1"/>
    </xf>
    <xf numFmtId="176" fontId="16" fillId="0" borderId="92" xfId="0" applyNumberFormat="1" applyFont="1" applyBorder="1" applyAlignment="1">
      <alignment horizontal="center" vertical="center" textRotation="255" shrinkToFit="1"/>
    </xf>
    <xf numFmtId="176" fontId="16" fillId="0" borderId="148" xfId="0" applyNumberFormat="1" applyFont="1" applyBorder="1" applyAlignment="1">
      <alignment horizontal="center" vertical="center"/>
    </xf>
    <xf numFmtId="176" fontId="16" fillId="0" borderId="149" xfId="0" applyNumberFormat="1" applyFont="1" applyBorder="1" applyAlignment="1">
      <alignment horizontal="center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36" xfId="0" applyNumberFormat="1" applyFont="1" applyBorder="1" applyAlignment="1">
      <alignment horizontal="center" vertical="center"/>
    </xf>
    <xf numFmtId="176" fontId="0" fillId="0" borderId="193" xfId="0" applyNumberFormat="1" applyFill="1" applyBorder="1" applyAlignment="1">
      <alignment horizontal="center" vertical="center"/>
    </xf>
    <xf numFmtId="176" fontId="0" fillId="0" borderId="59" xfId="0" applyNumberFormat="1" applyFill="1" applyBorder="1" applyAlignment="1">
      <alignment horizontal="center" vertical="center"/>
    </xf>
    <xf numFmtId="176" fontId="16" fillId="0" borderId="131" xfId="0" applyNumberFormat="1" applyFont="1" applyBorder="1" applyAlignment="1">
      <alignment horizontal="center" vertical="center"/>
    </xf>
    <xf numFmtId="176" fontId="16" fillId="0" borderId="194" xfId="0" applyNumberFormat="1" applyFont="1" applyBorder="1" applyAlignment="1">
      <alignment horizontal="center" vertical="center"/>
    </xf>
    <xf numFmtId="177" fontId="0" fillId="2" borderId="153" xfId="0" applyNumberFormat="1" applyFont="1" applyFill="1" applyBorder="1" applyAlignment="1">
      <alignment horizontal="center" vertical="center" shrinkToFit="1"/>
    </xf>
    <xf numFmtId="177" fontId="0" fillId="2" borderId="154" xfId="0" applyNumberFormat="1" applyFont="1" applyFill="1" applyBorder="1" applyAlignment="1">
      <alignment horizontal="center" vertical="center" shrinkToFit="1"/>
    </xf>
    <xf numFmtId="3" fontId="0" fillId="0" borderId="49" xfId="5" applyNumberFormat="1" applyFont="1" applyFill="1" applyBorder="1" applyAlignment="1">
      <alignment horizontal="center" vertical="center" shrinkToFit="1"/>
    </xf>
    <xf numFmtId="3" fontId="0" fillId="0" borderId="39" xfId="5" applyNumberFormat="1" applyFont="1" applyFill="1" applyBorder="1" applyAlignment="1">
      <alignment horizontal="center" vertical="center" shrinkToFit="1"/>
    </xf>
    <xf numFmtId="3" fontId="0" fillId="0" borderId="124" xfId="5" applyNumberFormat="1" applyFont="1" applyFill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00" xfId="3" applyNumberFormat="1" applyFont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142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7" xfId="0" applyNumberFormat="1" applyFont="1" applyBorder="1" applyAlignment="1">
      <alignment horizontal="center" vertical="center" shrinkToFit="1"/>
    </xf>
    <xf numFmtId="176" fontId="0" fillId="0" borderId="121" xfId="0" applyNumberFormat="1" applyFont="1" applyBorder="1" applyAlignment="1">
      <alignment horizontal="center" vertical="center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shrinkToFit="1"/>
    </xf>
    <xf numFmtId="176" fontId="0" fillId="0" borderId="101" xfId="0" applyNumberFormat="1" applyFont="1" applyBorder="1" applyAlignment="1">
      <alignment horizontal="center" vertical="center" textRotation="255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16" fillId="0" borderId="31" xfId="0" applyNumberFormat="1" applyFont="1" applyFill="1" applyBorder="1" applyAlignment="1">
      <alignment horizontal="center" vertical="center"/>
    </xf>
    <xf numFmtId="177" fontId="16" fillId="0" borderId="36" xfId="0" applyNumberFormat="1" applyFont="1" applyFill="1" applyBorder="1" applyAlignment="1">
      <alignment horizontal="center" vertical="center"/>
    </xf>
    <xf numFmtId="176" fontId="0" fillId="0" borderId="134" xfId="0" applyNumberFormat="1" applyFont="1" applyBorder="1" applyAlignment="1">
      <alignment horizontal="center" vertical="center" textRotation="255" shrinkToFit="1"/>
    </xf>
    <xf numFmtId="176" fontId="0" fillId="0" borderId="115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30" xfId="0" applyNumberFormat="1" applyFont="1" applyBorder="1" applyAlignment="1">
      <alignment horizontal="center" vertical="center" textRotation="255" shrinkToFit="1"/>
    </xf>
    <xf numFmtId="177" fontId="0" fillId="2" borderId="118" xfId="0" applyNumberFormat="1" applyFont="1" applyFill="1" applyBorder="1" applyAlignment="1">
      <alignment horizontal="center" vertical="center" shrinkToFit="1"/>
    </xf>
    <xf numFmtId="177" fontId="0" fillId="2" borderId="81" xfId="0" applyNumberFormat="1" applyFont="1" applyFill="1" applyBorder="1" applyAlignment="1">
      <alignment horizontal="center" vertical="center" shrinkToFit="1"/>
    </xf>
    <xf numFmtId="177" fontId="0" fillId="2" borderId="197" xfId="0" applyNumberFormat="1" applyFont="1" applyFill="1" applyBorder="1" applyAlignment="1">
      <alignment horizontal="center" vertical="center" shrinkToFit="1"/>
    </xf>
    <xf numFmtId="177" fontId="0" fillId="2" borderId="196" xfId="0" applyNumberFormat="1" applyFont="1" applyFill="1" applyBorder="1" applyAlignment="1">
      <alignment horizontal="center" vertical="center" shrinkToFit="1"/>
    </xf>
    <xf numFmtId="176" fontId="0" fillId="0" borderId="23" xfId="0" applyNumberFormat="1" applyFont="1" applyBorder="1" applyAlignment="1">
      <alignment vertical="center"/>
    </xf>
    <xf numFmtId="177" fontId="0" fillId="0" borderId="142" xfId="3" applyNumberFormat="1" applyFont="1" applyBorder="1" applyAlignment="1">
      <alignment horizontal="center" vertical="center" textRotation="255" shrinkToFit="1"/>
    </xf>
    <xf numFmtId="0" fontId="0" fillId="0" borderId="100" xfId="0" applyFont="1" applyBorder="1">
      <alignment vertical="center"/>
    </xf>
    <xf numFmtId="0" fontId="0" fillId="0" borderId="150" xfId="0" applyFont="1" applyBorder="1">
      <alignment vertical="center"/>
    </xf>
    <xf numFmtId="176" fontId="0" fillId="2" borderId="48" xfId="0" applyNumberFormat="1" applyFont="1" applyFill="1" applyBorder="1" applyAlignment="1">
      <alignment vertical="center" shrinkToFit="1"/>
    </xf>
    <xf numFmtId="176" fontId="0" fillId="0" borderId="48" xfId="0" applyNumberFormat="1" applyFont="1" applyBorder="1" applyAlignment="1">
      <alignment vertical="center"/>
    </xf>
    <xf numFmtId="176" fontId="0" fillId="2" borderId="195" xfId="0" applyNumberFormat="1" applyFont="1" applyFill="1" applyBorder="1" applyAlignment="1">
      <alignment horizontal="center" vertical="center" shrinkToFit="1"/>
    </xf>
    <xf numFmtId="176" fontId="0" fillId="2" borderId="196" xfId="0" applyNumberFormat="1" applyFont="1" applyFill="1" applyBorder="1" applyAlignment="1">
      <alignment horizontal="center" vertical="center" shrinkToFit="1"/>
    </xf>
    <xf numFmtId="177" fontId="0" fillId="0" borderId="32" xfId="3" applyNumberFormat="1" applyFont="1" applyBorder="1" applyAlignment="1">
      <alignment horizontal="center" vertical="center" shrinkToFit="1"/>
    </xf>
    <xf numFmtId="177" fontId="0" fillId="0" borderId="61" xfId="3" applyNumberFormat="1" applyFont="1" applyBorder="1" applyAlignment="1">
      <alignment horizontal="center" vertical="center" shrinkToFit="1"/>
    </xf>
    <xf numFmtId="176" fontId="16" fillId="0" borderId="23" xfId="0" applyNumberFormat="1" applyFont="1" applyBorder="1" applyAlignment="1">
      <alignment horizontal="right" vertical="center"/>
    </xf>
    <xf numFmtId="177" fontId="0" fillId="0" borderId="34" xfId="3" applyNumberFormat="1" applyFont="1" applyBorder="1" applyAlignment="1">
      <alignment horizontal="center" vertical="center" shrinkToFit="1"/>
    </xf>
    <xf numFmtId="177" fontId="0" fillId="0" borderId="145" xfId="3" applyNumberFormat="1" applyFont="1" applyBorder="1" applyAlignment="1">
      <alignment horizontal="center" vertical="center" textRotation="255" shrinkToFit="1"/>
    </xf>
    <xf numFmtId="177" fontId="0" fillId="0" borderId="93" xfId="3" applyNumberFormat="1" applyFont="1" applyBorder="1" applyAlignment="1">
      <alignment horizontal="center" vertical="center" textRotation="255" shrinkToFit="1"/>
    </xf>
    <xf numFmtId="176" fontId="16" fillId="0" borderId="148" xfId="0" applyNumberFormat="1" applyFont="1" applyBorder="1" applyAlignment="1">
      <alignment horizontal="right" vertical="center"/>
    </xf>
    <xf numFmtId="176" fontId="16" fillId="0" borderId="149" xfId="0" applyNumberFormat="1" applyFont="1" applyBorder="1" applyAlignment="1">
      <alignment horizontal="right" vertical="center"/>
    </xf>
    <xf numFmtId="176" fontId="16" fillId="0" borderId="31" xfId="0" applyNumberFormat="1" applyFont="1" applyBorder="1" applyAlignment="1">
      <alignment horizontal="right" vertical="center"/>
    </xf>
    <xf numFmtId="176" fontId="16" fillId="0" borderId="36" xfId="0" applyNumberFormat="1" applyFont="1" applyBorder="1" applyAlignment="1">
      <alignment horizontal="right" vertical="center"/>
    </xf>
    <xf numFmtId="176" fontId="0" fillId="0" borderId="31" xfId="3" applyNumberFormat="1" applyFont="1" applyFill="1" applyBorder="1" applyAlignment="1">
      <alignment vertical="center" shrinkToFit="1"/>
    </xf>
    <xf numFmtId="176" fontId="0" fillId="0" borderId="36" xfId="3" applyNumberFormat="1" applyFont="1" applyFill="1" applyBorder="1" applyAlignment="1">
      <alignment vertical="center" shrinkToFit="1"/>
    </xf>
    <xf numFmtId="176" fontId="0" fillId="0" borderId="31" xfId="0" applyNumberFormat="1" applyFont="1" applyFill="1" applyBorder="1" applyAlignment="1">
      <alignment vertical="center"/>
    </xf>
    <xf numFmtId="176" fontId="0" fillId="0" borderId="36" xfId="0" applyNumberFormat="1" applyFont="1" applyFill="1" applyBorder="1" applyAlignment="1">
      <alignment vertical="center"/>
    </xf>
    <xf numFmtId="176" fontId="0" fillId="2" borderId="37" xfId="0" applyNumberFormat="1" applyFont="1" applyFill="1" applyBorder="1" applyAlignment="1">
      <alignment vertical="center" shrinkToFit="1"/>
    </xf>
    <xf numFmtId="176" fontId="0" fillId="0" borderId="37" xfId="0" applyNumberFormat="1" applyFont="1" applyBorder="1" applyAlignment="1">
      <alignment vertical="center"/>
    </xf>
    <xf numFmtId="176" fontId="0" fillId="0" borderId="146" xfId="0" applyNumberFormat="1" applyFont="1" applyBorder="1" applyAlignment="1">
      <alignment vertical="center"/>
    </xf>
    <xf numFmtId="177" fontId="0" fillId="0" borderId="143" xfId="3" applyNumberFormat="1" applyFont="1" applyBorder="1" applyAlignment="1">
      <alignment horizontal="center" vertical="center" textRotation="255" shrinkToFit="1"/>
    </xf>
    <xf numFmtId="176" fontId="16" fillId="0" borderId="146" xfId="0" applyNumberFormat="1" applyFont="1" applyBorder="1" applyAlignment="1">
      <alignment horizontal="right" vertical="center"/>
    </xf>
  </cellXfs>
  <cellStyles count="12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算出基礎（農薬費・燃料費）" xfId="11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12</xdr:row>
      <xdr:rowOff>142875</xdr:rowOff>
    </xdr:from>
    <xdr:to>
      <xdr:col>26</xdr:col>
      <xdr:colOff>76200</xdr:colOff>
      <xdr:row>12</xdr:row>
      <xdr:rowOff>142875</xdr:rowOff>
    </xdr:to>
    <xdr:sp macro="" textlink="">
      <xdr:nvSpPr>
        <xdr:cNvPr id="26" name="Line 22"/>
        <xdr:cNvSpPr>
          <a:spLocks noChangeShapeType="1"/>
        </xdr:cNvSpPr>
      </xdr:nvSpPr>
      <xdr:spPr bwMode="auto">
        <a:xfrm flipV="1">
          <a:off x="9886950" y="3743325"/>
          <a:ext cx="5810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219075</xdr:colOff>
      <xdr:row>12</xdr:row>
      <xdr:rowOff>133350</xdr:rowOff>
    </xdr:from>
    <xdr:to>
      <xdr:col>36</xdr:col>
      <xdr:colOff>0</xdr:colOff>
      <xdr:row>12</xdr:row>
      <xdr:rowOff>133350</xdr:rowOff>
    </xdr:to>
    <xdr:sp macro="" textlink="">
      <xdr:nvSpPr>
        <xdr:cNvPr id="27" name="Line 23"/>
        <xdr:cNvSpPr>
          <a:spLocks noChangeShapeType="1"/>
        </xdr:cNvSpPr>
      </xdr:nvSpPr>
      <xdr:spPr bwMode="auto">
        <a:xfrm>
          <a:off x="11410950" y="3733800"/>
          <a:ext cx="16478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219075</xdr:colOff>
      <xdr:row>15</xdr:row>
      <xdr:rowOff>133350</xdr:rowOff>
    </xdr:from>
    <xdr:to>
      <xdr:col>39</xdr:col>
      <xdr:colOff>0</xdr:colOff>
      <xdr:row>15</xdr:row>
      <xdr:rowOff>133350</xdr:rowOff>
    </xdr:to>
    <xdr:sp macro="" textlink="">
      <xdr:nvSpPr>
        <xdr:cNvPr id="28" name="Line 24"/>
        <xdr:cNvSpPr>
          <a:spLocks noChangeShapeType="1"/>
        </xdr:cNvSpPr>
      </xdr:nvSpPr>
      <xdr:spPr bwMode="auto">
        <a:xfrm>
          <a:off x="11677650" y="4410075"/>
          <a:ext cx="2181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22</xdr:row>
      <xdr:rowOff>114300</xdr:rowOff>
    </xdr:from>
    <xdr:to>
      <xdr:col>18</xdr:col>
      <xdr:colOff>0</xdr:colOff>
      <xdr:row>22</xdr:row>
      <xdr:rowOff>114300</xdr:rowOff>
    </xdr:to>
    <xdr:sp macro="" textlink="">
      <xdr:nvSpPr>
        <xdr:cNvPr id="29" name="Line 25"/>
        <xdr:cNvSpPr>
          <a:spLocks noChangeShapeType="1"/>
        </xdr:cNvSpPr>
      </xdr:nvSpPr>
      <xdr:spPr bwMode="auto">
        <a:xfrm>
          <a:off x="6686550" y="5924550"/>
          <a:ext cx="15716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200025</xdr:colOff>
      <xdr:row>15</xdr:row>
      <xdr:rowOff>133350</xdr:rowOff>
    </xdr:from>
    <xdr:to>
      <xdr:col>30</xdr:col>
      <xdr:colOff>66675</xdr:colOff>
      <xdr:row>15</xdr:row>
      <xdr:rowOff>133350</xdr:rowOff>
    </xdr:to>
    <xdr:sp macro="" textlink="">
      <xdr:nvSpPr>
        <xdr:cNvPr id="30" name="Line 26"/>
        <xdr:cNvSpPr>
          <a:spLocks noChangeShapeType="1"/>
        </xdr:cNvSpPr>
      </xdr:nvSpPr>
      <xdr:spPr bwMode="auto">
        <a:xfrm>
          <a:off x="10858500" y="4410075"/>
          <a:ext cx="666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142875</xdr:rowOff>
    </xdr:from>
    <xdr:to>
      <xdr:col>33</xdr:col>
      <xdr:colOff>57150</xdr:colOff>
      <xdr:row>18</xdr:row>
      <xdr:rowOff>142875</xdr:rowOff>
    </xdr:to>
    <xdr:sp macro="" textlink="">
      <xdr:nvSpPr>
        <xdr:cNvPr id="31" name="Line 27"/>
        <xdr:cNvSpPr>
          <a:spLocks noChangeShapeType="1"/>
        </xdr:cNvSpPr>
      </xdr:nvSpPr>
      <xdr:spPr bwMode="auto">
        <a:xfrm>
          <a:off x="11649075" y="5095875"/>
          <a:ext cx="666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20</xdr:row>
      <xdr:rowOff>142875</xdr:rowOff>
    </xdr:from>
    <xdr:to>
      <xdr:col>15</xdr:col>
      <xdr:colOff>9525</xdr:colOff>
      <xdr:row>20</xdr:row>
      <xdr:rowOff>142875</xdr:rowOff>
    </xdr:to>
    <xdr:sp macro="" textlink="">
      <xdr:nvSpPr>
        <xdr:cNvPr id="32" name="Line 28"/>
        <xdr:cNvSpPr>
          <a:spLocks noChangeShapeType="1"/>
        </xdr:cNvSpPr>
      </xdr:nvSpPr>
      <xdr:spPr bwMode="auto">
        <a:xfrm flipV="1">
          <a:off x="5076825" y="5524500"/>
          <a:ext cx="2390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133350</xdr:rowOff>
    </xdr:from>
    <xdr:to>
      <xdr:col>12</xdr:col>
      <xdr:colOff>0</xdr:colOff>
      <xdr:row>18</xdr:row>
      <xdr:rowOff>133350</xdr:rowOff>
    </xdr:to>
    <xdr:sp macro="" textlink="">
      <xdr:nvSpPr>
        <xdr:cNvPr id="33" name="Line 29"/>
        <xdr:cNvSpPr>
          <a:spLocks noChangeShapeType="1"/>
        </xdr:cNvSpPr>
      </xdr:nvSpPr>
      <xdr:spPr bwMode="auto">
        <a:xfrm>
          <a:off x="5057775" y="5086350"/>
          <a:ext cx="16002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219075</xdr:colOff>
      <xdr:row>15</xdr:row>
      <xdr:rowOff>133350</xdr:rowOff>
    </xdr:from>
    <xdr:to>
      <xdr:col>27</xdr:col>
      <xdr:colOff>76200</xdr:colOff>
      <xdr:row>15</xdr:row>
      <xdr:rowOff>133350</xdr:rowOff>
    </xdr:to>
    <xdr:sp macro="" textlink="">
      <xdr:nvSpPr>
        <xdr:cNvPr id="34" name="Line 32"/>
        <xdr:cNvSpPr>
          <a:spLocks noChangeShapeType="1"/>
        </xdr:cNvSpPr>
      </xdr:nvSpPr>
      <xdr:spPr bwMode="auto">
        <a:xfrm>
          <a:off x="10077450" y="4410075"/>
          <a:ext cx="657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35" name="Line 33"/>
        <xdr:cNvSpPr>
          <a:spLocks noChangeShapeType="1"/>
        </xdr:cNvSpPr>
      </xdr:nvSpPr>
      <xdr:spPr bwMode="auto">
        <a:xfrm>
          <a:off x="5057775" y="4648200"/>
          <a:ext cx="29337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219075</xdr:colOff>
      <xdr:row>18</xdr:row>
      <xdr:rowOff>142875</xdr:rowOff>
    </xdr:from>
    <xdr:to>
      <xdr:col>41</xdr:col>
      <xdr:colOff>257175</xdr:colOff>
      <xdr:row>18</xdr:row>
      <xdr:rowOff>142875</xdr:rowOff>
    </xdr:to>
    <xdr:sp macro="" textlink="">
      <xdr:nvSpPr>
        <xdr:cNvPr id="36" name="Line 34"/>
        <xdr:cNvSpPr>
          <a:spLocks noChangeShapeType="1"/>
        </xdr:cNvSpPr>
      </xdr:nvSpPr>
      <xdr:spPr bwMode="auto">
        <a:xfrm>
          <a:off x="12477750" y="5095875"/>
          <a:ext cx="21717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200025</xdr:colOff>
      <xdr:row>12</xdr:row>
      <xdr:rowOff>133350</xdr:rowOff>
    </xdr:from>
    <xdr:to>
      <xdr:col>29</xdr:col>
      <xdr:colOff>57150</xdr:colOff>
      <xdr:row>12</xdr:row>
      <xdr:rowOff>133350</xdr:rowOff>
    </xdr:to>
    <xdr:sp macro="" textlink="">
      <xdr:nvSpPr>
        <xdr:cNvPr id="37" name="Line 35"/>
        <xdr:cNvSpPr>
          <a:spLocks noChangeShapeType="1"/>
        </xdr:cNvSpPr>
      </xdr:nvSpPr>
      <xdr:spPr bwMode="auto">
        <a:xfrm>
          <a:off x="10591800" y="3733800"/>
          <a:ext cx="657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247650</xdr:colOff>
      <xdr:row>20</xdr:row>
      <xdr:rowOff>142875</xdr:rowOff>
    </xdr:from>
    <xdr:to>
      <xdr:col>30</xdr:col>
      <xdr:colOff>66675</xdr:colOff>
      <xdr:row>20</xdr:row>
      <xdr:rowOff>142875</xdr:rowOff>
    </xdr:to>
    <xdr:sp macro="" textlink="">
      <xdr:nvSpPr>
        <xdr:cNvPr id="38" name="Line 36"/>
        <xdr:cNvSpPr>
          <a:spLocks noChangeShapeType="1"/>
        </xdr:cNvSpPr>
      </xdr:nvSpPr>
      <xdr:spPr bwMode="auto">
        <a:xfrm flipV="1">
          <a:off x="10906125" y="5524500"/>
          <a:ext cx="619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20</xdr:row>
      <xdr:rowOff>142875</xdr:rowOff>
    </xdr:from>
    <xdr:to>
      <xdr:col>34</xdr:col>
      <xdr:colOff>57150</xdr:colOff>
      <xdr:row>20</xdr:row>
      <xdr:rowOff>142875</xdr:rowOff>
    </xdr:to>
    <xdr:sp macro="" textlink="">
      <xdr:nvSpPr>
        <xdr:cNvPr id="39" name="Line 37"/>
        <xdr:cNvSpPr>
          <a:spLocks noChangeShapeType="1"/>
        </xdr:cNvSpPr>
      </xdr:nvSpPr>
      <xdr:spPr bwMode="auto">
        <a:xfrm>
          <a:off x="11668125" y="5524500"/>
          <a:ext cx="9144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219075</xdr:colOff>
      <xdr:row>20</xdr:row>
      <xdr:rowOff>142875</xdr:rowOff>
    </xdr:from>
    <xdr:to>
      <xdr:col>41</xdr:col>
      <xdr:colOff>247650</xdr:colOff>
      <xdr:row>20</xdr:row>
      <xdr:rowOff>142875</xdr:rowOff>
    </xdr:to>
    <xdr:sp macro="" textlink="">
      <xdr:nvSpPr>
        <xdr:cNvPr id="40" name="Line 38"/>
        <xdr:cNvSpPr>
          <a:spLocks noChangeShapeType="1"/>
        </xdr:cNvSpPr>
      </xdr:nvSpPr>
      <xdr:spPr bwMode="auto">
        <a:xfrm>
          <a:off x="12744450" y="5524500"/>
          <a:ext cx="18954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20</xdr:row>
      <xdr:rowOff>152400</xdr:rowOff>
    </xdr:from>
    <xdr:to>
      <xdr:col>12</xdr:col>
      <xdr:colOff>38100</xdr:colOff>
      <xdr:row>22</xdr:row>
      <xdr:rowOff>123825</xdr:rowOff>
    </xdr:to>
    <xdr:sp macro="" textlink="">
      <xdr:nvSpPr>
        <xdr:cNvPr id="41" name="Line 39"/>
        <xdr:cNvSpPr>
          <a:spLocks noChangeShapeType="1"/>
        </xdr:cNvSpPr>
      </xdr:nvSpPr>
      <xdr:spPr bwMode="auto">
        <a:xfrm>
          <a:off x="5838825" y="5534025"/>
          <a:ext cx="857250" cy="40005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12</xdr:row>
          <xdr:rowOff>152400</xdr:rowOff>
        </xdr:from>
        <xdr:to>
          <xdr:col>33</xdr:col>
          <xdr:colOff>123825</xdr:colOff>
          <xdr:row>13</xdr:row>
          <xdr:rowOff>114300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</xdr:row>
          <xdr:rowOff>171450</xdr:rowOff>
        </xdr:from>
        <xdr:to>
          <xdr:col>34</xdr:col>
          <xdr:colOff>38100</xdr:colOff>
          <xdr:row>16</xdr:row>
          <xdr:rowOff>133350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35</xdr:col>
      <xdr:colOff>152400</xdr:colOff>
      <xdr:row>18</xdr:row>
      <xdr:rowOff>28575</xdr:rowOff>
    </xdr:from>
    <xdr:to>
      <xdr:col>36</xdr:col>
      <xdr:colOff>123825</xdr:colOff>
      <xdr:row>18</xdr:row>
      <xdr:rowOff>228600</xdr:rowOff>
    </xdr:to>
    <xdr:pic>
      <xdr:nvPicPr>
        <xdr:cNvPr id="4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475" y="4981575"/>
          <a:ext cx="2381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238125</xdr:colOff>
          <xdr:row>20</xdr:row>
          <xdr:rowOff>190500</xdr:rowOff>
        </xdr:from>
        <xdr:to>
          <xdr:col>37</xdr:col>
          <xdr:colOff>219075</xdr:colOff>
          <xdr:row>21</xdr:row>
          <xdr:rowOff>152400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0</xdr:colOff>
      <xdr:row>13</xdr:row>
      <xdr:rowOff>123825</xdr:rowOff>
    </xdr:from>
    <xdr:to>
      <xdr:col>20</xdr:col>
      <xdr:colOff>0</xdr:colOff>
      <xdr:row>13</xdr:row>
      <xdr:rowOff>123825</xdr:rowOff>
    </xdr:to>
    <xdr:sp macro="" textlink="">
      <xdr:nvSpPr>
        <xdr:cNvPr id="46" name="Line 44"/>
        <xdr:cNvSpPr>
          <a:spLocks noChangeShapeType="1"/>
        </xdr:cNvSpPr>
      </xdr:nvSpPr>
      <xdr:spPr bwMode="auto">
        <a:xfrm>
          <a:off x="5057775" y="3971925"/>
          <a:ext cx="37338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12</xdr:row>
      <xdr:rowOff>133350</xdr:rowOff>
    </xdr:from>
    <xdr:to>
      <xdr:col>41</xdr:col>
      <xdr:colOff>247650</xdr:colOff>
      <xdr:row>12</xdr:row>
      <xdr:rowOff>133350</xdr:rowOff>
    </xdr:to>
    <xdr:sp macro="" textlink="">
      <xdr:nvSpPr>
        <xdr:cNvPr id="47" name="Line 45"/>
        <xdr:cNvSpPr>
          <a:spLocks noChangeShapeType="1"/>
        </xdr:cNvSpPr>
      </xdr:nvSpPr>
      <xdr:spPr bwMode="auto">
        <a:xfrm flipV="1">
          <a:off x="13858875" y="3733800"/>
          <a:ext cx="7810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219075</xdr:colOff>
      <xdr:row>18</xdr:row>
      <xdr:rowOff>142875</xdr:rowOff>
    </xdr:from>
    <xdr:to>
      <xdr:col>30</xdr:col>
      <xdr:colOff>76200</xdr:colOff>
      <xdr:row>18</xdr:row>
      <xdr:rowOff>142875</xdr:rowOff>
    </xdr:to>
    <xdr:sp macro="" textlink="">
      <xdr:nvSpPr>
        <xdr:cNvPr id="48" name="Line 46"/>
        <xdr:cNvSpPr>
          <a:spLocks noChangeShapeType="1"/>
        </xdr:cNvSpPr>
      </xdr:nvSpPr>
      <xdr:spPr bwMode="auto">
        <a:xfrm flipV="1">
          <a:off x="10877550" y="5095875"/>
          <a:ext cx="657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</xdr:colOff>
      <xdr:row>25</xdr:row>
      <xdr:rowOff>19685</xdr:rowOff>
    </xdr:from>
    <xdr:to>
      <xdr:col>7</xdr:col>
      <xdr:colOff>429260</xdr:colOff>
      <xdr:row>26</xdr:row>
      <xdr:rowOff>19685</xdr:rowOff>
    </xdr:to>
    <xdr:sp macro="" textlink="">
      <xdr:nvSpPr>
        <xdr:cNvPr id="49" name="Rectangle 19" descr="10%"/>
        <xdr:cNvSpPr>
          <a:spLocks noChangeArrowheads="1"/>
        </xdr:cNvSpPr>
      </xdr:nvSpPr>
      <xdr:spPr bwMode="auto">
        <a:xfrm>
          <a:off x="4263390" y="6506210"/>
          <a:ext cx="423545" cy="2476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171450</xdr:colOff>
      <xdr:row>25</xdr:row>
      <xdr:rowOff>133350</xdr:rowOff>
    </xdr:from>
    <xdr:to>
      <xdr:col>25</xdr:col>
      <xdr:colOff>114300</xdr:colOff>
      <xdr:row>25</xdr:row>
      <xdr:rowOff>133350</xdr:rowOff>
    </xdr:to>
    <xdr:sp macro="" textlink="">
      <xdr:nvSpPr>
        <xdr:cNvPr id="50" name="Line 20"/>
        <xdr:cNvSpPr>
          <a:spLocks noChangeShapeType="1"/>
        </xdr:cNvSpPr>
      </xdr:nvSpPr>
      <xdr:spPr bwMode="auto">
        <a:xfrm>
          <a:off x="8963025" y="6619875"/>
          <a:ext cx="4762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247650</xdr:colOff>
      <xdr:row>25</xdr:row>
      <xdr:rowOff>133350</xdr:rowOff>
    </xdr:from>
    <xdr:to>
      <xdr:col>30</xdr:col>
      <xdr:colOff>190500</xdr:colOff>
      <xdr:row>25</xdr:row>
      <xdr:rowOff>133350</xdr:rowOff>
    </xdr:to>
    <xdr:sp macro="" textlink="">
      <xdr:nvSpPr>
        <xdr:cNvPr id="51" name="Line 21"/>
        <xdr:cNvSpPr>
          <a:spLocks noChangeShapeType="1"/>
        </xdr:cNvSpPr>
      </xdr:nvSpPr>
      <xdr:spPr bwMode="auto">
        <a:xfrm>
          <a:off x="10372725" y="6619875"/>
          <a:ext cx="4762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25</xdr:row>
          <xdr:rowOff>57150</xdr:rowOff>
        </xdr:from>
        <xdr:to>
          <xdr:col>14</xdr:col>
          <xdr:colOff>28575</xdr:colOff>
          <xdr:row>25</xdr:row>
          <xdr:rowOff>228600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66675</xdr:rowOff>
        </xdr:from>
        <xdr:to>
          <xdr:col>19</xdr:col>
          <xdr:colOff>161925</xdr:colOff>
          <xdr:row>25</xdr:row>
          <xdr:rowOff>219075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5</xdr:row>
      <xdr:rowOff>161925</xdr:rowOff>
    </xdr:from>
    <xdr:to>
      <xdr:col>23</xdr:col>
      <xdr:colOff>133350</xdr:colOff>
      <xdr:row>5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0706100" y="1714500"/>
          <a:ext cx="1485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304800</xdr:colOff>
      <xdr:row>5</xdr:row>
      <xdr:rowOff>152400</xdr:rowOff>
    </xdr:from>
    <xdr:to>
      <xdr:col>26</xdr:col>
      <xdr:colOff>152400</xdr:colOff>
      <xdr:row>5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363450" y="1704975"/>
          <a:ext cx="13335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314325</xdr:colOff>
      <xdr:row>7</xdr:row>
      <xdr:rowOff>161925</xdr:rowOff>
    </xdr:from>
    <xdr:to>
      <xdr:col>30</xdr:col>
      <xdr:colOff>123825</xdr:colOff>
      <xdr:row>7</xdr:row>
      <xdr:rowOff>161925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4354175" y="2343150"/>
          <a:ext cx="12954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333375</xdr:colOff>
      <xdr:row>7</xdr:row>
      <xdr:rowOff>161925</xdr:rowOff>
    </xdr:from>
    <xdr:to>
      <xdr:col>27</xdr:col>
      <xdr:colOff>152400</xdr:colOff>
      <xdr:row>7</xdr:row>
      <xdr:rowOff>161925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12887325" y="2343150"/>
          <a:ext cx="13049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323850</xdr:colOff>
      <xdr:row>7</xdr:row>
      <xdr:rowOff>161925</xdr:rowOff>
    </xdr:from>
    <xdr:to>
      <xdr:col>38</xdr:col>
      <xdr:colOff>447675</xdr:colOff>
      <xdr:row>7</xdr:row>
      <xdr:rowOff>161925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V="1">
          <a:off x="15849600" y="2343150"/>
          <a:ext cx="4086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142875</xdr:rowOff>
    </xdr:from>
    <xdr:to>
      <xdr:col>14</xdr:col>
      <xdr:colOff>238125</xdr:colOff>
      <xdr:row>6</xdr:row>
      <xdr:rowOff>142875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2019300" y="2009775"/>
          <a:ext cx="5819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314325</xdr:colOff>
      <xdr:row>6</xdr:row>
      <xdr:rowOff>161925</xdr:rowOff>
    </xdr:from>
    <xdr:to>
      <xdr:col>24</xdr:col>
      <xdr:colOff>171450</xdr:colOff>
      <xdr:row>6</xdr:row>
      <xdr:rowOff>161925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11382375" y="2028825"/>
          <a:ext cx="13430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342900</xdr:colOff>
      <xdr:row>5</xdr:row>
      <xdr:rowOff>152400</xdr:rowOff>
    </xdr:from>
    <xdr:to>
      <xdr:col>32</xdr:col>
      <xdr:colOff>447675</xdr:colOff>
      <xdr:row>5</xdr:row>
      <xdr:rowOff>152400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flipV="1">
          <a:off x="13887450" y="1704975"/>
          <a:ext cx="30765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428625</xdr:colOff>
      <xdr:row>5</xdr:row>
      <xdr:rowOff>104775</xdr:rowOff>
    </xdr:from>
    <xdr:to>
      <xdr:col>36</xdr:col>
      <xdr:colOff>19050</xdr:colOff>
      <xdr:row>5</xdr:row>
      <xdr:rowOff>200025</xdr:rowOff>
    </xdr:to>
    <xdr:sp macro="" textlink="">
      <xdr:nvSpPr>
        <xdr:cNvPr id="10" name="Rectangle 13" descr="20%"/>
        <xdr:cNvSpPr>
          <a:spLocks noChangeArrowheads="1"/>
        </xdr:cNvSpPr>
      </xdr:nvSpPr>
      <xdr:spPr bwMode="auto">
        <a:xfrm>
          <a:off x="16944975" y="1657350"/>
          <a:ext cx="1571625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7</xdr:row>
      <xdr:rowOff>85725</xdr:rowOff>
    </xdr:from>
    <xdr:to>
      <xdr:col>9</xdr:col>
      <xdr:colOff>209550</xdr:colOff>
      <xdr:row>7</xdr:row>
      <xdr:rowOff>85725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 flipV="1">
          <a:off x="2028825" y="2266950"/>
          <a:ext cx="31718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142875</xdr:rowOff>
    </xdr:from>
    <xdr:to>
      <xdr:col>17</xdr:col>
      <xdr:colOff>38100</xdr:colOff>
      <xdr:row>5</xdr:row>
      <xdr:rowOff>142875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V="1">
          <a:off x="2019300" y="1695450"/>
          <a:ext cx="71056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20411</xdr:colOff>
      <xdr:row>5</xdr:row>
      <xdr:rowOff>91167</xdr:rowOff>
    </xdr:from>
    <xdr:to>
      <xdr:col>20</xdr:col>
      <xdr:colOff>77561</xdr:colOff>
      <xdr:row>5</xdr:row>
      <xdr:rowOff>186417</xdr:rowOff>
    </xdr:to>
    <xdr:sp macro="" textlink="">
      <xdr:nvSpPr>
        <xdr:cNvPr id="13" name="Rectangle 17" descr="20%"/>
        <xdr:cNvSpPr>
          <a:spLocks noChangeArrowheads="1"/>
        </xdr:cNvSpPr>
      </xdr:nvSpPr>
      <xdr:spPr bwMode="auto">
        <a:xfrm>
          <a:off x="9107261" y="1643742"/>
          <a:ext cx="1543050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6</xdr:row>
      <xdr:rowOff>104775</xdr:rowOff>
    </xdr:from>
    <xdr:to>
      <xdr:col>17</xdr:col>
      <xdr:colOff>295275</xdr:colOff>
      <xdr:row>6</xdr:row>
      <xdr:rowOff>200025</xdr:rowOff>
    </xdr:to>
    <xdr:sp macro="" textlink="">
      <xdr:nvSpPr>
        <xdr:cNvPr id="14" name="Rectangle 18" descr="20%"/>
        <xdr:cNvSpPr>
          <a:spLocks noChangeArrowheads="1"/>
        </xdr:cNvSpPr>
      </xdr:nvSpPr>
      <xdr:spPr bwMode="auto">
        <a:xfrm>
          <a:off x="7839075" y="1971675"/>
          <a:ext cx="1543050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409575</xdr:colOff>
      <xdr:row>6</xdr:row>
      <xdr:rowOff>114300</xdr:rowOff>
    </xdr:from>
    <xdr:to>
      <xdr:col>39</xdr:col>
      <xdr:colOff>0</xdr:colOff>
      <xdr:row>6</xdr:row>
      <xdr:rowOff>209550</xdr:rowOff>
    </xdr:to>
    <xdr:sp macro="" textlink="">
      <xdr:nvSpPr>
        <xdr:cNvPr id="15" name="Rectangle 19" descr="20%"/>
        <xdr:cNvSpPr>
          <a:spLocks noChangeArrowheads="1"/>
        </xdr:cNvSpPr>
      </xdr:nvSpPr>
      <xdr:spPr bwMode="auto">
        <a:xfrm>
          <a:off x="18411825" y="1981200"/>
          <a:ext cx="1571625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428625</xdr:colOff>
      <xdr:row>7</xdr:row>
      <xdr:rowOff>28575</xdr:rowOff>
    </xdr:from>
    <xdr:to>
      <xdr:col>12</xdr:col>
      <xdr:colOff>19050</xdr:colOff>
      <xdr:row>7</xdr:row>
      <xdr:rowOff>123825</xdr:rowOff>
    </xdr:to>
    <xdr:sp macro="" textlink="">
      <xdr:nvSpPr>
        <xdr:cNvPr id="16" name="Rectangle 20" descr="20%"/>
        <xdr:cNvSpPr>
          <a:spLocks noChangeArrowheads="1"/>
        </xdr:cNvSpPr>
      </xdr:nvSpPr>
      <xdr:spPr bwMode="auto">
        <a:xfrm>
          <a:off x="4924425" y="2209800"/>
          <a:ext cx="1647825" cy="952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142875</xdr:rowOff>
    </xdr:from>
    <xdr:to>
      <xdr:col>11</xdr:col>
      <xdr:colOff>457200</xdr:colOff>
      <xdr:row>8</xdr:row>
      <xdr:rowOff>142875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 flipV="1">
          <a:off x="2028825" y="2638425"/>
          <a:ext cx="44862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8</xdr:row>
      <xdr:rowOff>152400</xdr:rowOff>
    </xdr:from>
    <xdr:to>
      <xdr:col>27</xdr:col>
      <xdr:colOff>133350</xdr:colOff>
      <xdr:row>8</xdr:row>
      <xdr:rowOff>152400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 flipV="1">
          <a:off x="12744450" y="2647950"/>
          <a:ext cx="14287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323850</xdr:colOff>
      <xdr:row>8</xdr:row>
      <xdr:rowOff>161925</xdr:rowOff>
    </xdr:from>
    <xdr:to>
      <xdr:col>31</xdr:col>
      <xdr:colOff>142875</xdr:colOff>
      <xdr:row>8</xdr:row>
      <xdr:rowOff>161925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 flipV="1">
          <a:off x="14363700" y="2657475"/>
          <a:ext cx="18002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323850</xdr:colOff>
      <xdr:row>8</xdr:row>
      <xdr:rowOff>171450</xdr:rowOff>
    </xdr:from>
    <xdr:to>
      <xdr:col>39</xdr:col>
      <xdr:colOff>0</xdr:colOff>
      <xdr:row>8</xdr:row>
      <xdr:rowOff>171450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16344900" y="2667000"/>
          <a:ext cx="36385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457200</xdr:colOff>
      <xdr:row>8</xdr:row>
      <xdr:rowOff>104775</xdr:rowOff>
    </xdr:from>
    <xdr:to>
      <xdr:col>15</xdr:col>
      <xdr:colOff>47625</xdr:colOff>
      <xdr:row>8</xdr:row>
      <xdr:rowOff>200025</xdr:rowOff>
    </xdr:to>
    <xdr:sp macro="" textlink="">
      <xdr:nvSpPr>
        <xdr:cNvPr id="21" name="Rectangle 25" descr="20%"/>
        <xdr:cNvSpPr>
          <a:spLocks noChangeArrowheads="1"/>
        </xdr:cNvSpPr>
      </xdr:nvSpPr>
      <xdr:spPr bwMode="auto">
        <a:xfrm>
          <a:off x="6515100" y="2600325"/>
          <a:ext cx="1628775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428625</xdr:colOff>
      <xdr:row>9</xdr:row>
      <xdr:rowOff>85725</xdr:rowOff>
    </xdr:from>
    <xdr:to>
      <xdr:col>18</xdr:col>
      <xdr:colOff>19050</xdr:colOff>
      <xdr:row>9</xdr:row>
      <xdr:rowOff>180975</xdr:rowOff>
    </xdr:to>
    <xdr:sp macro="" textlink="">
      <xdr:nvSpPr>
        <xdr:cNvPr id="22" name="Rectangle 26" descr="20%"/>
        <xdr:cNvSpPr>
          <a:spLocks noChangeArrowheads="1"/>
        </xdr:cNvSpPr>
      </xdr:nvSpPr>
      <xdr:spPr bwMode="auto">
        <a:xfrm>
          <a:off x="8029575" y="2895600"/>
          <a:ext cx="1571625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323850</xdr:colOff>
      <xdr:row>6</xdr:row>
      <xdr:rowOff>161925</xdr:rowOff>
    </xdr:from>
    <xdr:to>
      <xdr:col>35</xdr:col>
      <xdr:colOff>409575</xdr:colOff>
      <xdr:row>6</xdr:row>
      <xdr:rowOff>161925</xdr:rowOff>
    </xdr:to>
    <xdr:sp macro="" textlink="">
      <xdr:nvSpPr>
        <xdr:cNvPr id="23" name="Line 57"/>
        <xdr:cNvSpPr>
          <a:spLocks noChangeShapeType="1"/>
        </xdr:cNvSpPr>
      </xdr:nvSpPr>
      <xdr:spPr bwMode="auto">
        <a:xfrm flipV="1">
          <a:off x="14363700" y="2028825"/>
          <a:ext cx="40481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9</xdr:row>
      <xdr:rowOff>133350</xdr:rowOff>
    </xdr:from>
    <xdr:to>
      <xdr:col>14</xdr:col>
      <xdr:colOff>419100</xdr:colOff>
      <xdr:row>9</xdr:row>
      <xdr:rowOff>133350</xdr:rowOff>
    </xdr:to>
    <xdr:sp macro="" textlink="">
      <xdr:nvSpPr>
        <xdr:cNvPr id="24" name="Line 58"/>
        <xdr:cNvSpPr>
          <a:spLocks noChangeShapeType="1"/>
        </xdr:cNvSpPr>
      </xdr:nvSpPr>
      <xdr:spPr bwMode="auto">
        <a:xfrm>
          <a:off x="4572000" y="2943225"/>
          <a:ext cx="34480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304800</xdr:colOff>
      <xdr:row>6</xdr:row>
      <xdr:rowOff>161925</xdr:rowOff>
    </xdr:from>
    <xdr:to>
      <xdr:col>27</xdr:col>
      <xdr:colOff>142875</xdr:colOff>
      <xdr:row>6</xdr:row>
      <xdr:rowOff>161925</xdr:rowOff>
    </xdr:to>
    <xdr:sp macro="" textlink="">
      <xdr:nvSpPr>
        <xdr:cNvPr id="25" name="Line 59"/>
        <xdr:cNvSpPr>
          <a:spLocks noChangeShapeType="1"/>
        </xdr:cNvSpPr>
      </xdr:nvSpPr>
      <xdr:spPr bwMode="auto">
        <a:xfrm>
          <a:off x="12858750" y="2028825"/>
          <a:ext cx="13239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8</xdr:row>
      <xdr:rowOff>152400</xdr:rowOff>
    </xdr:from>
    <xdr:to>
      <xdr:col>8</xdr:col>
      <xdr:colOff>66675</xdr:colOff>
      <xdr:row>9</xdr:row>
      <xdr:rowOff>133350</xdr:rowOff>
    </xdr:to>
    <xdr:sp macro="" textlink="">
      <xdr:nvSpPr>
        <xdr:cNvPr id="26" name="Line 61"/>
        <xdr:cNvSpPr>
          <a:spLocks noChangeShapeType="1"/>
        </xdr:cNvSpPr>
      </xdr:nvSpPr>
      <xdr:spPr bwMode="auto">
        <a:xfrm>
          <a:off x="3209925" y="2647950"/>
          <a:ext cx="1352550" cy="29527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85725</xdr:rowOff>
    </xdr:from>
    <xdr:to>
      <xdr:col>9</xdr:col>
      <xdr:colOff>209550</xdr:colOff>
      <xdr:row>7</xdr:row>
      <xdr:rowOff>85725</xdr:rowOff>
    </xdr:to>
    <xdr:sp macro="" textlink="">
      <xdr:nvSpPr>
        <xdr:cNvPr id="27" name="Line 68"/>
        <xdr:cNvSpPr>
          <a:spLocks noChangeShapeType="1"/>
        </xdr:cNvSpPr>
      </xdr:nvSpPr>
      <xdr:spPr bwMode="auto">
        <a:xfrm flipV="1">
          <a:off x="2028825" y="2266950"/>
          <a:ext cx="31718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5</xdr:row>
      <xdr:rowOff>142875</xdr:rowOff>
    </xdr:from>
    <xdr:to>
      <xdr:col>39</xdr:col>
      <xdr:colOff>0</xdr:colOff>
      <xdr:row>5</xdr:row>
      <xdr:rowOff>142875</xdr:rowOff>
    </xdr:to>
    <xdr:sp macro="" textlink="">
      <xdr:nvSpPr>
        <xdr:cNvPr id="28" name="Line 69"/>
        <xdr:cNvSpPr>
          <a:spLocks noChangeShapeType="1"/>
        </xdr:cNvSpPr>
      </xdr:nvSpPr>
      <xdr:spPr bwMode="auto">
        <a:xfrm flipV="1">
          <a:off x="18516600" y="1695450"/>
          <a:ext cx="14668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428625</xdr:colOff>
      <xdr:row>7</xdr:row>
      <xdr:rowOff>28575</xdr:rowOff>
    </xdr:from>
    <xdr:to>
      <xdr:col>12</xdr:col>
      <xdr:colOff>19050</xdr:colOff>
      <xdr:row>7</xdr:row>
      <xdr:rowOff>123825</xdr:rowOff>
    </xdr:to>
    <xdr:sp macro="" textlink="">
      <xdr:nvSpPr>
        <xdr:cNvPr id="29" name="Rectangle 74" descr="20%"/>
        <xdr:cNvSpPr>
          <a:spLocks noChangeArrowheads="1"/>
        </xdr:cNvSpPr>
      </xdr:nvSpPr>
      <xdr:spPr bwMode="auto">
        <a:xfrm>
          <a:off x="4924425" y="2209800"/>
          <a:ext cx="1647825" cy="952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152400</xdr:colOff>
      <xdr:row>8</xdr:row>
      <xdr:rowOff>76200</xdr:rowOff>
    </xdr:from>
    <xdr:to>
      <xdr:col>31</xdr:col>
      <xdr:colOff>152400</xdr:colOff>
      <xdr:row>8</xdr:row>
      <xdr:rowOff>76200</xdr:rowOff>
    </xdr:to>
    <xdr:sp macro="" textlink="">
      <xdr:nvSpPr>
        <xdr:cNvPr id="30" name="Line 77"/>
        <xdr:cNvSpPr>
          <a:spLocks noChangeShapeType="1"/>
        </xdr:cNvSpPr>
      </xdr:nvSpPr>
      <xdr:spPr bwMode="auto">
        <a:xfrm flipV="1">
          <a:off x="16173450" y="2571750"/>
          <a:ext cx="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H26&#24180;&#24230;/F001%20&#36786;&#26989;&#25216;&#34899;&#35506;&#12304;&#36786;&#25216;&#12305;/&#65318;&#12288;&#25216;&#34899;&#20225;&#30011;&#65319;/600%20%20&#36786;&#26989;&#32076;&#21942;&#25351;&#27161;/10&#12288;&#12304;&#26368;&#26032;&#29256;&#12305;&#32076;&#21942;&#25351;&#27161;&#12288;&#9733;&#20462;&#27491;&#12398;&#38555;&#12399;&#25216;&#34899;&#35506;&#12395;&#36899;&#32097;&#12367;&#12384;&#12373;&#12356;&#9733;/04&#12288;&#33457;&#12365;/&#12488;&#12523;&#12467;/57&#12288;&#12488;&#12523;&#12467;&#12462;&#12461;&#12519;&#12454;&#65288;&#21335;&#37096;&#65289;&#20491;&#21029;&#65288;&#26032;&#35215;&#23601;&#367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　対象経営の概要，２　前提条件"/>
      <sheetName val="３　標準技術"/>
      <sheetName val="4　経営収支(50a経営) "/>
      <sheetName val="5　作業別・旬別作業時間"/>
      <sheetName val="６　固定資本装備と減価償却費"/>
      <sheetName val="７　経営収支"/>
      <sheetName val="８　算出基礎（農薬費・燃料費）"/>
      <sheetName val="９　単価"/>
    </sheetNames>
    <sheetDataSet>
      <sheetData sheetId="0"/>
      <sheetData sheetId="1"/>
      <sheetData sheetId="2"/>
      <sheetData sheetId="3"/>
      <sheetData sheetId="4">
        <row r="14">
          <cell r="L14">
            <v>7414000</v>
          </cell>
          <cell r="P14">
            <v>705700</v>
          </cell>
        </row>
        <row r="24">
          <cell r="L24">
            <v>1981304</v>
          </cell>
          <cell r="P24">
            <v>293757.71428571426</v>
          </cell>
        </row>
      </sheetData>
      <sheetData sheetId="5">
        <row r="4">
          <cell r="F4">
            <v>5075000</v>
          </cell>
        </row>
      </sheetData>
      <sheetData sheetId="6">
        <row r="9">
          <cell r="G9">
            <v>42000</v>
          </cell>
        </row>
        <row r="15">
          <cell r="G15">
            <v>4270</v>
          </cell>
          <cell r="N15">
            <v>15840.000000000002</v>
          </cell>
        </row>
        <row r="19">
          <cell r="G19">
            <v>33056.800000000003</v>
          </cell>
          <cell r="N19">
            <v>765750</v>
          </cell>
        </row>
        <row r="23">
          <cell r="N23">
            <v>60060</v>
          </cell>
        </row>
        <row r="30">
          <cell r="G30">
            <v>96294</v>
          </cell>
        </row>
        <row r="36">
          <cell r="G36">
            <v>88384.92</v>
          </cell>
        </row>
        <row r="46">
          <cell r="N46">
            <v>129975.2</v>
          </cell>
        </row>
        <row r="51">
          <cell r="V51">
            <v>44140</v>
          </cell>
        </row>
      </sheetData>
      <sheetData sheetId="7">
        <row r="11">
          <cell r="E11">
            <v>141.19999999999999</v>
          </cell>
          <cell r="F11">
            <v>141.6</v>
          </cell>
          <cell r="G11">
            <v>125.4</v>
          </cell>
          <cell r="H11">
            <v>84.6</v>
          </cell>
          <cell r="M11">
            <v>110</v>
          </cell>
          <cell r="N11">
            <v>125.4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5"/>
  <sheetViews>
    <sheetView tabSelected="1" zoomScale="75" zoomScaleNormal="75" zoomScaleSheetLayoutView="80" workbookViewId="0"/>
  </sheetViews>
  <sheetFormatPr defaultColWidth="9" defaultRowHeight="13.5" x14ac:dyDescent="0.15"/>
  <cols>
    <col min="1" max="1" width="1.625" style="65" customWidth="1"/>
    <col min="2" max="3" width="7.625" style="65" customWidth="1"/>
    <col min="4" max="6" width="9" style="65"/>
    <col min="7" max="7" width="3.5" style="65" customWidth="1"/>
    <col min="8" max="8" width="3.625" style="65" customWidth="1"/>
    <col min="9" max="9" width="3.75" style="65" customWidth="1"/>
    <col min="10" max="42" width="3.5" style="65" customWidth="1"/>
    <col min="43" max="43" width="1.375" style="65" customWidth="1"/>
    <col min="44" max="16384" width="9" style="65"/>
  </cols>
  <sheetData>
    <row r="1" spans="1:42" ht="9.9499999999999993" customHeight="1" thickBot="1" x14ac:dyDescent="0.2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42" ht="39.950000000000003" customHeight="1" thickBot="1" x14ac:dyDescent="0.2">
      <c r="A2" s="76"/>
      <c r="B2" s="237" t="s">
        <v>68</v>
      </c>
      <c r="C2" s="526" t="s">
        <v>419</v>
      </c>
      <c r="D2" s="527"/>
      <c r="E2" s="238" t="s">
        <v>53</v>
      </c>
      <c r="F2" s="528" t="s">
        <v>381</v>
      </c>
      <c r="G2" s="529"/>
      <c r="H2" s="529"/>
      <c r="I2" s="529"/>
      <c r="J2" s="529"/>
      <c r="K2" s="529"/>
      <c r="L2" s="529"/>
      <c r="M2" s="529"/>
      <c r="N2" s="527"/>
      <c r="O2" s="533" t="s">
        <v>54</v>
      </c>
      <c r="P2" s="534"/>
      <c r="Q2" s="535"/>
      <c r="R2" s="536" t="s">
        <v>382</v>
      </c>
      <c r="S2" s="537"/>
      <c r="T2" s="537"/>
      <c r="U2" s="537"/>
      <c r="V2" s="536" t="s">
        <v>55</v>
      </c>
      <c r="W2" s="537"/>
      <c r="X2" s="537"/>
      <c r="Y2" s="530" t="s">
        <v>383</v>
      </c>
      <c r="Z2" s="531"/>
      <c r="AA2" s="532"/>
      <c r="AB2" s="77"/>
      <c r="AC2" s="77"/>
      <c r="AD2" s="77"/>
    </row>
    <row r="3" spans="1:42" ht="9.9499999999999993" customHeight="1" x14ac:dyDescent="0.15">
      <c r="B3" s="78"/>
    </row>
    <row r="4" spans="1:42" ht="24.95" customHeight="1" thickBot="1" x14ac:dyDescent="0.2">
      <c r="B4" s="65" t="s">
        <v>90</v>
      </c>
    </row>
    <row r="5" spans="1:42" ht="20.100000000000001" customHeight="1" x14ac:dyDescent="0.15">
      <c r="B5" s="580" t="s">
        <v>91</v>
      </c>
      <c r="C5" s="581"/>
      <c r="D5" s="582"/>
      <c r="E5" s="583"/>
      <c r="F5" s="583"/>
      <c r="G5" s="584"/>
      <c r="H5" s="585" t="s">
        <v>56</v>
      </c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6"/>
      <c r="AD5" s="77"/>
      <c r="AE5" s="77"/>
      <c r="AF5" s="77"/>
      <c r="AG5" s="77"/>
      <c r="AH5" s="77"/>
      <c r="AI5" s="77"/>
      <c r="AJ5" s="77"/>
      <c r="AK5" s="77"/>
      <c r="AL5" s="77"/>
    </row>
    <row r="6" spans="1:42" ht="20.100000000000001" customHeight="1" x14ac:dyDescent="0.15">
      <c r="B6" s="505" t="s">
        <v>57</v>
      </c>
      <c r="C6" s="506"/>
      <c r="D6" s="506"/>
      <c r="E6" s="506"/>
      <c r="F6" s="506"/>
      <c r="G6" s="517"/>
      <c r="H6" s="517" t="s">
        <v>58</v>
      </c>
      <c r="I6" s="518"/>
      <c r="J6" s="518"/>
      <c r="K6" s="518"/>
      <c r="L6" s="518"/>
      <c r="M6" s="518"/>
      <c r="N6" s="517" t="s">
        <v>59</v>
      </c>
      <c r="O6" s="518"/>
      <c r="P6" s="518"/>
      <c r="Q6" s="517" t="s">
        <v>60</v>
      </c>
      <c r="R6" s="518"/>
      <c r="S6" s="518"/>
      <c r="T6" s="518"/>
      <c r="U6" s="518"/>
      <c r="V6" s="518"/>
      <c r="W6" s="518"/>
      <c r="X6" s="519"/>
      <c r="Y6" s="518" t="s">
        <v>61</v>
      </c>
      <c r="Z6" s="518"/>
      <c r="AA6" s="579"/>
    </row>
    <row r="7" spans="1:42" ht="20.100000000000001" customHeight="1" x14ac:dyDescent="0.15">
      <c r="B7" s="520" t="s">
        <v>62</v>
      </c>
      <c r="C7" s="521"/>
      <c r="D7" s="590" t="s">
        <v>384</v>
      </c>
      <c r="E7" s="591"/>
      <c r="F7" s="591"/>
      <c r="G7" s="592"/>
      <c r="H7" s="593" t="s">
        <v>385</v>
      </c>
      <c r="I7" s="594"/>
      <c r="J7" s="594"/>
      <c r="K7" s="594"/>
      <c r="L7" s="594"/>
      <c r="M7" s="595"/>
      <c r="N7" s="593" t="s">
        <v>384</v>
      </c>
      <c r="O7" s="594"/>
      <c r="P7" s="595"/>
      <c r="Q7" s="587"/>
      <c r="R7" s="588"/>
      <c r="S7" s="588"/>
      <c r="T7" s="588"/>
      <c r="U7" s="588"/>
      <c r="V7" s="588"/>
      <c r="W7" s="588"/>
      <c r="X7" s="589"/>
      <c r="Y7" s="512"/>
      <c r="Z7" s="512"/>
      <c r="AA7" s="513"/>
    </row>
    <row r="8" spans="1:42" ht="20.100000000000001" customHeight="1" x14ac:dyDescent="0.15">
      <c r="B8" s="505" t="s">
        <v>63</v>
      </c>
      <c r="C8" s="506"/>
      <c r="D8" s="507"/>
      <c r="E8" s="507"/>
      <c r="F8" s="507"/>
      <c r="G8" s="508"/>
      <c r="H8" s="517"/>
      <c r="I8" s="518"/>
      <c r="J8" s="518"/>
      <c r="K8" s="518"/>
      <c r="L8" s="518"/>
      <c r="M8" s="519"/>
      <c r="N8" s="517"/>
      <c r="O8" s="518"/>
      <c r="P8" s="519"/>
      <c r="Q8" s="576"/>
      <c r="R8" s="577"/>
      <c r="S8" s="577"/>
      <c r="T8" s="577"/>
      <c r="U8" s="577"/>
      <c r="V8" s="577"/>
      <c r="W8" s="577"/>
      <c r="X8" s="578"/>
      <c r="Y8" s="517"/>
      <c r="Z8" s="518"/>
      <c r="AA8" s="579"/>
    </row>
    <row r="9" spans="1:42" ht="20.100000000000001" customHeight="1" x14ac:dyDescent="0.15">
      <c r="B9" s="505" t="s">
        <v>64</v>
      </c>
      <c r="C9" s="506"/>
      <c r="D9" s="507"/>
      <c r="E9" s="507"/>
      <c r="F9" s="507"/>
      <c r="G9" s="508"/>
      <c r="H9" s="517"/>
      <c r="I9" s="518"/>
      <c r="J9" s="518"/>
      <c r="K9" s="518"/>
      <c r="L9" s="518"/>
      <c r="M9" s="519"/>
      <c r="N9" s="517"/>
      <c r="O9" s="518"/>
      <c r="P9" s="519"/>
      <c r="Q9" s="576"/>
      <c r="R9" s="577"/>
      <c r="S9" s="577"/>
      <c r="T9" s="577"/>
      <c r="U9" s="577"/>
      <c r="V9" s="577"/>
      <c r="W9" s="577"/>
      <c r="X9" s="578"/>
      <c r="Y9" s="517"/>
      <c r="Z9" s="518"/>
      <c r="AA9" s="579"/>
    </row>
    <row r="10" spans="1:42" ht="20.100000000000001" customHeight="1" x14ac:dyDescent="0.15">
      <c r="B10" s="505" t="s">
        <v>65</v>
      </c>
      <c r="C10" s="506"/>
      <c r="D10" s="507"/>
      <c r="E10" s="507"/>
      <c r="F10" s="507"/>
      <c r="G10" s="508"/>
      <c r="H10" s="515"/>
      <c r="I10" s="516"/>
      <c r="J10" s="516"/>
      <c r="K10" s="516"/>
      <c r="L10" s="516"/>
      <c r="M10" s="516"/>
      <c r="N10" s="517"/>
      <c r="O10" s="518"/>
      <c r="P10" s="519"/>
      <c r="Q10" s="576"/>
      <c r="R10" s="577"/>
      <c r="S10" s="577"/>
      <c r="T10" s="577"/>
      <c r="U10" s="577"/>
      <c r="V10" s="577"/>
      <c r="W10" s="577"/>
      <c r="X10" s="578"/>
      <c r="Y10" s="518"/>
      <c r="Z10" s="518"/>
      <c r="AA10" s="579"/>
    </row>
    <row r="11" spans="1:42" ht="20.100000000000001" customHeight="1" thickBot="1" x14ac:dyDescent="0.2">
      <c r="B11" s="520" t="s">
        <v>66</v>
      </c>
      <c r="C11" s="521"/>
      <c r="D11" s="522"/>
      <c r="E11" s="522"/>
      <c r="F11" s="522"/>
      <c r="G11" s="523"/>
      <c r="H11" s="524"/>
      <c r="I11" s="525"/>
      <c r="J11" s="525"/>
      <c r="K11" s="525"/>
      <c r="L11" s="525"/>
      <c r="M11" s="525"/>
      <c r="N11" s="514"/>
      <c r="O11" s="512"/>
      <c r="P11" s="512"/>
      <c r="Q11" s="509"/>
      <c r="R11" s="510"/>
      <c r="S11" s="510"/>
      <c r="T11" s="510"/>
      <c r="U11" s="510"/>
      <c r="V11" s="510"/>
      <c r="W11" s="510"/>
      <c r="X11" s="511"/>
      <c r="Y11" s="512"/>
      <c r="Z11" s="512"/>
      <c r="AA11" s="513"/>
    </row>
    <row r="12" spans="1:42" ht="20.100000000000001" customHeight="1" x14ac:dyDescent="0.15">
      <c r="B12" s="571" t="s">
        <v>88</v>
      </c>
      <c r="C12" s="567" t="s">
        <v>92</v>
      </c>
      <c r="D12" s="563"/>
      <c r="E12" s="568"/>
      <c r="F12" s="429" t="s">
        <v>89</v>
      </c>
      <c r="G12" s="567">
        <v>1</v>
      </c>
      <c r="H12" s="563"/>
      <c r="I12" s="563"/>
      <c r="J12" s="567">
        <v>2</v>
      </c>
      <c r="K12" s="563"/>
      <c r="L12" s="568"/>
      <c r="M12" s="563">
        <v>3</v>
      </c>
      <c r="N12" s="563"/>
      <c r="O12" s="570"/>
      <c r="P12" s="567">
        <v>4</v>
      </c>
      <c r="Q12" s="563"/>
      <c r="R12" s="568"/>
      <c r="S12" s="569">
        <v>5</v>
      </c>
      <c r="T12" s="563"/>
      <c r="U12" s="570"/>
      <c r="V12" s="567">
        <v>6</v>
      </c>
      <c r="W12" s="563"/>
      <c r="X12" s="568"/>
      <c r="Y12" s="569">
        <v>7</v>
      </c>
      <c r="Z12" s="563"/>
      <c r="AA12" s="570"/>
      <c r="AB12" s="567">
        <v>8</v>
      </c>
      <c r="AC12" s="563"/>
      <c r="AD12" s="568"/>
      <c r="AE12" s="569">
        <v>9</v>
      </c>
      <c r="AF12" s="563"/>
      <c r="AG12" s="570"/>
      <c r="AH12" s="567">
        <v>10</v>
      </c>
      <c r="AI12" s="563"/>
      <c r="AJ12" s="568"/>
      <c r="AK12" s="567">
        <v>11</v>
      </c>
      <c r="AL12" s="563"/>
      <c r="AM12" s="568"/>
      <c r="AN12" s="563">
        <v>12</v>
      </c>
      <c r="AO12" s="563"/>
      <c r="AP12" s="564"/>
    </row>
    <row r="13" spans="1:42" ht="20.100000000000001" customHeight="1" x14ac:dyDescent="0.15">
      <c r="B13" s="572"/>
      <c r="C13" s="565" t="s">
        <v>386</v>
      </c>
      <c r="D13" s="566"/>
      <c r="E13" s="566"/>
      <c r="F13" s="397" t="s">
        <v>387</v>
      </c>
      <c r="G13" s="398"/>
      <c r="H13" s="399"/>
      <c r="I13" s="400"/>
      <c r="J13" s="399"/>
      <c r="K13" s="399"/>
      <c r="L13" s="401"/>
      <c r="M13" s="402"/>
      <c r="N13" s="399"/>
      <c r="O13" s="400"/>
      <c r="P13" s="399"/>
      <c r="Q13" s="399"/>
      <c r="R13" s="399"/>
      <c r="S13" s="403"/>
      <c r="T13" s="399"/>
      <c r="U13" s="400"/>
      <c r="V13" s="404" t="s">
        <v>388</v>
      </c>
      <c r="W13" s="399"/>
      <c r="X13" s="399"/>
      <c r="Y13" s="405"/>
      <c r="Z13" s="406"/>
      <c r="AA13" s="400" t="s">
        <v>285</v>
      </c>
      <c r="AB13" s="407"/>
      <c r="AC13" s="407"/>
      <c r="AD13" s="399" t="s">
        <v>398</v>
      </c>
      <c r="AE13" s="403"/>
      <c r="AF13" s="399"/>
      <c r="AG13" s="400"/>
      <c r="AH13" s="399"/>
      <c r="AI13" s="399"/>
      <c r="AJ13" s="399"/>
      <c r="AK13" s="408"/>
      <c r="AL13" s="409"/>
      <c r="AM13" s="409"/>
      <c r="AN13" s="399"/>
      <c r="AO13" s="399"/>
      <c r="AP13" s="430"/>
    </row>
    <row r="14" spans="1:42" ht="20.100000000000001" customHeight="1" x14ac:dyDescent="0.15">
      <c r="B14" s="572"/>
      <c r="C14" s="565" t="s">
        <v>390</v>
      </c>
      <c r="D14" s="566"/>
      <c r="E14" s="566"/>
      <c r="F14" s="397" t="s">
        <v>391</v>
      </c>
      <c r="G14" s="398"/>
      <c r="H14" s="399"/>
      <c r="I14" s="400"/>
      <c r="J14" s="399"/>
      <c r="K14" s="399"/>
      <c r="L14" s="399"/>
      <c r="M14" s="410"/>
      <c r="N14" s="399"/>
      <c r="O14" s="411"/>
      <c r="P14" s="399"/>
      <c r="Q14" s="399"/>
      <c r="R14" s="399"/>
      <c r="S14" s="412"/>
      <c r="T14" s="407"/>
      <c r="U14" s="408"/>
      <c r="V14" s="409"/>
      <c r="W14" s="413"/>
      <c r="X14" s="399"/>
      <c r="Y14" s="410"/>
      <c r="Z14" s="399"/>
      <c r="AA14" s="400"/>
      <c r="AB14" s="399"/>
      <c r="AC14" s="407"/>
      <c r="AD14" s="407"/>
      <c r="AE14" s="410"/>
      <c r="AF14" s="407"/>
      <c r="AG14" s="414"/>
      <c r="AH14" s="407"/>
      <c r="AI14" s="407"/>
      <c r="AJ14" s="407"/>
      <c r="AK14" s="410"/>
      <c r="AL14" s="399"/>
      <c r="AM14" s="400"/>
      <c r="AN14" s="407"/>
      <c r="AO14" s="407"/>
      <c r="AP14" s="431"/>
    </row>
    <row r="15" spans="1:42" ht="20.100000000000001" customHeight="1" x14ac:dyDescent="0.15">
      <c r="B15" s="572"/>
      <c r="C15" s="415"/>
      <c r="D15" s="416"/>
      <c r="E15" s="416"/>
      <c r="F15" s="417"/>
      <c r="G15" s="415"/>
      <c r="H15" s="416"/>
      <c r="I15" s="418"/>
      <c r="J15" s="416"/>
      <c r="K15" s="416"/>
      <c r="L15" s="416"/>
      <c r="M15" s="419"/>
      <c r="N15" s="416"/>
      <c r="O15" s="418"/>
      <c r="P15" s="416"/>
      <c r="Q15" s="416"/>
      <c r="R15" s="416"/>
      <c r="S15" s="419"/>
      <c r="T15" s="416"/>
      <c r="U15" s="418"/>
      <c r="V15" s="416"/>
      <c r="W15" s="416"/>
      <c r="X15" s="416"/>
      <c r="Y15" s="419"/>
      <c r="Z15" s="416"/>
      <c r="AA15" s="418"/>
      <c r="AB15" s="416"/>
      <c r="AC15" s="416"/>
      <c r="AD15" s="416"/>
      <c r="AE15" s="419"/>
      <c r="AF15" s="416"/>
      <c r="AG15" s="418"/>
      <c r="AH15" s="416"/>
      <c r="AI15" s="416"/>
      <c r="AJ15" s="416"/>
      <c r="AK15" s="419"/>
      <c r="AL15" s="416"/>
      <c r="AM15" s="418"/>
      <c r="AN15" s="416"/>
      <c r="AO15" s="416"/>
      <c r="AP15" s="432"/>
    </row>
    <row r="16" spans="1:42" ht="20.100000000000001" customHeight="1" x14ac:dyDescent="0.15">
      <c r="B16" s="572"/>
      <c r="C16" s="565" t="s">
        <v>392</v>
      </c>
      <c r="D16" s="566"/>
      <c r="E16" s="566"/>
      <c r="F16" s="397" t="s">
        <v>387</v>
      </c>
      <c r="G16" s="398"/>
      <c r="H16" s="416"/>
      <c r="I16" s="400"/>
      <c r="J16" s="416"/>
      <c r="K16" s="399"/>
      <c r="L16" s="399"/>
      <c r="M16" s="412"/>
      <c r="N16" s="407"/>
      <c r="O16" s="400"/>
      <c r="P16" s="407"/>
      <c r="Q16" s="407"/>
      <c r="R16" s="407"/>
      <c r="S16" s="412"/>
      <c r="T16" s="407"/>
      <c r="U16" s="414"/>
      <c r="V16" s="399"/>
      <c r="W16" s="420" t="s">
        <v>393</v>
      </c>
      <c r="X16" s="399"/>
      <c r="Y16" s="410" t="s">
        <v>285</v>
      </c>
      <c r="Z16" s="399"/>
      <c r="AA16" s="400"/>
      <c r="AB16" s="399" t="s">
        <v>287</v>
      </c>
      <c r="AC16" s="407"/>
      <c r="AD16" s="407"/>
      <c r="AE16" s="410" t="s">
        <v>389</v>
      </c>
      <c r="AF16" s="407"/>
      <c r="AG16" s="414"/>
      <c r="AH16" s="407"/>
      <c r="AI16" s="407"/>
      <c r="AJ16" s="407"/>
      <c r="AK16" s="410"/>
      <c r="AL16" s="399"/>
      <c r="AM16" s="400"/>
      <c r="AN16" s="408"/>
      <c r="AO16" s="409"/>
      <c r="AP16" s="433"/>
    </row>
    <row r="17" spans="2:45" ht="20.100000000000001" customHeight="1" x14ac:dyDescent="0.15">
      <c r="B17" s="572"/>
      <c r="C17" s="565" t="s">
        <v>394</v>
      </c>
      <c r="D17" s="566"/>
      <c r="E17" s="566"/>
      <c r="F17" s="397" t="s">
        <v>391</v>
      </c>
      <c r="G17" s="398"/>
      <c r="H17" s="416"/>
      <c r="I17" s="400"/>
      <c r="J17" s="416"/>
      <c r="K17" s="399"/>
      <c r="L17" s="399"/>
      <c r="M17" s="412"/>
      <c r="N17" s="407"/>
      <c r="O17" s="400"/>
      <c r="P17" s="407"/>
      <c r="Q17" s="407"/>
      <c r="R17" s="408"/>
      <c r="S17" s="409"/>
      <c r="T17" s="413"/>
      <c r="U17" s="414"/>
      <c r="V17" s="399"/>
      <c r="W17" s="399"/>
      <c r="X17" s="399"/>
      <c r="Y17" s="410"/>
      <c r="Z17" s="399"/>
      <c r="AA17" s="400"/>
      <c r="AB17" s="399"/>
      <c r="AC17" s="407"/>
      <c r="AD17" s="407"/>
      <c r="AE17" s="410"/>
      <c r="AF17" s="407"/>
      <c r="AG17" s="414"/>
      <c r="AH17" s="407"/>
      <c r="AI17" s="407"/>
      <c r="AJ17" s="407"/>
      <c r="AK17" s="410"/>
      <c r="AL17" s="399"/>
      <c r="AM17" s="400"/>
      <c r="AN17" s="399"/>
      <c r="AO17" s="399"/>
      <c r="AP17" s="430"/>
    </row>
    <row r="18" spans="2:45" ht="20.100000000000001" customHeight="1" x14ac:dyDescent="0.15">
      <c r="B18" s="572"/>
      <c r="C18" s="415"/>
      <c r="D18" s="416"/>
      <c r="E18" s="416"/>
      <c r="F18" s="417"/>
      <c r="G18" s="415"/>
      <c r="H18" s="416"/>
      <c r="I18" s="418"/>
      <c r="J18" s="416"/>
      <c r="K18" s="416"/>
      <c r="L18" s="416"/>
      <c r="M18" s="419"/>
      <c r="N18" s="416"/>
      <c r="O18" s="418"/>
      <c r="P18" s="416"/>
      <c r="Q18" s="416"/>
      <c r="R18" s="416"/>
      <c r="S18" s="419"/>
      <c r="T18" s="416"/>
      <c r="U18" s="418"/>
      <c r="V18" s="416"/>
      <c r="W18" s="416"/>
      <c r="X18" s="416"/>
      <c r="Y18" s="419"/>
      <c r="Z18" s="416"/>
      <c r="AA18" s="418"/>
      <c r="AB18" s="416"/>
      <c r="AC18" s="416"/>
      <c r="AD18" s="416"/>
      <c r="AE18" s="419"/>
      <c r="AF18" s="416"/>
      <c r="AG18" s="418"/>
      <c r="AH18" s="416"/>
      <c r="AI18" s="416"/>
      <c r="AJ18" s="416"/>
      <c r="AK18" s="419"/>
      <c r="AL18" s="416"/>
      <c r="AM18" s="418"/>
      <c r="AN18" s="416"/>
      <c r="AO18" s="416"/>
      <c r="AP18" s="432"/>
    </row>
    <row r="19" spans="2:45" ht="20.100000000000001" customHeight="1" x14ac:dyDescent="0.15">
      <c r="B19" s="572"/>
      <c r="C19" s="565" t="s">
        <v>395</v>
      </c>
      <c r="D19" s="566"/>
      <c r="E19" s="566"/>
      <c r="F19" s="397" t="s">
        <v>387</v>
      </c>
      <c r="G19" s="398"/>
      <c r="H19" s="416"/>
      <c r="I19" s="400"/>
      <c r="J19" s="416"/>
      <c r="K19" s="399"/>
      <c r="L19" s="399"/>
      <c r="M19" s="408"/>
      <c r="N19" s="409"/>
      <c r="O19" s="413"/>
      <c r="P19" s="407"/>
      <c r="Q19" s="407"/>
      <c r="R19" s="399"/>
      <c r="S19" s="412"/>
      <c r="T19" s="407"/>
      <c r="U19" s="414"/>
      <c r="V19" s="399"/>
      <c r="W19" s="399"/>
      <c r="X19" s="399"/>
      <c r="Y19" s="410"/>
      <c r="Z19" s="399"/>
      <c r="AA19" s="400"/>
      <c r="AB19" s="399" t="s">
        <v>285</v>
      </c>
      <c r="AC19" s="399"/>
      <c r="AD19" s="399"/>
      <c r="AE19" s="410" t="s">
        <v>287</v>
      </c>
      <c r="AF19" s="407"/>
      <c r="AG19" s="414"/>
      <c r="AH19" s="399" t="s">
        <v>398</v>
      </c>
      <c r="AI19" s="407"/>
      <c r="AJ19" s="399"/>
      <c r="AK19" s="410"/>
      <c r="AL19" s="399"/>
      <c r="AM19" s="400"/>
      <c r="AN19" s="399"/>
      <c r="AO19" s="399"/>
      <c r="AP19" s="430"/>
    </row>
    <row r="20" spans="2:45" ht="20.100000000000001" customHeight="1" x14ac:dyDescent="0.15">
      <c r="B20" s="572"/>
      <c r="C20" s="415"/>
      <c r="D20" s="416"/>
      <c r="E20" s="416"/>
      <c r="F20" s="417"/>
      <c r="G20" s="415"/>
      <c r="H20" s="416"/>
      <c r="I20" s="418"/>
      <c r="J20" s="416"/>
      <c r="K20" s="416"/>
      <c r="L20" s="416"/>
      <c r="M20" s="419"/>
      <c r="N20" s="416"/>
      <c r="O20" s="418"/>
      <c r="P20" s="416"/>
      <c r="Q20" s="416"/>
      <c r="R20" s="416"/>
      <c r="S20" s="419"/>
      <c r="T20" s="416"/>
      <c r="U20" s="418"/>
      <c r="V20" s="416"/>
      <c r="W20" s="416"/>
      <c r="X20" s="416"/>
      <c r="Y20" s="419"/>
      <c r="Z20" s="416"/>
      <c r="AA20" s="418"/>
      <c r="AB20" s="416"/>
      <c r="AC20" s="416"/>
      <c r="AD20" s="416"/>
      <c r="AE20" s="419"/>
      <c r="AF20" s="416"/>
      <c r="AG20" s="418"/>
      <c r="AH20" s="416"/>
      <c r="AI20" s="416"/>
      <c r="AJ20" s="416"/>
      <c r="AK20" s="419"/>
      <c r="AL20" s="416"/>
      <c r="AM20" s="418"/>
      <c r="AN20" s="416"/>
      <c r="AO20" s="416"/>
      <c r="AP20" s="432"/>
    </row>
    <row r="21" spans="2:45" ht="20.100000000000001" customHeight="1" x14ac:dyDescent="0.15">
      <c r="B21" s="572"/>
      <c r="C21" s="565" t="s">
        <v>396</v>
      </c>
      <c r="D21" s="566"/>
      <c r="E21" s="566"/>
      <c r="F21" s="397" t="s">
        <v>387</v>
      </c>
      <c r="G21" s="398"/>
      <c r="H21" s="399"/>
      <c r="I21" s="400"/>
      <c r="J21" s="399"/>
      <c r="K21" s="399"/>
      <c r="L21" s="399"/>
      <c r="M21" s="412"/>
      <c r="N21" s="407"/>
      <c r="O21" s="400"/>
      <c r="P21" s="408"/>
      <c r="Q21" s="409"/>
      <c r="R21" s="413"/>
      <c r="S21" s="412"/>
      <c r="T21" s="407"/>
      <c r="U21" s="414"/>
      <c r="V21" s="399"/>
      <c r="W21" s="399"/>
      <c r="X21" s="399"/>
      <c r="Y21" s="410"/>
      <c r="Z21" s="399"/>
      <c r="AA21" s="400"/>
      <c r="AB21" s="399"/>
      <c r="AC21" s="407"/>
      <c r="AD21" s="407"/>
      <c r="AE21" s="410" t="s">
        <v>285</v>
      </c>
      <c r="AF21" s="407"/>
      <c r="AG21" s="414"/>
      <c r="AH21" s="407"/>
      <c r="AI21" s="407" t="s">
        <v>398</v>
      </c>
      <c r="AJ21" s="399"/>
      <c r="AK21" s="410"/>
      <c r="AL21" s="399"/>
      <c r="AM21" s="400"/>
      <c r="AN21" s="399"/>
      <c r="AO21" s="399"/>
      <c r="AP21" s="430"/>
    </row>
    <row r="22" spans="2:45" ht="20.100000000000001" customHeight="1" x14ac:dyDescent="0.15">
      <c r="B22" s="572"/>
      <c r="C22" s="415"/>
      <c r="D22" s="416"/>
      <c r="E22" s="416"/>
      <c r="F22" s="417"/>
      <c r="G22" s="415"/>
      <c r="H22" s="416"/>
      <c r="I22" s="418"/>
      <c r="J22" s="416"/>
      <c r="K22" s="416"/>
      <c r="L22" s="416"/>
      <c r="M22" s="419"/>
      <c r="N22" s="416"/>
      <c r="O22" s="418"/>
      <c r="P22" s="416"/>
      <c r="Q22" s="416"/>
      <c r="R22" s="416"/>
      <c r="S22" s="419"/>
      <c r="T22" s="416"/>
      <c r="U22" s="418"/>
      <c r="V22" s="416"/>
      <c r="W22" s="416"/>
      <c r="X22" s="416"/>
      <c r="Y22" s="419"/>
      <c r="Z22" s="416"/>
      <c r="AA22" s="418"/>
      <c r="AB22" s="416"/>
      <c r="AC22" s="416"/>
      <c r="AD22" s="416"/>
      <c r="AE22" s="419"/>
      <c r="AF22" s="416"/>
      <c r="AG22" s="418"/>
      <c r="AH22" s="416"/>
      <c r="AI22" s="416"/>
      <c r="AJ22" s="416"/>
      <c r="AK22" s="419"/>
      <c r="AL22" s="416"/>
      <c r="AM22" s="418"/>
      <c r="AN22" s="416"/>
      <c r="AO22" s="416"/>
      <c r="AP22" s="432"/>
    </row>
    <row r="23" spans="2:45" ht="20.100000000000001" customHeight="1" x14ac:dyDescent="0.15">
      <c r="B23" s="572"/>
      <c r="C23" s="574" t="s">
        <v>397</v>
      </c>
      <c r="D23" s="575"/>
      <c r="E23" s="575"/>
      <c r="F23" s="397" t="s">
        <v>387</v>
      </c>
      <c r="G23" s="398"/>
      <c r="H23" s="399"/>
      <c r="I23" s="400"/>
      <c r="J23" s="399"/>
      <c r="K23" s="399"/>
      <c r="L23" s="399"/>
      <c r="M23" s="412"/>
      <c r="N23" s="407"/>
      <c r="O23" s="400"/>
      <c r="P23" s="407"/>
      <c r="Q23" s="407"/>
      <c r="R23" s="399"/>
      <c r="S23" s="408"/>
      <c r="T23" s="409"/>
      <c r="U23" s="413"/>
      <c r="V23" s="399"/>
      <c r="W23" s="399"/>
      <c r="X23" s="399"/>
      <c r="Y23" s="410"/>
      <c r="Z23" s="399"/>
      <c r="AA23" s="400"/>
      <c r="AB23" s="399"/>
      <c r="AC23" s="399"/>
      <c r="AD23" s="399"/>
      <c r="AE23" s="410"/>
      <c r="AF23" s="399"/>
      <c r="AG23" s="400"/>
      <c r="AH23" s="399"/>
      <c r="AI23" s="399"/>
      <c r="AJ23" s="399"/>
      <c r="AK23" s="410"/>
      <c r="AL23" s="399"/>
      <c r="AM23" s="400"/>
      <c r="AN23" s="399"/>
      <c r="AO23" s="399"/>
      <c r="AP23" s="430"/>
    </row>
    <row r="24" spans="2:45" ht="20.100000000000001" customHeight="1" x14ac:dyDescent="0.15">
      <c r="B24" s="573"/>
      <c r="C24" s="421"/>
      <c r="D24" s="422"/>
      <c r="E24" s="422"/>
      <c r="F24" s="423"/>
      <c r="G24" s="421"/>
      <c r="H24" s="422"/>
      <c r="I24" s="424"/>
      <c r="J24" s="422"/>
      <c r="K24" s="422"/>
      <c r="L24" s="422"/>
      <c r="M24" s="425"/>
      <c r="N24" s="422"/>
      <c r="O24" s="424"/>
      <c r="P24" s="422"/>
      <c r="Q24" s="422"/>
      <c r="R24" s="422"/>
      <c r="S24" s="425"/>
      <c r="T24" s="422"/>
      <c r="U24" s="424"/>
      <c r="V24" s="422"/>
      <c r="W24" s="422"/>
      <c r="X24" s="422"/>
      <c r="Y24" s="425"/>
      <c r="Z24" s="422"/>
      <c r="AA24" s="424"/>
      <c r="AB24" s="422"/>
      <c r="AC24" s="422"/>
      <c r="AD24" s="422"/>
      <c r="AE24" s="425"/>
      <c r="AF24" s="422"/>
      <c r="AG24" s="424"/>
      <c r="AH24" s="422"/>
      <c r="AI24" s="422"/>
      <c r="AJ24" s="422"/>
      <c r="AK24" s="425"/>
      <c r="AL24" s="422"/>
      <c r="AM24" s="424"/>
      <c r="AN24" s="422"/>
      <c r="AO24" s="422"/>
      <c r="AP24" s="434"/>
      <c r="AQ24" s="64"/>
      <c r="AR24" s="64"/>
      <c r="AS24" s="64"/>
    </row>
    <row r="25" spans="2:45" ht="20.100000000000001" customHeight="1" x14ac:dyDescent="0.15">
      <c r="B25" s="560" t="s">
        <v>67</v>
      </c>
      <c r="C25" s="395"/>
      <c r="D25" s="396"/>
      <c r="E25" s="396"/>
      <c r="F25" s="42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435"/>
      <c r="AQ25" s="416"/>
      <c r="AR25" s="416"/>
      <c r="AS25" s="416"/>
    </row>
    <row r="26" spans="2:45" ht="20.100000000000001" customHeight="1" x14ac:dyDescent="0.15">
      <c r="B26" s="561"/>
      <c r="C26" s="427" t="s">
        <v>399</v>
      </c>
      <c r="D26" s="428"/>
      <c r="E26" s="428"/>
      <c r="F26" s="428"/>
      <c r="G26" s="428"/>
      <c r="H26" s="416"/>
      <c r="I26" s="428" t="s">
        <v>400</v>
      </c>
      <c r="J26" s="416"/>
      <c r="K26" s="416"/>
      <c r="L26" s="428"/>
      <c r="M26" s="416"/>
      <c r="N26" s="416"/>
      <c r="O26" s="428"/>
      <c r="P26" s="428" t="s">
        <v>401</v>
      </c>
      <c r="Q26" s="416"/>
      <c r="R26" s="428"/>
      <c r="S26" s="416"/>
      <c r="T26" s="416"/>
      <c r="U26" s="416" t="s">
        <v>402</v>
      </c>
      <c r="V26" s="428"/>
      <c r="W26" s="416"/>
      <c r="X26" s="416"/>
      <c r="Y26" s="428"/>
      <c r="Z26" s="428"/>
      <c r="AA26" s="428" t="s">
        <v>403</v>
      </c>
      <c r="AB26" s="416"/>
      <c r="AC26" s="416"/>
      <c r="AD26" s="428"/>
      <c r="AE26" s="428"/>
      <c r="AF26" s="428" t="s">
        <v>404</v>
      </c>
      <c r="AG26" s="416"/>
      <c r="AH26" s="416"/>
      <c r="AI26" s="416"/>
      <c r="AJ26" s="428"/>
      <c r="AK26" s="428"/>
      <c r="AL26" s="428"/>
      <c r="AM26" s="428"/>
      <c r="AN26" s="428"/>
      <c r="AO26" s="428"/>
      <c r="AP26" s="436"/>
      <c r="AQ26" s="428"/>
      <c r="AR26" s="428"/>
      <c r="AS26" s="428"/>
    </row>
    <row r="27" spans="2:45" ht="20.100000000000001" customHeight="1" thickBot="1" x14ac:dyDescent="0.2">
      <c r="B27" s="562"/>
      <c r="C27" s="437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8"/>
      <c r="AF27" s="438"/>
      <c r="AG27" s="438"/>
      <c r="AH27" s="438"/>
      <c r="AI27" s="438"/>
      <c r="AJ27" s="438"/>
      <c r="AK27" s="438"/>
      <c r="AL27" s="438"/>
      <c r="AM27" s="438"/>
      <c r="AN27" s="438"/>
      <c r="AO27" s="438"/>
      <c r="AP27" s="439"/>
      <c r="AQ27" s="416"/>
      <c r="AR27" s="416"/>
      <c r="AS27" s="416"/>
    </row>
    <row r="28" spans="2:45" ht="9.9499999999999993" customHeight="1" x14ac:dyDescent="0.15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Q28" s="64"/>
      <c r="AR28" s="64"/>
      <c r="AS28" s="64"/>
    </row>
    <row r="29" spans="2:45" ht="24.95" customHeight="1" thickBot="1" x14ac:dyDescent="0.2">
      <c r="B29" s="65" t="s">
        <v>93</v>
      </c>
    </row>
    <row r="30" spans="2:45" ht="20.100000000000001" customHeight="1" thickBot="1" x14ac:dyDescent="0.2">
      <c r="B30" s="553" t="s">
        <v>16</v>
      </c>
      <c r="C30" s="554"/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5"/>
      <c r="O30" s="556" t="s">
        <v>15</v>
      </c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  <c r="AL30" s="557"/>
      <c r="AM30" s="557"/>
      <c r="AN30" s="557"/>
      <c r="AO30" s="557"/>
      <c r="AP30" s="558"/>
    </row>
    <row r="31" spans="2:45" ht="39.950000000000003" customHeight="1" x14ac:dyDescent="0.15">
      <c r="B31" s="559" t="s">
        <v>11</v>
      </c>
      <c r="C31" s="550"/>
      <c r="D31" s="550"/>
      <c r="E31" s="551" t="s">
        <v>405</v>
      </c>
      <c r="F31" s="551"/>
      <c r="G31" s="551"/>
      <c r="H31" s="551"/>
      <c r="I31" s="551"/>
      <c r="J31" s="551"/>
      <c r="K31" s="551"/>
      <c r="L31" s="551"/>
      <c r="M31" s="551"/>
      <c r="N31" s="552"/>
      <c r="O31" s="549" t="s">
        <v>8</v>
      </c>
      <c r="P31" s="550"/>
      <c r="Q31" s="550"/>
      <c r="R31" s="550"/>
      <c r="S31" s="550"/>
      <c r="T31" s="551" t="s">
        <v>408</v>
      </c>
      <c r="U31" s="551"/>
      <c r="V31" s="551"/>
      <c r="W31" s="551"/>
      <c r="X31" s="551"/>
      <c r="Y31" s="551"/>
      <c r="Z31" s="551"/>
      <c r="AA31" s="551"/>
      <c r="AB31" s="551"/>
      <c r="AC31" s="551"/>
      <c r="AD31" s="551"/>
      <c r="AE31" s="551"/>
      <c r="AF31" s="551"/>
      <c r="AG31" s="551"/>
      <c r="AH31" s="551"/>
      <c r="AI31" s="551"/>
      <c r="AJ31" s="551"/>
      <c r="AK31" s="551"/>
      <c r="AL31" s="551"/>
      <c r="AM31" s="551"/>
      <c r="AN31" s="551"/>
      <c r="AO31" s="551"/>
      <c r="AP31" s="552"/>
    </row>
    <row r="32" spans="2:45" ht="39.950000000000003" customHeight="1" x14ac:dyDescent="0.15">
      <c r="B32" s="540" t="s">
        <v>12</v>
      </c>
      <c r="C32" s="541"/>
      <c r="D32" s="541"/>
      <c r="E32" s="542" t="s">
        <v>414</v>
      </c>
      <c r="F32" s="542"/>
      <c r="G32" s="542"/>
      <c r="H32" s="542"/>
      <c r="I32" s="542"/>
      <c r="J32" s="542"/>
      <c r="K32" s="542"/>
      <c r="L32" s="542"/>
      <c r="M32" s="542"/>
      <c r="N32" s="543"/>
      <c r="O32" s="544" t="s">
        <v>9</v>
      </c>
      <c r="P32" s="541"/>
      <c r="Q32" s="541"/>
      <c r="R32" s="541"/>
      <c r="S32" s="541"/>
      <c r="T32" s="545" t="s">
        <v>409</v>
      </c>
      <c r="U32" s="542"/>
      <c r="V32" s="542"/>
      <c r="W32" s="542"/>
      <c r="X32" s="542"/>
      <c r="Y32" s="542"/>
      <c r="Z32" s="542"/>
      <c r="AA32" s="542"/>
      <c r="AB32" s="542"/>
      <c r="AC32" s="542"/>
      <c r="AD32" s="542"/>
      <c r="AE32" s="542"/>
      <c r="AF32" s="542"/>
      <c r="AG32" s="542"/>
      <c r="AH32" s="542"/>
      <c r="AI32" s="542"/>
      <c r="AJ32" s="542"/>
      <c r="AK32" s="542"/>
      <c r="AL32" s="542"/>
      <c r="AM32" s="542"/>
      <c r="AN32" s="542"/>
      <c r="AO32" s="542"/>
      <c r="AP32" s="543"/>
    </row>
    <row r="33" spans="2:42" ht="39.950000000000003" customHeight="1" x14ac:dyDescent="0.15">
      <c r="B33" s="540" t="s">
        <v>13</v>
      </c>
      <c r="C33" s="541"/>
      <c r="D33" s="541"/>
      <c r="E33" s="545" t="s">
        <v>406</v>
      </c>
      <c r="F33" s="542"/>
      <c r="G33" s="542"/>
      <c r="H33" s="542"/>
      <c r="I33" s="542"/>
      <c r="J33" s="542"/>
      <c r="K33" s="542"/>
      <c r="L33" s="542"/>
      <c r="M33" s="542"/>
      <c r="N33" s="543"/>
      <c r="O33" s="544" t="s">
        <v>10</v>
      </c>
      <c r="P33" s="541"/>
      <c r="Q33" s="541"/>
      <c r="R33" s="541"/>
      <c r="S33" s="541"/>
      <c r="T33" s="545" t="s">
        <v>410</v>
      </c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542"/>
      <c r="AF33" s="542"/>
      <c r="AG33" s="542"/>
      <c r="AH33" s="542"/>
      <c r="AI33" s="542"/>
      <c r="AJ33" s="542"/>
      <c r="AK33" s="542"/>
      <c r="AL33" s="542"/>
      <c r="AM33" s="542"/>
      <c r="AN33" s="542"/>
      <c r="AO33" s="542"/>
      <c r="AP33" s="543"/>
    </row>
    <row r="34" spans="2:42" ht="39.950000000000003" customHeight="1" thickBot="1" x14ac:dyDescent="0.2">
      <c r="B34" s="548" t="s">
        <v>14</v>
      </c>
      <c r="C34" s="547"/>
      <c r="D34" s="547"/>
      <c r="E34" s="538" t="s">
        <v>407</v>
      </c>
      <c r="F34" s="538"/>
      <c r="G34" s="538"/>
      <c r="H34" s="538"/>
      <c r="I34" s="538"/>
      <c r="J34" s="538"/>
      <c r="K34" s="538"/>
      <c r="L34" s="538"/>
      <c r="M34" s="538"/>
      <c r="N34" s="539"/>
      <c r="O34" s="546"/>
      <c r="P34" s="547"/>
      <c r="Q34" s="547"/>
      <c r="R34" s="547"/>
      <c r="S34" s="547"/>
      <c r="T34" s="538"/>
      <c r="U34" s="538"/>
      <c r="V34" s="538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8"/>
      <c r="AH34" s="538"/>
      <c r="AI34" s="538"/>
      <c r="AJ34" s="538"/>
      <c r="AK34" s="538"/>
      <c r="AL34" s="538"/>
      <c r="AM34" s="538"/>
      <c r="AN34" s="538"/>
      <c r="AO34" s="538"/>
      <c r="AP34" s="539"/>
    </row>
    <row r="35" spans="2:42" ht="9.75" customHeight="1" x14ac:dyDescent="0.15">
      <c r="B35" s="75"/>
    </row>
  </sheetData>
  <mergeCells count="82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M12:O12"/>
    <mergeCell ref="Q8:X8"/>
    <mergeCell ref="Y8:AA8"/>
    <mergeCell ref="Q9:X9"/>
    <mergeCell ref="Y9:AA9"/>
    <mergeCell ref="Q10:X10"/>
    <mergeCell ref="Y10:AA10"/>
    <mergeCell ref="B12:B24"/>
    <mergeCell ref="C21:E21"/>
    <mergeCell ref="C23:E23"/>
    <mergeCell ref="C16:E16"/>
    <mergeCell ref="J12:L12"/>
    <mergeCell ref="B25:B27"/>
    <mergeCell ref="AN12:AP12"/>
    <mergeCell ref="C13:E13"/>
    <mergeCell ref="C19:E19"/>
    <mergeCell ref="AB12:AD12"/>
    <mergeCell ref="AE12:AG12"/>
    <mergeCell ref="C14:E14"/>
    <mergeCell ref="C17:E17"/>
    <mergeCell ref="AH12:AJ12"/>
    <mergeCell ref="AK12:AM12"/>
    <mergeCell ref="P12:R12"/>
    <mergeCell ref="S12:U12"/>
    <mergeCell ref="V12:X12"/>
    <mergeCell ref="Y12:AA12"/>
    <mergeCell ref="C12:E12"/>
    <mergeCell ref="G12:I12"/>
    <mergeCell ref="O31:S31"/>
    <mergeCell ref="T31:AP31"/>
    <mergeCell ref="B30:N30"/>
    <mergeCell ref="O30:AP30"/>
    <mergeCell ref="B31:D31"/>
    <mergeCell ref="E31:N31"/>
    <mergeCell ref="E34:N34"/>
    <mergeCell ref="B32:D32"/>
    <mergeCell ref="E32:N32"/>
    <mergeCell ref="O32:S32"/>
    <mergeCell ref="T32:AP32"/>
    <mergeCell ref="B33:D33"/>
    <mergeCell ref="E33:N33"/>
    <mergeCell ref="O33:S34"/>
    <mergeCell ref="T33:AP34"/>
    <mergeCell ref="B34:D34"/>
    <mergeCell ref="C2:D2"/>
    <mergeCell ref="F2:N2"/>
    <mergeCell ref="Y2:AA2"/>
    <mergeCell ref="O2:Q2"/>
    <mergeCell ref="R2:U2"/>
    <mergeCell ref="V2:X2"/>
    <mergeCell ref="B10:C10"/>
    <mergeCell ref="D10:G10"/>
    <mergeCell ref="Q11:X11"/>
    <mergeCell ref="Y11:AA11"/>
    <mergeCell ref="N11:P11"/>
    <mergeCell ref="H10:M10"/>
    <mergeCell ref="N10:P10"/>
    <mergeCell ref="B11:C11"/>
    <mergeCell ref="D11:G11"/>
    <mergeCell ref="H11:M11"/>
  </mergeCells>
  <phoneticPr fontId="3"/>
  <pageMargins left="0.78740157480314965" right="0.78740157480314965" top="0.78740157480314965" bottom="0.78740157480314965" header="0.39370078740157483" footer="0.39370078740157483"/>
  <pageSetup paperSize="9" scale="70" orientation="landscape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>
              <from>
                <xdr:col>32</xdr:col>
                <xdr:colOff>152400</xdr:colOff>
                <xdr:row>12</xdr:row>
                <xdr:rowOff>152400</xdr:rowOff>
              </from>
              <to>
                <xdr:col>33</xdr:col>
                <xdr:colOff>123825</xdr:colOff>
                <xdr:row>13</xdr:row>
                <xdr:rowOff>114300</xdr:rowOff>
              </to>
            </anchor>
          </objectPr>
        </oleObject>
      </mc:Choice>
      <mc:Fallback>
        <oleObject progId="MSPhotoEd.3" shapeId="1028" r:id="rId4"/>
      </mc:Fallback>
    </mc:AlternateContent>
    <mc:AlternateContent xmlns:mc="http://schemas.openxmlformats.org/markup-compatibility/2006">
      <mc:Choice Requires="x14">
        <oleObject progId="MSPhotoEd.3" shapeId="1029" r:id="rId6">
          <objectPr defaultSize="0" autoPict="0" r:id="rId5">
            <anchor moveWithCells="1">
              <from>
                <xdr:col>33</xdr:col>
                <xdr:colOff>66675</xdr:colOff>
                <xdr:row>15</xdr:row>
                <xdr:rowOff>171450</xdr:rowOff>
              </from>
              <to>
                <xdr:col>34</xdr:col>
                <xdr:colOff>38100</xdr:colOff>
                <xdr:row>16</xdr:row>
                <xdr:rowOff>133350</xdr:rowOff>
              </to>
            </anchor>
          </objectPr>
        </oleObject>
      </mc:Choice>
      <mc:Fallback>
        <oleObject progId="MSPhotoEd.3" shapeId="1029" r:id="rId6"/>
      </mc:Fallback>
    </mc:AlternateContent>
    <mc:AlternateContent xmlns:mc="http://schemas.openxmlformats.org/markup-compatibility/2006">
      <mc:Choice Requires="x14">
        <oleObject progId="MSPhotoEd.3" shapeId="1030" r:id="rId7">
          <objectPr defaultSize="0" autoPict="0" r:id="rId5">
            <anchor moveWithCells="1">
              <from>
                <xdr:col>36</xdr:col>
                <xdr:colOff>238125</xdr:colOff>
                <xdr:row>20</xdr:row>
                <xdr:rowOff>190500</xdr:rowOff>
              </from>
              <to>
                <xdr:col>37</xdr:col>
                <xdr:colOff>219075</xdr:colOff>
                <xdr:row>21</xdr:row>
                <xdr:rowOff>152400</xdr:rowOff>
              </to>
            </anchor>
          </objectPr>
        </oleObject>
      </mc:Choice>
      <mc:Fallback>
        <oleObject progId="MSPhotoEd.3" shapeId="1030" r:id="rId7"/>
      </mc:Fallback>
    </mc:AlternateContent>
    <mc:AlternateContent xmlns:mc="http://schemas.openxmlformats.org/markup-compatibility/2006">
      <mc:Choice Requires="x14">
        <oleObject progId="MSPhotoEd.3" shapeId="1031" r:id="rId8">
          <objectPr defaultSize="0" autoPict="0" r:id="rId5">
            <anchor moveWithCells="1">
              <from>
                <xdr:col>13</xdr:col>
                <xdr:colOff>57150</xdr:colOff>
                <xdr:row>25</xdr:row>
                <xdr:rowOff>57150</xdr:rowOff>
              </from>
              <to>
                <xdr:col>14</xdr:col>
                <xdr:colOff>28575</xdr:colOff>
                <xdr:row>25</xdr:row>
                <xdr:rowOff>228600</xdr:rowOff>
              </to>
            </anchor>
          </objectPr>
        </oleObject>
      </mc:Choice>
      <mc:Fallback>
        <oleObject progId="MSPhotoEd.3" shapeId="1031" r:id="rId8"/>
      </mc:Fallback>
    </mc:AlternateContent>
    <mc:AlternateContent xmlns:mc="http://schemas.openxmlformats.org/markup-compatibility/2006">
      <mc:Choice Requires="x14">
        <oleObject progId="MSPhotoEd.3" shapeId="1032" r:id="rId9">
          <objectPr defaultSize="0" autoPict="0" r:id="rId10">
            <anchor moveWithCells="1">
              <from>
                <xdr:col>18</xdr:col>
                <xdr:colOff>190500</xdr:colOff>
                <xdr:row>25</xdr:row>
                <xdr:rowOff>66675</xdr:rowOff>
              </from>
              <to>
                <xdr:col>19</xdr:col>
                <xdr:colOff>161925</xdr:colOff>
                <xdr:row>25</xdr:row>
                <xdr:rowOff>219075</xdr:rowOff>
              </to>
            </anchor>
          </objectPr>
        </oleObject>
      </mc:Choice>
      <mc:Fallback>
        <oleObject progId="MSPhotoEd.3" shapeId="1032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ColWidth="9" defaultRowHeight="13.5" x14ac:dyDescent="0.15"/>
  <cols>
    <col min="1" max="1" width="1.625" style="65" customWidth="1"/>
    <col min="2" max="2" width="7.625" style="65" customWidth="1"/>
    <col min="3" max="3" width="25.625" style="65" customWidth="1"/>
    <col min="4" max="13" width="15.625" style="65" customWidth="1"/>
    <col min="14" max="16384" width="9" style="65"/>
  </cols>
  <sheetData>
    <row r="1" spans="2:13" ht="9.9499999999999993" customHeight="1" x14ac:dyDescent="0.1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3" ht="24.95" customHeight="1" thickBot="1" x14ac:dyDescent="0.2">
      <c r="B2" s="236" t="s">
        <v>247</v>
      </c>
      <c r="F2" s="249" t="s">
        <v>189</v>
      </c>
      <c r="G2" s="236" t="s">
        <v>248</v>
      </c>
      <c r="I2" s="249" t="s">
        <v>190</v>
      </c>
      <c r="J2" s="236" t="s">
        <v>418</v>
      </c>
    </row>
    <row r="3" spans="2:13" ht="20.100000000000001" customHeight="1" x14ac:dyDescent="0.15">
      <c r="B3" s="597" t="s">
        <v>87</v>
      </c>
      <c r="C3" s="598"/>
      <c r="D3" s="317" t="s">
        <v>249</v>
      </c>
      <c r="E3" s="318" t="s">
        <v>250</v>
      </c>
      <c r="F3" s="318" t="s">
        <v>251</v>
      </c>
      <c r="G3" s="318" t="s">
        <v>252</v>
      </c>
      <c r="H3" s="318" t="s">
        <v>253</v>
      </c>
      <c r="I3" s="504" t="s">
        <v>428</v>
      </c>
      <c r="J3" s="318" t="s">
        <v>254</v>
      </c>
      <c r="K3" s="318" t="s">
        <v>255</v>
      </c>
      <c r="L3" s="66"/>
      <c r="M3" s="67"/>
    </row>
    <row r="4" spans="2:13" ht="150" customHeight="1" x14ac:dyDescent="0.15">
      <c r="B4" s="596" t="s">
        <v>78</v>
      </c>
      <c r="C4" s="68" t="s">
        <v>79</v>
      </c>
      <c r="D4" s="319" t="s">
        <v>256</v>
      </c>
      <c r="E4" s="319" t="s">
        <v>421</v>
      </c>
      <c r="F4" s="319" t="s">
        <v>422</v>
      </c>
      <c r="G4" s="319" t="s">
        <v>423</v>
      </c>
      <c r="H4" s="319" t="s">
        <v>424</v>
      </c>
      <c r="I4" s="319" t="s">
        <v>257</v>
      </c>
      <c r="J4" s="319" t="s">
        <v>258</v>
      </c>
      <c r="K4" s="319" t="s">
        <v>259</v>
      </c>
      <c r="L4" s="69"/>
      <c r="M4" s="70"/>
    </row>
    <row r="5" spans="2:13" ht="20.100000000000001" customHeight="1" x14ac:dyDescent="0.15">
      <c r="B5" s="596"/>
      <c r="C5" s="68" t="s">
        <v>80</v>
      </c>
      <c r="D5" s="320" t="s">
        <v>260</v>
      </c>
      <c r="E5" s="320"/>
      <c r="F5" s="320"/>
      <c r="G5" s="320"/>
      <c r="H5" s="320" t="s">
        <v>261</v>
      </c>
      <c r="I5" s="320" t="s">
        <v>262</v>
      </c>
      <c r="J5" s="320" t="s">
        <v>263</v>
      </c>
      <c r="K5" s="320"/>
      <c r="L5" s="68"/>
      <c r="M5" s="72"/>
    </row>
    <row r="6" spans="2:13" ht="150" customHeight="1" x14ac:dyDescent="0.15">
      <c r="B6" s="596"/>
      <c r="C6" s="68" t="s">
        <v>86</v>
      </c>
      <c r="D6" s="321" t="s">
        <v>264</v>
      </c>
      <c r="E6" s="321" t="s">
        <v>265</v>
      </c>
      <c r="F6" s="321" t="s">
        <v>266</v>
      </c>
      <c r="G6" s="321" t="s">
        <v>267</v>
      </c>
      <c r="H6" s="321" t="s">
        <v>178</v>
      </c>
      <c r="I6" s="321" t="s">
        <v>269</v>
      </c>
      <c r="J6" s="321" t="s">
        <v>270</v>
      </c>
      <c r="K6" s="321" t="s">
        <v>271</v>
      </c>
      <c r="L6" s="69"/>
      <c r="M6" s="70"/>
    </row>
    <row r="7" spans="2:13" ht="20.100000000000001" customHeight="1" x14ac:dyDescent="0.15">
      <c r="B7" s="596"/>
      <c r="C7" s="73" t="s">
        <v>83</v>
      </c>
      <c r="D7" s="320">
        <v>10</v>
      </c>
      <c r="E7" s="320">
        <v>25</v>
      </c>
      <c r="F7" s="320"/>
      <c r="G7" s="320"/>
      <c r="H7" s="320">
        <v>50</v>
      </c>
      <c r="I7" s="320">
        <v>20</v>
      </c>
      <c r="J7" s="320">
        <v>20</v>
      </c>
      <c r="K7" s="320"/>
      <c r="L7" s="68"/>
      <c r="M7" s="72"/>
    </row>
    <row r="8" spans="2:13" ht="20.100000000000001" customHeight="1" x14ac:dyDescent="0.15">
      <c r="B8" s="596"/>
      <c r="C8" s="71" t="s">
        <v>84</v>
      </c>
      <c r="D8" s="320">
        <v>26</v>
      </c>
      <c r="E8" s="320">
        <v>159.69999999999999</v>
      </c>
      <c r="F8" s="320">
        <v>58</v>
      </c>
      <c r="G8" s="320">
        <v>450</v>
      </c>
      <c r="H8" s="320">
        <v>347</v>
      </c>
      <c r="I8" s="320">
        <v>52</v>
      </c>
      <c r="J8" s="320">
        <v>22.5</v>
      </c>
      <c r="K8" s="320">
        <v>28</v>
      </c>
      <c r="L8" s="68"/>
      <c r="M8" s="72"/>
    </row>
    <row r="9" spans="2:13" ht="20.100000000000001" customHeight="1" x14ac:dyDescent="0.15">
      <c r="B9" s="596"/>
      <c r="C9" s="68" t="s">
        <v>85</v>
      </c>
      <c r="D9" s="320" t="s">
        <v>272</v>
      </c>
      <c r="E9" s="320" t="s">
        <v>272</v>
      </c>
      <c r="F9" s="320"/>
      <c r="G9" s="320"/>
      <c r="H9" s="320" t="s">
        <v>272</v>
      </c>
      <c r="I9" s="320" t="s">
        <v>272</v>
      </c>
      <c r="J9" s="320" t="s">
        <v>272</v>
      </c>
      <c r="K9" s="320"/>
      <c r="L9" s="68"/>
      <c r="M9" s="72"/>
    </row>
    <row r="10" spans="2:13" ht="150" customHeight="1" x14ac:dyDescent="0.15">
      <c r="B10" s="601" t="s">
        <v>81</v>
      </c>
      <c r="C10" s="602"/>
      <c r="D10" s="319" t="s">
        <v>273</v>
      </c>
      <c r="E10" s="319"/>
      <c r="F10" s="319"/>
      <c r="G10" s="319"/>
      <c r="H10" s="319"/>
      <c r="I10" s="319" t="s">
        <v>274</v>
      </c>
      <c r="J10" s="319" t="s">
        <v>275</v>
      </c>
      <c r="K10" s="71"/>
      <c r="L10" s="71"/>
      <c r="M10" s="74"/>
    </row>
    <row r="11" spans="2:13" ht="170.25" customHeight="1" thickBot="1" x14ac:dyDescent="0.2">
      <c r="B11" s="599" t="s">
        <v>82</v>
      </c>
      <c r="C11" s="600"/>
      <c r="D11" s="322" t="s">
        <v>425</v>
      </c>
      <c r="E11" s="322" t="s">
        <v>276</v>
      </c>
      <c r="F11" s="322"/>
      <c r="G11" s="483" t="s">
        <v>277</v>
      </c>
      <c r="H11" s="323" t="s">
        <v>278</v>
      </c>
      <c r="I11" s="323" t="s">
        <v>426</v>
      </c>
      <c r="J11" s="323" t="s">
        <v>279</v>
      </c>
      <c r="K11" s="322" t="s">
        <v>427</v>
      </c>
      <c r="L11" s="484"/>
      <c r="M11" s="485"/>
    </row>
    <row r="12" spans="2:13" ht="9.75" customHeight="1" x14ac:dyDescent="0.15">
      <c r="B12" s="75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85" workbookViewId="0"/>
  </sheetViews>
  <sheetFormatPr defaultColWidth="9"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9" width="20.625" style="10" hidden="1" customWidth="1"/>
    <col min="10" max="16" width="12.625" style="10" customWidth="1"/>
    <col min="17" max="16384" width="9" style="10"/>
  </cols>
  <sheetData>
    <row r="1" spans="2:16" ht="9.9499999999999993" customHeight="1" x14ac:dyDescent="0.15"/>
    <row r="2" spans="2:16" ht="24.95" customHeight="1" thickBot="1" x14ac:dyDescent="0.2">
      <c r="B2" s="11" t="s">
        <v>77</v>
      </c>
      <c r="C2" s="12"/>
      <c r="D2" s="12"/>
      <c r="O2" s="13"/>
      <c r="P2" s="13"/>
    </row>
    <row r="3" spans="2:16" ht="20.100000000000001" customHeight="1" x14ac:dyDescent="0.15">
      <c r="B3" s="603" t="s">
        <v>236</v>
      </c>
      <c r="C3" s="604"/>
      <c r="D3" s="604"/>
      <c r="E3" s="604"/>
      <c r="F3" s="14" t="s">
        <v>22</v>
      </c>
      <c r="G3" s="14" t="s">
        <v>366</v>
      </c>
      <c r="H3" s="294"/>
      <c r="I3" s="281"/>
      <c r="J3" s="634" t="s">
        <v>235</v>
      </c>
      <c r="K3" s="635"/>
      <c r="L3" s="635"/>
      <c r="M3" s="635"/>
      <c r="N3" s="635"/>
      <c r="O3" s="635"/>
      <c r="P3" s="636"/>
    </row>
    <row r="4" spans="2:16" ht="20.100000000000001" customHeight="1" thickBot="1" x14ac:dyDescent="0.2">
      <c r="B4" s="605"/>
      <c r="C4" s="606"/>
      <c r="D4" s="606"/>
      <c r="E4" s="606"/>
      <c r="F4" s="15"/>
      <c r="G4" s="280">
        <v>50</v>
      </c>
      <c r="H4" s="295"/>
      <c r="I4" s="280"/>
      <c r="J4" s="637"/>
      <c r="K4" s="638"/>
      <c r="L4" s="638"/>
      <c r="M4" s="638"/>
      <c r="N4" s="638"/>
      <c r="O4" s="638"/>
      <c r="P4" s="639"/>
    </row>
    <row r="5" spans="2:16" ht="20.100000000000001" customHeight="1" x14ac:dyDescent="0.15">
      <c r="B5" s="615" t="s">
        <v>43</v>
      </c>
      <c r="C5" s="616"/>
      <c r="D5" s="16" t="s">
        <v>153</v>
      </c>
      <c r="E5" s="17"/>
      <c r="F5" s="18">
        <f>SUM(G5:I5)</f>
        <v>25381400</v>
      </c>
      <c r="G5" s="235">
        <f>'７　トルコギキョウ部門収支'!F4*G$4/10</f>
        <v>25381400</v>
      </c>
      <c r="H5" s="296"/>
      <c r="I5" s="282"/>
      <c r="J5" s="640"/>
      <c r="K5" s="641"/>
      <c r="L5" s="641"/>
      <c r="M5" s="641"/>
      <c r="N5" s="641"/>
      <c r="O5" s="641"/>
      <c r="P5" s="642"/>
    </row>
    <row r="6" spans="2:16" ht="20.100000000000001" customHeight="1" x14ac:dyDescent="0.15">
      <c r="B6" s="617"/>
      <c r="C6" s="618"/>
      <c r="D6" s="19" t="s">
        <v>70</v>
      </c>
      <c r="E6" s="20"/>
      <c r="F6" s="21">
        <f>SUM(G6:I6)</f>
        <v>0</v>
      </c>
      <c r="G6" s="24">
        <f>'７　トルコギキョウ部門収支'!F5*G$4/10</f>
        <v>0</v>
      </c>
      <c r="H6" s="25"/>
      <c r="I6" s="24"/>
      <c r="J6" s="621"/>
      <c r="K6" s="622"/>
      <c r="L6" s="622"/>
      <c r="M6" s="622"/>
      <c r="N6" s="622"/>
      <c r="O6" s="622"/>
      <c r="P6" s="623"/>
    </row>
    <row r="7" spans="2:16" ht="20.100000000000001" customHeight="1" x14ac:dyDescent="0.15">
      <c r="B7" s="619"/>
      <c r="C7" s="620"/>
      <c r="D7" s="607" t="s">
        <v>149</v>
      </c>
      <c r="E7" s="608"/>
      <c r="F7" s="22">
        <f>SUM(G7,J7,O7)</f>
        <v>25381400</v>
      </c>
      <c r="G7" s="23">
        <f>G5+G6</f>
        <v>25381400</v>
      </c>
      <c r="H7" s="23">
        <f t="shared" ref="H7:I7" si="0">H5+H6</f>
        <v>0</v>
      </c>
      <c r="I7" s="23">
        <f t="shared" si="0"/>
        <v>0</v>
      </c>
      <c r="J7" s="621"/>
      <c r="K7" s="622"/>
      <c r="L7" s="622"/>
      <c r="M7" s="622"/>
      <c r="N7" s="622"/>
      <c r="O7" s="622"/>
      <c r="P7" s="623"/>
    </row>
    <row r="8" spans="2:16" ht="20.100000000000001" customHeight="1" x14ac:dyDescent="0.15">
      <c r="B8" s="646" t="s">
        <v>222</v>
      </c>
      <c r="C8" s="652" t="s">
        <v>237</v>
      </c>
      <c r="D8" s="19" t="s">
        <v>44</v>
      </c>
      <c r="E8" s="20"/>
      <c r="F8" s="21">
        <f t="shared" ref="F8:F33" si="1">SUM(G8:I8)</f>
        <v>1172110</v>
      </c>
      <c r="G8" s="24">
        <f>'７　トルコギキョウ部門収支'!F6*G$4/10</f>
        <v>1172110</v>
      </c>
      <c r="H8" s="25"/>
      <c r="I8" s="24"/>
      <c r="J8" s="621"/>
      <c r="K8" s="622"/>
      <c r="L8" s="622"/>
      <c r="M8" s="622"/>
      <c r="N8" s="622"/>
      <c r="O8" s="622"/>
      <c r="P8" s="623"/>
    </row>
    <row r="9" spans="2:16" ht="20.100000000000001" customHeight="1" x14ac:dyDescent="0.15">
      <c r="B9" s="647"/>
      <c r="C9" s="653"/>
      <c r="D9" s="19" t="s">
        <v>45</v>
      </c>
      <c r="E9" s="20"/>
      <c r="F9" s="21">
        <f t="shared" si="1"/>
        <v>396634</v>
      </c>
      <c r="G9" s="24">
        <f>'７　トルコギキョウ部門収支'!F7*G$4/10</f>
        <v>396634</v>
      </c>
      <c r="H9" s="25"/>
      <c r="I9" s="24"/>
      <c r="J9" s="621"/>
      <c r="K9" s="622"/>
      <c r="L9" s="622"/>
      <c r="M9" s="622"/>
      <c r="N9" s="622"/>
      <c r="O9" s="622"/>
      <c r="P9" s="623"/>
    </row>
    <row r="10" spans="2:16" ht="20.100000000000001" customHeight="1" x14ac:dyDescent="0.15">
      <c r="B10" s="647"/>
      <c r="C10" s="653"/>
      <c r="D10" s="19" t="s">
        <v>46</v>
      </c>
      <c r="E10" s="20"/>
      <c r="F10" s="21">
        <f t="shared" si="1"/>
        <v>923394.6</v>
      </c>
      <c r="G10" s="24">
        <f>'７　トルコギキョウ部門収支'!F8*G$4/10</f>
        <v>923394.6</v>
      </c>
      <c r="H10" s="25"/>
      <c r="I10" s="24"/>
      <c r="J10" s="621"/>
      <c r="K10" s="622"/>
      <c r="L10" s="622"/>
      <c r="M10" s="622"/>
      <c r="N10" s="622"/>
      <c r="O10" s="622"/>
      <c r="P10" s="623"/>
    </row>
    <row r="11" spans="2:16" ht="20.100000000000001" customHeight="1" x14ac:dyDescent="0.15">
      <c r="B11" s="647"/>
      <c r="C11" s="653"/>
      <c r="D11" s="19" t="s">
        <v>71</v>
      </c>
      <c r="E11" s="20"/>
      <c r="F11" s="21">
        <f t="shared" si="1"/>
        <v>4208250</v>
      </c>
      <c r="G11" s="24">
        <f>'７　トルコギキョウ部門収支'!F9*G$4/10</f>
        <v>4208250</v>
      </c>
      <c r="H11" s="25"/>
      <c r="I11" s="24"/>
      <c r="J11" s="621"/>
      <c r="K11" s="622"/>
      <c r="L11" s="622"/>
      <c r="M11" s="622"/>
      <c r="N11" s="622"/>
      <c r="O11" s="622"/>
      <c r="P11" s="623"/>
    </row>
    <row r="12" spans="2:16" ht="20.100000000000001" customHeight="1" x14ac:dyDescent="0.15">
      <c r="B12" s="647"/>
      <c r="C12" s="653"/>
      <c r="D12" s="19" t="s">
        <v>47</v>
      </c>
      <c r="E12" s="20"/>
      <c r="F12" s="21">
        <f t="shared" si="1"/>
        <v>952452.38095238095</v>
      </c>
      <c r="G12" s="24">
        <f>'７　トルコギキョウ部門収支'!F10*G$4/10</f>
        <v>952452.38095238095</v>
      </c>
      <c r="H12" s="25"/>
      <c r="I12" s="24"/>
      <c r="J12" s="621"/>
      <c r="K12" s="622"/>
      <c r="L12" s="622"/>
      <c r="M12" s="622"/>
      <c r="N12" s="622"/>
      <c r="O12" s="622"/>
      <c r="P12" s="623"/>
    </row>
    <row r="13" spans="2:16" ht="20.100000000000001" customHeight="1" x14ac:dyDescent="0.15">
      <c r="B13" s="647"/>
      <c r="C13" s="653"/>
      <c r="D13" s="19" t="s">
        <v>4</v>
      </c>
      <c r="E13" s="20"/>
      <c r="F13" s="21">
        <f t="shared" si="1"/>
        <v>31400</v>
      </c>
      <c r="G13" s="24">
        <f>'７　トルコギキョウ部門収支'!F11*G$4/10</f>
        <v>31400</v>
      </c>
      <c r="H13" s="25"/>
      <c r="I13" s="24"/>
      <c r="J13" s="621"/>
      <c r="K13" s="622"/>
      <c r="L13" s="622"/>
      <c r="M13" s="622"/>
      <c r="N13" s="622"/>
      <c r="O13" s="622"/>
      <c r="P13" s="623"/>
    </row>
    <row r="14" spans="2:16" ht="20.100000000000001" customHeight="1" x14ac:dyDescent="0.15">
      <c r="B14" s="647"/>
      <c r="C14" s="653"/>
      <c r="D14" s="19" t="s">
        <v>5</v>
      </c>
      <c r="E14" s="20"/>
      <c r="F14" s="24">
        <f t="shared" si="1"/>
        <v>0</v>
      </c>
      <c r="G14" s="24">
        <f>'７　トルコギキョウ部門収支'!F12*G$4/10</f>
        <v>0</v>
      </c>
      <c r="H14" s="25"/>
      <c r="I14" s="24"/>
      <c r="J14" s="621"/>
      <c r="K14" s="622"/>
      <c r="L14" s="622"/>
      <c r="M14" s="622"/>
      <c r="N14" s="622"/>
      <c r="O14" s="622"/>
      <c r="P14" s="623"/>
    </row>
    <row r="15" spans="2:16" ht="20.100000000000001" customHeight="1" x14ac:dyDescent="0.15">
      <c r="B15" s="647"/>
      <c r="C15" s="653"/>
      <c r="D15" s="609" t="s">
        <v>48</v>
      </c>
      <c r="E15" s="272" t="s">
        <v>143</v>
      </c>
      <c r="F15" s="24">
        <f t="shared" si="1"/>
        <v>370700</v>
      </c>
      <c r="G15" s="24">
        <f>'７　トルコギキョウ部門収支'!F13*G$4/10</f>
        <v>370700</v>
      </c>
      <c r="H15" s="25"/>
      <c r="I15" s="24"/>
      <c r="J15" s="621"/>
      <c r="K15" s="622"/>
      <c r="L15" s="622"/>
      <c r="M15" s="622"/>
      <c r="N15" s="622"/>
      <c r="O15" s="622"/>
      <c r="P15" s="623"/>
    </row>
    <row r="16" spans="2:16" ht="20.100000000000001" customHeight="1" x14ac:dyDescent="0.15">
      <c r="B16" s="647"/>
      <c r="C16" s="653"/>
      <c r="D16" s="610"/>
      <c r="E16" s="272" t="s">
        <v>144</v>
      </c>
      <c r="F16" s="24">
        <f t="shared" si="1"/>
        <v>495326.00000000012</v>
      </c>
      <c r="G16" s="24">
        <f>'７　トルコギキョウ部門収支'!F14*G$4/10</f>
        <v>495326.00000000012</v>
      </c>
      <c r="H16" s="25"/>
      <c r="I16" s="24"/>
      <c r="J16" s="621"/>
      <c r="K16" s="622"/>
      <c r="L16" s="622"/>
      <c r="M16" s="622"/>
      <c r="N16" s="622"/>
      <c r="O16" s="622"/>
      <c r="P16" s="623"/>
    </row>
    <row r="17" spans="2:16" ht="20.100000000000001" customHeight="1" x14ac:dyDescent="0.15">
      <c r="B17" s="647"/>
      <c r="C17" s="653"/>
      <c r="D17" s="611" t="s">
        <v>72</v>
      </c>
      <c r="E17" s="272" t="s">
        <v>143</v>
      </c>
      <c r="F17" s="24">
        <f t="shared" si="1"/>
        <v>3528500</v>
      </c>
      <c r="G17" s="24">
        <f>'７　トルコギキョウ部門収支'!F15*G$4/10</f>
        <v>3528500</v>
      </c>
      <c r="H17" s="25"/>
      <c r="I17" s="24"/>
      <c r="J17" s="621"/>
      <c r="K17" s="622"/>
      <c r="L17" s="622"/>
      <c r="M17" s="622"/>
      <c r="N17" s="622"/>
      <c r="O17" s="622"/>
      <c r="P17" s="623"/>
    </row>
    <row r="18" spans="2:16" ht="20.100000000000001" customHeight="1" x14ac:dyDescent="0.15">
      <c r="B18" s="647"/>
      <c r="C18" s="653"/>
      <c r="D18" s="612"/>
      <c r="E18" s="272" t="s">
        <v>144</v>
      </c>
      <c r="F18" s="24">
        <f t="shared" si="1"/>
        <v>1468788.5714285714</v>
      </c>
      <c r="G18" s="24">
        <f>'７　トルコギキョウ部門収支'!F16*G$4/10</f>
        <v>1468788.5714285714</v>
      </c>
      <c r="H18" s="25"/>
      <c r="I18" s="24"/>
      <c r="J18" s="621"/>
      <c r="K18" s="622"/>
      <c r="L18" s="622"/>
      <c r="M18" s="622"/>
      <c r="N18" s="622"/>
      <c r="O18" s="622"/>
      <c r="P18" s="623"/>
    </row>
    <row r="19" spans="2:16" ht="20.100000000000001" customHeight="1" x14ac:dyDescent="0.15">
      <c r="B19" s="647"/>
      <c r="C19" s="653"/>
      <c r="D19" s="610"/>
      <c r="E19" s="273" t="s">
        <v>49</v>
      </c>
      <c r="F19" s="24">
        <f t="shared" si="1"/>
        <v>0</v>
      </c>
      <c r="G19" s="24">
        <f>'７　トルコギキョウ部門収支'!F17*G$4/10</f>
        <v>0</v>
      </c>
      <c r="H19" s="25"/>
      <c r="I19" s="24"/>
      <c r="J19" s="621"/>
      <c r="K19" s="622"/>
      <c r="L19" s="622"/>
      <c r="M19" s="622"/>
      <c r="N19" s="622"/>
      <c r="O19" s="622"/>
      <c r="P19" s="623"/>
    </row>
    <row r="20" spans="2:16" ht="20.100000000000001" customHeight="1" x14ac:dyDescent="0.15">
      <c r="B20" s="647"/>
      <c r="C20" s="653"/>
      <c r="D20" s="19" t="s">
        <v>50</v>
      </c>
      <c r="E20" s="20"/>
      <c r="F20" s="21">
        <f t="shared" si="1"/>
        <v>15000</v>
      </c>
      <c r="G20" s="24">
        <f>'７　トルコギキョウ部門収支'!F18*G$4/10</f>
        <v>15000</v>
      </c>
      <c r="H20" s="25"/>
      <c r="I20" s="24"/>
      <c r="J20" s="621"/>
      <c r="K20" s="622"/>
      <c r="L20" s="622"/>
      <c r="M20" s="622"/>
      <c r="N20" s="622"/>
      <c r="O20" s="622"/>
      <c r="P20" s="623"/>
    </row>
    <row r="21" spans="2:16" ht="20.100000000000001" customHeight="1" x14ac:dyDescent="0.15">
      <c r="B21" s="647"/>
      <c r="C21" s="653"/>
      <c r="D21" s="19" t="s">
        <v>122</v>
      </c>
      <c r="E21" s="20"/>
      <c r="F21" s="21">
        <f t="shared" si="1"/>
        <v>133050</v>
      </c>
      <c r="G21" s="24">
        <f>'７　トルコギキョウ部門収支'!F19*G$4/10</f>
        <v>133050</v>
      </c>
      <c r="H21" s="25"/>
      <c r="I21" s="24"/>
      <c r="J21" s="621"/>
      <c r="K21" s="622"/>
      <c r="L21" s="622"/>
      <c r="M21" s="622"/>
      <c r="N21" s="622"/>
      <c r="O21" s="622"/>
      <c r="P21" s="623"/>
    </row>
    <row r="22" spans="2:16" ht="20.100000000000001" customHeight="1" x14ac:dyDescent="0.15">
      <c r="B22" s="647"/>
      <c r="C22" s="654"/>
      <c r="D22" s="613" t="s">
        <v>150</v>
      </c>
      <c r="E22" s="614"/>
      <c r="F22" s="285">
        <f>SUM(F8:F21)</f>
        <v>13695605.552380951</v>
      </c>
      <c r="G22" s="285">
        <f>SUM(G8:G21)</f>
        <v>13695605.552380951</v>
      </c>
      <c r="H22" s="285">
        <f t="shared" ref="H22:I22" si="2">SUM(H8:H21)</f>
        <v>0</v>
      </c>
      <c r="I22" s="285">
        <f t="shared" si="2"/>
        <v>0</v>
      </c>
      <c r="J22" s="621"/>
      <c r="K22" s="622"/>
      <c r="L22" s="622"/>
      <c r="M22" s="622"/>
      <c r="N22" s="622"/>
      <c r="O22" s="622"/>
      <c r="P22" s="623"/>
    </row>
    <row r="23" spans="2:16" ht="20.100000000000001" customHeight="1" x14ac:dyDescent="0.15">
      <c r="B23" s="647"/>
      <c r="C23" s="655" t="s">
        <v>147</v>
      </c>
      <c r="D23" s="626" t="s">
        <v>51</v>
      </c>
      <c r="E23" s="27" t="s">
        <v>1</v>
      </c>
      <c r="F23" s="24">
        <f t="shared" si="1"/>
        <v>1851333.3333333333</v>
      </c>
      <c r="G23" s="24">
        <f>'７　トルコギキョウ部門収支'!F21*G$4/10</f>
        <v>1851333.3333333333</v>
      </c>
      <c r="H23" s="25"/>
      <c r="I23" s="24"/>
      <c r="J23" s="621"/>
      <c r="K23" s="622"/>
      <c r="L23" s="622"/>
      <c r="M23" s="622"/>
      <c r="N23" s="622"/>
      <c r="O23" s="622"/>
      <c r="P23" s="623"/>
    </row>
    <row r="24" spans="2:16" ht="20.100000000000001" customHeight="1" x14ac:dyDescent="0.15">
      <c r="B24" s="647"/>
      <c r="C24" s="656"/>
      <c r="D24" s="627"/>
      <c r="E24" s="27" t="s">
        <v>2</v>
      </c>
      <c r="F24" s="24">
        <f t="shared" si="1"/>
        <v>1015000</v>
      </c>
      <c r="G24" s="24">
        <f>'７　トルコギキョウ部門収支'!F22*G$4/10</f>
        <v>1015000</v>
      </c>
      <c r="H24" s="25"/>
      <c r="I24" s="24"/>
      <c r="J24" s="621"/>
      <c r="K24" s="622"/>
      <c r="L24" s="622"/>
      <c r="M24" s="622"/>
      <c r="N24" s="622"/>
      <c r="O24" s="622"/>
      <c r="P24" s="623"/>
    </row>
    <row r="25" spans="2:16" ht="20.100000000000001" customHeight="1" x14ac:dyDescent="0.15">
      <c r="B25" s="647"/>
      <c r="C25" s="656"/>
      <c r="D25" s="628"/>
      <c r="E25" s="27" t="s">
        <v>6</v>
      </c>
      <c r="F25" s="24">
        <f t="shared" si="1"/>
        <v>3426489</v>
      </c>
      <c r="G25" s="24">
        <f>'７　トルコギキョウ部門収支'!F23*G$4/10</f>
        <v>3426489</v>
      </c>
      <c r="H25" s="25"/>
      <c r="I25" s="24"/>
      <c r="J25" s="621"/>
      <c r="K25" s="622"/>
      <c r="L25" s="622"/>
      <c r="M25" s="622"/>
      <c r="N25" s="622"/>
      <c r="O25" s="622"/>
      <c r="P25" s="623"/>
    </row>
    <row r="26" spans="2:16" ht="20.100000000000001" customHeight="1" x14ac:dyDescent="0.15">
      <c r="B26" s="647"/>
      <c r="C26" s="656"/>
      <c r="D26" s="27" t="s">
        <v>220</v>
      </c>
      <c r="E26" s="28"/>
      <c r="F26" s="24">
        <f t="shared" si="1"/>
        <v>0</v>
      </c>
      <c r="G26" s="24">
        <f>'７　トルコギキョウ部門収支'!F24*G$4/10</f>
        <v>0</v>
      </c>
      <c r="H26" s="25"/>
      <c r="I26" s="24"/>
      <c r="J26" s="621"/>
      <c r="K26" s="622"/>
      <c r="L26" s="622"/>
      <c r="M26" s="622"/>
      <c r="N26" s="622"/>
      <c r="O26" s="622"/>
      <c r="P26" s="623"/>
    </row>
    <row r="27" spans="2:16" ht="20.100000000000001" customHeight="1" x14ac:dyDescent="0.15">
      <c r="B27" s="647"/>
      <c r="C27" s="656"/>
      <c r="D27" s="27" t="s">
        <v>73</v>
      </c>
      <c r="E27" s="28"/>
      <c r="F27" s="24">
        <f t="shared" si="1"/>
        <v>0</v>
      </c>
      <c r="G27" s="24">
        <f>'７　トルコギキョウ部門収支'!F25*G$4/10</f>
        <v>0</v>
      </c>
      <c r="H27" s="25"/>
      <c r="I27" s="24"/>
      <c r="J27" s="621"/>
      <c r="K27" s="622"/>
      <c r="L27" s="622"/>
      <c r="M27" s="622"/>
      <c r="N27" s="622"/>
      <c r="O27" s="622"/>
      <c r="P27" s="623"/>
    </row>
    <row r="28" spans="2:16" ht="20.100000000000001" customHeight="1" x14ac:dyDescent="0.15">
      <c r="B28" s="647"/>
      <c r="C28" s="656"/>
      <c r="D28" s="27" t="s">
        <v>95</v>
      </c>
      <c r="E28" s="28"/>
      <c r="F28" s="24">
        <f t="shared" si="1"/>
        <v>220700</v>
      </c>
      <c r="G28" s="24">
        <f>'７　トルコギキョウ部門収支'!F26*G$4/10</f>
        <v>220700</v>
      </c>
      <c r="H28" s="25"/>
      <c r="I28" s="24"/>
      <c r="J28" s="621"/>
      <c r="K28" s="622"/>
      <c r="L28" s="622"/>
      <c r="M28" s="622"/>
      <c r="N28" s="622"/>
      <c r="O28" s="622"/>
      <c r="P28" s="623"/>
    </row>
    <row r="29" spans="2:16" ht="20.100000000000001" customHeight="1" x14ac:dyDescent="0.15">
      <c r="B29" s="647"/>
      <c r="C29" s="656"/>
      <c r="D29" s="27" t="s">
        <v>74</v>
      </c>
      <c r="E29" s="28"/>
      <c r="F29" s="24">
        <f t="shared" si="1"/>
        <v>0</v>
      </c>
      <c r="G29" s="24">
        <f>'７　トルコギキョウ部門収支'!F27*G$4/10</f>
        <v>0</v>
      </c>
      <c r="H29" s="25"/>
      <c r="I29" s="24"/>
      <c r="J29" s="621"/>
      <c r="K29" s="622"/>
      <c r="L29" s="622"/>
      <c r="M29" s="622"/>
      <c r="N29" s="622"/>
      <c r="O29" s="622"/>
      <c r="P29" s="623"/>
    </row>
    <row r="30" spans="2:16" ht="20.100000000000001" customHeight="1" x14ac:dyDescent="0.15">
      <c r="B30" s="647"/>
      <c r="C30" s="656"/>
      <c r="D30" s="27" t="s">
        <v>52</v>
      </c>
      <c r="E30" s="28"/>
      <c r="F30" s="24">
        <f t="shared" si="1"/>
        <v>649876</v>
      </c>
      <c r="G30" s="24">
        <f>'７　トルコギキョウ部門収支'!F28*G$4/10</f>
        <v>649876</v>
      </c>
      <c r="H30" s="25"/>
      <c r="I30" s="24"/>
      <c r="J30" s="621"/>
      <c r="K30" s="622"/>
      <c r="L30" s="622"/>
      <c r="M30" s="622"/>
      <c r="N30" s="622"/>
      <c r="O30" s="622"/>
      <c r="P30" s="623"/>
    </row>
    <row r="31" spans="2:16" ht="20.100000000000001" customHeight="1" x14ac:dyDescent="0.15">
      <c r="B31" s="647"/>
      <c r="C31" s="656"/>
      <c r="D31" s="27" t="s">
        <v>221</v>
      </c>
      <c r="E31" s="28"/>
      <c r="F31" s="24">
        <f t="shared" si="1"/>
        <v>71633.983333333337</v>
      </c>
      <c r="G31" s="24">
        <f>'７　トルコギキョウ部門収支'!F29*G$4/10</f>
        <v>71633.983333333337</v>
      </c>
      <c r="H31" s="25"/>
      <c r="I31" s="24"/>
      <c r="J31" s="621"/>
      <c r="K31" s="622"/>
      <c r="L31" s="622"/>
      <c r="M31" s="622"/>
      <c r="N31" s="622"/>
      <c r="O31" s="622"/>
      <c r="P31" s="623"/>
    </row>
    <row r="32" spans="2:16" ht="20.100000000000001" customHeight="1" x14ac:dyDescent="0.15">
      <c r="B32" s="647"/>
      <c r="C32" s="656"/>
      <c r="D32" s="629" t="s">
        <v>223</v>
      </c>
      <c r="E32" s="630"/>
      <c r="F32" s="283">
        <f>SUM(F23:F31)</f>
        <v>7235032.3166666664</v>
      </c>
      <c r="G32" s="283">
        <f>SUM(G23:G31)</f>
        <v>7235032.3166666664</v>
      </c>
      <c r="H32" s="297"/>
      <c r="I32" s="303"/>
      <c r="J32" s="621"/>
      <c r="K32" s="622"/>
      <c r="L32" s="622"/>
      <c r="M32" s="622"/>
      <c r="N32" s="622"/>
      <c r="O32" s="622"/>
      <c r="P32" s="623"/>
    </row>
    <row r="33" spans="2:16" ht="20.100000000000001" customHeight="1" x14ac:dyDescent="0.15">
      <c r="B33" s="647"/>
      <c r="C33" s="631" t="s">
        <v>224</v>
      </c>
      <c r="D33" s="632"/>
      <c r="E33" s="633"/>
      <c r="F33" s="24">
        <f t="shared" si="1"/>
        <v>1950300</v>
      </c>
      <c r="G33" s="284">
        <f>'５　作業別旬別作業時間'!AN54*'４　経営収支(50a)'!K33</f>
        <v>1950300</v>
      </c>
      <c r="H33" s="298"/>
      <c r="I33" s="304"/>
      <c r="J33" s="25" t="s">
        <v>226</v>
      </c>
      <c r="K33" s="289">
        <v>900</v>
      </c>
      <c r="L33" s="287" t="s">
        <v>227</v>
      </c>
      <c r="M33" s="287"/>
      <c r="N33" s="287"/>
      <c r="O33" s="287"/>
      <c r="P33" s="288"/>
    </row>
    <row r="34" spans="2:16" ht="20.100000000000001" customHeight="1" x14ac:dyDescent="0.15">
      <c r="B34" s="624" t="s">
        <v>225</v>
      </c>
      <c r="C34" s="625"/>
      <c r="D34" s="625"/>
      <c r="E34" s="625"/>
      <c r="F34" s="286">
        <f>F22+F32+F33</f>
        <v>22880937.869047619</v>
      </c>
      <c r="G34" s="286">
        <f>G22+G32+G33</f>
        <v>22880937.869047619</v>
      </c>
      <c r="H34" s="299"/>
      <c r="I34" s="286"/>
      <c r="J34" s="621"/>
      <c r="K34" s="622"/>
      <c r="L34" s="622"/>
      <c r="M34" s="622"/>
      <c r="N34" s="622"/>
      <c r="O34" s="622"/>
      <c r="P34" s="623"/>
    </row>
    <row r="35" spans="2:16" ht="20.100000000000001" customHeight="1" x14ac:dyDescent="0.15">
      <c r="B35" s="650" t="s">
        <v>228</v>
      </c>
      <c r="C35" s="651"/>
      <c r="D35" s="651"/>
      <c r="E35" s="651"/>
      <c r="F35" s="290">
        <f>F7-F34</f>
        <v>2500462.1309523806</v>
      </c>
      <c r="G35" s="290">
        <f>G7-G34</f>
        <v>2500462.1309523806</v>
      </c>
      <c r="H35" s="300"/>
      <c r="I35" s="290"/>
      <c r="J35" s="621"/>
      <c r="K35" s="622"/>
      <c r="L35" s="622"/>
      <c r="M35" s="622"/>
      <c r="N35" s="622"/>
      <c r="O35" s="622"/>
      <c r="P35" s="623"/>
    </row>
    <row r="36" spans="2:16" ht="20.100000000000001" customHeight="1" x14ac:dyDescent="0.15">
      <c r="B36" s="650" t="s">
        <v>229</v>
      </c>
      <c r="C36" s="651"/>
      <c r="D36" s="651"/>
      <c r="E36" s="651"/>
      <c r="F36" s="292">
        <f>F35/F7</f>
        <v>9.8515532277667128E-2</v>
      </c>
      <c r="G36" s="292">
        <f>G35/G7</f>
        <v>9.8515532277667128E-2</v>
      </c>
      <c r="H36" s="301"/>
      <c r="I36" s="292"/>
      <c r="J36" s="621"/>
      <c r="K36" s="622"/>
      <c r="L36" s="622"/>
      <c r="M36" s="622"/>
      <c r="N36" s="622"/>
      <c r="O36" s="622"/>
      <c r="P36" s="623"/>
    </row>
    <row r="37" spans="2:16" ht="20.100000000000001" customHeight="1" x14ac:dyDescent="0.15">
      <c r="B37" s="650" t="s">
        <v>233</v>
      </c>
      <c r="C37" s="651"/>
      <c r="D37" s="651"/>
      <c r="E37" s="651"/>
      <c r="F37" s="290">
        <f>SUM(G37:I37)</f>
        <v>5627.5</v>
      </c>
      <c r="G37" s="290">
        <f>K37+N37</f>
        <v>5627.5</v>
      </c>
      <c r="H37" s="300"/>
      <c r="I37" s="290"/>
      <c r="J37" s="25" t="s">
        <v>230</v>
      </c>
      <c r="K37" s="289">
        <f>'５　作業別旬別作業時間'!AN47-'５　作業別旬別作業時間'!AN54</f>
        <v>3460.5</v>
      </c>
      <c r="L37" s="287" t="s">
        <v>231</v>
      </c>
      <c r="M37" s="291" t="s">
        <v>232</v>
      </c>
      <c r="N37" s="289">
        <f>'５　作業別旬別作業時間'!AN54</f>
        <v>2167</v>
      </c>
      <c r="O37" s="287" t="s">
        <v>231</v>
      </c>
      <c r="P37" s="288"/>
    </row>
    <row r="38" spans="2:16" ht="20.100000000000001" customHeight="1" thickBot="1" x14ac:dyDescent="0.2">
      <c r="B38" s="648" t="s">
        <v>234</v>
      </c>
      <c r="C38" s="649"/>
      <c r="D38" s="649"/>
      <c r="E38" s="649"/>
      <c r="F38" s="293">
        <f>F35/K37</f>
        <v>722.57249846911736</v>
      </c>
      <c r="G38" s="293">
        <f>G35/K37</f>
        <v>722.57249846911736</v>
      </c>
      <c r="H38" s="302"/>
      <c r="I38" s="293"/>
      <c r="J38" s="643"/>
      <c r="K38" s="644"/>
      <c r="L38" s="644"/>
      <c r="M38" s="644"/>
      <c r="N38" s="644"/>
      <c r="O38" s="644"/>
      <c r="P38" s="645"/>
    </row>
  </sheetData>
  <mergeCells count="50">
    <mergeCell ref="B35:E35"/>
    <mergeCell ref="B36:E36"/>
    <mergeCell ref="B37:E37"/>
    <mergeCell ref="C8:C22"/>
    <mergeCell ref="C23:C32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J3:P4"/>
    <mergeCell ref="J5:P5"/>
    <mergeCell ref="J6:P6"/>
    <mergeCell ref="J7:P7"/>
    <mergeCell ref="J8:P8"/>
    <mergeCell ref="J9:P9"/>
    <mergeCell ref="J10:P10"/>
    <mergeCell ref="J11:P11"/>
    <mergeCell ref="J12:P12"/>
    <mergeCell ref="J13:P13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4"/>
  <sheetViews>
    <sheetView showZeros="0" zoomScale="75" zoomScaleNormal="75" zoomScaleSheetLayoutView="75" workbookViewId="0"/>
  </sheetViews>
  <sheetFormatPr defaultColWidth="9"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8.375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380</v>
      </c>
      <c r="C2" s="2"/>
      <c r="D2" s="5"/>
      <c r="E2" s="5"/>
      <c r="F2" s="5"/>
      <c r="G2" s="5"/>
      <c r="H2" s="5"/>
      <c r="I2" s="5"/>
      <c r="J2" s="5"/>
      <c r="K2" s="5"/>
      <c r="L2" s="390" t="s">
        <v>378</v>
      </c>
      <c r="M2" s="393"/>
      <c r="N2" s="393"/>
      <c r="O2" s="393"/>
      <c r="P2" s="394" t="s">
        <v>379</v>
      </c>
      <c r="Q2" s="390" t="s">
        <v>366</v>
      </c>
      <c r="R2" s="393"/>
      <c r="S2" s="393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193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75" t="s">
        <v>96</v>
      </c>
      <c r="C4" s="676"/>
      <c r="D4" s="661">
        <v>1</v>
      </c>
      <c r="E4" s="662"/>
      <c r="F4" s="663"/>
      <c r="G4" s="661">
        <v>2</v>
      </c>
      <c r="H4" s="662"/>
      <c r="I4" s="663"/>
      <c r="J4" s="661">
        <v>3</v>
      </c>
      <c r="K4" s="662"/>
      <c r="L4" s="663"/>
      <c r="M4" s="661">
        <v>4</v>
      </c>
      <c r="N4" s="662"/>
      <c r="O4" s="663"/>
      <c r="P4" s="661">
        <v>5</v>
      </c>
      <c r="Q4" s="662"/>
      <c r="R4" s="663"/>
      <c r="S4" s="661">
        <v>6</v>
      </c>
      <c r="T4" s="662"/>
      <c r="U4" s="663"/>
      <c r="V4" s="661">
        <v>7</v>
      </c>
      <c r="W4" s="662"/>
      <c r="X4" s="663"/>
      <c r="Y4" s="661">
        <v>8</v>
      </c>
      <c r="Z4" s="662"/>
      <c r="AA4" s="663"/>
      <c r="AB4" s="661">
        <v>9</v>
      </c>
      <c r="AC4" s="662"/>
      <c r="AD4" s="663"/>
      <c r="AE4" s="661">
        <v>10</v>
      </c>
      <c r="AF4" s="662"/>
      <c r="AG4" s="663"/>
      <c r="AH4" s="661">
        <v>11</v>
      </c>
      <c r="AI4" s="662"/>
      <c r="AJ4" s="663"/>
      <c r="AK4" s="661">
        <v>12</v>
      </c>
      <c r="AL4" s="662"/>
      <c r="AM4" s="663"/>
      <c r="AN4" s="664" t="s">
        <v>29</v>
      </c>
    </row>
    <row r="5" spans="2:63" ht="20.100000000000001" customHeight="1" x14ac:dyDescent="0.15">
      <c r="B5" s="677"/>
      <c r="C5" s="667"/>
      <c r="D5" s="50" t="s">
        <v>30</v>
      </c>
      <c r="E5" s="51" t="s">
        <v>31</v>
      </c>
      <c r="F5" s="52" t="s">
        <v>32</v>
      </c>
      <c r="G5" s="50" t="s">
        <v>30</v>
      </c>
      <c r="H5" s="52" t="s">
        <v>31</v>
      </c>
      <c r="I5" s="52" t="s">
        <v>32</v>
      </c>
      <c r="J5" s="50" t="s">
        <v>30</v>
      </c>
      <c r="K5" s="52" t="s">
        <v>31</v>
      </c>
      <c r="L5" s="52" t="s">
        <v>32</v>
      </c>
      <c r="M5" s="50" t="s">
        <v>30</v>
      </c>
      <c r="N5" s="52" t="s">
        <v>31</v>
      </c>
      <c r="O5" s="52" t="s">
        <v>32</v>
      </c>
      <c r="P5" s="50" t="s">
        <v>30</v>
      </c>
      <c r="Q5" s="52" t="s">
        <v>31</v>
      </c>
      <c r="R5" s="52" t="s">
        <v>32</v>
      </c>
      <c r="S5" s="50" t="s">
        <v>30</v>
      </c>
      <c r="T5" s="53" t="s">
        <v>31</v>
      </c>
      <c r="U5" s="53" t="s">
        <v>32</v>
      </c>
      <c r="V5" s="50" t="s">
        <v>30</v>
      </c>
      <c r="W5" s="52" t="s">
        <v>31</v>
      </c>
      <c r="X5" s="52" t="s">
        <v>32</v>
      </c>
      <c r="Y5" s="50" t="s">
        <v>30</v>
      </c>
      <c r="Z5" s="52" t="s">
        <v>31</v>
      </c>
      <c r="AA5" s="52" t="s">
        <v>32</v>
      </c>
      <c r="AB5" s="50" t="s">
        <v>30</v>
      </c>
      <c r="AC5" s="52" t="s">
        <v>31</v>
      </c>
      <c r="AD5" s="52" t="s">
        <v>32</v>
      </c>
      <c r="AE5" s="50" t="s">
        <v>30</v>
      </c>
      <c r="AF5" s="52" t="s">
        <v>31</v>
      </c>
      <c r="AG5" s="52" t="s">
        <v>32</v>
      </c>
      <c r="AH5" s="50" t="s">
        <v>30</v>
      </c>
      <c r="AI5" s="52" t="s">
        <v>31</v>
      </c>
      <c r="AJ5" s="52" t="s">
        <v>32</v>
      </c>
      <c r="AK5" s="50" t="s">
        <v>30</v>
      </c>
      <c r="AL5" s="52" t="s">
        <v>31</v>
      </c>
      <c r="AM5" s="52" t="s">
        <v>32</v>
      </c>
      <c r="AN5" s="665"/>
    </row>
    <row r="6" spans="2:63" ht="20.100000000000001" customHeight="1" x14ac:dyDescent="0.15">
      <c r="B6" s="668" t="s">
        <v>97</v>
      </c>
      <c r="C6" s="669"/>
      <c r="D6" s="325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 t="s">
        <v>285</v>
      </c>
      <c r="Y6" s="326"/>
      <c r="Z6" s="326"/>
      <c r="AA6" s="326" t="s">
        <v>286</v>
      </c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7"/>
      <c r="AN6" s="54"/>
    </row>
    <row r="7" spans="2:63" ht="20.100000000000001" customHeight="1" x14ac:dyDescent="0.15">
      <c r="B7" s="686"/>
      <c r="C7" s="687"/>
      <c r="D7" s="325"/>
      <c r="E7" s="326"/>
      <c r="F7" s="326"/>
      <c r="G7" s="326"/>
      <c r="H7" s="326"/>
      <c r="I7" s="326"/>
      <c r="J7" s="326"/>
      <c r="K7" s="326"/>
      <c r="L7" s="326"/>
      <c r="M7" s="328"/>
      <c r="N7" s="328"/>
      <c r="O7" s="326"/>
      <c r="P7" s="326"/>
      <c r="Q7" s="328"/>
      <c r="R7" s="328"/>
      <c r="S7" s="328"/>
      <c r="T7" s="328"/>
      <c r="U7" s="328"/>
      <c r="V7" s="326" t="s">
        <v>285</v>
      </c>
      <c r="W7" s="328"/>
      <c r="X7" s="328"/>
      <c r="Y7" s="326" t="s">
        <v>287</v>
      </c>
      <c r="Z7" s="328"/>
      <c r="AA7" s="328"/>
      <c r="AB7" s="326" t="s">
        <v>288</v>
      </c>
      <c r="AC7" s="328"/>
      <c r="AD7" s="328"/>
      <c r="AE7" s="328"/>
      <c r="AF7" s="328"/>
      <c r="AG7" s="328"/>
      <c r="AH7" s="328"/>
      <c r="AI7" s="328"/>
      <c r="AJ7" s="328"/>
      <c r="AK7" s="328"/>
      <c r="AL7" s="326"/>
      <c r="AM7" s="329"/>
      <c r="AN7" s="54"/>
    </row>
    <row r="8" spans="2:63" ht="20.100000000000001" customHeight="1" x14ac:dyDescent="0.15">
      <c r="B8" s="686"/>
      <c r="C8" s="687"/>
      <c r="D8" s="325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 t="s">
        <v>285</v>
      </c>
      <c r="Z8" s="326"/>
      <c r="AA8" s="326"/>
      <c r="AB8" s="326" t="s">
        <v>287</v>
      </c>
      <c r="AC8" s="326"/>
      <c r="AD8" s="326"/>
      <c r="AE8" s="326" t="s">
        <v>289</v>
      </c>
      <c r="AF8" s="326"/>
      <c r="AG8" s="326"/>
      <c r="AH8" s="326"/>
      <c r="AI8" s="326"/>
      <c r="AJ8" s="326"/>
      <c r="AK8" s="326"/>
      <c r="AL8" s="326"/>
      <c r="AM8" s="329"/>
      <c r="AN8" s="54"/>
    </row>
    <row r="9" spans="2:63" ht="20.100000000000001" customHeight="1" x14ac:dyDescent="0.15">
      <c r="B9" s="686"/>
      <c r="C9" s="687"/>
      <c r="D9" s="325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 t="s">
        <v>285</v>
      </c>
      <c r="AC9" s="326"/>
      <c r="AD9" s="326"/>
      <c r="AE9" s="326"/>
      <c r="AF9" s="326" t="s">
        <v>286</v>
      </c>
      <c r="AG9" s="326"/>
      <c r="AH9" s="326"/>
      <c r="AI9" s="326"/>
      <c r="AJ9" s="326"/>
      <c r="AK9" s="326"/>
      <c r="AL9" s="326"/>
      <c r="AM9" s="329"/>
      <c r="AN9" s="54"/>
    </row>
    <row r="10" spans="2:63" ht="20.100000000000001" customHeight="1" x14ac:dyDescent="0.15">
      <c r="B10" s="686"/>
      <c r="C10" s="687"/>
      <c r="D10" s="325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9"/>
      <c r="AN10" s="54"/>
    </row>
    <row r="11" spans="2:63" ht="13.5" customHeight="1" x14ac:dyDescent="0.15">
      <c r="B11" s="677"/>
      <c r="C11" s="667"/>
      <c r="D11" s="330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503"/>
      <c r="AN11" s="55"/>
    </row>
    <row r="12" spans="2:63" ht="20.100000000000001" customHeight="1" x14ac:dyDescent="0.15">
      <c r="B12" s="682" t="s">
        <v>290</v>
      </c>
      <c r="C12" s="683"/>
      <c r="D12" s="486" t="s">
        <v>302</v>
      </c>
      <c r="E12" s="487" t="s">
        <v>302</v>
      </c>
      <c r="F12" s="492" t="s">
        <v>302</v>
      </c>
      <c r="G12" s="486" t="s">
        <v>302</v>
      </c>
      <c r="H12" s="487" t="s">
        <v>302</v>
      </c>
      <c r="I12" s="498" t="s">
        <v>302</v>
      </c>
      <c r="J12" s="494" t="s">
        <v>302</v>
      </c>
      <c r="K12" s="487" t="s">
        <v>302</v>
      </c>
      <c r="L12" s="492" t="s">
        <v>302</v>
      </c>
      <c r="M12" s="486" t="s">
        <v>302</v>
      </c>
      <c r="N12" s="487" t="s">
        <v>302</v>
      </c>
      <c r="O12" s="498" t="s">
        <v>302</v>
      </c>
      <c r="P12" s="494" t="s">
        <v>302</v>
      </c>
      <c r="Q12" s="487" t="s">
        <v>302</v>
      </c>
      <c r="R12" s="492" t="s">
        <v>302</v>
      </c>
      <c r="S12" s="486" t="s">
        <v>302</v>
      </c>
      <c r="T12" s="487" t="s">
        <v>302</v>
      </c>
      <c r="U12" s="498">
        <v>2</v>
      </c>
      <c r="V12" s="494">
        <v>2</v>
      </c>
      <c r="W12" s="487">
        <v>2</v>
      </c>
      <c r="X12" s="492">
        <v>2</v>
      </c>
      <c r="Y12" s="486">
        <v>2</v>
      </c>
      <c r="Z12" s="487" t="s">
        <v>302</v>
      </c>
      <c r="AA12" s="498">
        <v>2</v>
      </c>
      <c r="AB12" s="494">
        <v>2</v>
      </c>
      <c r="AC12" s="487" t="s">
        <v>302</v>
      </c>
      <c r="AD12" s="492" t="s">
        <v>302</v>
      </c>
      <c r="AE12" s="486" t="s">
        <v>302</v>
      </c>
      <c r="AF12" s="487" t="s">
        <v>302</v>
      </c>
      <c r="AG12" s="498" t="s">
        <v>302</v>
      </c>
      <c r="AH12" s="494" t="s">
        <v>302</v>
      </c>
      <c r="AI12" s="487" t="s">
        <v>302</v>
      </c>
      <c r="AJ12" s="492" t="s">
        <v>302</v>
      </c>
      <c r="AK12" s="486" t="s">
        <v>302</v>
      </c>
      <c r="AL12" s="487" t="s">
        <v>302</v>
      </c>
      <c r="AM12" s="498" t="s">
        <v>302</v>
      </c>
      <c r="AN12" s="502">
        <f>SUM(D12:AM12)</f>
        <v>14</v>
      </c>
    </row>
    <row r="13" spans="2:63" ht="20.100000000000001" customHeight="1" x14ac:dyDescent="0.15">
      <c r="B13" s="682" t="s">
        <v>291</v>
      </c>
      <c r="C13" s="683"/>
      <c r="D13" s="488" t="s">
        <v>302</v>
      </c>
      <c r="E13" s="489" t="s">
        <v>302</v>
      </c>
      <c r="F13" s="493" t="s">
        <v>302</v>
      </c>
      <c r="G13" s="488" t="s">
        <v>302</v>
      </c>
      <c r="H13" s="489" t="s">
        <v>302</v>
      </c>
      <c r="I13" s="499" t="s">
        <v>302</v>
      </c>
      <c r="J13" s="495" t="s">
        <v>302</v>
      </c>
      <c r="K13" s="489" t="s">
        <v>303</v>
      </c>
      <c r="L13" s="493" t="s">
        <v>302</v>
      </c>
      <c r="M13" s="488" t="s">
        <v>302</v>
      </c>
      <c r="N13" s="489" t="s">
        <v>302</v>
      </c>
      <c r="O13" s="499" t="s">
        <v>302</v>
      </c>
      <c r="P13" s="495" t="s">
        <v>302</v>
      </c>
      <c r="Q13" s="489" t="s">
        <v>302</v>
      </c>
      <c r="R13" s="493" t="s">
        <v>302</v>
      </c>
      <c r="S13" s="488" t="s">
        <v>302</v>
      </c>
      <c r="T13" s="489" t="s">
        <v>302</v>
      </c>
      <c r="U13" s="499"/>
      <c r="V13" s="495"/>
      <c r="W13" s="489">
        <v>2</v>
      </c>
      <c r="X13" s="493">
        <v>2</v>
      </c>
      <c r="Y13" s="488">
        <v>2</v>
      </c>
      <c r="Z13" s="489">
        <v>3</v>
      </c>
      <c r="AA13" s="499">
        <v>2</v>
      </c>
      <c r="AB13" s="495">
        <v>1</v>
      </c>
      <c r="AC13" s="489">
        <v>1</v>
      </c>
      <c r="AD13" s="493">
        <v>2</v>
      </c>
      <c r="AE13" s="488">
        <v>2</v>
      </c>
      <c r="AF13" s="489" t="s">
        <v>302</v>
      </c>
      <c r="AG13" s="499" t="s">
        <v>302</v>
      </c>
      <c r="AH13" s="495" t="s">
        <v>302</v>
      </c>
      <c r="AI13" s="489" t="s">
        <v>302</v>
      </c>
      <c r="AJ13" s="493" t="s">
        <v>302</v>
      </c>
      <c r="AK13" s="488" t="s">
        <v>302</v>
      </c>
      <c r="AL13" s="489" t="s">
        <v>302</v>
      </c>
      <c r="AM13" s="499" t="s">
        <v>302</v>
      </c>
      <c r="AN13" s="478">
        <f t="shared" ref="AN13:AN37" si="0">SUM(D13:AM13)</f>
        <v>17</v>
      </c>
    </row>
    <row r="14" spans="2:63" ht="20.100000000000001" customHeight="1" x14ac:dyDescent="0.15">
      <c r="B14" s="682" t="s">
        <v>292</v>
      </c>
      <c r="C14" s="683"/>
      <c r="D14" s="488" t="s">
        <v>302</v>
      </c>
      <c r="E14" s="489" t="s">
        <v>302</v>
      </c>
      <c r="F14" s="493" t="s">
        <v>302</v>
      </c>
      <c r="G14" s="488" t="s">
        <v>302</v>
      </c>
      <c r="H14" s="489" t="s">
        <v>302</v>
      </c>
      <c r="I14" s="499" t="s">
        <v>302</v>
      </c>
      <c r="J14" s="495" t="s">
        <v>302</v>
      </c>
      <c r="K14" s="489" t="s">
        <v>303</v>
      </c>
      <c r="L14" s="493" t="s">
        <v>302</v>
      </c>
      <c r="M14" s="488" t="s">
        <v>302</v>
      </c>
      <c r="N14" s="489" t="s">
        <v>302</v>
      </c>
      <c r="O14" s="499" t="s">
        <v>302</v>
      </c>
      <c r="P14" s="495" t="s">
        <v>302</v>
      </c>
      <c r="Q14" s="489" t="s">
        <v>302</v>
      </c>
      <c r="R14" s="493" t="s">
        <v>302</v>
      </c>
      <c r="S14" s="488" t="s">
        <v>302</v>
      </c>
      <c r="T14" s="489" t="s">
        <v>302</v>
      </c>
      <c r="U14" s="499" t="s">
        <v>302</v>
      </c>
      <c r="V14" s="495"/>
      <c r="W14" s="489" t="s">
        <v>302</v>
      </c>
      <c r="X14" s="493"/>
      <c r="Y14" s="488">
        <v>2</v>
      </c>
      <c r="Z14" s="489">
        <v>3</v>
      </c>
      <c r="AA14" s="499">
        <v>2</v>
      </c>
      <c r="AB14" s="495"/>
      <c r="AC14" s="489">
        <v>2</v>
      </c>
      <c r="AD14" s="493">
        <v>4</v>
      </c>
      <c r="AE14" s="488">
        <v>2</v>
      </c>
      <c r="AF14" s="489"/>
      <c r="AG14" s="499" t="s">
        <v>302</v>
      </c>
      <c r="AH14" s="495" t="s">
        <v>302</v>
      </c>
      <c r="AI14" s="489" t="s">
        <v>302</v>
      </c>
      <c r="AJ14" s="493" t="s">
        <v>302</v>
      </c>
      <c r="AK14" s="488" t="s">
        <v>302</v>
      </c>
      <c r="AL14" s="489" t="s">
        <v>302</v>
      </c>
      <c r="AM14" s="499" t="s">
        <v>302</v>
      </c>
      <c r="AN14" s="478">
        <f t="shared" si="0"/>
        <v>15</v>
      </c>
    </row>
    <row r="15" spans="2:63" ht="20.100000000000001" customHeight="1" x14ac:dyDescent="0.15">
      <c r="B15" s="682" t="s">
        <v>293</v>
      </c>
      <c r="C15" s="683"/>
      <c r="D15" s="488" t="s">
        <v>302</v>
      </c>
      <c r="E15" s="489" t="s">
        <v>302</v>
      </c>
      <c r="F15" s="493" t="s">
        <v>302</v>
      </c>
      <c r="G15" s="488" t="s">
        <v>302</v>
      </c>
      <c r="H15" s="489">
        <v>2</v>
      </c>
      <c r="I15" s="499">
        <v>2</v>
      </c>
      <c r="J15" s="495" t="s">
        <v>302</v>
      </c>
      <c r="K15" s="489">
        <v>4</v>
      </c>
      <c r="L15" s="493"/>
      <c r="M15" s="488">
        <v>4</v>
      </c>
      <c r="N15" s="489" t="s">
        <v>302</v>
      </c>
      <c r="O15" s="499"/>
      <c r="P15" s="495" t="s">
        <v>302</v>
      </c>
      <c r="Q15" s="489" t="s">
        <v>302</v>
      </c>
      <c r="R15" s="493" t="s">
        <v>302</v>
      </c>
      <c r="S15" s="488" t="s">
        <v>302</v>
      </c>
      <c r="T15" s="489" t="s">
        <v>302</v>
      </c>
      <c r="U15" s="499" t="s">
        <v>302</v>
      </c>
      <c r="V15" s="495" t="s">
        <v>302</v>
      </c>
      <c r="W15" s="489" t="s">
        <v>302</v>
      </c>
      <c r="X15" s="493" t="s">
        <v>302</v>
      </c>
      <c r="Y15" s="488" t="s">
        <v>302</v>
      </c>
      <c r="Z15" s="489">
        <v>3</v>
      </c>
      <c r="AA15" s="499" t="s">
        <v>302</v>
      </c>
      <c r="AB15" s="495">
        <v>4</v>
      </c>
      <c r="AC15" s="489" t="s">
        <v>302</v>
      </c>
      <c r="AD15" s="493" t="s">
        <v>302</v>
      </c>
      <c r="AE15" s="488">
        <v>4</v>
      </c>
      <c r="AF15" s="489">
        <v>6</v>
      </c>
      <c r="AG15" s="499" t="s">
        <v>302</v>
      </c>
      <c r="AH15" s="495" t="s">
        <v>302</v>
      </c>
      <c r="AI15" s="489" t="s">
        <v>302</v>
      </c>
      <c r="AJ15" s="493" t="s">
        <v>302</v>
      </c>
      <c r="AK15" s="488" t="s">
        <v>302</v>
      </c>
      <c r="AL15" s="489" t="s">
        <v>302</v>
      </c>
      <c r="AM15" s="499" t="s">
        <v>302</v>
      </c>
      <c r="AN15" s="478">
        <f t="shared" si="0"/>
        <v>29</v>
      </c>
    </row>
    <row r="16" spans="2:63" ht="20.100000000000001" customHeight="1" x14ac:dyDescent="0.15">
      <c r="B16" s="682" t="s">
        <v>294</v>
      </c>
      <c r="C16" s="683"/>
      <c r="D16" s="488" t="s">
        <v>302</v>
      </c>
      <c r="E16" s="489" t="s">
        <v>302</v>
      </c>
      <c r="F16" s="493" t="s">
        <v>302</v>
      </c>
      <c r="G16" s="488" t="s">
        <v>302</v>
      </c>
      <c r="H16" s="489" t="s">
        <v>302</v>
      </c>
      <c r="I16" s="499" t="s">
        <v>302</v>
      </c>
      <c r="J16" s="495" t="s">
        <v>302</v>
      </c>
      <c r="K16" s="489" t="s">
        <v>303</v>
      </c>
      <c r="L16" s="493" t="s">
        <v>302</v>
      </c>
      <c r="M16" s="488" t="s">
        <v>302</v>
      </c>
      <c r="N16" s="489" t="s">
        <v>302</v>
      </c>
      <c r="O16" s="499" t="s">
        <v>302</v>
      </c>
      <c r="P16" s="495" t="s">
        <v>302</v>
      </c>
      <c r="Q16" s="489" t="s">
        <v>302</v>
      </c>
      <c r="R16" s="493" t="s">
        <v>302</v>
      </c>
      <c r="S16" s="488" t="s">
        <v>302</v>
      </c>
      <c r="T16" s="489" t="s">
        <v>302</v>
      </c>
      <c r="U16" s="499" t="s">
        <v>302</v>
      </c>
      <c r="V16" s="495" t="s">
        <v>302</v>
      </c>
      <c r="W16" s="489" t="s">
        <v>302</v>
      </c>
      <c r="X16" s="493" t="s">
        <v>302</v>
      </c>
      <c r="Y16" s="488" t="s">
        <v>302</v>
      </c>
      <c r="Z16" s="489" t="s">
        <v>302</v>
      </c>
      <c r="AA16" s="499">
        <v>4</v>
      </c>
      <c r="AB16" s="495">
        <v>13</v>
      </c>
      <c r="AC16" s="489" t="s">
        <v>302</v>
      </c>
      <c r="AD16" s="493" t="s">
        <v>302</v>
      </c>
      <c r="AE16" s="488">
        <v>13</v>
      </c>
      <c r="AF16" s="489">
        <v>13</v>
      </c>
      <c r="AG16" s="499" t="s">
        <v>302</v>
      </c>
      <c r="AH16" s="495" t="s">
        <v>302</v>
      </c>
      <c r="AI16" s="489" t="s">
        <v>302</v>
      </c>
      <c r="AJ16" s="493" t="s">
        <v>302</v>
      </c>
      <c r="AK16" s="488" t="s">
        <v>302</v>
      </c>
      <c r="AL16" s="489" t="s">
        <v>302</v>
      </c>
      <c r="AM16" s="499" t="s">
        <v>302</v>
      </c>
      <c r="AN16" s="478">
        <f t="shared" si="0"/>
        <v>43</v>
      </c>
    </row>
    <row r="17" spans="2:40" ht="20.100000000000001" customHeight="1" x14ac:dyDescent="0.15">
      <c r="B17" s="682" t="s">
        <v>295</v>
      </c>
      <c r="C17" s="683"/>
      <c r="D17" s="488" t="s">
        <v>302</v>
      </c>
      <c r="E17" s="489">
        <v>1</v>
      </c>
      <c r="F17" s="493">
        <v>1</v>
      </c>
      <c r="G17" s="488">
        <v>1</v>
      </c>
      <c r="H17" s="489">
        <v>2</v>
      </c>
      <c r="I17" s="499">
        <v>2</v>
      </c>
      <c r="J17" s="495">
        <v>3</v>
      </c>
      <c r="K17" s="489">
        <v>3</v>
      </c>
      <c r="L17" s="493">
        <v>3</v>
      </c>
      <c r="M17" s="488">
        <v>2</v>
      </c>
      <c r="N17" s="489">
        <v>2</v>
      </c>
      <c r="O17" s="499" t="s">
        <v>302</v>
      </c>
      <c r="P17" s="495">
        <v>1</v>
      </c>
      <c r="Q17" s="489">
        <v>1</v>
      </c>
      <c r="R17" s="493" t="s">
        <v>302</v>
      </c>
      <c r="S17" s="488" t="s">
        <v>302</v>
      </c>
      <c r="T17" s="489" t="s">
        <v>302</v>
      </c>
      <c r="U17" s="499" t="s">
        <v>302</v>
      </c>
      <c r="V17" s="495" t="s">
        <v>302</v>
      </c>
      <c r="W17" s="489" t="s">
        <v>302</v>
      </c>
      <c r="X17" s="493" t="s">
        <v>302</v>
      </c>
      <c r="Y17" s="488" t="s">
        <v>302</v>
      </c>
      <c r="Z17" s="489" t="s">
        <v>302</v>
      </c>
      <c r="AA17" s="499">
        <v>1</v>
      </c>
      <c r="AB17" s="495">
        <v>2</v>
      </c>
      <c r="AC17" s="489">
        <v>2</v>
      </c>
      <c r="AD17" s="493">
        <v>3</v>
      </c>
      <c r="AE17" s="488">
        <v>4</v>
      </c>
      <c r="AF17" s="489">
        <v>4</v>
      </c>
      <c r="AG17" s="499">
        <v>4</v>
      </c>
      <c r="AH17" s="495">
        <v>4</v>
      </c>
      <c r="AI17" s="489">
        <v>2</v>
      </c>
      <c r="AJ17" s="493">
        <v>1</v>
      </c>
      <c r="AK17" s="488">
        <v>1</v>
      </c>
      <c r="AL17" s="489">
        <v>1</v>
      </c>
      <c r="AM17" s="499">
        <v>1</v>
      </c>
      <c r="AN17" s="478">
        <f t="shared" si="0"/>
        <v>52</v>
      </c>
    </row>
    <row r="18" spans="2:40" ht="20.100000000000001" customHeight="1" x14ac:dyDescent="0.15">
      <c r="B18" s="684" t="s">
        <v>296</v>
      </c>
      <c r="C18" s="685"/>
      <c r="D18" s="488" t="s">
        <v>302</v>
      </c>
      <c r="E18" s="489" t="s">
        <v>302</v>
      </c>
      <c r="F18" s="493" t="s">
        <v>302</v>
      </c>
      <c r="G18" s="488" t="s">
        <v>302</v>
      </c>
      <c r="H18" s="489">
        <v>2</v>
      </c>
      <c r="I18" s="499" t="s">
        <v>302</v>
      </c>
      <c r="J18" s="495">
        <v>4</v>
      </c>
      <c r="K18" s="489">
        <v>3</v>
      </c>
      <c r="L18" s="493">
        <v>5</v>
      </c>
      <c r="M18" s="488">
        <v>4</v>
      </c>
      <c r="N18" s="489">
        <v>2</v>
      </c>
      <c r="O18" s="499" t="s">
        <v>302</v>
      </c>
      <c r="P18" s="495">
        <v>2</v>
      </c>
      <c r="Q18" s="489" t="s">
        <v>302</v>
      </c>
      <c r="R18" s="493">
        <v>1</v>
      </c>
      <c r="S18" s="488" t="s">
        <v>302</v>
      </c>
      <c r="T18" s="489" t="s">
        <v>302</v>
      </c>
      <c r="U18" s="499" t="s">
        <v>302</v>
      </c>
      <c r="V18" s="495" t="s">
        <v>302</v>
      </c>
      <c r="W18" s="489" t="s">
        <v>302</v>
      </c>
      <c r="X18" s="493" t="s">
        <v>302</v>
      </c>
      <c r="Y18" s="488" t="s">
        <v>302</v>
      </c>
      <c r="Z18" s="489" t="s">
        <v>302</v>
      </c>
      <c r="AA18" s="499">
        <v>2</v>
      </c>
      <c r="AB18" s="495" t="s">
        <v>302</v>
      </c>
      <c r="AC18" s="489">
        <v>1</v>
      </c>
      <c r="AD18" s="493">
        <v>3</v>
      </c>
      <c r="AE18" s="488">
        <v>1</v>
      </c>
      <c r="AF18" s="489">
        <v>1</v>
      </c>
      <c r="AG18" s="499">
        <v>3</v>
      </c>
      <c r="AH18" s="495">
        <v>1</v>
      </c>
      <c r="AI18" s="489">
        <v>1</v>
      </c>
      <c r="AJ18" s="493">
        <v>3</v>
      </c>
      <c r="AK18" s="488">
        <v>1</v>
      </c>
      <c r="AL18" s="489">
        <v>2</v>
      </c>
      <c r="AM18" s="499">
        <v>0.5</v>
      </c>
      <c r="AN18" s="478">
        <f t="shared" si="0"/>
        <v>42.5</v>
      </c>
    </row>
    <row r="19" spans="2:40" ht="20.100000000000001" customHeight="1" x14ac:dyDescent="0.15">
      <c r="B19" s="682" t="s">
        <v>297</v>
      </c>
      <c r="C19" s="683"/>
      <c r="D19" s="488" t="s">
        <v>302</v>
      </c>
      <c r="E19" s="489" t="s">
        <v>302</v>
      </c>
      <c r="F19" s="493" t="s">
        <v>302</v>
      </c>
      <c r="G19" s="488" t="s">
        <v>302</v>
      </c>
      <c r="H19" s="489">
        <v>1</v>
      </c>
      <c r="I19" s="499">
        <v>1</v>
      </c>
      <c r="J19" s="495">
        <v>1</v>
      </c>
      <c r="K19" s="489"/>
      <c r="L19" s="493">
        <v>1</v>
      </c>
      <c r="M19" s="488">
        <v>1</v>
      </c>
      <c r="N19" s="489" t="s">
        <v>302</v>
      </c>
      <c r="O19" s="499">
        <v>1</v>
      </c>
      <c r="P19" s="495" t="s">
        <v>302</v>
      </c>
      <c r="Q19" s="489" t="s">
        <v>302</v>
      </c>
      <c r="R19" s="493" t="s">
        <v>302</v>
      </c>
      <c r="S19" s="488" t="s">
        <v>302</v>
      </c>
      <c r="T19" s="489" t="s">
        <v>302</v>
      </c>
      <c r="U19" s="499" t="s">
        <v>302</v>
      </c>
      <c r="V19" s="495" t="s">
        <v>302</v>
      </c>
      <c r="W19" s="489" t="s">
        <v>302</v>
      </c>
      <c r="X19" s="493" t="s">
        <v>302</v>
      </c>
      <c r="Y19" s="488" t="s">
        <v>302</v>
      </c>
      <c r="Z19" s="489" t="s">
        <v>302</v>
      </c>
      <c r="AA19" s="499" t="s">
        <v>302</v>
      </c>
      <c r="AB19" s="495" t="s">
        <v>302</v>
      </c>
      <c r="AC19" s="489">
        <v>1</v>
      </c>
      <c r="AD19" s="493">
        <v>1</v>
      </c>
      <c r="AE19" s="488">
        <v>1</v>
      </c>
      <c r="AF19" s="489">
        <v>2</v>
      </c>
      <c r="AG19" s="499">
        <v>2</v>
      </c>
      <c r="AH19" s="495" t="s">
        <v>302</v>
      </c>
      <c r="AI19" s="489">
        <v>2</v>
      </c>
      <c r="AJ19" s="493">
        <v>1</v>
      </c>
      <c r="AK19" s="488" t="s">
        <v>302</v>
      </c>
      <c r="AL19" s="489" t="s">
        <v>302</v>
      </c>
      <c r="AM19" s="499" t="s">
        <v>302</v>
      </c>
      <c r="AN19" s="478">
        <f t="shared" si="0"/>
        <v>16</v>
      </c>
    </row>
    <row r="20" spans="2:40" ht="20.100000000000001" customHeight="1" x14ac:dyDescent="0.15">
      <c r="B20" s="682" t="s">
        <v>298</v>
      </c>
      <c r="C20" s="683"/>
      <c r="D20" s="488">
        <v>5</v>
      </c>
      <c r="E20" s="489">
        <v>4</v>
      </c>
      <c r="F20" s="493">
        <v>4</v>
      </c>
      <c r="G20" s="488">
        <v>4</v>
      </c>
      <c r="H20" s="489">
        <v>4</v>
      </c>
      <c r="I20" s="499">
        <v>4</v>
      </c>
      <c r="J20" s="495">
        <v>4</v>
      </c>
      <c r="K20" s="489">
        <v>4</v>
      </c>
      <c r="L20" s="493">
        <v>4</v>
      </c>
      <c r="M20" s="488">
        <v>3</v>
      </c>
      <c r="N20" s="489">
        <v>3</v>
      </c>
      <c r="O20" s="499">
        <v>4</v>
      </c>
      <c r="P20" s="495">
        <v>4</v>
      </c>
      <c r="Q20" s="489">
        <v>3</v>
      </c>
      <c r="R20" s="493">
        <v>3</v>
      </c>
      <c r="S20" s="488">
        <v>2</v>
      </c>
      <c r="T20" s="489">
        <v>2</v>
      </c>
      <c r="U20" s="499" t="s">
        <v>302</v>
      </c>
      <c r="V20" s="495">
        <v>1</v>
      </c>
      <c r="W20" s="489">
        <v>1</v>
      </c>
      <c r="X20" s="493">
        <v>1</v>
      </c>
      <c r="Y20" s="488">
        <v>3</v>
      </c>
      <c r="Z20" s="489">
        <v>3</v>
      </c>
      <c r="AA20" s="499">
        <v>3</v>
      </c>
      <c r="AB20" s="495">
        <v>5</v>
      </c>
      <c r="AC20" s="489">
        <v>6</v>
      </c>
      <c r="AD20" s="493">
        <v>6</v>
      </c>
      <c r="AE20" s="488">
        <v>6</v>
      </c>
      <c r="AF20" s="489">
        <v>6</v>
      </c>
      <c r="AG20" s="499">
        <v>7</v>
      </c>
      <c r="AH20" s="495">
        <v>7</v>
      </c>
      <c r="AI20" s="489">
        <v>7</v>
      </c>
      <c r="AJ20" s="493">
        <v>7</v>
      </c>
      <c r="AK20" s="488">
        <v>6</v>
      </c>
      <c r="AL20" s="489">
        <v>6</v>
      </c>
      <c r="AM20" s="499">
        <v>6</v>
      </c>
      <c r="AN20" s="478">
        <f t="shared" si="0"/>
        <v>148</v>
      </c>
    </row>
    <row r="21" spans="2:40" ht="20.100000000000001" customHeight="1" x14ac:dyDescent="0.15">
      <c r="B21" s="682" t="s">
        <v>299</v>
      </c>
      <c r="C21" s="683"/>
      <c r="D21" s="488">
        <v>6</v>
      </c>
      <c r="E21" s="489" t="s">
        <v>302</v>
      </c>
      <c r="F21" s="493" t="s">
        <v>302</v>
      </c>
      <c r="G21" s="488">
        <v>8</v>
      </c>
      <c r="H21" s="489">
        <v>27</v>
      </c>
      <c r="I21" s="499">
        <v>22</v>
      </c>
      <c r="J21" s="495">
        <v>22</v>
      </c>
      <c r="K21" s="489">
        <v>1</v>
      </c>
      <c r="L21" s="493">
        <v>36</v>
      </c>
      <c r="M21" s="488">
        <v>27</v>
      </c>
      <c r="N21" s="489">
        <v>16</v>
      </c>
      <c r="O21" s="499">
        <v>4</v>
      </c>
      <c r="P21" s="495">
        <v>8</v>
      </c>
      <c r="Q21" s="489" t="s">
        <v>302</v>
      </c>
      <c r="R21" s="493" t="s">
        <v>302</v>
      </c>
      <c r="S21" s="488" t="s">
        <v>302</v>
      </c>
      <c r="T21" s="489" t="s">
        <v>302</v>
      </c>
      <c r="U21" s="499" t="s">
        <v>302</v>
      </c>
      <c r="V21" s="495" t="s">
        <v>302</v>
      </c>
      <c r="W21" s="489" t="s">
        <v>302</v>
      </c>
      <c r="X21" s="493" t="s">
        <v>302</v>
      </c>
      <c r="Y21" s="488" t="s">
        <v>302</v>
      </c>
      <c r="Z21" s="489" t="s">
        <v>302</v>
      </c>
      <c r="AA21" s="499" t="s">
        <v>302</v>
      </c>
      <c r="AB21" s="495" t="s">
        <v>302</v>
      </c>
      <c r="AC21" s="489">
        <v>8</v>
      </c>
      <c r="AD21" s="493">
        <v>8</v>
      </c>
      <c r="AE21" s="488"/>
      <c r="AF21" s="489">
        <v>16</v>
      </c>
      <c r="AG21" s="499">
        <v>16</v>
      </c>
      <c r="AH21" s="495" t="s">
        <v>302</v>
      </c>
      <c r="AI21" s="489">
        <v>16</v>
      </c>
      <c r="AJ21" s="493">
        <v>16</v>
      </c>
      <c r="AK21" s="488" t="s">
        <v>302</v>
      </c>
      <c r="AL21" s="489" t="s">
        <v>302</v>
      </c>
      <c r="AM21" s="499" t="s">
        <v>302</v>
      </c>
      <c r="AN21" s="478">
        <f t="shared" si="0"/>
        <v>257</v>
      </c>
    </row>
    <row r="22" spans="2:40" ht="20.100000000000001" customHeight="1" x14ac:dyDescent="0.15">
      <c r="B22" s="682" t="s">
        <v>429</v>
      </c>
      <c r="C22" s="683"/>
      <c r="D22" s="488" t="s">
        <v>302</v>
      </c>
      <c r="E22" s="489" t="s">
        <v>302</v>
      </c>
      <c r="F22" s="493" t="s">
        <v>302</v>
      </c>
      <c r="G22" s="488" t="s">
        <v>302</v>
      </c>
      <c r="H22" s="489" t="s">
        <v>302</v>
      </c>
      <c r="I22" s="499" t="s">
        <v>302</v>
      </c>
      <c r="J22" s="495">
        <v>18</v>
      </c>
      <c r="K22" s="489">
        <v>18</v>
      </c>
      <c r="L22" s="493">
        <v>18</v>
      </c>
      <c r="M22" s="488">
        <v>18</v>
      </c>
      <c r="N22" s="489">
        <v>18</v>
      </c>
      <c r="O22" s="499">
        <v>21</v>
      </c>
      <c r="P22" s="495">
        <v>30</v>
      </c>
      <c r="Q22" s="489">
        <v>30</v>
      </c>
      <c r="R22" s="493">
        <v>42</v>
      </c>
      <c r="S22" s="488">
        <v>18</v>
      </c>
      <c r="T22" s="489">
        <v>18</v>
      </c>
      <c r="U22" s="499" t="s">
        <v>302</v>
      </c>
      <c r="V22" s="495" t="s">
        <v>302</v>
      </c>
      <c r="W22" s="489" t="s">
        <v>302</v>
      </c>
      <c r="X22" s="493" t="s">
        <v>302</v>
      </c>
      <c r="Y22" s="488" t="s">
        <v>302</v>
      </c>
      <c r="Z22" s="489" t="s">
        <v>302</v>
      </c>
      <c r="AA22" s="499" t="s">
        <v>302</v>
      </c>
      <c r="AB22" s="495" t="s">
        <v>302</v>
      </c>
      <c r="AC22" s="489" t="s">
        <v>302</v>
      </c>
      <c r="AD22" s="493" t="s">
        <v>302</v>
      </c>
      <c r="AE22" s="488" t="s">
        <v>302</v>
      </c>
      <c r="AF22" s="489" t="s">
        <v>302</v>
      </c>
      <c r="AG22" s="499" t="s">
        <v>302</v>
      </c>
      <c r="AH22" s="495">
        <v>18</v>
      </c>
      <c r="AI22" s="489">
        <v>18</v>
      </c>
      <c r="AJ22" s="493">
        <v>18</v>
      </c>
      <c r="AK22" s="488">
        <v>18</v>
      </c>
      <c r="AL22" s="489">
        <v>18</v>
      </c>
      <c r="AM22" s="499">
        <v>18</v>
      </c>
      <c r="AN22" s="478">
        <f t="shared" si="0"/>
        <v>357</v>
      </c>
    </row>
    <row r="23" spans="2:40" ht="20.100000000000001" customHeight="1" x14ac:dyDescent="0.15">
      <c r="B23" s="682" t="s">
        <v>300</v>
      </c>
      <c r="C23" s="683"/>
      <c r="D23" s="488" t="s">
        <v>302</v>
      </c>
      <c r="E23" s="489" t="s">
        <v>302</v>
      </c>
      <c r="F23" s="493" t="s">
        <v>302</v>
      </c>
      <c r="G23" s="488" t="s">
        <v>302</v>
      </c>
      <c r="H23" s="489" t="s">
        <v>302</v>
      </c>
      <c r="I23" s="499" t="s">
        <v>302</v>
      </c>
      <c r="J23" s="495">
        <v>3</v>
      </c>
      <c r="K23" s="489">
        <v>3</v>
      </c>
      <c r="L23" s="493">
        <v>3</v>
      </c>
      <c r="M23" s="488">
        <v>3</v>
      </c>
      <c r="N23" s="489">
        <v>3</v>
      </c>
      <c r="O23" s="499">
        <v>4</v>
      </c>
      <c r="P23" s="495">
        <v>10</v>
      </c>
      <c r="Q23" s="489">
        <v>8</v>
      </c>
      <c r="R23" s="493">
        <v>11</v>
      </c>
      <c r="S23" s="488">
        <v>3</v>
      </c>
      <c r="T23" s="489">
        <v>3</v>
      </c>
      <c r="U23" s="499" t="s">
        <v>302</v>
      </c>
      <c r="V23" s="495" t="s">
        <v>302</v>
      </c>
      <c r="W23" s="489" t="s">
        <v>302</v>
      </c>
      <c r="X23" s="493" t="s">
        <v>302</v>
      </c>
      <c r="Y23" s="488" t="s">
        <v>302</v>
      </c>
      <c r="Z23" s="489" t="s">
        <v>302</v>
      </c>
      <c r="AA23" s="499" t="s">
        <v>302</v>
      </c>
      <c r="AB23" s="495" t="s">
        <v>302</v>
      </c>
      <c r="AC23" s="489" t="s">
        <v>302</v>
      </c>
      <c r="AD23" s="493" t="s">
        <v>302</v>
      </c>
      <c r="AE23" s="488" t="s">
        <v>302</v>
      </c>
      <c r="AF23" s="489" t="s">
        <v>302</v>
      </c>
      <c r="AG23" s="499" t="s">
        <v>302</v>
      </c>
      <c r="AH23" s="495">
        <v>3</v>
      </c>
      <c r="AI23" s="489">
        <v>3</v>
      </c>
      <c r="AJ23" s="493">
        <v>3</v>
      </c>
      <c r="AK23" s="488">
        <v>3</v>
      </c>
      <c r="AL23" s="489">
        <v>3</v>
      </c>
      <c r="AM23" s="499">
        <v>3</v>
      </c>
      <c r="AN23" s="478">
        <f t="shared" si="0"/>
        <v>72</v>
      </c>
    </row>
    <row r="24" spans="2:40" ht="20.100000000000001" customHeight="1" x14ac:dyDescent="0.15">
      <c r="B24" s="684" t="s">
        <v>301</v>
      </c>
      <c r="C24" s="685"/>
      <c r="D24" s="488">
        <v>6</v>
      </c>
      <c r="E24" s="489" t="s">
        <v>302</v>
      </c>
      <c r="F24" s="493" t="s">
        <v>302</v>
      </c>
      <c r="G24" s="488" t="s">
        <v>302</v>
      </c>
      <c r="H24" s="489" t="s">
        <v>302</v>
      </c>
      <c r="I24" s="499" t="s">
        <v>302</v>
      </c>
      <c r="J24" s="495" t="s">
        <v>302</v>
      </c>
      <c r="K24" s="489" t="s">
        <v>303</v>
      </c>
      <c r="L24" s="493" t="s">
        <v>302</v>
      </c>
      <c r="M24" s="488">
        <v>6</v>
      </c>
      <c r="N24" s="489" t="s">
        <v>302</v>
      </c>
      <c r="O24" s="499" t="s">
        <v>302</v>
      </c>
      <c r="P24" s="495">
        <v>6</v>
      </c>
      <c r="Q24" s="489" t="s">
        <v>302</v>
      </c>
      <c r="R24" s="493" t="s">
        <v>302</v>
      </c>
      <c r="S24" s="488">
        <v>6</v>
      </c>
      <c r="T24" s="489" t="s">
        <v>302</v>
      </c>
      <c r="U24" s="499">
        <v>6</v>
      </c>
      <c r="V24" s="495" t="s">
        <v>302</v>
      </c>
      <c r="W24" s="489" t="s">
        <v>302</v>
      </c>
      <c r="X24" s="493" t="s">
        <v>302</v>
      </c>
      <c r="Y24" s="488" t="s">
        <v>302</v>
      </c>
      <c r="Z24" s="489" t="s">
        <v>302</v>
      </c>
      <c r="AA24" s="499" t="s">
        <v>302</v>
      </c>
      <c r="AB24" s="495" t="s">
        <v>302</v>
      </c>
      <c r="AC24" s="489" t="s">
        <v>302</v>
      </c>
      <c r="AD24" s="493" t="s">
        <v>302</v>
      </c>
      <c r="AE24" s="488" t="s">
        <v>302</v>
      </c>
      <c r="AF24" s="489" t="s">
        <v>302</v>
      </c>
      <c r="AG24" s="499" t="s">
        <v>302</v>
      </c>
      <c r="AH24" s="495" t="s">
        <v>302</v>
      </c>
      <c r="AI24" s="489" t="s">
        <v>302</v>
      </c>
      <c r="AJ24" s="493" t="s">
        <v>302</v>
      </c>
      <c r="AK24" s="488">
        <v>6</v>
      </c>
      <c r="AL24" s="489" t="s">
        <v>302</v>
      </c>
      <c r="AM24" s="499" t="s">
        <v>302</v>
      </c>
      <c r="AN24" s="478">
        <f t="shared" si="0"/>
        <v>36</v>
      </c>
    </row>
    <row r="25" spans="2:40" ht="20.100000000000001" customHeight="1" x14ac:dyDescent="0.15">
      <c r="B25" s="678"/>
      <c r="C25" s="679"/>
      <c r="D25" s="490"/>
      <c r="E25" s="491"/>
      <c r="F25" s="441"/>
      <c r="G25" s="490"/>
      <c r="H25" s="491"/>
      <c r="I25" s="500"/>
      <c r="J25" s="496"/>
      <c r="K25" s="491"/>
      <c r="L25" s="441"/>
      <c r="M25" s="490"/>
      <c r="N25" s="491"/>
      <c r="O25" s="500"/>
      <c r="P25" s="496"/>
      <c r="Q25" s="491"/>
      <c r="R25" s="441"/>
      <c r="S25" s="490"/>
      <c r="T25" s="491"/>
      <c r="U25" s="500"/>
      <c r="V25" s="496"/>
      <c r="W25" s="491"/>
      <c r="X25" s="441"/>
      <c r="Y25" s="490"/>
      <c r="Z25" s="491"/>
      <c r="AA25" s="500"/>
      <c r="AB25" s="496"/>
      <c r="AC25" s="491"/>
      <c r="AD25" s="441"/>
      <c r="AE25" s="490"/>
      <c r="AF25" s="491"/>
      <c r="AG25" s="500"/>
      <c r="AH25" s="496"/>
      <c r="AI25" s="491">
        <v>27</v>
      </c>
      <c r="AJ25" s="441"/>
      <c r="AK25" s="490"/>
      <c r="AL25" s="491"/>
      <c r="AM25" s="500"/>
      <c r="AN25" s="478">
        <f t="shared" si="0"/>
        <v>27</v>
      </c>
    </row>
    <row r="26" spans="2:40" ht="20.100000000000001" customHeight="1" x14ac:dyDescent="0.15">
      <c r="B26" s="678"/>
      <c r="C26" s="679"/>
      <c r="D26" s="440"/>
      <c r="E26" s="441"/>
      <c r="F26" s="441"/>
      <c r="G26" s="501"/>
      <c r="H26" s="441"/>
      <c r="I26" s="500"/>
      <c r="J26" s="497"/>
      <c r="K26" s="441"/>
      <c r="L26" s="441"/>
      <c r="M26" s="501"/>
      <c r="N26" s="441"/>
      <c r="O26" s="500"/>
      <c r="P26" s="497"/>
      <c r="Q26" s="441"/>
      <c r="R26" s="441"/>
      <c r="S26" s="501"/>
      <c r="T26" s="441"/>
      <c r="U26" s="500"/>
      <c r="V26" s="497"/>
      <c r="W26" s="441"/>
      <c r="X26" s="441"/>
      <c r="Y26" s="501"/>
      <c r="Z26" s="441"/>
      <c r="AA26" s="500"/>
      <c r="AB26" s="497"/>
      <c r="AC26" s="441"/>
      <c r="AD26" s="441"/>
      <c r="AE26" s="501"/>
      <c r="AF26" s="441"/>
      <c r="AG26" s="500"/>
      <c r="AH26" s="497"/>
      <c r="AI26" s="441"/>
      <c r="AJ26" s="441"/>
      <c r="AK26" s="501"/>
      <c r="AL26" s="441"/>
      <c r="AM26" s="500"/>
      <c r="AN26" s="478">
        <f t="shared" si="0"/>
        <v>0</v>
      </c>
    </row>
    <row r="27" spans="2:40" ht="20.100000000000001" customHeight="1" x14ac:dyDescent="0.15">
      <c r="B27" s="678"/>
      <c r="C27" s="679"/>
      <c r="D27" s="440"/>
      <c r="E27" s="441"/>
      <c r="F27" s="441"/>
      <c r="G27" s="440"/>
      <c r="H27" s="441"/>
      <c r="I27" s="441"/>
      <c r="J27" s="440"/>
      <c r="K27" s="441"/>
      <c r="L27" s="441"/>
      <c r="M27" s="501"/>
      <c r="N27" s="441"/>
      <c r="O27" s="500"/>
      <c r="P27" s="497"/>
      <c r="Q27" s="441"/>
      <c r="R27" s="441"/>
      <c r="S27" s="440"/>
      <c r="T27" s="441"/>
      <c r="U27" s="441"/>
      <c r="V27" s="440"/>
      <c r="W27" s="441"/>
      <c r="X27" s="441"/>
      <c r="Y27" s="501"/>
      <c r="Z27" s="441"/>
      <c r="AA27" s="500"/>
      <c r="AB27" s="497"/>
      <c r="AC27" s="441"/>
      <c r="AD27" s="441"/>
      <c r="AE27" s="501"/>
      <c r="AF27" s="441"/>
      <c r="AG27" s="500"/>
      <c r="AH27" s="497"/>
      <c r="AI27" s="441"/>
      <c r="AJ27" s="441"/>
      <c r="AK27" s="501"/>
      <c r="AL27" s="441"/>
      <c r="AM27" s="500"/>
      <c r="AN27" s="478">
        <f t="shared" si="0"/>
        <v>0</v>
      </c>
    </row>
    <row r="28" spans="2:40" ht="20.100000000000001" customHeight="1" x14ac:dyDescent="0.15">
      <c r="B28" s="678"/>
      <c r="C28" s="679"/>
      <c r="D28" s="440"/>
      <c r="E28" s="441"/>
      <c r="F28" s="441"/>
      <c r="G28" s="440"/>
      <c r="H28" s="441"/>
      <c r="I28" s="441"/>
      <c r="J28" s="440"/>
      <c r="K28" s="441"/>
      <c r="L28" s="441"/>
      <c r="M28" s="501"/>
      <c r="N28" s="441"/>
      <c r="O28" s="500"/>
      <c r="P28" s="497"/>
      <c r="Q28" s="441"/>
      <c r="R28" s="441"/>
      <c r="S28" s="440"/>
      <c r="T28" s="441"/>
      <c r="U28" s="441"/>
      <c r="V28" s="440"/>
      <c r="W28" s="441"/>
      <c r="X28" s="441"/>
      <c r="Y28" s="440"/>
      <c r="Z28" s="441"/>
      <c r="AA28" s="441"/>
      <c r="AB28" s="440"/>
      <c r="AC28" s="441"/>
      <c r="AD28" s="441"/>
      <c r="AE28" s="501"/>
      <c r="AF28" s="441"/>
      <c r="AG28" s="500"/>
      <c r="AH28" s="497"/>
      <c r="AI28" s="441"/>
      <c r="AJ28" s="441"/>
      <c r="AK28" s="440"/>
      <c r="AL28" s="441"/>
      <c r="AM28" s="441"/>
      <c r="AN28" s="58">
        <f t="shared" si="0"/>
        <v>0</v>
      </c>
    </row>
    <row r="29" spans="2:40" ht="20.100000000000001" customHeight="1" x14ac:dyDescent="0.15">
      <c r="B29" s="678"/>
      <c r="C29" s="679"/>
      <c r="D29" s="440"/>
      <c r="E29" s="441"/>
      <c r="F29" s="441"/>
      <c r="G29" s="440"/>
      <c r="H29" s="441"/>
      <c r="I29" s="441"/>
      <c r="J29" s="440"/>
      <c r="K29" s="441"/>
      <c r="L29" s="441"/>
      <c r="M29" s="440"/>
      <c r="N29" s="441"/>
      <c r="O29" s="441"/>
      <c r="P29" s="440"/>
      <c r="Q29" s="441"/>
      <c r="R29" s="441"/>
      <c r="S29" s="440"/>
      <c r="T29" s="441"/>
      <c r="U29" s="441"/>
      <c r="V29" s="440"/>
      <c r="W29" s="441"/>
      <c r="X29" s="441"/>
      <c r="Y29" s="440"/>
      <c r="Z29" s="441"/>
      <c r="AA29" s="441"/>
      <c r="AB29" s="440"/>
      <c r="AC29" s="441"/>
      <c r="AD29" s="441"/>
      <c r="AE29" s="440"/>
      <c r="AF29" s="441"/>
      <c r="AG29" s="441"/>
      <c r="AH29" s="440"/>
      <c r="AI29" s="441"/>
      <c r="AJ29" s="441"/>
      <c r="AK29" s="440"/>
      <c r="AL29" s="441"/>
      <c r="AM29" s="441"/>
      <c r="AN29" s="58">
        <f t="shared" si="0"/>
        <v>0</v>
      </c>
    </row>
    <row r="30" spans="2:40" ht="20.100000000000001" customHeight="1" x14ac:dyDescent="0.15">
      <c r="B30" s="678"/>
      <c r="C30" s="679"/>
      <c r="D30" s="440"/>
      <c r="E30" s="441"/>
      <c r="F30" s="441"/>
      <c r="G30" s="440"/>
      <c r="H30" s="441"/>
      <c r="I30" s="441"/>
      <c r="J30" s="440"/>
      <c r="K30" s="441"/>
      <c r="L30" s="441"/>
      <c r="M30" s="440"/>
      <c r="N30" s="441"/>
      <c r="O30" s="441"/>
      <c r="P30" s="440"/>
      <c r="Q30" s="441"/>
      <c r="R30" s="441"/>
      <c r="S30" s="440"/>
      <c r="T30" s="441"/>
      <c r="U30" s="441"/>
      <c r="V30" s="440"/>
      <c r="W30" s="441"/>
      <c r="X30" s="441"/>
      <c r="Y30" s="440"/>
      <c r="Z30" s="441"/>
      <c r="AA30" s="441"/>
      <c r="AB30" s="440"/>
      <c r="AC30" s="441"/>
      <c r="AD30" s="441"/>
      <c r="AE30" s="440"/>
      <c r="AF30" s="441"/>
      <c r="AG30" s="441"/>
      <c r="AH30" s="440"/>
      <c r="AI30" s="441"/>
      <c r="AJ30" s="441"/>
      <c r="AK30" s="440"/>
      <c r="AL30" s="441"/>
      <c r="AM30" s="441"/>
      <c r="AN30" s="58">
        <f t="shared" si="0"/>
        <v>0</v>
      </c>
    </row>
    <row r="31" spans="2:40" ht="20.100000000000001" customHeight="1" x14ac:dyDescent="0.15">
      <c r="B31" s="678"/>
      <c r="C31" s="679"/>
      <c r="D31" s="440"/>
      <c r="E31" s="441"/>
      <c r="F31" s="441"/>
      <c r="G31" s="440"/>
      <c r="H31" s="441"/>
      <c r="I31" s="441"/>
      <c r="J31" s="440"/>
      <c r="K31" s="441"/>
      <c r="L31" s="441"/>
      <c r="M31" s="440"/>
      <c r="N31" s="441"/>
      <c r="O31" s="441"/>
      <c r="P31" s="440"/>
      <c r="Q31" s="441"/>
      <c r="R31" s="441"/>
      <c r="S31" s="440"/>
      <c r="T31" s="441"/>
      <c r="U31" s="441"/>
      <c r="V31" s="440"/>
      <c r="W31" s="441"/>
      <c r="X31" s="441"/>
      <c r="Y31" s="440"/>
      <c r="Z31" s="441"/>
      <c r="AA31" s="441"/>
      <c r="AB31" s="440"/>
      <c r="AC31" s="441"/>
      <c r="AD31" s="441"/>
      <c r="AE31" s="440"/>
      <c r="AF31" s="441"/>
      <c r="AG31" s="441"/>
      <c r="AH31" s="440"/>
      <c r="AI31" s="441"/>
      <c r="AJ31" s="441"/>
      <c r="AK31" s="440"/>
      <c r="AL31" s="441"/>
      <c r="AM31" s="441"/>
      <c r="AN31" s="58">
        <f t="shared" si="0"/>
        <v>0</v>
      </c>
    </row>
    <row r="32" spans="2:40" ht="20.100000000000001" customHeight="1" x14ac:dyDescent="0.15">
      <c r="B32" s="678"/>
      <c r="C32" s="679"/>
      <c r="D32" s="440"/>
      <c r="E32" s="441"/>
      <c r="F32" s="441"/>
      <c r="G32" s="440"/>
      <c r="H32" s="441"/>
      <c r="I32" s="441"/>
      <c r="J32" s="440"/>
      <c r="K32" s="441"/>
      <c r="L32" s="441"/>
      <c r="M32" s="440"/>
      <c r="N32" s="441"/>
      <c r="O32" s="441"/>
      <c r="P32" s="440"/>
      <c r="Q32" s="441"/>
      <c r="R32" s="441"/>
      <c r="S32" s="440"/>
      <c r="T32" s="441"/>
      <c r="U32" s="441"/>
      <c r="V32" s="440"/>
      <c r="W32" s="441"/>
      <c r="X32" s="441"/>
      <c r="Y32" s="440"/>
      <c r="Z32" s="441"/>
      <c r="AA32" s="441"/>
      <c r="AB32" s="440"/>
      <c r="AC32" s="441"/>
      <c r="AD32" s="441"/>
      <c r="AE32" s="440"/>
      <c r="AF32" s="441"/>
      <c r="AG32" s="441"/>
      <c r="AH32" s="440"/>
      <c r="AI32" s="441"/>
      <c r="AJ32" s="441"/>
      <c r="AK32" s="440"/>
      <c r="AL32" s="441"/>
      <c r="AM32" s="441"/>
      <c r="AN32" s="58">
        <f t="shared" si="0"/>
        <v>0</v>
      </c>
    </row>
    <row r="33" spans="2:40" ht="20.100000000000001" customHeight="1" x14ac:dyDescent="0.15">
      <c r="B33" s="678"/>
      <c r="C33" s="679"/>
      <c r="D33" s="440"/>
      <c r="E33" s="441"/>
      <c r="F33" s="441"/>
      <c r="G33" s="440"/>
      <c r="H33" s="441"/>
      <c r="I33" s="441"/>
      <c r="J33" s="440"/>
      <c r="K33" s="441"/>
      <c r="L33" s="441"/>
      <c r="M33" s="440"/>
      <c r="N33" s="441"/>
      <c r="O33" s="441"/>
      <c r="P33" s="440"/>
      <c r="Q33" s="441"/>
      <c r="R33" s="441"/>
      <c r="S33" s="440"/>
      <c r="T33" s="441"/>
      <c r="U33" s="441"/>
      <c r="V33" s="440"/>
      <c r="W33" s="441"/>
      <c r="X33" s="441"/>
      <c r="Y33" s="440"/>
      <c r="Z33" s="441"/>
      <c r="AA33" s="441"/>
      <c r="AB33" s="440"/>
      <c r="AC33" s="441"/>
      <c r="AD33" s="441"/>
      <c r="AE33" s="440"/>
      <c r="AF33" s="441"/>
      <c r="AG33" s="441"/>
      <c r="AH33" s="440"/>
      <c r="AI33" s="441"/>
      <c r="AJ33" s="441"/>
      <c r="AK33" s="440"/>
      <c r="AL33" s="441"/>
      <c r="AM33" s="441"/>
      <c r="AN33" s="58">
        <f t="shared" si="0"/>
        <v>0</v>
      </c>
    </row>
    <row r="34" spans="2:40" ht="20.100000000000001" customHeight="1" x14ac:dyDescent="0.15">
      <c r="B34" s="678"/>
      <c r="C34" s="679"/>
      <c r="D34" s="440"/>
      <c r="E34" s="441"/>
      <c r="F34" s="441"/>
      <c r="G34" s="440"/>
      <c r="H34" s="441"/>
      <c r="I34" s="441"/>
      <c r="J34" s="440"/>
      <c r="K34" s="441"/>
      <c r="L34" s="441"/>
      <c r="M34" s="440"/>
      <c r="N34" s="441"/>
      <c r="O34" s="441"/>
      <c r="P34" s="440"/>
      <c r="Q34" s="441"/>
      <c r="R34" s="441"/>
      <c r="S34" s="440"/>
      <c r="T34" s="441"/>
      <c r="U34" s="441"/>
      <c r="V34" s="440"/>
      <c r="W34" s="441"/>
      <c r="X34" s="441"/>
      <c r="Y34" s="440"/>
      <c r="Z34" s="441"/>
      <c r="AA34" s="441"/>
      <c r="AB34" s="440"/>
      <c r="AC34" s="441"/>
      <c r="AD34" s="441"/>
      <c r="AE34" s="440"/>
      <c r="AF34" s="441"/>
      <c r="AG34" s="441"/>
      <c r="AH34" s="440"/>
      <c r="AI34" s="441"/>
      <c r="AJ34" s="441"/>
      <c r="AK34" s="440"/>
      <c r="AL34" s="441"/>
      <c r="AM34" s="441"/>
      <c r="AN34" s="58">
        <f t="shared" si="0"/>
        <v>0</v>
      </c>
    </row>
    <row r="35" spans="2:40" ht="20.100000000000001" customHeight="1" x14ac:dyDescent="0.15">
      <c r="B35" s="678"/>
      <c r="C35" s="679"/>
      <c r="D35" s="56"/>
      <c r="E35" s="57"/>
      <c r="F35" s="57"/>
      <c r="G35" s="56"/>
      <c r="H35" s="57"/>
      <c r="I35" s="57"/>
      <c r="J35" s="56"/>
      <c r="K35" s="57"/>
      <c r="L35" s="57"/>
      <c r="M35" s="56"/>
      <c r="N35" s="57"/>
      <c r="O35" s="57"/>
      <c r="P35" s="56"/>
      <c r="Q35" s="57"/>
      <c r="R35" s="57"/>
      <c r="S35" s="56"/>
      <c r="T35" s="57"/>
      <c r="U35" s="57"/>
      <c r="V35" s="56"/>
      <c r="W35" s="57"/>
      <c r="X35" s="57"/>
      <c r="Y35" s="56"/>
      <c r="Z35" s="57"/>
      <c r="AA35" s="57"/>
      <c r="AB35" s="56"/>
      <c r="AC35" s="57"/>
      <c r="AD35" s="57"/>
      <c r="AE35" s="56"/>
      <c r="AF35" s="57"/>
      <c r="AG35" s="57"/>
      <c r="AH35" s="56"/>
      <c r="AI35" s="57"/>
      <c r="AJ35" s="57"/>
      <c r="AK35" s="56"/>
      <c r="AL35" s="57"/>
      <c r="AM35" s="57"/>
      <c r="AN35" s="58">
        <f t="shared" si="0"/>
        <v>0</v>
      </c>
    </row>
    <row r="36" spans="2:40" ht="20.100000000000001" customHeight="1" x14ac:dyDescent="0.15">
      <c r="B36" s="678"/>
      <c r="C36" s="679"/>
      <c r="D36" s="56"/>
      <c r="E36" s="57"/>
      <c r="F36" s="57"/>
      <c r="G36" s="56"/>
      <c r="H36" s="57"/>
      <c r="I36" s="57"/>
      <c r="J36" s="56"/>
      <c r="K36" s="57"/>
      <c r="L36" s="57"/>
      <c r="M36" s="56"/>
      <c r="N36" s="57"/>
      <c r="O36" s="57"/>
      <c r="P36" s="56"/>
      <c r="Q36" s="57"/>
      <c r="R36" s="57"/>
      <c r="S36" s="56"/>
      <c r="T36" s="57"/>
      <c r="U36" s="57"/>
      <c r="V36" s="56"/>
      <c r="W36" s="57"/>
      <c r="X36" s="57"/>
      <c r="Y36" s="56"/>
      <c r="Z36" s="57"/>
      <c r="AA36" s="57"/>
      <c r="AB36" s="56"/>
      <c r="AC36" s="57"/>
      <c r="AD36" s="57"/>
      <c r="AE36" s="56"/>
      <c r="AF36" s="57"/>
      <c r="AG36" s="57"/>
      <c r="AH36" s="56"/>
      <c r="AI36" s="57"/>
      <c r="AJ36" s="57"/>
      <c r="AK36" s="56"/>
      <c r="AL36" s="57"/>
      <c r="AM36" s="57"/>
      <c r="AN36" s="58">
        <f t="shared" si="0"/>
        <v>0</v>
      </c>
    </row>
    <row r="37" spans="2:40" ht="20.100000000000001" customHeight="1" x14ac:dyDescent="0.15">
      <c r="B37" s="680" t="s">
        <v>98</v>
      </c>
      <c r="C37" s="681"/>
      <c r="D37" s="56">
        <f t="shared" ref="D37:AM37" si="1">SUM(D12:D36)</f>
        <v>17</v>
      </c>
      <c r="E37" s="59">
        <f t="shared" si="1"/>
        <v>5</v>
      </c>
      <c r="F37" s="60">
        <f t="shared" si="1"/>
        <v>5</v>
      </c>
      <c r="G37" s="56">
        <f t="shared" si="1"/>
        <v>13</v>
      </c>
      <c r="H37" s="59">
        <f t="shared" si="1"/>
        <v>38</v>
      </c>
      <c r="I37" s="60">
        <f t="shared" si="1"/>
        <v>31</v>
      </c>
      <c r="J37" s="56">
        <f t="shared" si="1"/>
        <v>55</v>
      </c>
      <c r="K37" s="59">
        <f t="shared" si="1"/>
        <v>36</v>
      </c>
      <c r="L37" s="60">
        <f t="shared" si="1"/>
        <v>70</v>
      </c>
      <c r="M37" s="56">
        <f t="shared" si="1"/>
        <v>68</v>
      </c>
      <c r="N37" s="59">
        <f t="shared" si="1"/>
        <v>44</v>
      </c>
      <c r="O37" s="60">
        <f t="shared" si="1"/>
        <v>34</v>
      </c>
      <c r="P37" s="56">
        <f t="shared" si="1"/>
        <v>61</v>
      </c>
      <c r="Q37" s="59">
        <f t="shared" si="1"/>
        <v>42</v>
      </c>
      <c r="R37" s="60">
        <f t="shared" si="1"/>
        <v>57</v>
      </c>
      <c r="S37" s="56">
        <f t="shared" si="1"/>
        <v>29</v>
      </c>
      <c r="T37" s="59">
        <f t="shared" si="1"/>
        <v>23</v>
      </c>
      <c r="U37" s="60">
        <f t="shared" si="1"/>
        <v>8</v>
      </c>
      <c r="V37" s="56">
        <f t="shared" si="1"/>
        <v>3</v>
      </c>
      <c r="W37" s="59">
        <f t="shared" si="1"/>
        <v>5</v>
      </c>
      <c r="X37" s="60">
        <f t="shared" si="1"/>
        <v>5</v>
      </c>
      <c r="Y37" s="56">
        <f t="shared" si="1"/>
        <v>9</v>
      </c>
      <c r="Z37" s="59">
        <f t="shared" si="1"/>
        <v>12</v>
      </c>
      <c r="AA37" s="60">
        <f t="shared" si="1"/>
        <v>16</v>
      </c>
      <c r="AB37" s="56">
        <f t="shared" si="1"/>
        <v>27</v>
      </c>
      <c r="AC37" s="59">
        <f t="shared" si="1"/>
        <v>21</v>
      </c>
      <c r="AD37" s="60">
        <f t="shared" si="1"/>
        <v>27</v>
      </c>
      <c r="AE37" s="56">
        <f t="shared" si="1"/>
        <v>33</v>
      </c>
      <c r="AF37" s="59">
        <f t="shared" si="1"/>
        <v>48</v>
      </c>
      <c r="AG37" s="60">
        <f t="shared" si="1"/>
        <v>32</v>
      </c>
      <c r="AH37" s="56">
        <f t="shared" si="1"/>
        <v>33</v>
      </c>
      <c r="AI37" s="59">
        <f t="shared" si="1"/>
        <v>76</v>
      </c>
      <c r="AJ37" s="60">
        <f t="shared" si="1"/>
        <v>49</v>
      </c>
      <c r="AK37" s="56">
        <f t="shared" si="1"/>
        <v>35</v>
      </c>
      <c r="AL37" s="59">
        <f t="shared" si="1"/>
        <v>30</v>
      </c>
      <c r="AM37" s="60">
        <f t="shared" si="1"/>
        <v>28.5</v>
      </c>
      <c r="AN37" s="58">
        <f t="shared" si="0"/>
        <v>1125.5</v>
      </c>
    </row>
    <row r="38" spans="2:40" ht="20.100000000000001" customHeight="1" thickBot="1" x14ac:dyDescent="0.2">
      <c r="B38" s="673" t="s">
        <v>99</v>
      </c>
      <c r="C38" s="674"/>
      <c r="D38" s="61"/>
      <c r="E38" s="62">
        <f>SUM(D37:F37)</f>
        <v>27</v>
      </c>
      <c r="F38" s="62"/>
      <c r="G38" s="61"/>
      <c r="H38" s="62">
        <f>SUM(G37:I37)</f>
        <v>82</v>
      </c>
      <c r="I38" s="62"/>
      <c r="J38" s="61"/>
      <c r="K38" s="62">
        <f>SUM(J37:L37)</f>
        <v>161</v>
      </c>
      <c r="L38" s="62"/>
      <c r="M38" s="61"/>
      <c r="N38" s="62">
        <f>SUM(M37:O37)</f>
        <v>146</v>
      </c>
      <c r="O38" s="62"/>
      <c r="P38" s="61"/>
      <c r="Q38" s="62">
        <f>SUM(P37:R37)</f>
        <v>160</v>
      </c>
      <c r="R38" s="62"/>
      <c r="S38" s="61"/>
      <c r="T38" s="62">
        <f>SUM(S37:U37)</f>
        <v>60</v>
      </c>
      <c r="U38" s="62"/>
      <c r="V38" s="61"/>
      <c r="W38" s="62">
        <f>SUM(V37:X37)</f>
        <v>13</v>
      </c>
      <c r="X38" s="62"/>
      <c r="Y38" s="61"/>
      <c r="Z38" s="62">
        <f>SUM(Y37:AA37)</f>
        <v>37</v>
      </c>
      <c r="AA38" s="62"/>
      <c r="AB38" s="61"/>
      <c r="AC38" s="62">
        <f>SUM(AB37:AD37)</f>
        <v>75</v>
      </c>
      <c r="AD38" s="62"/>
      <c r="AE38" s="61"/>
      <c r="AF38" s="62">
        <f>SUM(AE37:AG37)</f>
        <v>113</v>
      </c>
      <c r="AG38" s="62"/>
      <c r="AH38" s="61"/>
      <c r="AI38" s="62">
        <f>SUM(AH37:AJ37)</f>
        <v>158</v>
      </c>
      <c r="AJ38" s="62"/>
      <c r="AK38" s="61"/>
      <c r="AL38" s="62">
        <f>SUM(AK37:AM37)</f>
        <v>93.5</v>
      </c>
      <c r="AM38" s="62"/>
      <c r="AN38" s="63">
        <f>SUM(AN12:AN36)</f>
        <v>1125.5</v>
      </c>
    </row>
    <row r="39" spans="2:40" ht="9.9499999999999993" customHeight="1" x14ac:dyDescent="0.15"/>
    <row r="40" spans="2:40" ht="24.95" customHeight="1" x14ac:dyDescent="0.15">
      <c r="B40" s="2" t="s">
        <v>194</v>
      </c>
    </row>
    <row r="41" spans="2:40" ht="9.9499999999999993" customHeight="1" thickBot="1" x14ac:dyDescent="0.2"/>
    <row r="42" spans="2:40" ht="20.100000000000001" customHeight="1" thickBot="1" x14ac:dyDescent="0.2">
      <c r="B42" s="1" t="s">
        <v>191</v>
      </c>
      <c r="C42" s="240">
        <v>50</v>
      </c>
      <c r="D42" s="1" t="s">
        <v>192</v>
      </c>
    </row>
    <row r="43" spans="2:40" ht="9.9499999999999993" customHeight="1" thickBot="1" x14ac:dyDescent="0.2"/>
    <row r="44" spans="2:40" ht="20.100000000000001" customHeight="1" x14ac:dyDescent="0.15">
      <c r="B44" s="675" t="s">
        <v>96</v>
      </c>
      <c r="C44" s="676"/>
      <c r="D44" s="661">
        <v>1</v>
      </c>
      <c r="E44" s="662"/>
      <c r="F44" s="663"/>
      <c r="G44" s="661">
        <v>2</v>
      </c>
      <c r="H44" s="662"/>
      <c r="I44" s="663"/>
      <c r="J44" s="661">
        <v>3</v>
      </c>
      <c r="K44" s="662"/>
      <c r="L44" s="663"/>
      <c r="M44" s="661">
        <v>4</v>
      </c>
      <c r="N44" s="662"/>
      <c r="O44" s="663"/>
      <c r="P44" s="661">
        <v>5</v>
      </c>
      <c r="Q44" s="662"/>
      <c r="R44" s="663"/>
      <c r="S44" s="661">
        <v>6</v>
      </c>
      <c r="T44" s="662"/>
      <c r="U44" s="663"/>
      <c r="V44" s="661">
        <v>7</v>
      </c>
      <c r="W44" s="662"/>
      <c r="X44" s="663"/>
      <c r="Y44" s="661">
        <v>8</v>
      </c>
      <c r="Z44" s="662"/>
      <c r="AA44" s="663"/>
      <c r="AB44" s="661">
        <v>9</v>
      </c>
      <c r="AC44" s="662"/>
      <c r="AD44" s="663"/>
      <c r="AE44" s="661">
        <v>10</v>
      </c>
      <c r="AF44" s="662"/>
      <c r="AG44" s="663"/>
      <c r="AH44" s="661">
        <v>11</v>
      </c>
      <c r="AI44" s="662"/>
      <c r="AJ44" s="663"/>
      <c r="AK44" s="661">
        <v>12</v>
      </c>
      <c r="AL44" s="662"/>
      <c r="AM44" s="663"/>
      <c r="AN44" s="664" t="s">
        <v>29</v>
      </c>
    </row>
    <row r="45" spans="2:40" ht="20.100000000000001" customHeight="1" x14ac:dyDescent="0.15">
      <c r="B45" s="677"/>
      <c r="C45" s="667"/>
      <c r="D45" s="50" t="s">
        <v>30</v>
      </c>
      <c r="E45" s="51" t="s">
        <v>31</v>
      </c>
      <c r="F45" s="52" t="s">
        <v>32</v>
      </c>
      <c r="G45" s="50" t="s">
        <v>30</v>
      </c>
      <c r="H45" s="52" t="s">
        <v>31</v>
      </c>
      <c r="I45" s="52" t="s">
        <v>32</v>
      </c>
      <c r="J45" s="50" t="s">
        <v>30</v>
      </c>
      <c r="K45" s="52" t="s">
        <v>31</v>
      </c>
      <c r="L45" s="52" t="s">
        <v>32</v>
      </c>
      <c r="M45" s="50" t="s">
        <v>30</v>
      </c>
      <c r="N45" s="52" t="s">
        <v>31</v>
      </c>
      <c r="O45" s="52" t="s">
        <v>32</v>
      </c>
      <c r="P45" s="50" t="s">
        <v>30</v>
      </c>
      <c r="Q45" s="52" t="s">
        <v>31</v>
      </c>
      <c r="R45" s="52" t="s">
        <v>32</v>
      </c>
      <c r="S45" s="50" t="s">
        <v>30</v>
      </c>
      <c r="T45" s="53" t="s">
        <v>31</v>
      </c>
      <c r="U45" s="53" t="s">
        <v>32</v>
      </c>
      <c r="V45" s="50" t="s">
        <v>30</v>
      </c>
      <c r="W45" s="52" t="s">
        <v>31</v>
      </c>
      <c r="X45" s="52" t="s">
        <v>32</v>
      </c>
      <c r="Y45" s="50" t="s">
        <v>30</v>
      </c>
      <c r="Z45" s="52" t="s">
        <v>31</v>
      </c>
      <c r="AA45" s="52" t="s">
        <v>32</v>
      </c>
      <c r="AB45" s="50" t="s">
        <v>30</v>
      </c>
      <c r="AC45" s="52" t="s">
        <v>31</v>
      </c>
      <c r="AD45" s="52" t="s">
        <v>32</v>
      </c>
      <c r="AE45" s="50" t="s">
        <v>30</v>
      </c>
      <c r="AF45" s="52" t="s">
        <v>31</v>
      </c>
      <c r="AG45" s="52" t="s">
        <v>32</v>
      </c>
      <c r="AH45" s="50" t="s">
        <v>30</v>
      </c>
      <c r="AI45" s="52" t="s">
        <v>31</v>
      </c>
      <c r="AJ45" s="52" t="s">
        <v>32</v>
      </c>
      <c r="AK45" s="50" t="s">
        <v>30</v>
      </c>
      <c r="AL45" s="52" t="s">
        <v>31</v>
      </c>
      <c r="AM45" s="52" t="s">
        <v>32</v>
      </c>
      <c r="AN45" s="665"/>
    </row>
    <row r="46" spans="2:40" ht="20.100000000000001" customHeight="1" x14ac:dyDescent="0.15">
      <c r="B46" s="666" t="s">
        <v>197</v>
      </c>
      <c r="C46" s="667"/>
      <c r="D46" s="56">
        <f>D37*$C$42/10</f>
        <v>85</v>
      </c>
      <c r="E46" s="59">
        <f t="shared" ref="E46:AM46" si="2">E37*$C$42/10</f>
        <v>25</v>
      </c>
      <c r="F46" s="60">
        <f t="shared" si="2"/>
        <v>25</v>
      </c>
      <c r="G46" s="56">
        <f t="shared" si="2"/>
        <v>65</v>
      </c>
      <c r="H46" s="59">
        <f t="shared" si="2"/>
        <v>190</v>
      </c>
      <c r="I46" s="60">
        <f t="shared" si="2"/>
        <v>155</v>
      </c>
      <c r="J46" s="56">
        <f t="shared" si="2"/>
        <v>275</v>
      </c>
      <c r="K46" s="59">
        <f t="shared" si="2"/>
        <v>180</v>
      </c>
      <c r="L46" s="60">
        <f t="shared" si="2"/>
        <v>350</v>
      </c>
      <c r="M46" s="56">
        <f t="shared" si="2"/>
        <v>340</v>
      </c>
      <c r="N46" s="59">
        <f t="shared" si="2"/>
        <v>220</v>
      </c>
      <c r="O46" s="60">
        <f t="shared" si="2"/>
        <v>170</v>
      </c>
      <c r="P46" s="56">
        <f t="shared" si="2"/>
        <v>305</v>
      </c>
      <c r="Q46" s="59">
        <f t="shared" si="2"/>
        <v>210</v>
      </c>
      <c r="R46" s="60">
        <f t="shared" si="2"/>
        <v>285</v>
      </c>
      <c r="S46" s="56">
        <f t="shared" si="2"/>
        <v>145</v>
      </c>
      <c r="T46" s="59">
        <f t="shared" si="2"/>
        <v>115</v>
      </c>
      <c r="U46" s="60">
        <f t="shared" si="2"/>
        <v>40</v>
      </c>
      <c r="V46" s="56">
        <f t="shared" si="2"/>
        <v>15</v>
      </c>
      <c r="W46" s="59">
        <f t="shared" si="2"/>
        <v>25</v>
      </c>
      <c r="X46" s="60">
        <f t="shared" si="2"/>
        <v>25</v>
      </c>
      <c r="Y46" s="56">
        <f t="shared" si="2"/>
        <v>45</v>
      </c>
      <c r="Z46" s="59">
        <f t="shared" si="2"/>
        <v>60</v>
      </c>
      <c r="AA46" s="60">
        <f t="shared" si="2"/>
        <v>80</v>
      </c>
      <c r="AB46" s="56">
        <f t="shared" si="2"/>
        <v>135</v>
      </c>
      <c r="AC46" s="59">
        <f t="shared" si="2"/>
        <v>105</v>
      </c>
      <c r="AD46" s="60">
        <f t="shared" si="2"/>
        <v>135</v>
      </c>
      <c r="AE46" s="56">
        <f t="shared" si="2"/>
        <v>165</v>
      </c>
      <c r="AF46" s="59">
        <f t="shared" si="2"/>
        <v>240</v>
      </c>
      <c r="AG46" s="60">
        <f t="shared" si="2"/>
        <v>160</v>
      </c>
      <c r="AH46" s="56">
        <f t="shared" si="2"/>
        <v>165</v>
      </c>
      <c r="AI46" s="59">
        <f t="shared" si="2"/>
        <v>380</v>
      </c>
      <c r="AJ46" s="60">
        <f t="shared" si="2"/>
        <v>245</v>
      </c>
      <c r="AK46" s="56">
        <f t="shared" si="2"/>
        <v>175</v>
      </c>
      <c r="AL46" s="59">
        <f t="shared" si="2"/>
        <v>150</v>
      </c>
      <c r="AM46" s="60">
        <f t="shared" si="2"/>
        <v>142.5</v>
      </c>
      <c r="AN46" s="58">
        <f t="shared" ref="AN46:AN48" si="3">SUM(D46:AM46)</f>
        <v>5627.5</v>
      </c>
    </row>
    <row r="47" spans="2:40" ht="20.100000000000001" customHeight="1" thickBot="1" x14ac:dyDescent="0.2">
      <c r="B47" s="668" t="s">
        <v>99</v>
      </c>
      <c r="C47" s="669"/>
      <c r="D47" s="243"/>
      <c r="E47" s="239">
        <f>SUM(D46:F46)</f>
        <v>135</v>
      </c>
      <c r="F47" s="239"/>
      <c r="G47" s="243"/>
      <c r="H47" s="239">
        <f>SUM(G46:I46)</f>
        <v>410</v>
      </c>
      <c r="I47" s="239"/>
      <c r="J47" s="243"/>
      <c r="K47" s="239">
        <f>SUM(J46:L46)</f>
        <v>805</v>
      </c>
      <c r="L47" s="239"/>
      <c r="M47" s="243"/>
      <c r="N47" s="239">
        <f>SUM(M46:O46)</f>
        <v>730</v>
      </c>
      <c r="O47" s="239"/>
      <c r="P47" s="243"/>
      <c r="Q47" s="239">
        <f>SUM(P46:R46)</f>
        <v>800</v>
      </c>
      <c r="R47" s="239"/>
      <c r="S47" s="243"/>
      <c r="T47" s="239">
        <f>SUM(S46:U46)</f>
        <v>300</v>
      </c>
      <c r="U47" s="239"/>
      <c r="V47" s="243"/>
      <c r="W47" s="239">
        <f>SUM(V46:X46)</f>
        <v>65</v>
      </c>
      <c r="X47" s="239"/>
      <c r="Y47" s="243"/>
      <c r="Z47" s="239">
        <f>SUM(Y46:AA46)</f>
        <v>185</v>
      </c>
      <c r="AA47" s="239"/>
      <c r="AB47" s="243"/>
      <c r="AC47" s="239">
        <f>SUM(AB46:AD46)</f>
        <v>375</v>
      </c>
      <c r="AD47" s="239"/>
      <c r="AE47" s="243"/>
      <c r="AF47" s="239">
        <f>SUM(AE46:AG46)</f>
        <v>565</v>
      </c>
      <c r="AG47" s="239"/>
      <c r="AH47" s="243"/>
      <c r="AI47" s="239">
        <f>SUM(AH46:AJ46)</f>
        <v>790</v>
      </c>
      <c r="AJ47" s="239"/>
      <c r="AK47" s="243"/>
      <c r="AL47" s="239">
        <f>SUM(AK46:AM46)</f>
        <v>467.5</v>
      </c>
      <c r="AM47" s="239"/>
      <c r="AN47" s="244">
        <f t="shared" si="3"/>
        <v>5627.5</v>
      </c>
    </row>
    <row r="48" spans="2:40" ht="20.100000000000001" customHeight="1" thickTop="1" x14ac:dyDescent="0.15">
      <c r="B48" s="670" t="s">
        <v>195</v>
      </c>
      <c r="C48" s="245" t="s">
        <v>412</v>
      </c>
      <c r="D48" s="443">
        <v>60</v>
      </c>
      <c r="E48" s="444">
        <v>60</v>
      </c>
      <c r="F48" s="458">
        <v>60</v>
      </c>
      <c r="G48" s="443">
        <v>60</v>
      </c>
      <c r="H48" s="444">
        <v>60</v>
      </c>
      <c r="I48" s="469">
        <v>60</v>
      </c>
      <c r="J48" s="462">
        <v>60</v>
      </c>
      <c r="K48" s="444">
        <v>60</v>
      </c>
      <c r="L48" s="458">
        <v>60</v>
      </c>
      <c r="M48" s="443">
        <v>60</v>
      </c>
      <c r="N48" s="444">
        <v>60</v>
      </c>
      <c r="O48" s="469">
        <v>60</v>
      </c>
      <c r="P48" s="462">
        <v>60</v>
      </c>
      <c r="Q48" s="444">
        <v>60</v>
      </c>
      <c r="R48" s="458">
        <v>60</v>
      </c>
      <c r="S48" s="443">
        <v>60</v>
      </c>
      <c r="T48" s="444">
        <v>60</v>
      </c>
      <c r="U48" s="469">
        <v>60</v>
      </c>
      <c r="V48" s="462">
        <v>60</v>
      </c>
      <c r="W48" s="444">
        <v>60</v>
      </c>
      <c r="X48" s="458">
        <v>60</v>
      </c>
      <c r="Y48" s="443">
        <v>60</v>
      </c>
      <c r="Z48" s="444">
        <v>60</v>
      </c>
      <c r="AA48" s="469">
        <v>60</v>
      </c>
      <c r="AB48" s="462">
        <v>60</v>
      </c>
      <c r="AC48" s="444">
        <v>60</v>
      </c>
      <c r="AD48" s="458">
        <v>60</v>
      </c>
      <c r="AE48" s="443">
        <v>60</v>
      </c>
      <c r="AF48" s="444">
        <v>60</v>
      </c>
      <c r="AG48" s="469">
        <v>60</v>
      </c>
      <c r="AH48" s="462">
        <v>60</v>
      </c>
      <c r="AI48" s="444">
        <v>60</v>
      </c>
      <c r="AJ48" s="458">
        <v>60</v>
      </c>
      <c r="AK48" s="443">
        <v>60</v>
      </c>
      <c r="AL48" s="444">
        <v>60</v>
      </c>
      <c r="AM48" s="469">
        <v>60</v>
      </c>
      <c r="AN48" s="476">
        <f t="shared" si="3"/>
        <v>2160</v>
      </c>
    </row>
    <row r="49" spans="2:40" ht="20.100000000000001" customHeight="1" x14ac:dyDescent="0.15">
      <c r="B49" s="671"/>
      <c r="C49" s="241" t="s">
        <v>413</v>
      </c>
      <c r="D49" s="445">
        <v>60</v>
      </c>
      <c r="E49" s="446">
        <v>60</v>
      </c>
      <c r="F49" s="459">
        <v>60</v>
      </c>
      <c r="G49" s="445">
        <v>60</v>
      </c>
      <c r="H49" s="446">
        <v>60</v>
      </c>
      <c r="I49" s="470">
        <v>60</v>
      </c>
      <c r="J49" s="463">
        <v>60</v>
      </c>
      <c r="K49" s="446">
        <v>60</v>
      </c>
      <c r="L49" s="459">
        <v>60</v>
      </c>
      <c r="M49" s="445">
        <v>60</v>
      </c>
      <c r="N49" s="446">
        <v>60</v>
      </c>
      <c r="O49" s="470">
        <v>60</v>
      </c>
      <c r="P49" s="463">
        <v>60</v>
      </c>
      <c r="Q49" s="446">
        <v>60</v>
      </c>
      <c r="R49" s="459">
        <v>60</v>
      </c>
      <c r="S49" s="445">
        <v>60</v>
      </c>
      <c r="T49" s="446">
        <v>60</v>
      </c>
      <c r="U49" s="470">
        <v>60</v>
      </c>
      <c r="V49" s="463">
        <v>60</v>
      </c>
      <c r="W49" s="446">
        <v>60</v>
      </c>
      <c r="X49" s="459">
        <v>60</v>
      </c>
      <c r="Y49" s="445">
        <v>60</v>
      </c>
      <c r="Z49" s="446">
        <v>60</v>
      </c>
      <c r="AA49" s="470">
        <v>60</v>
      </c>
      <c r="AB49" s="463">
        <v>60</v>
      </c>
      <c r="AC49" s="446">
        <v>60</v>
      </c>
      <c r="AD49" s="459">
        <v>60</v>
      </c>
      <c r="AE49" s="445">
        <v>60</v>
      </c>
      <c r="AF49" s="446">
        <v>60</v>
      </c>
      <c r="AG49" s="470">
        <v>60</v>
      </c>
      <c r="AH49" s="463">
        <v>60</v>
      </c>
      <c r="AI49" s="446">
        <v>60</v>
      </c>
      <c r="AJ49" s="459">
        <v>60</v>
      </c>
      <c r="AK49" s="445">
        <v>60</v>
      </c>
      <c r="AL49" s="446">
        <v>60</v>
      </c>
      <c r="AM49" s="470">
        <v>60</v>
      </c>
      <c r="AN49" s="477">
        <f t="shared" ref="AN49" si="4">SUM(D49:AM49)</f>
        <v>2160</v>
      </c>
    </row>
    <row r="50" spans="2:40" ht="20.100000000000001" customHeight="1" x14ac:dyDescent="0.15">
      <c r="B50" s="671"/>
      <c r="C50" s="241"/>
      <c r="D50" s="447"/>
      <c r="E50" s="448"/>
      <c r="F50" s="460"/>
      <c r="G50" s="447"/>
      <c r="H50" s="448"/>
      <c r="I50" s="471"/>
      <c r="J50" s="464"/>
      <c r="K50" s="448"/>
      <c r="L50" s="460"/>
      <c r="M50" s="447"/>
      <c r="N50" s="448"/>
      <c r="O50" s="471"/>
      <c r="P50" s="464"/>
      <c r="Q50" s="448"/>
      <c r="R50" s="460"/>
      <c r="S50" s="447"/>
      <c r="T50" s="448"/>
      <c r="U50" s="471"/>
      <c r="V50" s="464"/>
      <c r="W50" s="448"/>
      <c r="X50" s="460"/>
      <c r="Y50" s="447"/>
      <c r="Z50" s="448"/>
      <c r="AA50" s="471"/>
      <c r="AB50" s="464"/>
      <c r="AC50" s="448"/>
      <c r="AD50" s="460"/>
      <c r="AE50" s="447"/>
      <c r="AF50" s="448"/>
      <c r="AG50" s="471"/>
      <c r="AH50" s="464"/>
      <c r="AI50" s="448"/>
      <c r="AJ50" s="460"/>
      <c r="AK50" s="447"/>
      <c r="AL50" s="448"/>
      <c r="AM50" s="471"/>
      <c r="AN50" s="478"/>
    </row>
    <row r="51" spans="2:40" ht="20.100000000000001" customHeight="1" x14ac:dyDescent="0.15">
      <c r="B51" s="671"/>
      <c r="C51" s="242"/>
      <c r="D51" s="449"/>
      <c r="E51" s="450"/>
      <c r="F51" s="57"/>
      <c r="G51" s="449"/>
      <c r="H51" s="450"/>
      <c r="I51" s="472"/>
      <c r="J51" s="465"/>
      <c r="K51" s="450"/>
      <c r="L51" s="57"/>
      <c r="M51" s="449"/>
      <c r="N51" s="450"/>
      <c r="O51" s="472"/>
      <c r="P51" s="465"/>
      <c r="Q51" s="450"/>
      <c r="R51" s="57"/>
      <c r="S51" s="449"/>
      <c r="T51" s="450"/>
      <c r="U51" s="472"/>
      <c r="V51" s="465"/>
      <c r="W51" s="450"/>
      <c r="X51" s="57"/>
      <c r="Y51" s="449"/>
      <c r="Z51" s="450"/>
      <c r="AA51" s="472"/>
      <c r="AB51" s="465"/>
      <c r="AC51" s="450"/>
      <c r="AD51" s="57"/>
      <c r="AE51" s="449"/>
      <c r="AF51" s="450"/>
      <c r="AG51" s="472"/>
      <c r="AH51" s="465"/>
      <c r="AI51" s="450"/>
      <c r="AJ51" s="57"/>
      <c r="AK51" s="449"/>
      <c r="AL51" s="450"/>
      <c r="AM51" s="472"/>
      <c r="AN51" s="478">
        <f t="shared" ref="AN51:AN52" si="5">SUM(D51:AM51)</f>
        <v>0</v>
      </c>
    </row>
    <row r="52" spans="2:40" ht="20.100000000000001" customHeight="1" thickBot="1" x14ac:dyDescent="0.2">
      <c r="B52" s="672"/>
      <c r="C52" s="247" t="s">
        <v>198</v>
      </c>
      <c r="D52" s="451">
        <f>SUM(D48:D51)</f>
        <v>120</v>
      </c>
      <c r="E52" s="452">
        <f t="shared" ref="E52:AM52" si="6">SUM(E48:E51)</f>
        <v>120</v>
      </c>
      <c r="F52" s="246">
        <f t="shared" si="6"/>
        <v>120</v>
      </c>
      <c r="G52" s="451">
        <f t="shared" si="6"/>
        <v>120</v>
      </c>
      <c r="H52" s="452">
        <f t="shared" si="6"/>
        <v>120</v>
      </c>
      <c r="I52" s="473">
        <f t="shared" si="6"/>
        <v>120</v>
      </c>
      <c r="J52" s="466">
        <f t="shared" si="6"/>
        <v>120</v>
      </c>
      <c r="K52" s="452">
        <f t="shared" si="6"/>
        <v>120</v>
      </c>
      <c r="L52" s="246">
        <f t="shared" si="6"/>
        <v>120</v>
      </c>
      <c r="M52" s="451">
        <f t="shared" si="6"/>
        <v>120</v>
      </c>
      <c r="N52" s="452">
        <f t="shared" si="6"/>
        <v>120</v>
      </c>
      <c r="O52" s="473">
        <f t="shared" si="6"/>
        <v>120</v>
      </c>
      <c r="P52" s="466">
        <f t="shared" si="6"/>
        <v>120</v>
      </c>
      <c r="Q52" s="452">
        <f t="shared" si="6"/>
        <v>120</v>
      </c>
      <c r="R52" s="246">
        <f t="shared" si="6"/>
        <v>120</v>
      </c>
      <c r="S52" s="451">
        <f t="shared" si="6"/>
        <v>120</v>
      </c>
      <c r="T52" s="452">
        <f t="shared" si="6"/>
        <v>120</v>
      </c>
      <c r="U52" s="473">
        <f t="shared" si="6"/>
        <v>120</v>
      </c>
      <c r="V52" s="466">
        <f t="shared" si="6"/>
        <v>120</v>
      </c>
      <c r="W52" s="452">
        <f t="shared" si="6"/>
        <v>120</v>
      </c>
      <c r="X52" s="246">
        <f t="shared" si="6"/>
        <v>120</v>
      </c>
      <c r="Y52" s="451">
        <f t="shared" si="6"/>
        <v>120</v>
      </c>
      <c r="Z52" s="452">
        <f t="shared" si="6"/>
        <v>120</v>
      </c>
      <c r="AA52" s="473">
        <f t="shared" si="6"/>
        <v>120</v>
      </c>
      <c r="AB52" s="466">
        <f t="shared" si="6"/>
        <v>120</v>
      </c>
      <c r="AC52" s="452">
        <f t="shared" si="6"/>
        <v>120</v>
      </c>
      <c r="AD52" s="246">
        <f t="shared" si="6"/>
        <v>120</v>
      </c>
      <c r="AE52" s="451">
        <f t="shared" si="6"/>
        <v>120</v>
      </c>
      <c r="AF52" s="452">
        <f t="shared" si="6"/>
        <v>120</v>
      </c>
      <c r="AG52" s="473">
        <f t="shared" si="6"/>
        <v>120</v>
      </c>
      <c r="AH52" s="466">
        <f t="shared" si="6"/>
        <v>120</v>
      </c>
      <c r="AI52" s="452">
        <f t="shared" si="6"/>
        <v>120</v>
      </c>
      <c r="AJ52" s="246">
        <f t="shared" si="6"/>
        <v>120</v>
      </c>
      <c r="AK52" s="451">
        <f t="shared" si="6"/>
        <v>120</v>
      </c>
      <c r="AL52" s="452">
        <f t="shared" si="6"/>
        <v>120</v>
      </c>
      <c r="AM52" s="473">
        <f t="shared" si="6"/>
        <v>120</v>
      </c>
      <c r="AN52" s="479">
        <f t="shared" si="5"/>
        <v>4320</v>
      </c>
    </row>
    <row r="53" spans="2:40" ht="20.100000000000001" customHeight="1" thickTop="1" x14ac:dyDescent="0.15">
      <c r="B53" s="657" t="s">
        <v>199</v>
      </c>
      <c r="C53" s="658"/>
      <c r="D53" s="453">
        <f>D52-D46</f>
        <v>35</v>
      </c>
      <c r="E53" s="454">
        <f t="shared" ref="E53:AM53" si="7">E52-E46</f>
        <v>95</v>
      </c>
      <c r="F53" s="248">
        <f t="shared" si="7"/>
        <v>95</v>
      </c>
      <c r="G53" s="453">
        <f t="shared" si="7"/>
        <v>55</v>
      </c>
      <c r="H53" s="454">
        <f t="shared" si="7"/>
        <v>-70</v>
      </c>
      <c r="I53" s="474">
        <f t="shared" si="7"/>
        <v>-35</v>
      </c>
      <c r="J53" s="467">
        <f t="shared" si="7"/>
        <v>-155</v>
      </c>
      <c r="K53" s="454">
        <f t="shared" si="7"/>
        <v>-60</v>
      </c>
      <c r="L53" s="248">
        <f t="shared" si="7"/>
        <v>-230</v>
      </c>
      <c r="M53" s="453">
        <f t="shared" si="7"/>
        <v>-220</v>
      </c>
      <c r="N53" s="454">
        <f t="shared" si="7"/>
        <v>-100</v>
      </c>
      <c r="O53" s="474">
        <f t="shared" si="7"/>
        <v>-50</v>
      </c>
      <c r="P53" s="467">
        <f t="shared" si="7"/>
        <v>-185</v>
      </c>
      <c r="Q53" s="454">
        <f t="shared" si="7"/>
        <v>-90</v>
      </c>
      <c r="R53" s="248">
        <f t="shared" si="7"/>
        <v>-165</v>
      </c>
      <c r="S53" s="453">
        <f t="shared" si="7"/>
        <v>-25</v>
      </c>
      <c r="T53" s="454">
        <f t="shared" si="7"/>
        <v>5</v>
      </c>
      <c r="U53" s="474">
        <f t="shared" si="7"/>
        <v>80</v>
      </c>
      <c r="V53" s="467">
        <f t="shared" si="7"/>
        <v>105</v>
      </c>
      <c r="W53" s="454">
        <f t="shared" si="7"/>
        <v>95</v>
      </c>
      <c r="X53" s="248">
        <f t="shared" si="7"/>
        <v>95</v>
      </c>
      <c r="Y53" s="453">
        <f t="shared" si="7"/>
        <v>75</v>
      </c>
      <c r="Z53" s="454">
        <f t="shared" si="7"/>
        <v>60</v>
      </c>
      <c r="AA53" s="474">
        <f>AA52-AA46</f>
        <v>40</v>
      </c>
      <c r="AB53" s="467">
        <f t="shared" si="7"/>
        <v>-15</v>
      </c>
      <c r="AC53" s="454">
        <f t="shared" si="7"/>
        <v>15</v>
      </c>
      <c r="AD53" s="248">
        <f t="shared" si="7"/>
        <v>-15</v>
      </c>
      <c r="AE53" s="453">
        <f t="shared" si="7"/>
        <v>-45</v>
      </c>
      <c r="AF53" s="454">
        <f t="shared" si="7"/>
        <v>-120</v>
      </c>
      <c r="AG53" s="474">
        <f t="shared" si="7"/>
        <v>-40</v>
      </c>
      <c r="AH53" s="467">
        <f t="shared" si="7"/>
        <v>-45</v>
      </c>
      <c r="AI53" s="455">
        <f t="shared" si="7"/>
        <v>-260</v>
      </c>
      <c r="AJ53" s="248">
        <f t="shared" si="7"/>
        <v>-125</v>
      </c>
      <c r="AK53" s="453">
        <f t="shared" si="7"/>
        <v>-55</v>
      </c>
      <c r="AL53" s="454">
        <f t="shared" si="7"/>
        <v>-30</v>
      </c>
      <c r="AM53" s="474">
        <f t="shared" si="7"/>
        <v>-22.5</v>
      </c>
      <c r="AN53" s="476">
        <f>SUM(D53:AM53)</f>
        <v>-1307.5</v>
      </c>
    </row>
    <row r="54" spans="2:40" ht="20.100000000000001" customHeight="1" thickBot="1" x14ac:dyDescent="0.2">
      <c r="B54" s="659" t="s">
        <v>196</v>
      </c>
      <c r="C54" s="660"/>
      <c r="D54" s="456"/>
      <c r="E54" s="457"/>
      <c r="F54" s="461"/>
      <c r="G54" s="456"/>
      <c r="H54" s="457">
        <v>70</v>
      </c>
      <c r="I54" s="475">
        <v>35</v>
      </c>
      <c r="J54" s="468">
        <v>155</v>
      </c>
      <c r="K54" s="457">
        <v>60</v>
      </c>
      <c r="L54" s="461">
        <v>230</v>
      </c>
      <c r="M54" s="456">
        <v>220</v>
      </c>
      <c r="N54" s="457">
        <v>100</v>
      </c>
      <c r="O54" s="475">
        <v>50</v>
      </c>
      <c r="P54" s="468">
        <v>185</v>
      </c>
      <c r="Q54" s="457">
        <v>100</v>
      </c>
      <c r="R54" s="461">
        <v>165</v>
      </c>
      <c r="S54" s="456">
        <v>25</v>
      </c>
      <c r="T54" s="457"/>
      <c r="U54" s="475"/>
      <c r="V54" s="468"/>
      <c r="W54" s="457"/>
      <c r="X54" s="461"/>
      <c r="Y54" s="456"/>
      <c r="Z54" s="457"/>
      <c r="AA54" s="475"/>
      <c r="AB54" s="468">
        <v>15</v>
      </c>
      <c r="AC54" s="457"/>
      <c r="AD54" s="461">
        <v>15</v>
      </c>
      <c r="AE54" s="456">
        <v>45</v>
      </c>
      <c r="AF54" s="457">
        <v>120</v>
      </c>
      <c r="AG54" s="475">
        <v>40</v>
      </c>
      <c r="AH54" s="468">
        <v>45</v>
      </c>
      <c r="AI54" s="457">
        <v>260</v>
      </c>
      <c r="AJ54" s="461">
        <v>125</v>
      </c>
      <c r="AK54" s="456">
        <v>55</v>
      </c>
      <c r="AL54" s="457">
        <v>30</v>
      </c>
      <c r="AM54" s="475">
        <v>22</v>
      </c>
      <c r="AN54" s="480">
        <f>SUM(D54:AM54)</f>
        <v>2167</v>
      </c>
    </row>
  </sheetData>
  <mergeCells count="61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1:C31"/>
    <mergeCell ref="B32:C32"/>
    <mergeCell ref="B33:C33"/>
    <mergeCell ref="B34:C34"/>
    <mergeCell ref="B26:C26"/>
    <mergeCell ref="B27:C27"/>
    <mergeCell ref="B28:C28"/>
    <mergeCell ref="B29:C29"/>
    <mergeCell ref="B30:C30"/>
    <mergeCell ref="S44:U44"/>
    <mergeCell ref="B38:C38"/>
    <mergeCell ref="B44:C45"/>
    <mergeCell ref="D44:F44"/>
    <mergeCell ref="B35:C35"/>
    <mergeCell ref="B36:C36"/>
    <mergeCell ref="B37:C37"/>
    <mergeCell ref="B53:C53"/>
    <mergeCell ref="B54:C54"/>
    <mergeCell ref="AK44:AM44"/>
    <mergeCell ref="AN44:AN45"/>
    <mergeCell ref="B46:C46"/>
    <mergeCell ref="B47:C47"/>
    <mergeCell ref="B48:B52"/>
    <mergeCell ref="V44:X44"/>
    <mergeCell ref="Y44:AA44"/>
    <mergeCell ref="AB44:AD44"/>
    <mergeCell ref="AE44:AG44"/>
    <mergeCell ref="AH44:AJ44"/>
    <mergeCell ref="G44:I44"/>
    <mergeCell ref="J44:L44"/>
    <mergeCell ref="M44:O44"/>
    <mergeCell ref="P44:R44"/>
  </mergeCells>
  <phoneticPr fontId="4"/>
  <pageMargins left="0.78740157480314965" right="0.78740157480314965" top="0.78740157480314965" bottom="0.78740157480314965" header="0.39370078740157483" footer="0.39370078740157483"/>
  <pageSetup paperSize="9" scale="4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75" zoomScaleNormal="75" zoomScaleSheetLayoutView="80" workbookViewId="0"/>
  </sheetViews>
  <sheetFormatPr defaultColWidth="9"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5" width="7.25" style="30" bestFit="1" customWidth="1"/>
    <col min="6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206</v>
      </c>
      <c r="C2" s="5"/>
      <c r="D2" s="5"/>
      <c r="E2" s="32"/>
      <c r="F2" s="693"/>
      <c r="G2" s="694"/>
      <c r="H2" s="253" t="s">
        <v>189</v>
      </c>
      <c r="I2" s="3" t="s">
        <v>365</v>
      </c>
      <c r="J2" s="236"/>
      <c r="K2" s="253" t="s">
        <v>190</v>
      </c>
      <c r="L2" s="390" t="s">
        <v>366</v>
      </c>
      <c r="M2" s="33"/>
      <c r="P2" s="250"/>
    </row>
    <row r="3" spans="2:16" ht="20.100000000000001" customHeight="1" x14ac:dyDescent="0.15">
      <c r="B3" s="695" t="s">
        <v>69</v>
      </c>
      <c r="C3" s="688" t="s">
        <v>33</v>
      </c>
      <c r="D3" s="688" t="s">
        <v>100</v>
      </c>
      <c r="E3" s="697" t="s">
        <v>34</v>
      </c>
      <c r="F3" s="698"/>
      <c r="G3" s="251" t="s">
        <v>35</v>
      </c>
      <c r="H3" s="251" t="s">
        <v>102</v>
      </c>
      <c r="I3" s="251" t="s">
        <v>101</v>
      </c>
      <c r="J3" s="688" t="s">
        <v>75</v>
      </c>
      <c r="K3" s="34" t="s">
        <v>207</v>
      </c>
      <c r="L3" s="251" t="s">
        <v>36</v>
      </c>
      <c r="M3" s="251" t="s">
        <v>103</v>
      </c>
      <c r="N3" s="251" t="s">
        <v>37</v>
      </c>
      <c r="O3" s="251" t="s">
        <v>38</v>
      </c>
      <c r="P3" s="311" t="s">
        <v>39</v>
      </c>
    </row>
    <row r="4" spans="2:16" ht="20.100000000000001" customHeight="1" x14ac:dyDescent="0.15">
      <c r="B4" s="696"/>
      <c r="C4" s="689"/>
      <c r="D4" s="689"/>
      <c r="E4" s="7" t="s">
        <v>76</v>
      </c>
      <c r="F4" s="7" t="s">
        <v>7</v>
      </c>
      <c r="G4" s="8" t="s">
        <v>208</v>
      </c>
      <c r="H4" s="8" t="s">
        <v>209</v>
      </c>
      <c r="I4" s="8" t="s">
        <v>105</v>
      </c>
      <c r="J4" s="689"/>
      <c r="K4" s="9" t="s">
        <v>210</v>
      </c>
      <c r="L4" s="8" t="s">
        <v>244</v>
      </c>
      <c r="M4" s="8" t="s">
        <v>211</v>
      </c>
      <c r="N4" s="8" t="s">
        <v>245</v>
      </c>
      <c r="O4" s="8" t="s">
        <v>212</v>
      </c>
      <c r="P4" s="312" t="s">
        <v>246</v>
      </c>
    </row>
    <row r="5" spans="2:16" ht="20.100000000000001" customHeight="1" x14ac:dyDescent="0.15">
      <c r="B5" s="690" t="s">
        <v>143</v>
      </c>
      <c r="C5" s="381" t="s">
        <v>352</v>
      </c>
      <c r="D5" s="381" t="s">
        <v>353</v>
      </c>
      <c r="E5" s="442">
        <v>1000</v>
      </c>
      <c r="F5" s="382" t="s">
        <v>354</v>
      </c>
      <c r="G5" s="381">
        <v>4300000</v>
      </c>
      <c r="H5" s="381">
        <v>0</v>
      </c>
      <c r="I5" s="381">
        <v>4300000</v>
      </c>
      <c r="J5" s="383" t="s">
        <v>355</v>
      </c>
      <c r="K5" s="384">
        <v>20</v>
      </c>
      <c r="L5" s="385">
        <f>G5*K5/100</f>
        <v>860000</v>
      </c>
      <c r="M5" s="385">
        <v>0</v>
      </c>
      <c r="N5" s="385">
        <v>0</v>
      </c>
      <c r="O5" s="385">
        <v>20</v>
      </c>
      <c r="P5" s="386">
        <f>IF(O5="","",(L5-N5)/O5)</f>
        <v>43000</v>
      </c>
    </row>
    <row r="6" spans="2:16" ht="20.100000000000001" customHeight="1" x14ac:dyDescent="0.15">
      <c r="B6" s="691"/>
      <c r="C6" s="381" t="s">
        <v>356</v>
      </c>
      <c r="D6" s="381" t="s">
        <v>357</v>
      </c>
      <c r="E6" s="442">
        <v>1000</v>
      </c>
      <c r="F6" s="382" t="s">
        <v>204</v>
      </c>
      <c r="G6" s="381">
        <v>300000</v>
      </c>
      <c r="H6" s="381">
        <v>0</v>
      </c>
      <c r="I6" s="381">
        <v>300000</v>
      </c>
      <c r="J6" s="383" t="s">
        <v>358</v>
      </c>
      <c r="K6" s="384">
        <v>100</v>
      </c>
      <c r="L6" s="385">
        <f t="shared" ref="L6:L9" si="0">G6*K6/100</f>
        <v>300000</v>
      </c>
      <c r="M6" s="385">
        <v>0</v>
      </c>
      <c r="N6" s="385">
        <v>0</v>
      </c>
      <c r="O6" s="381">
        <v>8</v>
      </c>
      <c r="P6" s="386">
        <f t="shared" ref="P6:P9" si="1">IF(O6="","",(L6-N6)/O6)</f>
        <v>37500</v>
      </c>
    </row>
    <row r="7" spans="2:16" ht="20.100000000000001" customHeight="1" x14ac:dyDescent="0.15">
      <c r="B7" s="691"/>
      <c r="C7" s="381" t="s">
        <v>359</v>
      </c>
      <c r="D7" s="381" t="s">
        <v>360</v>
      </c>
      <c r="E7" s="442">
        <v>1000</v>
      </c>
      <c r="F7" s="382" t="s">
        <v>204</v>
      </c>
      <c r="G7" s="381">
        <v>6000000</v>
      </c>
      <c r="H7" s="381">
        <v>0</v>
      </c>
      <c r="I7" s="381">
        <v>6000000</v>
      </c>
      <c r="J7" s="383" t="s">
        <v>358</v>
      </c>
      <c r="K7" s="384">
        <v>100</v>
      </c>
      <c r="L7" s="385">
        <f t="shared" si="0"/>
        <v>6000000</v>
      </c>
      <c r="M7" s="385">
        <v>0</v>
      </c>
      <c r="N7" s="385">
        <v>0</v>
      </c>
      <c r="O7" s="381">
        <v>10</v>
      </c>
      <c r="P7" s="386">
        <f t="shared" si="1"/>
        <v>600000</v>
      </c>
    </row>
    <row r="8" spans="2:16" ht="20.100000000000001" customHeight="1" x14ac:dyDescent="0.15">
      <c r="B8" s="691"/>
      <c r="C8" s="387" t="s">
        <v>361</v>
      </c>
      <c r="D8" s="387" t="s">
        <v>362</v>
      </c>
      <c r="E8" s="388">
        <f>13.5*5</f>
        <v>67.5</v>
      </c>
      <c r="F8" s="382" t="s">
        <v>204</v>
      </c>
      <c r="G8" s="381">
        <v>200000</v>
      </c>
      <c r="H8" s="381">
        <v>0</v>
      </c>
      <c r="I8" s="381">
        <v>200000</v>
      </c>
      <c r="J8" s="383" t="s">
        <v>355</v>
      </c>
      <c r="K8" s="384">
        <v>20</v>
      </c>
      <c r="L8" s="385">
        <f t="shared" si="0"/>
        <v>40000</v>
      </c>
      <c r="M8" s="385">
        <v>0</v>
      </c>
      <c r="N8" s="385">
        <v>0</v>
      </c>
      <c r="O8" s="381">
        <v>10</v>
      </c>
      <c r="P8" s="386">
        <f t="shared" si="1"/>
        <v>4000</v>
      </c>
    </row>
    <row r="9" spans="2:16" ht="20.100000000000001" customHeight="1" x14ac:dyDescent="0.15">
      <c r="B9" s="691"/>
      <c r="C9" s="385" t="s">
        <v>363</v>
      </c>
      <c r="D9" s="385"/>
      <c r="E9" s="389">
        <v>10</v>
      </c>
      <c r="F9" s="382" t="s">
        <v>204</v>
      </c>
      <c r="G9" s="385">
        <v>1000000</v>
      </c>
      <c r="H9" s="385">
        <v>0</v>
      </c>
      <c r="I9" s="385">
        <v>1000000</v>
      </c>
      <c r="J9" s="383" t="s">
        <v>364</v>
      </c>
      <c r="K9" s="384">
        <v>20</v>
      </c>
      <c r="L9" s="385">
        <f t="shared" si="0"/>
        <v>200000</v>
      </c>
      <c r="M9" s="385">
        <v>0</v>
      </c>
      <c r="N9" s="385">
        <v>0</v>
      </c>
      <c r="O9" s="385">
        <v>10</v>
      </c>
      <c r="P9" s="386">
        <f t="shared" si="1"/>
        <v>20000</v>
      </c>
    </row>
    <row r="10" spans="2:16" ht="20.100000000000001" customHeight="1" x14ac:dyDescent="0.15">
      <c r="B10" s="691"/>
      <c r="C10" s="254"/>
      <c r="D10" s="254"/>
      <c r="E10" s="257"/>
      <c r="F10" s="35"/>
      <c r="G10" s="254"/>
      <c r="H10" s="255"/>
      <c r="I10" s="254"/>
      <c r="J10" s="254"/>
      <c r="K10" s="256"/>
      <c r="L10" s="29"/>
      <c r="M10" s="38"/>
      <c r="N10" s="29"/>
      <c r="O10" s="29"/>
      <c r="P10" s="121" t="str">
        <f t="shared" ref="P10" si="2">IF(O10="","",(L10-N10)/O10)</f>
        <v/>
      </c>
    </row>
    <row r="11" spans="2:16" ht="20.100000000000001" customHeight="1" x14ac:dyDescent="0.15">
      <c r="B11" s="691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21" t="str">
        <f t="shared" ref="P11" si="3">IF(O11="","",(L11-N11)/O11)</f>
        <v/>
      </c>
    </row>
    <row r="12" spans="2:16" ht="20.100000000000001" customHeight="1" x14ac:dyDescent="0.15">
      <c r="B12" s="692"/>
      <c r="C12" s="39" t="s">
        <v>40</v>
      </c>
      <c r="D12" s="40"/>
      <c r="E12" s="40"/>
      <c r="F12" s="41"/>
      <c r="G12" s="40">
        <f>SUM(G5:G11)</f>
        <v>11800000</v>
      </c>
      <c r="H12" s="40"/>
      <c r="I12" s="40">
        <f>SUM(I5:I11)</f>
        <v>11800000</v>
      </c>
      <c r="J12" s="40"/>
      <c r="K12" s="42"/>
      <c r="L12" s="40">
        <f>SUM(L5:L11)</f>
        <v>7400000</v>
      </c>
      <c r="M12" s="40"/>
      <c r="N12" s="40"/>
      <c r="O12" s="40"/>
      <c r="P12" s="313">
        <f>SUM(P5:P11)</f>
        <v>704500</v>
      </c>
    </row>
    <row r="13" spans="2:16" ht="20.100000000000001" customHeight="1" x14ac:dyDescent="0.15">
      <c r="B13" s="690" t="s">
        <v>144</v>
      </c>
      <c r="C13" s="381" t="s">
        <v>315</v>
      </c>
      <c r="D13" s="381" t="s">
        <v>368</v>
      </c>
      <c r="E13" s="391">
        <v>1</v>
      </c>
      <c r="F13" s="382" t="s">
        <v>42</v>
      </c>
      <c r="G13" s="381">
        <v>1050000</v>
      </c>
      <c r="H13" s="381">
        <v>0</v>
      </c>
      <c r="I13" s="381">
        <v>1050000</v>
      </c>
      <c r="J13" s="383" t="s">
        <v>355</v>
      </c>
      <c r="K13" s="389">
        <v>20</v>
      </c>
      <c r="L13" s="385">
        <f>G13*K13/100</f>
        <v>210000</v>
      </c>
      <c r="M13" s="385">
        <v>0</v>
      </c>
      <c r="N13" s="385">
        <v>0</v>
      </c>
      <c r="O13" s="381">
        <v>7</v>
      </c>
      <c r="P13" s="386">
        <f t="shared" ref="P13:P15" si="4">IF(O13="","",(L13-N13)/O13)</f>
        <v>30000</v>
      </c>
    </row>
    <row r="14" spans="2:16" ht="20.100000000000001" customHeight="1" x14ac:dyDescent="0.15">
      <c r="B14" s="691"/>
      <c r="C14" s="381" t="s">
        <v>369</v>
      </c>
      <c r="D14" s="381" t="s">
        <v>370</v>
      </c>
      <c r="E14" s="391">
        <v>1</v>
      </c>
      <c r="F14" s="382" t="s">
        <v>42</v>
      </c>
      <c r="G14" s="381">
        <v>300000</v>
      </c>
      <c r="H14" s="381">
        <v>0</v>
      </c>
      <c r="I14" s="381">
        <v>300000</v>
      </c>
      <c r="J14" s="383" t="s">
        <v>355</v>
      </c>
      <c r="K14" s="389">
        <v>20</v>
      </c>
      <c r="L14" s="385">
        <f>G14*K14/100</f>
        <v>60000</v>
      </c>
      <c r="M14" s="385">
        <v>0</v>
      </c>
      <c r="N14" s="385">
        <v>0</v>
      </c>
      <c r="O14" s="381">
        <v>7</v>
      </c>
      <c r="P14" s="386">
        <f t="shared" si="4"/>
        <v>8571.4285714285706</v>
      </c>
    </row>
    <row r="15" spans="2:16" ht="20.100000000000001" customHeight="1" x14ac:dyDescent="0.15">
      <c r="B15" s="691"/>
      <c r="C15" s="381" t="s">
        <v>205</v>
      </c>
      <c r="D15" s="381" t="s">
        <v>371</v>
      </c>
      <c r="E15" s="391">
        <v>1</v>
      </c>
      <c r="F15" s="382" t="s">
        <v>42</v>
      </c>
      <c r="G15" s="381">
        <v>450000</v>
      </c>
      <c r="H15" s="381">
        <v>0</v>
      </c>
      <c r="I15" s="381">
        <v>500000</v>
      </c>
      <c r="J15" s="383" t="s">
        <v>355</v>
      </c>
      <c r="K15" s="389">
        <v>20</v>
      </c>
      <c r="L15" s="385">
        <f>G15*K15/100</f>
        <v>90000</v>
      </c>
      <c r="M15" s="385">
        <v>0</v>
      </c>
      <c r="N15" s="385">
        <v>0</v>
      </c>
      <c r="O15" s="381">
        <v>4</v>
      </c>
      <c r="P15" s="386">
        <f t="shared" si="4"/>
        <v>22500</v>
      </c>
    </row>
    <row r="16" spans="2:16" ht="20.100000000000001" customHeight="1" x14ac:dyDescent="0.15">
      <c r="B16" s="691"/>
      <c r="C16" s="385" t="s">
        <v>372</v>
      </c>
      <c r="D16" s="387" t="s">
        <v>373</v>
      </c>
      <c r="E16" s="391">
        <v>20</v>
      </c>
      <c r="F16" s="382" t="s">
        <v>42</v>
      </c>
      <c r="G16" s="385">
        <v>7625000</v>
      </c>
      <c r="H16" s="385">
        <v>0</v>
      </c>
      <c r="I16" s="385">
        <v>7625000</v>
      </c>
      <c r="J16" s="383" t="s">
        <v>355</v>
      </c>
      <c r="K16" s="389">
        <v>20</v>
      </c>
      <c r="L16" s="385">
        <f>G16*K16/100</f>
        <v>1525000</v>
      </c>
      <c r="M16" s="385">
        <v>0</v>
      </c>
      <c r="N16" s="385">
        <v>0</v>
      </c>
      <c r="O16" s="385">
        <v>7</v>
      </c>
      <c r="P16" s="386">
        <f>IF(O16="","",(L16-N16)/O16)</f>
        <v>217857.14285714287</v>
      </c>
    </row>
    <row r="17" spans="2:16" ht="20.100000000000001" customHeight="1" x14ac:dyDescent="0.15">
      <c r="B17" s="691"/>
      <c r="C17" s="385" t="s">
        <v>374</v>
      </c>
      <c r="D17" s="387" t="s">
        <v>375</v>
      </c>
      <c r="E17" s="391" t="s">
        <v>376</v>
      </c>
      <c r="F17" s="382"/>
      <c r="G17" s="385">
        <v>381520</v>
      </c>
      <c r="H17" s="385">
        <v>0</v>
      </c>
      <c r="I17" s="385">
        <v>381520</v>
      </c>
      <c r="J17" s="383" t="s">
        <v>377</v>
      </c>
      <c r="K17" s="389">
        <v>20</v>
      </c>
      <c r="L17" s="385">
        <f>G17*K17/100</f>
        <v>76304</v>
      </c>
      <c r="M17" s="385">
        <v>0</v>
      </c>
      <c r="N17" s="385">
        <v>0</v>
      </c>
      <c r="O17" s="385">
        <v>7</v>
      </c>
      <c r="P17" s="386">
        <f>IF(O17="","",(L17-N17)/O17)</f>
        <v>10900.571428571429</v>
      </c>
    </row>
    <row r="18" spans="2:16" ht="20.100000000000001" customHeight="1" x14ac:dyDescent="0.15">
      <c r="B18" s="691"/>
      <c r="C18" s="385"/>
      <c r="D18" s="385"/>
      <c r="E18" s="392"/>
      <c r="F18" s="35"/>
      <c r="G18" s="254"/>
      <c r="H18" s="255"/>
      <c r="I18" s="254"/>
      <c r="J18" s="254"/>
      <c r="K18" s="256"/>
      <c r="L18" s="254"/>
      <c r="M18" s="38"/>
      <c r="N18" s="29"/>
      <c r="O18" s="29"/>
      <c r="P18" s="121" t="str">
        <f t="shared" ref="P18:P19" si="5">IF(O18="","",(L18-N18)/O18)</f>
        <v/>
      </c>
    </row>
    <row r="19" spans="2:16" ht="20.100000000000001" customHeight="1" x14ac:dyDescent="0.15">
      <c r="B19" s="691"/>
      <c r="C19" s="385"/>
      <c r="D19" s="385"/>
      <c r="E19" s="392"/>
      <c r="F19" s="35"/>
      <c r="G19" s="254"/>
      <c r="H19" s="255"/>
      <c r="I19" s="254"/>
      <c r="J19" s="254"/>
      <c r="K19" s="256"/>
      <c r="L19" s="254"/>
      <c r="M19" s="38"/>
      <c r="N19" s="29"/>
      <c r="O19" s="29"/>
      <c r="P19" s="121" t="str">
        <f t="shared" si="5"/>
        <v/>
      </c>
    </row>
    <row r="20" spans="2:16" ht="20.100000000000001" customHeight="1" x14ac:dyDescent="0.15">
      <c r="B20" s="691"/>
      <c r="C20" s="254"/>
      <c r="D20" s="254"/>
      <c r="E20" s="254"/>
      <c r="F20" s="35"/>
      <c r="G20" s="254"/>
      <c r="H20" s="255"/>
      <c r="I20" s="254"/>
      <c r="J20" s="254"/>
      <c r="K20" s="256"/>
      <c r="L20" s="254"/>
      <c r="M20" s="38"/>
      <c r="N20" s="29"/>
      <c r="O20" s="29"/>
      <c r="P20" s="121" t="str">
        <f t="shared" ref="P20:P37" si="6">IF(O20="","",(L20-N20)/O20)</f>
        <v/>
      </c>
    </row>
    <row r="21" spans="2:16" ht="20.100000000000001" customHeight="1" x14ac:dyDescent="0.15">
      <c r="B21" s="691"/>
      <c r="C21" s="254"/>
      <c r="D21" s="254"/>
      <c r="E21" s="254"/>
      <c r="F21" s="35"/>
      <c r="G21" s="254"/>
      <c r="H21" s="255"/>
      <c r="I21" s="254"/>
      <c r="J21" s="254"/>
      <c r="K21" s="256"/>
      <c r="L21" s="254"/>
      <c r="M21" s="38"/>
      <c r="N21" s="29"/>
      <c r="O21" s="29"/>
      <c r="P21" s="121" t="str">
        <f t="shared" si="6"/>
        <v/>
      </c>
    </row>
    <row r="22" spans="2:16" ht="20.100000000000001" customHeight="1" x14ac:dyDescent="0.15">
      <c r="B22" s="691"/>
      <c r="C22" s="254"/>
      <c r="D22" s="254"/>
      <c r="E22" s="254"/>
      <c r="F22" s="35"/>
      <c r="G22" s="254"/>
      <c r="H22" s="255"/>
      <c r="I22" s="254"/>
      <c r="J22" s="254"/>
      <c r="K22" s="256"/>
      <c r="L22" s="254"/>
      <c r="M22" s="38"/>
      <c r="N22" s="29"/>
      <c r="O22" s="29"/>
      <c r="P22" s="121" t="str">
        <f t="shared" si="6"/>
        <v/>
      </c>
    </row>
    <row r="23" spans="2:16" ht="20.100000000000001" customHeight="1" x14ac:dyDescent="0.15">
      <c r="B23" s="691"/>
      <c r="C23" s="254"/>
      <c r="D23" s="254"/>
      <c r="E23" s="254"/>
      <c r="F23" s="35"/>
      <c r="G23" s="254"/>
      <c r="H23" s="255"/>
      <c r="I23" s="254"/>
      <c r="J23" s="254"/>
      <c r="K23" s="256"/>
      <c r="L23" s="254"/>
      <c r="M23" s="38"/>
      <c r="N23" s="29"/>
      <c r="O23" s="29"/>
      <c r="P23" s="121" t="str">
        <f t="shared" si="6"/>
        <v/>
      </c>
    </row>
    <row r="24" spans="2:16" ht="20.100000000000001" customHeight="1" x14ac:dyDescent="0.15">
      <c r="B24" s="691"/>
      <c r="C24" s="254"/>
      <c r="D24" s="254"/>
      <c r="E24" s="254"/>
      <c r="F24" s="35"/>
      <c r="G24" s="254"/>
      <c r="H24" s="255"/>
      <c r="I24" s="254"/>
      <c r="J24" s="254"/>
      <c r="K24" s="256"/>
      <c r="L24" s="254"/>
      <c r="M24" s="38"/>
      <c r="N24" s="29"/>
      <c r="O24" s="29"/>
      <c r="P24" s="121" t="str">
        <f t="shared" si="6"/>
        <v/>
      </c>
    </row>
    <row r="25" spans="2:16" ht="20.100000000000001" customHeight="1" x14ac:dyDescent="0.15">
      <c r="B25" s="691"/>
      <c r="C25" s="254"/>
      <c r="D25" s="254"/>
      <c r="E25" s="254"/>
      <c r="F25" s="35"/>
      <c r="G25" s="254"/>
      <c r="H25" s="255"/>
      <c r="I25" s="254"/>
      <c r="J25" s="254"/>
      <c r="K25" s="256"/>
      <c r="L25" s="254"/>
      <c r="M25" s="38"/>
      <c r="N25" s="29"/>
      <c r="O25" s="29"/>
      <c r="P25" s="121" t="str">
        <f t="shared" si="6"/>
        <v/>
      </c>
    </row>
    <row r="26" spans="2:16" ht="20.100000000000001" customHeight="1" x14ac:dyDescent="0.15">
      <c r="B26" s="691"/>
      <c r="C26" s="254"/>
      <c r="D26" s="254"/>
      <c r="E26" s="254"/>
      <c r="F26" s="35"/>
      <c r="G26" s="254"/>
      <c r="H26" s="255"/>
      <c r="I26" s="254"/>
      <c r="J26" s="254"/>
      <c r="K26" s="256"/>
      <c r="L26" s="254"/>
      <c r="M26" s="38"/>
      <c r="N26" s="29"/>
      <c r="O26" s="29"/>
      <c r="P26" s="121" t="str">
        <f t="shared" ref="P26:P27" si="7">IF(O26="","",(L26-N26)/O26)</f>
        <v/>
      </c>
    </row>
    <row r="27" spans="2:16" ht="20.100000000000001" customHeight="1" x14ac:dyDescent="0.15">
      <c r="B27" s="691"/>
      <c r="C27" s="254"/>
      <c r="D27" s="254"/>
      <c r="E27" s="254"/>
      <c r="F27" s="35"/>
      <c r="G27" s="254"/>
      <c r="H27" s="255"/>
      <c r="I27" s="254"/>
      <c r="J27" s="254"/>
      <c r="K27" s="256"/>
      <c r="L27" s="254"/>
      <c r="M27" s="38"/>
      <c r="N27" s="29"/>
      <c r="O27" s="29"/>
      <c r="P27" s="121" t="str">
        <f t="shared" si="7"/>
        <v/>
      </c>
    </row>
    <row r="28" spans="2:16" ht="20.100000000000001" customHeight="1" x14ac:dyDescent="0.15">
      <c r="B28" s="691"/>
      <c r="C28" s="254"/>
      <c r="D28" s="254"/>
      <c r="E28" s="254"/>
      <c r="F28" s="35"/>
      <c r="G28" s="254"/>
      <c r="H28" s="255"/>
      <c r="I28" s="254"/>
      <c r="J28" s="254"/>
      <c r="K28" s="256"/>
      <c r="L28" s="254"/>
      <c r="M28" s="38"/>
      <c r="N28" s="29"/>
      <c r="O28" s="29"/>
      <c r="P28" s="121" t="str">
        <f t="shared" si="6"/>
        <v/>
      </c>
    </row>
    <row r="29" spans="2:16" ht="20.100000000000001" customHeight="1" x14ac:dyDescent="0.15">
      <c r="B29" s="691"/>
      <c r="C29" s="254"/>
      <c r="D29" s="254"/>
      <c r="E29" s="254"/>
      <c r="F29" s="35"/>
      <c r="G29" s="254"/>
      <c r="H29" s="255"/>
      <c r="I29" s="254"/>
      <c r="J29" s="254"/>
      <c r="K29" s="256"/>
      <c r="L29" s="254"/>
      <c r="M29" s="38"/>
      <c r="N29" s="29"/>
      <c r="O29" s="29"/>
      <c r="P29" s="121" t="str">
        <f t="shared" si="6"/>
        <v/>
      </c>
    </row>
    <row r="30" spans="2:16" ht="20.100000000000001" customHeight="1" x14ac:dyDescent="0.15">
      <c r="B30" s="691"/>
      <c r="C30" s="254"/>
      <c r="D30" s="254"/>
      <c r="E30" s="258"/>
      <c r="F30" s="35"/>
      <c r="G30" s="254"/>
      <c r="H30" s="255"/>
      <c r="I30" s="254"/>
      <c r="J30" s="254"/>
      <c r="K30" s="256"/>
      <c r="L30" s="254"/>
      <c r="M30" s="38"/>
      <c r="N30" s="29"/>
      <c r="O30" s="29"/>
      <c r="P30" s="121" t="str">
        <f t="shared" si="6"/>
        <v/>
      </c>
    </row>
    <row r="31" spans="2:16" ht="20.100000000000001" customHeight="1" x14ac:dyDescent="0.15">
      <c r="B31" s="691"/>
      <c r="C31" s="254"/>
      <c r="D31" s="254"/>
      <c r="E31" s="254"/>
      <c r="F31" s="35"/>
      <c r="G31" s="254"/>
      <c r="H31" s="255"/>
      <c r="I31" s="254"/>
      <c r="J31" s="254"/>
      <c r="K31" s="256"/>
      <c r="L31" s="254"/>
      <c r="M31" s="38"/>
      <c r="N31" s="29"/>
      <c r="O31" s="29"/>
      <c r="P31" s="121" t="str">
        <f t="shared" si="6"/>
        <v/>
      </c>
    </row>
    <row r="32" spans="2:16" ht="20.100000000000001" customHeight="1" x14ac:dyDescent="0.15">
      <c r="B32" s="691"/>
      <c r="C32" s="254"/>
      <c r="D32" s="254"/>
      <c r="E32" s="254"/>
      <c r="F32" s="35"/>
      <c r="G32" s="254"/>
      <c r="H32" s="255"/>
      <c r="I32" s="254"/>
      <c r="J32" s="254"/>
      <c r="K32" s="256"/>
      <c r="L32" s="254"/>
      <c r="M32" s="38"/>
      <c r="N32" s="29"/>
      <c r="O32" s="29"/>
      <c r="P32" s="121" t="str">
        <f t="shared" si="6"/>
        <v/>
      </c>
    </row>
    <row r="33" spans="2:16" ht="20.100000000000001" customHeight="1" x14ac:dyDescent="0.15">
      <c r="B33" s="691"/>
      <c r="C33" s="254"/>
      <c r="D33" s="254"/>
      <c r="E33" s="254"/>
      <c r="F33" s="35"/>
      <c r="G33" s="254"/>
      <c r="H33" s="255"/>
      <c r="I33" s="254"/>
      <c r="J33" s="254"/>
      <c r="K33" s="256"/>
      <c r="L33" s="254"/>
      <c r="M33" s="38"/>
      <c r="N33" s="29"/>
      <c r="O33" s="29"/>
      <c r="P33" s="121" t="str">
        <f t="shared" si="6"/>
        <v/>
      </c>
    </row>
    <row r="34" spans="2:16" ht="20.100000000000001" customHeight="1" x14ac:dyDescent="0.15">
      <c r="B34" s="691"/>
      <c r="C34" s="254"/>
      <c r="D34" s="254"/>
      <c r="E34" s="254"/>
      <c r="F34" s="35"/>
      <c r="G34" s="254"/>
      <c r="H34" s="255"/>
      <c r="I34" s="254"/>
      <c r="J34" s="254"/>
      <c r="K34" s="256"/>
      <c r="L34" s="254"/>
      <c r="M34" s="38"/>
      <c r="N34" s="29"/>
      <c r="O34" s="29"/>
      <c r="P34" s="121" t="str">
        <f t="shared" si="6"/>
        <v/>
      </c>
    </row>
    <row r="35" spans="2:16" ht="20.100000000000001" customHeight="1" x14ac:dyDescent="0.15">
      <c r="B35" s="691"/>
      <c r="C35" s="254"/>
      <c r="D35" s="254"/>
      <c r="E35" s="254"/>
      <c r="F35" s="35"/>
      <c r="G35" s="254"/>
      <c r="H35" s="255"/>
      <c r="I35" s="254"/>
      <c r="J35" s="254"/>
      <c r="K35" s="256"/>
      <c r="L35" s="254"/>
      <c r="M35" s="38"/>
      <c r="N35" s="29"/>
      <c r="O35" s="29"/>
      <c r="P35" s="121" t="str">
        <f t="shared" si="6"/>
        <v/>
      </c>
    </row>
    <row r="36" spans="2:16" ht="20.100000000000001" customHeight="1" x14ac:dyDescent="0.15">
      <c r="B36" s="691"/>
      <c r="C36" s="254"/>
      <c r="D36" s="254"/>
      <c r="E36" s="254"/>
      <c r="F36" s="35"/>
      <c r="G36" s="254"/>
      <c r="H36" s="255"/>
      <c r="I36" s="254"/>
      <c r="J36" s="254"/>
      <c r="K36" s="256"/>
      <c r="L36" s="254"/>
      <c r="M36" s="38"/>
      <c r="N36" s="29"/>
      <c r="O36" s="29"/>
      <c r="P36" s="121" t="str">
        <f t="shared" ref="P36" si="8">IF(O36="","",(L36-N36)/O36)</f>
        <v/>
      </c>
    </row>
    <row r="37" spans="2:16" ht="20.100000000000001" customHeight="1" x14ac:dyDescent="0.15">
      <c r="B37" s="691"/>
      <c r="C37" s="254"/>
      <c r="D37" s="254"/>
      <c r="E37" s="254"/>
      <c r="F37" s="35"/>
      <c r="G37" s="254"/>
      <c r="H37" s="255"/>
      <c r="I37" s="254"/>
      <c r="J37" s="254"/>
      <c r="K37" s="256"/>
      <c r="L37" s="254"/>
      <c r="M37" s="38"/>
      <c r="N37" s="29"/>
      <c r="O37" s="29"/>
      <c r="P37" s="121" t="str">
        <f t="shared" si="6"/>
        <v/>
      </c>
    </row>
    <row r="38" spans="2:16" ht="20.100000000000001" customHeight="1" x14ac:dyDescent="0.15">
      <c r="B38" s="692"/>
      <c r="C38" s="259" t="s">
        <v>41</v>
      </c>
      <c r="D38" s="259"/>
      <c r="E38" s="259"/>
      <c r="F38" s="260"/>
      <c r="G38" s="259">
        <f>SUM(G13:G36)</f>
        <v>9806520</v>
      </c>
      <c r="H38" s="259"/>
      <c r="I38" s="259">
        <f>SUM(I13:I36)</f>
        <v>9856520</v>
      </c>
      <c r="J38" s="259"/>
      <c r="K38" s="261"/>
      <c r="L38" s="259">
        <f>SUM(L13:L36)</f>
        <v>1961304</v>
      </c>
      <c r="M38" s="40"/>
      <c r="N38" s="40"/>
      <c r="O38" s="40"/>
      <c r="P38" s="313">
        <f>SUM(P13:P36)</f>
        <v>289829.14285714284</v>
      </c>
    </row>
    <row r="39" spans="2:16" ht="20.100000000000001" customHeight="1" x14ac:dyDescent="0.15">
      <c r="B39" s="690" t="s">
        <v>104</v>
      </c>
      <c r="C39" s="254"/>
      <c r="D39" s="254"/>
      <c r="E39" s="254"/>
      <c r="F39" s="254"/>
      <c r="G39" s="254"/>
      <c r="H39" s="262"/>
      <c r="I39" s="254"/>
      <c r="J39" s="254"/>
      <c r="K39" s="256"/>
      <c r="L39" s="254"/>
      <c r="M39" s="43"/>
      <c r="N39" s="29"/>
      <c r="O39" s="29"/>
      <c r="P39" s="121" t="str">
        <f>IF(O39="","",(L39-N39)/O39)</f>
        <v/>
      </c>
    </row>
    <row r="40" spans="2:16" ht="20.100000000000001" customHeight="1" x14ac:dyDescent="0.15">
      <c r="B40" s="691"/>
      <c r="C40" s="254"/>
      <c r="D40" s="254"/>
      <c r="E40" s="254"/>
      <c r="F40" s="254"/>
      <c r="G40" s="254"/>
      <c r="H40" s="262"/>
      <c r="I40" s="254"/>
      <c r="J40" s="254"/>
      <c r="K40" s="256"/>
      <c r="L40" s="254"/>
      <c r="M40" s="43"/>
      <c r="N40" s="29"/>
      <c r="O40" s="29"/>
      <c r="P40" s="121" t="str">
        <f>IF(O40="","",(L40-N40)/O40)</f>
        <v/>
      </c>
    </row>
    <row r="41" spans="2:16" ht="20.100000000000001" customHeight="1" x14ac:dyDescent="0.15">
      <c r="B41" s="691"/>
      <c r="C41" s="29"/>
      <c r="D41" s="29"/>
      <c r="E41" s="29"/>
      <c r="F41" s="29"/>
      <c r="G41" s="29"/>
      <c r="H41" s="43"/>
      <c r="I41" s="29"/>
      <c r="J41" s="29"/>
      <c r="K41" s="37"/>
      <c r="L41" s="29"/>
      <c r="M41" s="43"/>
      <c r="N41" s="29"/>
      <c r="O41" s="29"/>
      <c r="P41" s="121" t="str">
        <f>IF(O41="","",(L41-N41)/O41)</f>
        <v/>
      </c>
    </row>
    <row r="42" spans="2:16" ht="20.100000000000001" customHeight="1" x14ac:dyDescent="0.15">
      <c r="B42" s="691"/>
      <c r="C42" s="29"/>
      <c r="D42" s="29"/>
      <c r="E42" s="29"/>
      <c r="F42" s="29"/>
      <c r="G42" s="29"/>
      <c r="H42" s="43"/>
      <c r="I42" s="29"/>
      <c r="J42" s="29"/>
      <c r="K42" s="37"/>
      <c r="L42" s="29"/>
      <c r="M42" s="43"/>
      <c r="N42" s="29"/>
      <c r="O42" s="29"/>
      <c r="P42" s="121" t="str">
        <f>IF(O42="","",(L42-N42)/O42)</f>
        <v/>
      </c>
    </row>
    <row r="43" spans="2:16" ht="20.100000000000001" customHeight="1" x14ac:dyDescent="0.15">
      <c r="B43" s="692"/>
      <c r="C43" s="44" t="s">
        <v>41</v>
      </c>
      <c r="D43" s="40"/>
      <c r="E43" s="40"/>
      <c r="F43" s="41"/>
      <c r="G43" s="40">
        <f>SUM(G39:G42)</f>
        <v>0</v>
      </c>
      <c r="H43" s="40"/>
      <c r="I43" s="40">
        <f>SUM(I39:I42)</f>
        <v>0</v>
      </c>
      <c r="J43" s="40"/>
      <c r="K43" s="42"/>
      <c r="L43" s="40">
        <f>SUM(L39:L42)</f>
        <v>0</v>
      </c>
      <c r="M43" s="40"/>
      <c r="N43" s="40"/>
      <c r="O43" s="40"/>
      <c r="P43" s="313">
        <f>SUM(P39:P42)</f>
        <v>0</v>
      </c>
    </row>
    <row r="44" spans="2:16" ht="20.100000000000001" customHeight="1" thickBot="1" x14ac:dyDescent="0.2">
      <c r="B44" s="45"/>
      <c r="C44" s="46" t="s">
        <v>213</v>
      </c>
      <c r="D44" s="47"/>
      <c r="E44" s="47"/>
      <c r="F44" s="48"/>
      <c r="G44" s="47">
        <f>G12+G38+G43</f>
        <v>21606520</v>
      </c>
      <c r="H44" s="47"/>
      <c r="I44" s="47">
        <f>I12+I38+I43</f>
        <v>21656520</v>
      </c>
      <c r="J44" s="47"/>
      <c r="K44" s="49"/>
      <c r="L44" s="47">
        <f>L12+L38+L43</f>
        <v>9361304</v>
      </c>
      <c r="M44" s="47"/>
      <c r="N44" s="47"/>
      <c r="O44" s="47"/>
      <c r="P44" s="314">
        <f>P12+P38+P43</f>
        <v>994329.14285714284</v>
      </c>
    </row>
    <row r="45" spans="2:16" ht="11.25" customHeight="1" x14ac:dyDescent="0.15"/>
  </sheetData>
  <mergeCells count="9">
    <mergeCell ref="J3:J4"/>
    <mergeCell ref="B39:B43"/>
    <mergeCell ref="B13:B38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80" customWidth="1"/>
    <col min="2" max="2" width="5.875" style="80" customWidth="1"/>
    <col min="3" max="3" width="10.625" style="80" customWidth="1"/>
    <col min="4" max="4" width="12.375" style="80" customWidth="1"/>
    <col min="5" max="5" width="14.625" style="80" customWidth="1"/>
    <col min="6" max="7" width="15.875" style="80" customWidth="1"/>
    <col min="8" max="8" width="10.875" style="80"/>
    <col min="9" max="9" width="11.375" style="80" bestFit="1" customWidth="1"/>
    <col min="10" max="10" width="13.375" style="80" customWidth="1"/>
    <col min="11" max="11" width="7.125" style="80" customWidth="1"/>
    <col min="12" max="12" width="15.375" style="80" customWidth="1"/>
    <col min="13" max="13" width="9.375" style="80" bestFit="1" customWidth="1"/>
    <col min="14" max="14" width="10.875" style="80"/>
    <col min="15" max="15" width="7.25" style="80" customWidth="1"/>
    <col min="16" max="16" width="9.625" style="80" customWidth="1"/>
    <col min="17" max="17" width="10.875" style="80" customWidth="1"/>
    <col min="18" max="18" width="7.5" style="80" customWidth="1"/>
    <col min="19" max="19" width="3.75" style="80" customWidth="1"/>
    <col min="20" max="16384" width="10.875" style="80"/>
  </cols>
  <sheetData>
    <row r="1" spans="2:19" s="81" customFormat="1" ht="9.9499999999999993" customHeight="1" x14ac:dyDescent="0.1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2:19" s="81" customFormat="1" ht="24.95" customHeight="1" thickBot="1" x14ac:dyDescent="0.2">
      <c r="B2" s="3" t="s">
        <v>420</v>
      </c>
      <c r="H2" s="82" t="s">
        <v>189</v>
      </c>
      <c r="I2" s="3" t="s">
        <v>365</v>
      </c>
      <c r="K2" s="82" t="s">
        <v>190</v>
      </c>
      <c r="L2" s="390" t="s">
        <v>366</v>
      </c>
      <c r="N2" s="80"/>
      <c r="O2" s="80"/>
      <c r="Q2" s="4"/>
      <c r="R2" s="4"/>
    </row>
    <row r="3" spans="2:19" s="81" customFormat="1" ht="18" customHeight="1" x14ac:dyDescent="0.15">
      <c r="B3" s="738" t="s">
        <v>17</v>
      </c>
      <c r="C3" s="739"/>
      <c r="D3" s="739"/>
      <c r="E3" s="740"/>
      <c r="F3" s="114" t="s">
        <v>18</v>
      </c>
      <c r="G3" s="84"/>
      <c r="H3" s="85" t="s">
        <v>19</v>
      </c>
      <c r="I3" s="83"/>
      <c r="J3" s="83"/>
      <c r="K3" s="741" t="s">
        <v>158</v>
      </c>
      <c r="L3" s="742"/>
      <c r="M3" s="742"/>
      <c r="N3" s="742"/>
      <c r="O3" s="742"/>
      <c r="P3" s="742"/>
      <c r="Q3" s="742"/>
      <c r="R3" s="742"/>
      <c r="S3" s="743"/>
    </row>
    <row r="4" spans="2:19" s="81" customFormat="1" ht="18" customHeight="1" x14ac:dyDescent="0.15">
      <c r="B4" s="736" t="s">
        <v>20</v>
      </c>
      <c r="C4" s="737"/>
      <c r="D4" s="174" t="s">
        <v>153</v>
      </c>
      <c r="E4" s="182"/>
      <c r="F4" s="370">
        <f>$R$11</f>
        <v>5076280</v>
      </c>
      <c r="G4" s="332" t="s">
        <v>346</v>
      </c>
      <c r="H4" s="375"/>
      <c r="I4" s="375"/>
      <c r="J4" s="96"/>
      <c r="K4" s="263" t="s">
        <v>214</v>
      </c>
      <c r="L4" s="264" t="s">
        <v>215</v>
      </c>
      <c r="M4" s="180" t="s">
        <v>21</v>
      </c>
      <c r="N4" s="180" t="s">
        <v>20</v>
      </c>
      <c r="O4" s="264" t="s">
        <v>214</v>
      </c>
      <c r="P4" s="264" t="s">
        <v>216</v>
      </c>
      <c r="Q4" s="180" t="s">
        <v>21</v>
      </c>
      <c r="R4" s="729" t="s">
        <v>20</v>
      </c>
      <c r="S4" s="730"/>
    </row>
    <row r="5" spans="2:19" s="81" customFormat="1" ht="18" customHeight="1" x14ac:dyDescent="0.15">
      <c r="B5" s="736"/>
      <c r="C5" s="737"/>
      <c r="D5" s="174" t="s">
        <v>70</v>
      </c>
      <c r="E5" s="182"/>
      <c r="F5" s="370"/>
      <c r="G5" s="332"/>
      <c r="H5" s="375"/>
      <c r="I5" s="375"/>
      <c r="J5" s="183"/>
      <c r="K5" s="364">
        <v>11</v>
      </c>
      <c r="L5" s="332">
        <v>5800</v>
      </c>
      <c r="M5" s="332">
        <f>'[1]９　単価'!M11</f>
        <v>110</v>
      </c>
      <c r="N5" s="370">
        <f t="shared" ref="N5:N10" si="0">L5*M5</f>
        <v>638000</v>
      </c>
      <c r="O5" s="181"/>
      <c r="P5" s="181"/>
      <c r="Q5" s="181"/>
      <c r="R5" s="711"/>
      <c r="S5" s="704"/>
    </row>
    <row r="6" spans="2:19" s="81" customFormat="1" ht="18" customHeight="1" x14ac:dyDescent="0.15">
      <c r="B6" s="750" t="s">
        <v>156</v>
      </c>
      <c r="C6" s="753" t="s">
        <v>237</v>
      </c>
      <c r="D6" s="181" t="s">
        <v>44</v>
      </c>
      <c r="E6" s="184"/>
      <c r="F6" s="181">
        <f>+P13</f>
        <v>234422</v>
      </c>
      <c r="G6" s="154" t="s">
        <v>145</v>
      </c>
      <c r="H6" s="183"/>
      <c r="I6" s="183"/>
      <c r="J6" s="183"/>
      <c r="K6" s="364">
        <v>12</v>
      </c>
      <c r="L6" s="332">
        <v>5800</v>
      </c>
      <c r="M6" s="332">
        <f>'[1]９　単価'!N11</f>
        <v>125.4</v>
      </c>
      <c r="N6" s="370">
        <f t="shared" si="0"/>
        <v>727320</v>
      </c>
      <c r="O6" s="181"/>
      <c r="P6" s="181"/>
      <c r="Q6" s="181"/>
      <c r="R6" s="711"/>
      <c r="S6" s="704"/>
    </row>
    <row r="7" spans="2:19" s="81" customFormat="1" ht="18" customHeight="1" x14ac:dyDescent="0.15">
      <c r="B7" s="751"/>
      <c r="C7" s="754"/>
      <c r="D7" s="181" t="s">
        <v>45</v>
      </c>
      <c r="E7" s="184"/>
      <c r="F7" s="181">
        <f>P22</f>
        <v>79326.8</v>
      </c>
      <c r="G7" s="174" t="s">
        <v>415</v>
      </c>
      <c r="H7" s="96"/>
      <c r="I7" s="96"/>
      <c r="J7" s="185"/>
      <c r="K7" s="364">
        <v>3</v>
      </c>
      <c r="L7" s="332">
        <v>5800</v>
      </c>
      <c r="M7" s="332">
        <f>'[1]９　単価'!E11</f>
        <v>141.19999999999999</v>
      </c>
      <c r="N7" s="370">
        <f t="shared" si="0"/>
        <v>818959.99999999988</v>
      </c>
      <c r="O7" s="181"/>
      <c r="P7" s="181"/>
      <c r="Q7" s="181"/>
      <c r="R7" s="711"/>
      <c r="S7" s="704"/>
    </row>
    <row r="8" spans="2:19" s="81" customFormat="1" ht="18" customHeight="1" x14ac:dyDescent="0.15">
      <c r="B8" s="751"/>
      <c r="C8" s="754"/>
      <c r="D8" s="181" t="s">
        <v>46</v>
      </c>
      <c r="E8" s="184"/>
      <c r="F8" s="181">
        <f>P28</f>
        <v>184678.91999999998</v>
      </c>
      <c r="G8" s="156" t="s">
        <v>416</v>
      </c>
      <c r="H8" s="163"/>
      <c r="I8" s="163"/>
      <c r="J8" s="186"/>
      <c r="K8" s="364">
        <v>4</v>
      </c>
      <c r="L8" s="332">
        <v>8000</v>
      </c>
      <c r="M8" s="332">
        <f>'[1]９　単価'!F11</f>
        <v>141.6</v>
      </c>
      <c r="N8" s="370">
        <f t="shared" si="0"/>
        <v>1132800</v>
      </c>
      <c r="O8" s="181"/>
      <c r="P8" s="181"/>
      <c r="Q8" s="181"/>
      <c r="R8" s="711"/>
      <c r="S8" s="704"/>
    </row>
    <row r="9" spans="2:19" s="81" customFormat="1" ht="18" customHeight="1" x14ac:dyDescent="0.15">
      <c r="B9" s="751"/>
      <c r="C9" s="754"/>
      <c r="D9" s="181" t="s">
        <v>71</v>
      </c>
      <c r="E9" s="184"/>
      <c r="F9" s="181">
        <f>P37</f>
        <v>841650</v>
      </c>
      <c r="G9" s="156" t="s">
        <v>417</v>
      </c>
      <c r="H9" s="163"/>
      <c r="I9" s="163"/>
      <c r="J9" s="186"/>
      <c r="K9" s="364">
        <v>5</v>
      </c>
      <c r="L9" s="332">
        <v>11600</v>
      </c>
      <c r="M9" s="370">
        <f>'[1]９　単価'!G11</f>
        <v>125.4</v>
      </c>
      <c r="N9" s="370">
        <f t="shared" si="0"/>
        <v>1454640</v>
      </c>
      <c r="O9" s="181"/>
      <c r="P9" s="181"/>
      <c r="Q9" s="181"/>
      <c r="R9" s="711"/>
      <c r="S9" s="704"/>
    </row>
    <row r="10" spans="2:19" s="81" customFormat="1" ht="18" customHeight="1" x14ac:dyDescent="0.15">
      <c r="B10" s="751"/>
      <c r="C10" s="754"/>
      <c r="D10" s="181" t="s">
        <v>47</v>
      </c>
      <c r="E10" s="184"/>
      <c r="F10" s="181">
        <f>'８　経費算出基礎'!V20</f>
        <v>190490.47619047618</v>
      </c>
      <c r="G10" s="702"/>
      <c r="H10" s="703"/>
      <c r="I10" s="703"/>
      <c r="J10" s="704"/>
      <c r="K10" s="364">
        <v>6</v>
      </c>
      <c r="L10" s="332">
        <v>3600</v>
      </c>
      <c r="M10" s="370">
        <f>'[1]９　単価'!H11</f>
        <v>84.6</v>
      </c>
      <c r="N10" s="370">
        <f t="shared" si="0"/>
        <v>304560</v>
      </c>
      <c r="O10" s="181"/>
      <c r="P10" s="181"/>
      <c r="Q10" s="181"/>
      <c r="R10" s="711"/>
      <c r="S10" s="704"/>
    </row>
    <row r="11" spans="2:19" s="81" customFormat="1" ht="18" customHeight="1" thickBot="1" x14ac:dyDescent="0.2">
      <c r="B11" s="751"/>
      <c r="C11" s="754"/>
      <c r="D11" s="181" t="s">
        <v>4</v>
      </c>
      <c r="E11" s="184"/>
      <c r="F11" s="181">
        <f>'８　経費算出基礎'!V34</f>
        <v>6280</v>
      </c>
      <c r="G11" s="702"/>
      <c r="H11" s="703"/>
      <c r="I11" s="703"/>
      <c r="J11" s="704"/>
      <c r="K11" s="102"/>
      <c r="L11" s="87"/>
      <c r="M11" s="87"/>
      <c r="N11" s="86">
        <f t="shared" ref="N11" si="1">L11*M11</f>
        <v>0</v>
      </c>
      <c r="O11" s="88" t="s">
        <v>22</v>
      </c>
      <c r="P11" s="89">
        <f>SUM(L5:L11,P5:Q10)</f>
        <v>40600</v>
      </c>
      <c r="Q11" s="90">
        <f>R11/P11</f>
        <v>125.03152709359605</v>
      </c>
      <c r="R11" s="731">
        <f>SUM(N5:N11,R5:S10)</f>
        <v>5076280</v>
      </c>
      <c r="S11" s="732"/>
    </row>
    <row r="12" spans="2:19" s="81" customFormat="1" ht="18" customHeight="1" thickTop="1" x14ac:dyDescent="0.15">
      <c r="B12" s="751"/>
      <c r="C12" s="754"/>
      <c r="D12" s="181" t="s">
        <v>5</v>
      </c>
      <c r="E12" s="184"/>
      <c r="F12" s="181"/>
      <c r="G12" s="156"/>
      <c r="H12" s="163"/>
      <c r="I12" s="163"/>
      <c r="J12" s="186"/>
      <c r="K12" s="714" t="s">
        <v>157</v>
      </c>
      <c r="L12" s="176" t="s">
        <v>118</v>
      </c>
      <c r="M12" s="177" t="s">
        <v>7</v>
      </c>
      <c r="N12" s="270" t="s">
        <v>218</v>
      </c>
      <c r="O12" s="178" t="s">
        <v>21</v>
      </c>
      <c r="P12" s="178" t="s">
        <v>24</v>
      </c>
      <c r="Q12" s="733" t="s">
        <v>25</v>
      </c>
      <c r="R12" s="734"/>
      <c r="S12" s="735"/>
    </row>
    <row r="13" spans="2:19" s="81" customFormat="1" ht="18" customHeight="1" x14ac:dyDescent="0.15">
      <c r="B13" s="751"/>
      <c r="C13" s="754"/>
      <c r="D13" s="759" t="s">
        <v>48</v>
      </c>
      <c r="E13" s="187" t="s">
        <v>143</v>
      </c>
      <c r="F13" s="370">
        <f>'[1]６　固定資本装備と減価償却費'!L14*0.01</f>
        <v>74140</v>
      </c>
      <c r="G13" s="156" t="s">
        <v>146</v>
      </c>
      <c r="H13" s="481">
        <v>0.01</v>
      </c>
      <c r="I13" s="712" t="s">
        <v>148</v>
      </c>
      <c r="J13" s="713"/>
      <c r="K13" s="715"/>
      <c r="L13" s="252" t="s">
        <v>430</v>
      </c>
      <c r="M13" s="269"/>
      <c r="N13" s="116"/>
      <c r="O13" s="116"/>
      <c r="P13" s="116">
        <v>234422</v>
      </c>
      <c r="Q13" s="705"/>
      <c r="R13" s="706"/>
      <c r="S13" s="707"/>
    </row>
    <row r="14" spans="2:19" s="81" customFormat="1" ht="18" customHeight="1" x14ac:dyDescent="0.15">
      <c r="B14" s="751"/>
      <c r="C14" s="754"/>
      <c r="D14" s="760"/>
      <c r="E14" s="187" t="s">
        <v>144</v>
      </c>
      <c r="F14" s="370">
        <f>'[1]６　固定資本装備と減価償却費'!L24*0.05</f>
        <v>99065.200000000012</v>
      </c>
      <c r="G14" s="156" t="s">
        <v>146</v>
      </c>
      <c r="H14" s="481">
        <v>0.05</v>
      </c>
      <c r="I14" s="712" t="s">
        <v>148</v>
      </c>
      <c r="J14" s="713"/>
      <c r="K14" s="715"/>
      <c r="L14" s="179"/>
      <c r="M14" s="175"/>
      <c r="N14" s="116"/>
      <c r="O14" s="116"/>
      <c r="P14" s="116"/>
      <c r="Q14" s="705"/>
      <c r="R14" s="706"/>
      <c r="S14" s="707"/>
    </row>
    <row r="15" spans="2:19" s="81" customFormat="1" ht="18" customHeight="1" thickBot="1" x14ac:dyDescent="0.2">
      <c r="B15" s="751"/>
      <c r="C15" s="754"/>
      <c r="D15" s="759" t="s">
        <v>72</v>
      </c>
      <c r="E15" s="187" t="s">
        <v>143</v>
      </c>
      <c r="F15" s="370">
        <f>'[1]６　固定資本装備と減価償却費'!P14</f>
        <v>705700</v>
      </c>
      <c r="G15" s="156" t="s">
        <v>148</v>
      </c>
      <c r="H15" s="163"/>
      <c r="I15" s="163"/>
      <c r="J15" s="186"/>
      <c r="K15" s="715"/>
      <c r="L15" s="94" t="s">
        <v>26</v>
      </c>
      <c r="M15" s="93"/>
      <c r="N15" s="94"/>
      <c r="O15" s="94"/>
      <c r="P15" s="94">
        <f>SUM(P13:P14)</f>
        <v>234422</v>
      </c>
      <c r="Q15" s="717"/>
      <c r="R15" s="718"/>
      <c r="S15" s="719"/>
    </row>
    <row r="16" spans="2:19" s="81" customFormat="1" ht="18" customHeight="1" thickTop="1" x14ac:dyDescent="0.15">
      <c r="B16" s="751"/>
      <c r="C16" s="754"/>
      <c r="D16" s="761"/>
      <c r="E16" s="187" t="s">
        <v>144</v>
      </c>
      <c r="F16" s="370">
        <f>'[1]６　固定資本装備と減価償却費'!P24</f>
        <v>293757.71428571426</v>
      </c>
      <c r="G16" s="156" t="s">
        <v>148</v>
      </c>
      <c r="H16" s="163"/>
      <c r="I16" s="163"/>
      <c r="J16" s="186"/>
      <c r="K16" s="715"/>
      <c r="L16" s="170" t="s">
        <v>119</v>
      </c>
      <c r="M16" s="171"/>
      <c r="N16" s="271" t="s">
        <v>218</v>
      </c>
      <c r="O16" s="172" t="s">
        <v>21</v>
      </c>
      <c r="P16" s="173" t="s">
        <v>24</v>
      </c>
      <c r="Q16" s="723" t="s">
        <v>25</v>
      </c>
      <c r="R16" s="724"/>
      <c r="S16" s="725"/>
    </row>
    <row r="17" spans="1:19" s="81" customFormat="1" ht="18" customHeight="1" x14ac:dyDescent="0.15">
      <c r="B17" s="751"/>
      <c r="C17" s="754"/>
      <c r="D17" s="760"/>
      <c r="E17" s="181" t="s">
        <v>49</v>
      </c>
      <c r="F17" s="181"/>
      <c r="G17" s="156" t="s">
        <v>148</v>
      </c>
      <c r="H17" s="163"/>
      <c r="I17" s="163"/>
      <c r="J17" s="186"/>
      <c r="K17" s="715"/>
      <c r="L17" s="332" t="s">
        <v>125</v>
      </c>
      <c r="M17" s="371"/>
      <c r="N17" s="372" t="s">
        <v>336</v>
      </c>
      <c r="O17" s="332"/>
      <c r="P17" s="370">
        <f>'[1]８　算出基礎（農薬費・燃料費）'!$G$9</f>
        <v>42000</v>
      </c>
      <c r="Q17" s="708"/>
      <c r="R17" s="709"/>
      <c r="S17" s="710"/>
    </row>
    <row r="18" spans="1:19" s="81" customFormat="1" ht="18" customHeight="1" x14ac:dyDescent="0.15">
      <c r="A18" s="80"/>
      <c r="B18" s="751"/>
      <c r="C18" s="754"/>
      <c r="D18" s="181" t="s">
        <v>50</v>
      </c>
      <c r="E18" s="184"/>
      <c r="F18" s="370">
        <v>3000</v>
      </c>
      <c r="G18" s="370"/>
      <c r="H18" s="375"/>
      <c r="I18" s="482" t="s">
        <v>347</v>
      </c>
      <c r="J18" s="186"/>
      <c r="K18" s="715"/>
      <c r="L18" s="332" t="s">
        <v>123</v>
      </c>
      <c r="M18" s="371"/>
      <c r="N18" s="372" t="s">
        <v>336</v>
      </c>
      <c r="O18" s="332"/>
      <c r="P18" s="370">
        <f>'[1]８　算出基礎（農薬費・燃料費）'!$G$15</f>
        <v>4270</v>
      </c>
      <c r="Q18" s="708"/>
      <c r="R18" s="709"/>
      <c r="S18" s="710"/>
    </row>
    <row r="19" spans="1:19" s="81" customFormat="1" ht="18" customHeight="1" x14ac:dyDescent="0.15">
      <c r="A19" s="80"/>
      <c r="B19" s="751"/>
      <c r="C19" s="754"/>
      <c r="D19" s="181" t="s">
        <v>122</v>
      </c>
      <c r="E19" s="184"/>
      <c r="F19" s="370">
        <v>26610</v>
      </c>
      <c r="G19" s="370" t="s">
        <v>348</v>
      </c>
      <c r="H19" s="375"/>
      <c r="I19" s="95"/>
      <c r="J19" s="6"/>
      <c r="K19" s="715"/>
      <c r="L19" s="337" t="s">
        <v>124</v>
      </c>
      <c r="M19" s="371"/>
      <c r="N19" s="372" t="s">
        <v>337</v>
      </c>
      <c r="O19" s="332"/>
      <c r="P19" s="370">
        <f>'[1]８　算出基礎（農薬費・燃料費）'!$G$19</f>
        <v>33056.800000000003</v>
      </c>
      <c r="Q19" s="708"/>
      <c r="R19" s="709"/>
      <c r="S19" s="710"/>
    </row>
    <row r="20" spans="1:19" s="81" customFormat="1" ht="18" customHeight="1" x14ac:dyDescent="0.15">
      <c r="A20" s="80"/>
      <c r="B20" s="751"/>
      <c r="C20" s="755"/>
      <c r="D20" s="748" t="s">
        <v>152</v>
      </c>
      <c r="E20" s="749"/>
      <c r="F20" s="376">
        <f>SUM(F6:F18)</f>
        <v>2712511.1104761902</v>
      </c>
      <c r="G20" s="370"/>
      <c r="H20" s="375"/>
      <c r="I20" s="95"/>
      <c r="J20" s="98"/>
      <c r="K20" s="715"/>
      <c r="L20" s="156"/>
      <c r="M20" s="163"/>
      <c r="N20" s="156"/>
      <c r="O20" s="167"/>
      <c r="P20" s="165"/>
      <c r="Q20" s="708"/>
      <c r="R20" s="709"/>
      <c r="S20" s="710"/>
    </row>
    <row r="21" spans="1:19" s="81" customFormat="1" ht="18" customHeight="1" x14ac:dyDescent="0.15">
      <c r="A21" s="80"/>
      <c r="B21" s="751"/>
      <c r="C21" s="756" t="s">
        <v>147</v>
      </c>
      <c r="D21" s="744" t="s">
        <v>51</v>
      </c>
      <c r="E21" s="19" t="s">
        <v>1</v>
      </c>
      <c r="F21" s="377">
        <f>40600/30*260+18400</f>
        <v>370266.66666666663</v>
      </c>
      <c r="G21" s="699" t="s">
        <v>349</v>
      </c>
      <c r="H21" s="699"/>
      <c r="I21" s="699"/>
      <c r="J21" s="699"/>
      <c r="K21" s="715"/>
      <c r="L21" s="156"/>
      <c r="M21" s="163"/>
      <c r="N21" s="156"/>
      <c r="O21" s="165"/>
      <c r="P21" s="165"/>
      <c r="Q21" s="708"/>
      <c r="R21" s="709"/>
      <c r="S21" s="710"/>
    </row>
    <row r="22" spans="1:19" s="81" customFormat="1" ht="18" customHeight="1" thickBot="1" x14ac:dyDescent="0.2">
      <c r="A22" s="80"/>
      <c r="B22" s="751"/>
      <c r="C22" s="757"/>
      <c r="D22" s="612"/>
      <c r="E22" s="19" t="s">
        <v>2</v>
      </c>
      <c r="F22" s="377">
        <f>P11/30*150</f>
        <v>203000</v>
      </c>
      <c r="G22" s="378" t="s">
        <v>411</v>
      </c>
      <c r="H22" s="375"/>
      <c r="I22" s="375"/>
      <c r="J22" s="375"/>
      <c r="K22" s="715"/>
      <c r="L22" s="94" t="s">
        <v>26</v>
      </c>
      <c r="M22" s="93"/>
      <c r="N22" s="94"/>
      <c r="O22" s="94"/>
      <c r="P22" s="94">
        <f>SUM(P17:P21)</f>
        <v>79326.8</v>
      </c>
      <c r="Q22" s="717"/>
      <c r="R22" s="718"/>
      <c r="S22" s="719"/>
    </row>
    <row r="23" spans="1:19" s="81" customFormat="1" ht="18" customHeight="1" thickTop="1" x14ac:dyDescent="0.15">
      <c r="A23" s="80"/>
      <c r="B23" s="751"/>
      <c r="C23" s="757"/>
      <c r="D23" s="745"/>
      <c r="E23" s="19" t="s">
        <v>6</v>
      </c>
      <c r="F23" s="377">
        <f>F4*0.135</f>
        <v>685297.8</v>
      </c>
      <c r="G23" s="378" t="s">
        <v>350</v>
      </c>
      <c r="H23" s="375"/>
      <c r="I23" s="375"/>
      <c r="J23" s="375"/>
      <c r="K23" s="715"/>
      <c r="L23" s="156" t="s">
        <v>120</v>
      </c>
      <c r="M23" s="163"/>
      <c r="N23" s="164" t="s">
        <v>23</v>
      </c>
      <c r="O23" s="164" t="s">
        <v>21</v>
      </c>
      <c r="P23" s="164" t="s">
        <v>24</v>
      </c>
      <c r="Q23" s="723" t="s">
        <v>25</v>
      </c>
      <c r="R23" s="724"/>
      <c r="S23" s="725"/>
    </row>
    <row r="24" spans="1:19" s="81" customFormat="1" ht="18" customHeight="1" x14ac:dyDescent="0.15">
      <c r="A24" s="80"/>
      <c r="B24" s="751"/>
      <c r="C24" s="757"/>
      <c r="D24" s="19" t="s">
        <v>220</v>
      </c>
      <c r="E24" s="26"/>
      <c r="F24" s="115"/>
      <c r="G24" s="174"/>
      <c r="H24" s="189"/>
      <c r="I24" s="190"/>
      <c r="J24" s="188"/>
      <c r="K24" s="715"/>
      <c r="L24" s="370" t="s">
        <v>27</v>
      </c>
      <c r="M24" s="371"/>
      <c r="N24" s="373" t="s">
        <v>337</v>
      </c>
      <c r="O24" s="370"/>
      <c r="P24" s="370">
        <f>'[1]８　算出基礎（農薬費・燃料費）'!$G$30</f>
        <v>96294</v>
      </c>
      <c r="Q24" s="708"/>
      <c r="R24" s="709"/>
      <c r="S24" s="710"/>
    </row>
    <row r="25" spans="1:19" s="81" customFormat="1" ht="18" customHeight="1" x14ac:dyDescent="0.15">
      <c r="A25" s="80"/>
      <c r="B25" s="751"/>
      <c r="C25" s="757"/>
      <c r="D25" s="19" t="s">
        <v>73</v>
      </c>
      <c r="E25" s="26"/>
      <c r="F25" s="115"/>
      <c r="G25" s="174"/>
      <c r="H25" s="191"/>
      <c r="I25" s="192"/>
      <c r="J25" s="193"/>
      <c r="K25" s="715"/>
      <c r="L25" s="374" t="s">
        <v>338</v>
      </c>
      <c r="M25" s="371"/>
      <c r="N25" s="373" t="s">
        <v>339</v>
      </c>
      <c r="O25" s="370"/>
      <c r="P25" s="370">
        <f>'[1]８　算出基礎（農薬費・燃料費）'!$G$36</f>
        <v>88384.92</v>
      </c>
      <c r="Q25" s="708"/>
      <c r="R25" s="709"/>
      <c r="S25" s="710"/>
    </row>
    <row r="26" spans="1:19" s="81" customFormat="1" ht="18" customHeight="1" x14ac:dyDescent="0.15">
      <c r="A26" s="80"/>
      <c r="B26" s="751"/>
      <c r="C26" s="757"/>
      <c r="D26" s="19" t="s">
        <v>95</v>
      </c>
      <c r="E26" s="20"/>
      <c r="F26" s="332">
        <f>'[1]８　算出基礎（農薬費・燃料費）'!$V$51</f>
        <v>44140</v>
      </c>
      <c r="G26" s="700"/>
      <c r="H26" s="701"/>
      <c r="I26" s="701"/>
      <c r="J26" s="701"/>
      <c r="K26" s="715"/>
      <c r="L26" s="374" t="s">
        <v>340</v>
      </c>
      <c r="M26" s="371"/>
      <c r="N26" s="372"/>
      <c r="O26" s="332"/>
      <c r="P26" s="370"/>
      <c r="Q26" s="708"/>
      <c r="R26" s="709"/>
      <c r="S26" s="710"/>
    </row>
    <row r="27" spans="1:19" s="81" customFormat="1" ht="18" customHeight="1" x14ac:dyDescent="0.15">
      <c r="A27" s="80"/>
      <c r="B27" s="751"/>
      <c r="C27" s="757"/>
      <c r="D27" s="27" t="s">
        <v>74</v>
      </c>
      <c r="E27" s="28"/>
      <c r="F27" s="332"/>
      <c r="G27" s="379"/>
      <c r="H27" s="380"/>
      <c r="I27" s="380"/>
      <c r="J27" s="380"/>
      <c r="K27" s="715"/>
      <c r="L27" s="374" t="s">
        <v>341</v>
      </c>
      <c r="M27" s="371"/>
      <c r="N27" s="372"/>
      <c r="O27" s="332"/>
      <c r="P27" s="370"/>
      <c r="Q27" s="708"/>
      <c r="R27" s="709"/>
      <c r="S27" s="710"/>
    </row>
    <row r="28" spans="1:19" s="81" customFormat="1" ht="18" customHeight="1" thickBot="1" x14ac:dyDescent="0.2">
      <c r="A28" s="80"/>
      <c r="B28" s="751"/>
      <c r="C28" s="757"/>
      <c r="D28" s="19" t="s">
        <v>52</v>
      </c>
      <c r="E28" s="20"/>
      <c r="F28" s="370">
        <f>'[1]８　算出基礎（農薬費・燃料費）'!$N$46</f>
        <v>129975.2</v>
      </c>
      <c r="G28" s="700"/>
      <c r="H28" s="701"/>
      <c r="I28" s="701"/>
      <c r="J28" s="701"/>
      <c r="K28" s="715"/>
      <c r="L28" s="94" t="s">
        <v>26</v>
      </c>
      <c r="M28" s="93"/>
      <c r="N28" s="94"/>
      <c r="O28" s="94"/>
      <c r="P28" s="94">
        <f>SUM(P24:P27)</f>
        <v>184678.91999999998</v>
      </c>
      <c r="Q28" s="717"/>
      <c r="R28" s="718"/>
      <c r="S28" s="719"/>
    </row>
    <row r="29" spans="1:19" s="81" customFormat="1" ht="18" customHeight="1" thickTop="1" x14ac:dyDescent="0.15">
      <c r="A29" s="80"/>
      <c r="B29" s="751"/>
      <c r="C29" s="757"/>
      <c r="D29" s="19" t="s">
        <v>221</v>
      </c>
      <c r="E29" s="26"/>
      <c r="F29" s="332">
        <f>SUM(F21:F28)*0.01</f>
        <v>14326.796666666667</v>
      </c>
      <c r="G29" s="332" t="s">
        <v>351</v>
      </c>
      <c r="H29" s="375"/>
      <c r="I29" s="375"/>
      <c r="J29" s="162"/>
      <c r="K29" s="715"/>
      <c r="L29" s="156" t="s">
        <v>121</v>
      </c>
      <c r="M29" s="163"/>
      <c r="N29" s="164" t="s">
        <v>23</v>
      </c>
      <c r="O29" s="164" t="s">
        <v>21</v>
      </c>
      <c r="P29" s="164" t="s">
        <v>24</v>
      </c>
      <c r="Q29" s="723" t="s">
        <v>25</v>
      </c>
      <c r="R29" s="724"/>
      <c r="S29" s="725"/>
    </row>
    <row r="30" spans="1:19" s="81" customFormat="1" ht="18" customHeight="1" thickBot="1" x14ac:dyDescent="0.2">
      <c r="A30" s="80"/>
      <c r="B30" s="752"/>
      <c r="C30" s="758"/>
      <c r="D30" s="746" t="s">
        <v>151</v>
      </c>
      <c r="E30" s="747"/>
      <c r="F30" s="157">
        <f>SUM(F21:F29)</f>
        <v>1447006.4633333334</v>
      </c>
      <c r="G30" s="158"/>
      <c r="H30" s="159"/>
      <c r="I30" s="160"/>
      <c r="J30" s="161"/>
      <c r="K30" s="715"/>
      <c r="L30" s="370" t="s">
        <v>342</v>
      </c>
      <c r="M30" s="371" t="s">
        <v>343</v>
      </c>
      <c r="N30" s="332"/>
      <c r="O30" s="372"/>
      <c r="P30" s="370">
        <f>'[1]８　算出基礎（農薬費・燃料費）'!$N$15</f>
        <v>15840.000000000002</v>
      </c>
      <c r="Q30" s="726"/>
      <c r="R30" s="727"/>
      <c r="S30" s="728"/>
    </row>
    <row r="31" spans="1:19" s="81" customFormat="1" ht="18" customHeight="1" x14ac:dyDescent="0.15">
      <c r="A31" s="80"/>
      <c r="B31" s="104"/>
      <c r="C31" s="100"/>
      <c r="D31" s="100"/>
      <c r="E31" s="100"/>
      <c r="F31" s="100"/>
      <c r="G31" s="100"/>
      <c r="H31" s="100"/>
      <c r="I31" s="100"/>
      <c r="J31" s="100"/>
      <c r="K31" s="715"/>
      <c r="L31" s="332" t="s">
        <v>135</v>
      </c>
      <c r="M31" s="371" t="s">
        <v>343</v>
      </c>
      <c r="N31" s="332"/>
      <c r="O31" s="372"/>
      <c r="P31" s="370">
        <f>'[1]８　算出基礎（農薬費・燃料費）'!$N$19</f>
        <v>765750</v>
      </c>
      <c r="Q31" s="726"/>
      <c r="R31" s="727"/>
      <c r="S31" s="728"/>
    </row>
    <row r="32" spans="1:19" s="81" customFormat="1" ht="18" customHeight="1" x14ac:dyDescent="0.15">
      <c r="A32" s="80"/>
      <c r="B32" s="92"/>
      <c r="C32" s="110"/>
      <c r="D32" s="92"/>
      <c r="E32" s="92"/>
      <c r="F32" s="108"/>
      <c r="G32" s="108"/>
      <c r="H32" s="109"/>
      <c r="I32" s="100"/>
      <c r="J32" s="100"/>
      <c r="K32" s="715"/>
      <c r="L32" s="332" t="s">
        <v>344</v>
      </c>
      <c r="M32" s="371" t="s">
        <v>345</v>
      </c>
      <c r="N32" s="332"/>
      <c r="O32" s="372"/>
      <c r="P32" s="370">
        <f>'[1]８　算出基礎（農薬費・燃料費）'!$N$23</f>
        <v>60060</v>
      </c>
      <c r="Q32" s="168" t="s">
        <v>117</v>
      </c>
      <c r="R32" s="169">
        <v>0.3</v>
      </c>
      <c r="S32" s="97"/>
    </row>
    <row r="33" spans="1:23" ht="18" customHeight="1" x14ac:dyDescent="0.15">
      <c r="K33" s="715"/>
      <c r="L33" s="165"/>
      <c r="M33" s="166"/>
      <c r="N33" s="156"/>
      <c r="O33" s="167"/>
      <c r="P33" s="165"/>
      <c r="Q33" s="708"/>
      <c r="R33" s="709"/>
      <c r="S33" s="710"/>
    </row>
    <row r="34" spans="1:23" ht="18" customHeight="1" x14ac:dyDescent="0.15">
      <c r="K34" s="715"/>
      <c r="L34" s="165"/>
      <c r="M34" s="166"/>
      <c r="N34" s="156"/>
      <c r="O34" s="167"/>
      <c r="P34" s="165"/>
      <c r="Q34" s="708"/>
      <c r="R34" s="709"/>
      <c r="S34" s="710"/>
    </row>
    <row r="35" spans="1:23" ht="18" customHeight="1" x14ac:dyDescent="0.15">
      <c r="K35" s="715"/>
      <c r="L35" s="165"/>
      <c r="M35" s="166"/>
      <c r="N35" s="156"/>
      <c r="O35" s="167"/>
      <c r="P35" s="165"/>
      <c r="Q35" s="275"/>
      <c r="R35" s="276"/>
      <c r="S35" s="277"/>
    </row>
    <row r="36" spans="1:23" ht="18" customHeight="1" x14ac:dyDescent="0.15">
      <c r="K36" s="715"/>
      <c r="L36" s="165"/>
      <c r="M36" s="163"/>
      <c r="N36" s="156"/>
      <c r="O36" s="167"/>
      <c r="P36" s="165"/>
      <c r="Q36" s="708"/>
      <c r="R36" s="709"/>
      <c r="S36" s="710"/>
    </row>
    <row r="37" spans="1:23" ht="18" customHeight="1" thickBot="1" x14ac:dyDescent="0.2">
      <c r="K37" s="716"/>
      <c r="L37" s="106" t="s">
        <v>26</v>
      </c>
      <c r="M37" s="105"/>
      <c r="N37" s="106"/>
      <c r="O37" s="106"/>
      <c r="P37" s="106">
        <f>SUM(P30:P36)</f>
        <v>841650</v>
      </c>
      <c r="Q37" s="720"/>
      <c r="R37" s="721"/>
      <c r="S37" s="722"/>
    </row>
    <row r="38" spans="1:23" s="99" customFormat="1" ht="18" customHeight="1" x14ac:dyDescent="0.15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23" s="99" customFormat="1" ht="18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T39" s="100"/>
    </row>
    <row r="40" spans="1:23" s="99" customFormat="1" ht="18" customHeight="1" x14ac:dyDescent="0.15">
      <c r="A40" s="80"/>
      <c r="B40" s="80"/>
      <c r="C40" s="80"/>
      <c r="D40" s="80"/>
      <c r="E40" s="80"/>
      <c r="F40" s="80"/>
      <c r="G40" s="80"/>
      <c r="H40" s="80"/>
      <c r="I40" s="80"/>
      <c r="J40" s="80"/>
      <c r="T40" s="81"/>
      <c r="U40" s="81"/>
      <c r="V40" s="81"/>
      <c r="W40" s="81"/>
    </row>
    <row r="41" spans="1:23" s="99" customFormat="1" ht="18" customHeight="1" x14ac:dyDescent="0.15">
      <c r="A41" s="80"/>
      <c r="B41" s="80"/>
      <c r="C41" s="80"/>
      <c r="D41" s="80"/>
      <c r="E41" s="80"/>
      <c r="F41" s="80"/>
      <c r="G41" s="80"/>
      <c r="H41" s="80"/>
      <c r="I41" s="80"/>
      <c r="J41" s="80"/>
      <c r="T41" s="101"/>
      <c r="U41" s="102"/>
      <c r="V41" s="103"/>
      <c r="W41" s="101"/>
    </row>
    <row r="42" spans="1:23" s="99" customFormat="1" ht="18" customHeight="1" x14ac:dyDescent="0.15">
      <c r="A42" s="80"/>
      <c r="B42" s="80"/>
      <c r="C42" s="80"/>
      <c r="D42" s="80"/>
      <c r="E42" s="80"/>
      <c r="F42" s="80"/>
      <c r="G42" s="80"/>
      <c r="H42" s="80"/>
      <c r="I42" s="80"/>
      <c r="J42" s="80"/>
      <c r="T42" s="81"/>
      <c r="U42" s="81"/>
      <c r="V42" s="81"/>
      <c r="W42" s="81"/>
    </row>
    <row r="43" spans="1:23" s="99" customFormat="1" ht="18" customHeight="1" x14ac:dyDescent="0.15">
      <c r="B43" s="80"/>
      <c r="C43" s="80"/>
      <c r="D43" s="80"/>
      <c r="E43" s="80"/>
      <c r="F43" s="80"/>
      <c r="G43" s="80"/>
      <c r="H43" s="80"/>
      <c r="I43" s="80"/>
      <c r="J43" s="80"/>
      <c r="T43" s="82"/>
      <c r="U43" s="100"/>
      <c r="V43" s="81"/>
      <c r="W43" s="101"/>
    </row>
    <row r="44" spans="1:23" s="99" customFormat="1" ht="18" customHeight="1" x14ac:dyDescent="0.15">
      <c r="B44" s="80"/>
      <c r="C44" s="80"/>
      <c r="D44" s="80"/>
      <c r="E44" s="80"/>
      <c r="F44" s="80"/>
      <c r="G44" s="80"/>
      <c r="H44" s="80"/>
      <c r="I44" s="80"/>
      <c r="J44" s="80"/>
      <c r="T44" s="82"/>
      <c r="U44" s="100"/>
      <c r="V44" s="81"/>
      <c r="W44" s="101"/>
    </row>
    <row r="45" spans="1:23" s="99" customFormat="1" ht="18" customHeight="1" x14ac:dyDescent="0.15">
      <c r="B45" s="80"/>
      <c r="C45" s="80"/>
      <c r="D45" s="80"/>
      <c r="E45" s="80"/>
      <c r="F45" s="80"/>
      <c r="G45" s="80"/>
      <c r="H45" s="80"/>
      <c r="I45" s="80"/>
      <c r="J45" s="80"/>
      <c r="T45" s="81"/>
      <c r="U45" s="81"/>
      <c r="V45" s="102"/>
      <c r="W45" s="81"/>
    </row>
    <row r="46" spans="1:23" s="99" customFormat="1" x14ac:dyDescent="0.15">
      <c r="B46" s="80"/>
      <c r="C46" s="80"/>
      <c r="D46" s="80"/>
      <c r="E46" s="80"/>
      <c r="F46" s="80"/>
      <c r="G46" s="80"/>
      <c r="H46" s="80"/>
      <c r="I46" s="80"/>
      <c r="J46" s="80"/>
      <c r="T46" s="82"/>
      <c r="U46" s="81"/>
      <c r="V46" s="81"/>
      <c r="W46" s="101"/>
    </row>
    <row r="47" spans="1:23" s="99" customFormat="1" x14ac:dyDescent="0.15">
      <c r="B47" s="80"/>
      <c r="C47" s="80"/>
      <c r="D47" s="80"/>
      <c r="E47" s="80"/>
      <c r="F47" s="80"/>
      <c r="G47" s="80"/>
      <c r="H47" s="80"/>
      <c r="I47" s="80"/>
      <c r="J47" s="80"/>
      <c r="T47" s="82"/>
      <c r="U47" s="81"/>
      <c r="V47" s="81"/>
      <c r="W47" s="101"/>
    </row>
    <row r="48" spans="1:23" s="99" customFormat="1" x14ac:dyDescent="0.15">
      <c r="B48" s="80"/>
      <c r="C48" s="80"/>
      <c r="D48" s="80"/>
      <c r="E48" s="80"/>
      <c r="F48" s="80"/>
      <c r="G48" s="80"/>
      <c r="H48" s="80"/>
      <c r="I48" s="80"/>
      <c r="J48" s="80"/>
      <c r="T48" s="82"/>
      <c r="U48" s="81"/>
      <c r="V48" s="81"/>
      <c r="W48" s="101"/>
    </row>
    <row r="49" spans="2:23" s="99" customFormat="1" x14ac:dyDescent="0.15">
      <c r="B49" s="80"/>
      <c r="C49" s="80"/>
      <c r="D49" s="80"/>
      <c r="E49" s="80"/>
      <c r="F49" s="80"/>
      <c r="G49" s="80"/>
      <c r="H49" s="80"/>
      <c r="I49" s="80"/>
      <c r="J49" s="80"/>
      <c r="T49" s="82"/>
      <c r="U49" s="81"/>
      <c r="V49" s="81"/>
      <c r="W49" s="101"/>
    </row>
    <row r="50" spans="2:23" s="99" customFormat="1" x14ac:dyDescent="0.15">
      <c r="B50" s="80"/>
      <c r="C50" s="80"/>
      <c r="D50" s="80"/>
      <c r="E50" s="80"/>
      <c r="F50" s="80"/>
      <c r="G50" s="80"/>
      <c r="H50" s="80"/>
      <c r="I50" s="80"/>
      <c r="J50" s="80"/>
      <c r="T50" s="82"/>
      <c r="U50" s="82"/>
      <c r="V50" s="82"/>
      <c r="W50" s="81"/>
    </row>
    <row r="51" spans="2:23" s="99" customFormat="1" ht="13.5" customHeight="1" x14ac:dyDescent="0.15">
      <c r="B51" s="80"/>
      <c r="C51" s="80"/>
      <c r="D51" s="80"/>
      <c r="E51" s="80"/>
      <c r="F51" s="80"/>
      <c r="G51" s="80"/>
      <c r="H51" s="80"/>
      <c r="I51" s="80"/>
      <c r="J51" s="80"/>
      <c r="T51" s="81"/>
      <c r="U51" s="81"/>
      <c r="V51" s="81"/>
      <c r="W51" s="102"/>
    </row>
    <row r="52" spans="2:23" s="99" customFormat="1" x14ac:dyDescent="0.15">
      <c r="B52" s="80"/>
      <c r="C52" s="80"/>
      <c r="D52" s="80"/>
      <c r="E52" s="80"/>
      <c r="F52" s="80"/>
      <c r="G52" s="80"/>
      <c r="H52" s="80"/>
      <c r="I52" s="80"/>
      <c r="J52" s="80"/>
      <c r="T52" s="101"/>
      <c r="U52" s="81"/>
      <c r="V52" s="102"/>
      <c r="W52" s="101"/>
    </row>
    <row r="53" spans="2:23" s="99" customFormat="1" x14ac:dyDescent="0.15">
      <c r="B53" s="80"/>
      <c r="C53" s="80"/>
      <c r="D53" s="80"/>
      <c r="E53" s="80"/>
      <c r="F53" s="80"/>
      <c r="G53" s="80"/>
      <c r="H53" s="80"/>
      <c r="I53" s="80"/>
      <c r="J53" s="80"/>
      <c r="T53" s="81"/>
      <c r="U53" s="81"/>
      <c r="V53" s="81"/>
      <c r="W53" s="81"/>
    </row>
    <row r="54" spans="2:23" s="99" customFormat="1" ht="13.5" customHeight="1" x14ac:dyDescent="0.15">
      <c r="B54" s="80"/>
      <c r="C54" s="80"/>
      <c r="D54" s="80"/>
      <c r="E54" s="80"/>
      <c r="F54" s="80"/>
      <c r="G54" s="80"/>
      <c r="H54" s="80"/>
      <c r="I54" s="80"/>
      <c r="J54" s="80"/>
      <c r="T54" s="82"/>
      <c r="U54" s="81"/>
      <c r="V54" s="82"/>
      <c r="W54" s="101"/>
    </row>
    <row r="55" spans="2:23" s="99" customFormat="1" x14ac:dyDescent="0.15">
      <c r="B55" s="80"/>
      <c r="C55" s="80"/>
      <c r="D55" s="80"/>
      <c r="E55" s="80"/>
      <c r="F55" s="80"/>
      <c r="G55" s="80"/>
      <c r="H55" s="80"/>
      <c r="I55" s="80"/>
      <c r="J55" s="80"/>
      <c r="T55" s="111"/>
      <c r="U55" s="81"/>
      <c r="V55" s="81"/>
      <c r="W55" s="101"/>
    </row>
    <row r="56" spans="2:23" s="99" customFormat="1" x14ac:dyDescent="0.15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1"/>
      <c r="U56" s="82"/>
      <c r="V56" s="81"/>
      <c r="W56" s="81"/>
    </row>
    <row r="57" spans="2:23" s="99" customFormat="1" x14ac:dyDescent="0.15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00"/>
      <c r="U57" s="100"/>
      <c r="V57" s="100"/>
      <c r="W57" s="100"/>
    </row>
    <row r="58" spans="2:23" s="99" customFormat="1" x14ac:dyDescent="0.15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00"/>
    </row>
    <row r="59" spans="2:23" s="99" customFormat="1" x14ac:dyDescent="0.15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100"/>
    </row>
    <row r="60" spans="2:23" s="99" customFormat="1" x14ac:dyDescent="0.15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100"/>
    </row>
    <row r="61" spans="2:23" s="99" customFormat="1" x14ac:dyDescent="0.15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</row>
    <row r="62" spans="2:23" s="99" customFormat="1" x14ac:dyDescent="0.15"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</row>
    <row r="63" spans="2:23" s="99" customFormat="1" ht="13.5" customHeight="1" x14ac:dyDescent="0.15"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</row>
    <row r="64" spans="2:23" s="99" customFormat="1" ht="13.5" customHeight="1" x14ac:dyDescent="0.15"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</row>
    <row r="65" spans="2:19" s="99" customFormat="1" x14ac:dyDescent="0.15"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</row>
    <row r="66" spans="2:19" s="99" customFormat="1" x14ac:dyDescent="0.1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</row>
    <row r="67" spans="2:19" s="99" customFormat="1" x14ac:dyDescent="0.1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</row>
    <row r="68" spans="2:19" s="99" customFormat="1" ht="13.5" customHeight="1" x14ac:dyDescent="0.1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</row>
    <row r="69" spans="2:19" s="99" customFormat="1" x14ac:dyDescent="0.15"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</row>
    <row r="70" spans="2:19" s="99" customFormat="1" x14ac:dyDescent="0.15"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</row>
    <row r="71" spans="2:19" s="99" customFormat="1" x14ac:dyDescent="0.15"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</row>
    <row r="72" spans="2:19" s="99" customFormat="1" x14ac:dyDescent="0.15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</row>
    <row r="73" spans="2:19" s="99" customFormat="1" x14ac:dyDescent="0.15"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</row>
    <row r="74" spans="2:19" s="99" customFormat="1" ht="13.5" customHeight="1" x14ac:dyDescent="0.15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</row>
    <row r="75" spans="2:19" s="99" customFormat="1" x14ac:dyDescent="0.15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</row>
    <row r="76" spans="2:19" s="99" customFormat="1" x14ac:dyDescent="0.15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</row>
    <row r="77" spans="2:19" s="99" customFormat="1" x14ac:dyDescent="0.15"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</row>
    <row r="78" spans="2:19" s="99" customFormat="1" x14ac:dyDescent="0.15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</row>
    <row r="79" spans="2:19" s="99" customFormat="1" x14ac:dyDescent="0.15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</row>
    <row r="80" spans="2:19" s="99" customFormat="1" x14ac:dyDescent="0.15"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</row>
    <row r="81" spans="1:19" s="99" customFormat="1" x14ac:dyDescent="0.15"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</row>
    <row r="82" spans="1:19" s="99" customFormat="1" x14ac:dyDescent="0.15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</row>
    <row r="83" spans="1:19" s="99" customFormat="1" x14ac:dyDescent="0.15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</row>
    <row r="84" spans="1:19" s="99" customFormat="1" x14ac:dyDescent="0.15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</row>
    <row r="85" spans="1:19" s="99" customFormat="1" x14ac:dyDescent="0.15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</row>
    <row r="86" spans="1:19" s="99" customFormat="1" ht="13.5" customHeight="1" x14ac:dyDescent="0.15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</row>
    <row r="87" spans="1:19" s="99" customFormat="1" x14ac:dyDescent="0.15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</row>
    <row r="88" spans="1:19" s="99" customFormat="1" x14ac:dyDescent="0.15"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</row>
    <row r="89" spans="1:19" s="99" customFormat="1" ht="13.5" customHeight="1" x14ac:dyDescent="0.15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</row>
    <row r="90" spans="1:19" s="99" customFormat="1" x14ac:dyDescent="0.15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</row>
    <row r="91" spans="1:19" s="99" customFormat="1" x14ac:dyDescent="0.15"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</row>
    <row r="92" spans="1:19" s="99" customFormat="1" x14ac:dyDescent="0.15"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</row>
    <row r="93" spans="1:19" s="99" customFormat="1" x14ac:dyDescent="0.15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</row>
    <row r="94" spans="1:19" s="99" customFormat="1" x14ac:dyDescent="0.15"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</row>
    <row r="95" spans="1:19" x14ac:dyDescent="0.15">
      <c r="A95" s="99"/>
    </row>
    <row r="96" spans="1:19" x14ac:dyDescent="0.15">
      <c r="A96" s="99"/>
    </row>
    <row r="97" spans="1:1" x14ac:dyDescent="0.15">
      <c r="A97" s="99"/>
    </row>
    <row r="98" spans="1:1" x14ac:dyDescent="0.15">
      <c r="A98" s="99"/>
    </row>
    <row r="99" spans="1:1" x14ac:dyDescent="0.15">
      <c r="A99" s="99"/>
    </row>
  </sheetData>
  <mergeCells count="51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G21:J21"/>
    <mergeCell ref="G26:J26"/>
    <mergeCell ref="G28:J28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G11:J11"/>
    <mergeCell ref="Q33:S33"/>
    <mergeCell ref="Q34:S34"/>
    <mergeCell ref="Q22:S22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45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12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367</v>
      </c>
      <c r="C2" s="32"/>
      <c r="D2" s="5"/>
      <c r="E2" s="5"/>
      <c r="F2" s="32"/>
      <c r="G2" s="81"/>
      <c r="H2" s="91"/>
      <c r="I2" s="81"/>
      <c r="J2" s="81"/>
      <c r="K2" s="81"/>
      <c r="L2" s="81"/>
      <c r="M2" s="81"/>
      <c r="N2" s="81"/>
      <c r="O2" s="5"/>
    </row>
    <row r="3" spans="2:22" ht="15" customHeight="1" thickBot="1" x14ac:dyDescent="0.2">
      <c r="B3" s="30" t="s">
        <v>154</v>
      </c>
      <c r="I3" s="5" t="s">
        <v>155</v>
      </c>
      <c r="P3" s="145" t="s">
        <v>176</v>
      </c>
    </row>
    <row r="4" spans="2:22" ht="15" customHeight="1" x14ac:dyDescent="0.15">
      <c r="B4" s="214" t="s">
        <v>69</v>
      </c>
      <c r="C4" s="131" t="s">
        <v>130</v>
      </c>
      <c r="D4" s="131" t="s">
        <v>107</v>
      </c>
      <c r="E4" s="131" t="s">
        <v>108</v>
      </c>
      <c r="F4" s="131" t="s">
        <v>21</v>
      </c>
      <c r="G4" s="119" t="s">
        <v>109</v>
      </c>
      <c r="H4" s="132"/>
      <c r="I4" s="788" t="s">
        <v>69</v>
      </c>
      <c r="J4" s="784" t="s">
        <v>133</v>
      </c>
      <c r="K4" s="315" t="s">
        <v>242</v>
      </c>
      <c r="L4" s="137" t="s">
        <v>110</v>
      </c>
      <c r="M4" s="784" t="s">
        <v>21</v>
      </c>
      <c r="N4" s="786" t="s">
        <v>109</v>
      </c>
      <c r="O4" s="155"/>
      <c r="P4" s="215" t="s">
        <v>136</v>
      </c>
      <c r="Q4" s="216" t="s">
        <v>137</v>
      </c>
      <c r="R4" s="216" t="s">
        <v>138</v>
      </c>
      <c r="S4" s="216" t="s">
        <v>139</v>
      </c>
      <c r="T4" s="790" t="s">
        <v>140</v>
      </c>
      <c r="U4" s="740"/>
      <c r="V4" s="217" t="s">
        <v>141</v>
      </c>
    </row>
    <row r="5" spans="2:22" ht="15" customHeight="1" x14ac:dyDescent="0.15">
      <c r="B5" s="690" t="s">
        <v>125</v>
      </c>
      <c r="C5" s="332" t="s">
        <v>431</v>
      </c>
      <c r="D5" s="333">
        <v>3</v>
      </c>
      <c r="E5" s="333" t="s">
        <v>304</v>
      </c>
      <c r="F5" s="334">
        <v>14000</v>
      </c>
      <c r="G5" s="120">
        <f t="shared" ref="G5:G6" si="0">D5*F5</f>
        <v>42000</v>
      </c>
      <c r="H5" s="133"/>
      <c r="I5" s="789"/>
      <c r="J5" s="785"/>
      <c r="K5" s="139" t="s">
        <v>112</v>
      </c>
      <c r="L5" s="316" t="s">
        <v>243</v>
      </c>
      <c r="M5" s="785"/>
      <c r="N5" s="787"/>
      <c r="O5" s="155"/>
      <c r="P5" s="359" t="s">
        <v>319</v>
      </c>
      <c r="Q5" s="360">
        <v>2500</v>
      </c>
      <c r="R5" s="361" t="s">
        <v>204</v>
      </c>
      <c r="S5" s="360">
        <v>100</v>
      </c>
      <c r="T5" s="791">
        <v>3</v>
      </c>
      <c r="U5" s="792"/>
      <c r="V5" s="362">
        <f>Q5*S5/T5</f>
        <v>83333.333333333328</v>
      </c>
    </row>
    <row r="6" spans="2:22" ht="15" customHeight="1" x14ac:dyDescent="0.15">
      <c r="B6" s="691"/>
      <c r="C6" s="29"/>
      <c r="D6" s="29"/>
      <c r="E6" s="36" t="s">
        <v>111</v>
      </c>
      <c r="F6" s="29"/>
      <c r="G6" s="121">
        <f t="shared" si="0"/>
        <v>0</v>
      </c>
      <c r="H6" s="133"/>
      <c r="I6" s="793" t="s">
        <v>132</v>
      </c>
      <c r="J6" s="29"/>
      <c r="K6" s="140"/>
      <c r="L6" s="140"/>
      <c r="M6" s="140"/>
      <c r="N6" s="121">
        <f>K6*L6*M6</f>
        <v>0</v>
      </c>
      <c r="O6" s="155"/>
      <c r="P6" s="359" t="s">
        <v>320</v>
      </c>
      <c r="Q6" s="360">
        <v>900</v>
      </c>
      <c r="R6" s="361" t="s">
        <v>321</v>
      </c>
      <c r="S6" s="360">
        <v>31</v>
      </c>
      <c r="T6" s="791">
        <v>1</v>
      </c>
      <c r="U6" s="792"/>
      <c r="V6" s="362">
        <f>Q6*S6</f>
        <v>27900</v>
      </c>
    </row>
    <row r="7" spans="2:22" ht="15" customHeight="1" thickBot="1" x14ac:dyDescent="0.2">
      <c r="B7" s="794"/>
      <c r="C7" s="122" t="s">
        <v>113</v>
      </c>
      <c r="D7" s="122"/>
      <c r="E7" s="122"/>
      <c r="F7" s="122"/>
      <c r="G7" s="123">
        <f>SUM(G5:G6)</f>
        <v>42000</v>
      </c>
      <c r="H7" s="133"/>
      <c r="I7" s="691"/>
      <c r="J7" s="29"/>
      <c r="K7" s="140"/>
      <c r="L7" s="140"/>
      <c r="M7" s="140"/>
      <c r="N7" s="121">
        <f t="shared" ref="N7:N9" si="1">K7*L7*M7</f>
        <v>0</v>
      </c>
      <c r="O7" s="155"/>
      <c r="P7" s="359" t="s">
        <v>322</v>
      </c>
      <c r="Q7" s="360">
        <v>840</v>
      </c>
      <c r="R7" s="361" t="s">
        <v>115</v>
      </c>
      <c r="S7" s="360">
        <v>480</v>
      </c>
      <c r="T7" s="791">
        <v>8</v>
      </c>
      <c r="U7" s="792"/>
      <c r="V7" s="362">
        <f>Q7*S7/8</f>
        <v>50400</v>
      </c>
    </row>
    <row r="8" spans="2:22" ht="15" customHeight="1" thickTop="1" x14ac:dyDescent="0.15">
      <c r="B8" s="795" t="s">
        <v>123</v>
      </c>
      <c r="C8" s="332" t="s">
        <v>432</v>
      </c>
      <c r="D8" s="335">
        <v>7</v>
      </c>
      <c r="E8" s="335" t="s">
        <v>305</v>
      </c>
      <c r="F8" s="336">
        <v>610</v>
      </c>
      <c r="G8" s="121">
        <f>D8*F8</f>
        <v>4270</v>
      </c>
      <c r="H8" s="133"/>
      <c r="I8" s="691"/>
      <c r="J8" s="29"/>
      <c r="K8" s="140"/>
      <c r="L8" s="140"/>
      <c r="M8" s="140"/>
      <c r="N8" s="121">
        <f t="shared" si="1"/>
        <v>0</v>
      </c>
      <c r="O8" s="155"/>
      <c r="P8" s="363" t="s">
        <v>323</v>
      </c>
      <c r="Q8" s="360">
        <v>800</v>
      </c>
      <c r="R8" s="361" t="s">
        <v>321</v>
      </c>
      <c r="S8" s="360">
        <v>24</v>
      </c>
      <c r="T8" s="361"/>
      <c r="U8" s="361">
        <v>4</v>
      </c>
      <c r="V8" s="362">
        <f>Q8*S8/4</f>
        <v>4800</v>
      </c>
    </row>
    <row r="9" spans="2:22" ht="15" customHeight="1" x14ac:dyDescent="0.15">
      <c r="B9" s="691"/>
      <c r="C9" s="29"/>
      <c r="D9" s="29"/>
      <c r="E9" s="36"/>
      <c r="F9" s="29"/>
      <c r="G9" s="121"/>
      <c r="H9" s="133"/>
      <c r="I9" s="691"/>
      <c r="J9" s="29"/>
      <c r="K9" s="140"/>
      <c r="L9" s="140"/>
      <c r="M9" s="140"/>
      <c r="N9" s="121">
        <f t="shared" si="1"/>
        <v>0</v>
      </c>
      <c r="O9" s="155"/>
      <c r="P9" s="364" t="s">
        <v>324</v>
      </c>
      <c r="Q9" s="360">
        <v>100</v>
      </c>
      <c r="R9" s="361" t="s">
        <v>325</v>
      </c>
      <c r="S9" s="360">
        <v>180</v>
      </c>
      <c r="T9" s="791">
        <v>5</v>
      </c>
      <c r="U9" s="792"/>
      <c r="V9" s="362">
        <f>Q9*S9/5</f>
        <v>3600</v>
      </c>
    </row>
    <row r="10" spans="2:22" ht="15" customHeight="1" thickBot="1" x14ac:dyDescent="0.2">
      <c r="B10" s="691"/>
      <c r="C10" s="29"/>
      <c r="D10" s="29"/>
      <c r="E10" s="36" t="s">
        <v>111</v>
      </c>
      <c r="F10" s="29"/>
      <c r="G10" s="121">
        <f>D10*F10</f>
        <v>0</v>
      </c>
      <c r="H10" s="133"/>
      <c r="I10" s="794"/>
      <c r="J10" s="219" t="s">
        <v>180</v>
      </c>
      <c r="K10" s="141">
        <f t="shared" ref="K10:L10" si="2">SUM(K6:K9)</f>
        <v>0</v>
      </c>
      <c r="L10" s="141">
        <f t="shared" si="2"/>
        <v>0</v>
      </c>
      <c r="M10" s="141"/>
      <c r="N10" s="136">
        <f>SUM(N6:N9)</f>
        <v>0</v>
      </c>
      <c r="O10" s="155"/>
      <c r="P10" s="364" t="s">
        <v>326</v>
      </c>
      <c r="Q10" s="360">
        <v>600</v>
      </c>
      <c r="R10" s="361" t="s">
        <v>204</v>
      </c>
      <c r="S10" s="360">
        <v>220</v>
      </c>
      <c r="T10" s="791">
        <v>7</v>
      </c>
      <c r="U10" s="792"/>
      <c r="V10" s="362">
        <f>Q10*S10/7</f>
        <v>18857.142857142859</v>
      </c>
    </row>
    <row r="11" spans="2:22" ht="15" customHeight="1" thickTop="1" thickBot="1" x14ac:dyDescent="0.2">
      <c r="B11" s="794"/>
      <c r="C11" s="124" t="s">
        <v>114</v>
      </c>
      <c r="D11" s="125"/>
      <c r="E11" s="125"/>
      <c r="F11" s="125"/>
      <c r="G11" s="126">
        <f>SUM(G8:G10)</f>
        <v>4270</v>
      </c>
      <c r="H11" s="133"/>
      <c r="I11" s="795" t="s">
        <v>181</v>
      </c>
      <c r="J11" s="332" t="s">
        <v>308</v>
      </c>
      <c r="K11" s="335"/>
      <c r="L11" s="335">
        <v>52</v>
      </c>
      <c r="M11" s="344">
        <v>158.4</v>
      </c>
      <c r="N11" s="346">
        <f>L11*M11</f>
        <v>8236.8000000000011</v>
      </c>
      <c r="O11" s="155"/>
      <c r="P11" s="364" t="s">
        <v>327</v>
      </c>
      <c r="Q11" s="360">
        <v>1600</v>
      </c>
      <c r="R11" s="361" t="s">
        <v>328</v>
      </c>
      <c r="S11" s="360">
        <v>2</v>
      </c>
      <c r="T11" s="791">
        <v>2</v>
      </c>
      <c r="U11" s="792"/>
      <c r="V11" s="362">
        <f>Q11*S11/2</f>
        <v>1600</v>
      </c>
    </row>
    <row r="12" spans="2:22" ht="15" customHeight="1" thickTop="1" x14ac:dyDescent="0.15">
      <c r="B12" s="795" t="s">
        <v>124</v>
      </c>
      <c r="C12" s="337" t="s">
        <v>433</v>
      </c>
      <c r="D12" s="335">
        <v>10</v>
      </c>
      <c r="E12" s="335" t="s">
        <v>305</v>
      </c>
      <c r="F12" s="336">
        <v>2260</v>
      </c>
      <c r="G12" s="121">
        <f>D12*F12</f>
        <v>22600</v>
      </c>
      <c r="H12" s="133"/>
      <c r="I12" s="691"/>
      <c r="J12" s="333" t="s">
        <v>309</v>
      </c>
      <c r="K12" s="333"/>
      <c r="L12" s="333">
        <v>40</v>
      </c>
      <c r="M12" s="345">
        <v>158.4</v>
      </c>
      <c r="N12" s="346">
        <f>L12*M12</f>
        <v>6336</v>
      </c>
      <c r="O12" s="155"/>
      <c r="P12" s="218"/>
      <c r="Q12" s="117"/>
      <c r="R12" s="153"/>
      <c r="S12" s="117"/>
      <c r="T12" s="782"/>
      <c r="U12" s="783"/>
      <c r="V12" s="148"/>
    </row>
    <row r="13" spans="2:22" ht="15" customHeight="1" x14ac:dyDescent="0.15">
      <c r="B13" s="691"/>
      <c r="C13" s="332" t="s">
        <v>434</v>
      </c>
      <c r="D13" s="333">
        <v>2.4</v>
      </c>
      <c r="E13" s="333" t="s">
        <v>305</v>
      </c>
      <c r="F13" s="334">
        <v>4357</v>
      </c>
      <c r="G13" s="121">
        <f>D13*F13</f>
        <v>10456.799999999999</v>
      </c>
      <c r="H13" s="133"/>
      <c r="I13" s="691"/>
      <c r="J13" s="333" t="s">
        <v>310</v>
      </c>
      <c r="K13" s="333"/>
      <c r="L13" s="333">
        <v>8</v>
      </c>
      <c r="M13" s="345">
        <v>158.4</v>
      </c>
      <c r="N13" s="346">
        <f>L13*M13</f>
        <v>1267.2</v>
      </c>
      <c r="O13" s="155"/>
      <c r="P13" s="218"/>
      <c r="Q13" s="117"/>
      <c r="R13" s="153"/>
      <c r="S13" s="117"/>
      <c r="T13" s="782"/>
      <c r="U13" s="783"/>
      <c r="V13" s="148"/>
    </row>
    <row r="14" spans="2:22" ht="15" customHeight="1" x14ac:dyDescent="0.15">
      <c r="B14" s="691"/>
      <c r="C14" s="29"/>
      <c r="D14" s="29"/>
      <c r="E14" s="36"/>
      <c r="F14" s="29"/>
      <c r="G14" s="121">
        <f>D14*F14</f>
        <v>0</v>
      </c>
      <c r="H14" s="133"/>
      <c r="I14" s="691"/>
      <c r="J14" s="29"/>
      <c r="K14" s="140"/>
      <c r="L14" s="140"/>
      <c r="M14" s="140"/>
      <c r="N14" s="121">
        <f t="shared" ref="N14" si="3">K14*L14*M14</f>
        <v>0</v>
      </c>
      <c r="O14" s="155"/>
      <c r="P14" s="218"/>
      <c r="Q14" s="117"/>
      <c r="R14" s="153"/>
      <c r="S14" s="117"/>
      <c r="T14" s="782"/>
      <c r="U14" s="783"/>
      <c r="V14" s="148"/>
    </row>
    <row r="15" spans="2:22" ht="15" customHeight="1" thickBot="1" x14ac:dyDescent="0.2">
      <c r="B15" s="691"/>
      <c r="C15" s="29"/>
      <c r="D15" s="29"/>
      <c r="E15" s="29"/>
      <c r="F15" s="29"/>
      <c r="G15" s="121">
        <f t="shared" ref="G15" si="4">D15*F15</f>
        <v>0</v>
      </c>
      <c r="H15" s="133"/>
      <c r="I15" s="794"/>
      <c r="J15" s="219" t="s">
        <v>180</v>
      </c>
      <c r="K15" s="141">
        <f t="shared" ref="K15" si="5">SUM(K11:K14)</f>
        <v>0</v>
      </c>
      <c r="L15" s="141">
        <f t="shared" ref="L15" si="6">SUM(L11:L14)</f>
        <v>100</v>
      </c>
      <c r="M15" s="141"/>
      <c r="N15" s="136">
        <f>SUM(N11:N14)</f>
        <v>15840.000000000002</v>
      </c>
      <c r="O15" s="155"/>
      <c r="P15" s="218"/>
      <c r="Q15" s="117"/>
      <c r="R15" s="153"/>
      <c r="S15" s="117"/>
      <c r="T15" s="782"/>
      <c r="U15" s="783"/>
      <c r="V15" s="148"/>
    </row>
    <row r="16" spans="2:22" ht="15" customHeight="1" thickTop="1" thickBot="1" x14ac:dyDescent="0.2">
      <c r="B16" s="794"/>
      <c r="C16" s="124" t="s">
        <v>114</v>
      </c>
      <c r="D16" s="125"/>
      <c r="E16" s="125"/>
      <c r="F16" s="125"/>
      <c r="G16" s="126">
        <f>SUM(G12:G15)</f>
        <v>33056.800000000003</v>
      </c>
      <c r="H16" s="133"/>
      <c r="I16" s="795" t="s">
        <v>134</v>
      </c>
      <c r="J16" s="29"/>
      <c r="K16" s="140"/>
      <c r="L16" s="140"/>
      <c r="M16" s="140"/>
      <c r="N16" s="121">
        <f>K16*L16*M16</f>
        <v>0</v>
      </c>
      <c r="O16" s="155"/>
      <c r="P16" s="218"/>
      <c r="Q16" s="117"/>
      <c r="R16" s="274"/>
      <c r="S16" s="117"/>
      <c r="T16" s="782"/>
      <c r="U16" s="783"/>
      <c r="V16" s="148"/>
    </row>
    <row r="17" spans="2:22" ht="15" customHeight="1" thickTop="1" x14ac:dyDescent="0.15">
      <c r="B17" s="795" t="s">
        <v>126</v>
      </c>
      <c r="C17" s="29"/>
      <c r="D17" s="29"/>
      <c r="E17" s="36"/>
      <c r="F17" s="29"/>
      <c r="G17" s="121">
        <f t="shared" ref="G17" si="7">D17*F17</f>
        <v>0</v>
      </c>
      <c r="H17" s="133"/>
      <c r="I17" s="691"/>
      <c r="J17" s="29"/>
      <c r="K17" s="140"/>
      <c r="L17" s="140"/>
      <c r="M17" s="140"/>
      <c r="N17" s="121">
        <f t="shared" ref="N17:N18" si="8">K17*L17*M17</f>
        <v>0</v>
      </c>
      <c r="O17" s="155"/>
      <c r="P17" s="218"/>
      <c r="Q17" s="117"/>
      <c r="R17" s="274"/>
      <c r="S17" s="117"/>
      <c r="T17" s="782"/>
      <c r="U17" s="783"/>
      <c r="V17" s="148"/>
    </row>
    <row r="18" spans="2:22" ht="15" customHeight="1" x14ac:dyDescent="0.15">
      <c r="B18" s="691"/>
      <c r="C18" s="29"/>
      <c r="D18" s="29"/>
      <c r="E18" s="36"/>
      <c r="F18" s="29"/>
      <c r="G18" s="121">
        <f>D18*F18</f>
        <v>0</v>
      </c>
      <c r="H18" s="133"/>
      <c r="I18" s="691"/>
      <c r="J18" s="29"/>
      <c r="K18" s="140"/>
      <c r="L18" s="140"/>
      <c r="M18" s="140"/>
      <c r="N18" s="121">
        <f t="shared" si="8"/>
        <v>0</v>
      </c>
      <c r="O18" s="155"/>
      <c r="P18" s="218"/>
      <c r="Q18" s="117"/>
      <c r="R18" s="153"/>
      <c r="S18" s="117"/>
      <c r="T18" s="782"/>
      <c r="U18" s="783"/>
      <c r="V18" s="148"/>
    </row>
    <row r="19" spans="2:22" ht="15" customHeight="1" thickBot="1" x14ac:dyDescent="0.2">
      <c r="B19" s="691"/>
      <c r="C19" s="29"/>
      <c r="D19" s="29"/>
      <c r="E19" s="29"/>
      <c r="F19" s="29"/>
      <c r="G19" s="121">
        <f t="shared" ref="G19" si="9">D19*F19</f>
        <v>0</v>
      </c>
      <c r="H19" s="133"/>
      <c r="I19" s="794"/>
      <c r="J19" s="219" t="s">
        <v>182</v>
      </c>
      <c r="K19" s="141">
        <f>SUM(K16:K18)</f>
        <v>0</v>
      </c>
      <c r="L19" s="142">
        <f>SUM(L16:L18)</f>
        <v>0</v>
      </c>
      <c r="M19" s="143"/>
      <c r="N19" s="136">
        <f>SUM(N16:N18)</f>
        <v>0</v>
      </c>
      <c r="O19" s="155"/>
      <c r="P19" s="218"/>
      <c r="Q19" s="117"/>
      <c r="R19" s="153"/>
      <c r="S19" s="117"/>
      <c r="T19" s="782"/>
      <c r="U19" s="783"/>
      <c r="V19" s="148"/>
    </row>
    <row r="20" spans="2:22" ht="15" customHeight="1" thickTop="1" thickBot="1" x14ac:dyDescent="0.2">
      <c r="B20" s="794"/>
      <c r="C20" s="124" t="s">
        <v>114</v>
      </c>
      <c r="D20" s="125"/>
      <c r="E20" s="125"/>
      <c r="F20" s="125"/>
      <c r="G20" s="126">
        <f>SUM(G17:G19)</f>
        <v>0</v>
      </c>
      <c r="H20" s="133"/>
      <c r="I20" s="795" t="s">
        <v>135</v>
      </c>
      <c r="J20" s="29"/>
      <c r="K20" s="335"/>
      <c r="L20" s="335">
        <v>7500</v>
      </c>
      <c r="M20" s="336">
        <v>102.1</v>
      </c>
      <c r="N20" s="346">
        <f>L20*M20</f>
        <v>765750</v>
      </c>
      <c r="O20" s="155"/>
      <c r="P20" s="149" t="s">
        <v>26</v>
      </c>
      <c r="Q20" s="150"/>
      <c r="R20" s="150"/>
      <c r="S20" s="150"/>
      <c r="T20" s="797"/>
      <c r="U20" s="798"/>
      <c r="V20" s="151">
        <f>SUM(V5:V19)</f>
        <v>190490.47619047618</v>
      </c>
    </row>
    <row r="21" spans="2:22" ht="15" customHeight="1" thickTop="1" x14ac:dyDescent="0.15">
      <c r="B21" s="795" t="s">
        <v>127</v>
      </c>
      <c r="C21" s="29"/>
      <c r="D21" s="29"/>
      <c r="E21" s="36"/>
      <c r="F21" s="29"/>
      <c r="G21" s="121">
        <f>D21*F21</f>
        <v>0</v>
      </c>
      <c r="H21" s="133"/>
      <c r="I21" s="691"/>
      <c r="J21" s="29"/>
      <c r="K21" s="140"/>
      <c r="L21" s="140"/>
      <c r="M21" s="140"/>
      <c r="N21" s="121">
        <f t="shared" ref="N21:N22" si="10">K21*L21*M21</f>
        <v>0</v>
      </c>
      <c r="O21" s="155"/>
    </row>
    <row r="22" spans="2:22" ht="15" customHeight="1" thickBot="1" x14ac:dyDescent="0.2">
      <c r="B22" s="691"/>
      <c r="C22" s="29"/>
      <c r="D22" s="29"/>
      <c r="E22" s="36"/>
      <c r="F22" s="29"/>
      <c r="G22" s="121">
        <f>D22*F22</f>
        <v>0</v>
      </c>
      <c r="H22" s="133"/>
      <c r="I22" s="691"/>
      <c r="J22" s="29"/>
      <c r="K22" s="140"/>
      <c r="L22" s="140"/>
      <c r="M22" s="140"/>
      <c r="N22" s="121">
        <f t="shared" si="10"/>
        <v>0</v>
      </c>
      <c r="O22" s="155"/>
      <c r="P22" s="145" t="s">
        <v>177</v>
      </c>
    </row>
    <row r="23" spans="2:22" ht="15" customHeight="1" thickBot="1" x14ac:dyDescent="0.2">
      <c r="B23" s="691"/>
      <c r="C23" s="29"/>
      <c r="D23" s="29"/>
      <c r="E23" s="36"/>
      <c r="F23" s="29"/>
      <c r="G23" s="121">
        <f>D23*F23</f>
        <v>0</v>
      </c>
      <c r="H23" s="133"/>
      <c r="I23" s="794"/>
      <c r="J23" s="219" t="s">
        <v>182</v>
      </c>
      <c r="K23" s="141">
        <f>SUM(K20:K22)</f>
        <v>0</v>
      </c>
      <c r="L23" s="142">
        <f>SUM(L20:L22)</f>
        <v>7500</v>
      </c>
      <c r="M23" s="143"/>
      <c r="N23" s="136">
        <f>SUM(N20:N22)</f>
        <v>765750</v>
      </c>
      <c r="O23" s="155"/>
      <c r="P23" s="215" t="s">
        <v>142</v>
      </c>
      <c r="Q23" s="216" t="s">
        <v>137</v>
      </c>
      <c r="R23" s="216" t="s">
        <v>138</v>
      </c>
      <c r="S23" s="216" t="s">
        <v>183</v>
      </c>
      <c r="T23" s="216" t="s">
        <v>140</v>
      </c>
      <c r="U23" s="265" t="s">
        <v>217</v>
      </c>
      <c r="V23" s="217" t="s">
        <v>141</v>
      </c>
    </row>
    <row r="24" spans="2:22" ht="15" customHeight="1" thickTop="1" thickBot="1" x14ac:dyDescent="0.2">
      <c r="B24" s="796"/>
      <c r="C24" s="127" t="s">
        <v>116</v>
      </c>
      <c r="D24" s="128"/>
      <c r="E24" s="128"/>
      <c r="F24" s="135"/>
      <c r="G24" s="129">
        <f>SUM(G21:G23)</f>
        <v>0</v>
      </c>
      <c r="I24" s="795" t="s">
        <v>219</v>
      </c>
      <c r="J24" s="29"/>
      <c r="K24" s="140"/>
      <c r="L24" s="140"/>
      <c r="M24" s="140"/>
      <c r="N24" s="121"/>
      <c r="O24" s="155"/>
      <c r="P24" s="365" t="s">
        <v>329</v>
      </c>
      <c r="Q24" s="353">
        <v>1</v>
      </c>
      <c r="R24" s="353" t="s">
        <v>330</v>
      </c>
      <c r="S24" s="353">
        <v>10000</v>
      </c>
      <c r="T24" s="353">
        <v>10</v>
      </c>
      <c r="U24" s="366">
        <v>50</v>
      </c>
      <c r="V24" s="354">
        <f>S24/T24/5</f>
        <v>200</v>
      </c>
    </row>
    <row r="25" spans="2:22" ht="15" customHeight="1" x14ac:dyDescent="0.15">
      <c r="H25" s="134"/>
      <c r="I25" s="691"/>
      <c r="J25" s="29"/>
      <c r="K25" s="140"/>
      <c r="L25" s="140"/>
      <c r="M25" s="140"/>
      <c r="N25" s="121">
        <f t="shared" ref="N25:N26" si="11">K25*L25*M25</f>
        <v>0</v>
      </c>
      <c r="O25" s="155"/>
      <c r="P25" s="365" t="s">
        <v>331</v>
      </c>
      <c r="Q25" s="353">
        <v>3</v>
      </c>
      <c r="R25" s="353" t="s">
        <v>332</v>
      </c>
      <c r="S25" s="353">
        <v>2000</v>
      </c>
      <c r="T25" s="353">
        <v>5</v>
      </c>
      <c r="U25" s="366">
        <v>50</v>
      </c>
      <c r="V25" s="354">
        <f>S25/T25/5</f>
        <v>80</v>
      </c>
    </row>
    <row r="26" spans="2:22" ht="15" customHeight="1" thickBot="1" x14ac:dyDescent="0.2">
      <c r="B26" s="5" t="s">
        <v>184</v>
      </c>
      <c r="C26" s="5"/>
      <c r="D26" s="32"/>
      <c r="E26" s="5"/>
      <c r="F26" s="32"/>
      <c r="G26" s="33"/>
      <c r="H26" s="132"/>
      <c r="I26" s="691"/>
      <c r="J26" s="29"/>
      <c r="K26" s="140"/>
      <c r="L26" s="140"/>
      <c r="M26" s="140"/>
      <c r="N26" s="121">
        <f t="shared" si="11"/>
        <v>0</v>
      </c>
      <c r="O26" s="155"/>
      <c r="P26" s="365" t="s">
        <v>333</v>
      </c>
      <c r="Q26" s="353">
        <v>1</v>
      </c>
      <c r="R26" s="353" t="s">
        <v>330</v>
      </c>
      <c r="S26" s="353">
        <v>110000</v>
      </c>
      <c r="T26" s="353">
        <v>5</v>
      </c>
      <c r="U26" s="366">
        <v>50</v>
      </c>
      <c r="V26" s="354">
        <f>S26/T26/5</f>
        <v>4400</v>
      </c>
    </row>
    <row r="27" spans="2:22" ht="15" customHeight="1" thickBot="1" x14ac:dyDescent="0.2">
      <c r="B27" s="214" t="s">
        <v>69</v>
      </c>
      <c r="C27" s="131" t="s">
        <v>106</v>
      </c>
      <c r="D27" s="131" t="s">
        <v>107</v>
      </c>
      <c r="E27" s="131" t="s">
        <v>108</v>
      </c>
      <c r="F27" s="131" t="s">
        <v>21</v>
      </c>
      <c r="G27" s="119" t="s">
        <v>109</v>
      </c>
      <c r="H27" s="133"/>
      <c r="I27" s="794"/>
      <c r="J27" s="219" t="s">
        <v>180</v>
      </c>
      <c r="K27" s="141">
        <f>SUM(K24:K26)</f>
        <v>0</v>
      </c>
      <c r="L27" s="142">
        <f>SUM(L24:L26)</f>
        <v>0</v>
      </c>
      <c r="M27" s="143"/>
      <c r="N27" s="136">
        <f>SUM(N24:N26)</f>
        <v>0</v>
      </c>
      <c r="O27" s="155"/>
      <c r="P27" s="365" t="s">
        <v>334</v>
      </c>
      <c r="Q27" s="353">
        <v>1</v>
      </c>
      <c r="R27" s="353" t="s">
        <v>332</v>
      </c>
      <c r="S27" s="353">
        <v>8000</v>
      </c>
      <c r="T27" s="353">
        <v>1</v>
      </c>
      <c r="U27" s="366">
        <v>50</v>
      </c>
      <c r="V27" s="354">
        <f>S27/T27/5</f>
        <v>1600</v>
      </c>
    </row>
    <row r="28" spans="2:22" ht="15" customHeight="1" thickTop="1" x14ac:dyDescent="0.15">
      <c r="B28" s="690" t="s">
        <v>27</v>
      </c>
      <c r="C28" s="381" t="s">
        <v>432</v>
      </c>
      <c r="D28" s="338">
        <f>1*3</f>
        <v>3</v>
      </c>
      <c r="E28" s="338" t="s">
        <v>305</v>
      </c>
      <c r="F28" s="334">
        <v>29914</v>
      </c>
      <c r="G28" s="120">
        <f t="shared" ref="G28:G37" si="12">D28*F28</f>
        <v>89742</v>
      </c>
      <c r="H28" s="133"/>
      <c r="I28" s="795" t="s">
        <v>131</v>
      </c>
      <c r="J28" s="347" t="s">
        <v>311</v>
      </c>
      <c r="K28" s="347"/>
      <c r="L28" s="347">
        <v>2700</v>
      </c>
      <c r="M28" s="348">
        <v>14</v>
      </c>
      <c r="N28" s="346">
        <f>L28*M28</f>
        <v>37800</v>
      </c>
      <c r="O28" s="155"/>
      <c r="P28" s="218"/>
      <c r="Q28" s="117"/>
      <c r="R28" s="266"/>
      <c r="S28" s="117"/>
      <c r="T28" s="117"/>
      <c r="U28" s="278"/>
      <c r="V28" s="148"/>
    </row>
    <row r="29" spans="2:22" ht="15" customHeight="1" x14ac:dyDescent="0.15">
      <c r="B29" s="691"/>
      <c r="C29" s="381" t="s">
        <v>435</v>
      </c>
      <c r="D29" s="339">
        <f>30000/3000/250*30</f>
        <v>1.2</v>
      </c>
      <c r="E29" s="338" t="s">
        <v>306</v>
      </c>
      <c r="F29" s="334">
        <v>5460</v>
      </c>
      <c r="G29" s="121">
        <f t="shared" si="12"/>
        <v>6552</v>
      </c>
      <c r="H29" s="133"/>
      <c r="I29" s="691"/>
      <c r="J29" s="333" t="s">
        <v>312</v>
      </c>
      <c r="K29" s="333"/>
      <c r="L29" s="333">
        <v>1428</v>
      </c>
      <c r="M29" s="334">
        <v>14</v>
      </c>
      <c r="N29" s="346">
        <f>L29*M29</f>
        <v>19992</v>
      </c>
      <c r="O29" s="31"/>
      <c r="P29" s="218"/>
      <c r="Q29" s="117"/>
      <c r="R29" s="266"/>
      <c r="S29" s="117"/>
      <c r="T29" s="117"/>
      <c r="U29" s="278"/>
      <c r="V29" s="148"/>
    </row>
    <row r="30" spans="2:22" ht="15" customHeight="1" x14ac:dyDescent="0.15">
      <c r="B30" s="691"/>
      <c r="C30" s="29"/>
      <c r="D30" s="29"/>
      <c r="E30" s="36"/>
      <c r="F30" s="29"/>
      <c r="G30" s="121">
        <f t="shared" si="12"/>
        <v>0</v>
      </c>
      <c r="H30" s="133"/>
      <c r="I30" s="691"/>
      <c r="J30" s="333" t="s">
        <v>313</v>
      </c>
      <c r="K30" s="333"/>
      <c r="L30" s="333">
        <v>162</v>
      </c>
      <c r="M30" s="334">
        <v>14</v>
      </c>
      <c r="N30" s="346">
        <f>L30*M30</f>
        <v>2268</v>
      </c>
      <c r="P30" s="218"/>
      <c r="Q30" s="117"/>
      <c r="R30" s="153"/>
      <c r="S30" s="117"/>
      <c r="T30" s="117"/>
      <c r="U30" s="118"/>
      <c r="V30" s="148"/>
    </row>
    <row r="31" spans="2:22" ht="15" customHeight="1" thickBot="1" x14ac:dyDescent="0.2">
      <c r="B31" s="691"/>
      <c r="C31" s="29"/>
      <c r="D31" s="29"/>
      <c r="E31" s="36"/>
      <c r="F31" s="29"/>
      <c r="G31" s="121">
        <f t="shared" si="12"/>
        <v>0</v>
      </c>
      <c r="H31" s="133"/>
      <c r="I31" s="796"/>
      <c r="J31" s="220" t="s">
        <v>185</v>
      </c>
      <c r="K31" s="144">
        <f>SUM(K28:K30)</f>
        <v>0</v>
      </c>
      <c r="L31" s="146">
        <f>SUM(L28:L30)</f>
        <v>4290</v>
      </c>
      <c r="M31" s="147"/>
      <c r="N31" s="138">
        <f>SUM(N28:N30)</f>
        <v>60060</v>
      </c>
      <c r="P31" s="218"/>
      <c r="Q31" s="117"/>
      <c r="R31" s="153"/>
      <c r="S31" s="117"/>
      <c r="T31" s="117"/>
      <c r="U31" s="118"/>
      <c r="V31" s="148"/>
    </row>
    <row r="32" spans="2:22" ht="15" customHeight="1" x14ac:dyDescent="0.15">
      <c r="B32" s="691"/>
      <c r="C32" s="279"/>
      <c r="D32" s="279"/>
      <c r="E32" s="36"/>
      <c r="F32" s="279"/>
      <c r="G32" s="121">
        <f t="shared" si="12"/>
        <v>0</v>
      </c>
      <c r="H32" s="133"/>
      <c r="I32" s="113"/>
      <c r="J32" s="113"/>
      <c r="K32" s="113"/>
      <c r="L32" s="113"/>
      <c r="M32" s="113"/>
      <c r="N32" s="113"/>
      <c r="P32" s="218"/>
      <c r="Q32" s="117"/>
      <c r="R32" s="153"/>
      <c r="S32" s="117"/>
      <c r="T32" s="117"/>
      <c r="U32" s="118"/>
      <c r="V32" s="148"/>
    </row>
    <row r="33" spans="2:22" ht="15" customHeight="1" thickBot="1" x14ac:dyDescent="0.2">
      <c r="B33" s="691"/>
      <c r="C33" s="279"/>
      <c r="D33" s="279"/>
      <c r="E33" s="36"/>
      <c r="F33" s="279"/>
      <c r="G33" s="121">
        <f t="shared" si="12"/>
        <v>0</v>
      </c>
      <c r="H33" s="133"/>
      <c r="I33" s="107" t="s">
        <v>175</v>
      </c>
      <c r="J33" s="100"/>
      <c r="K33" s="100"/>
      <c r="L33" s="100"/>
      <c r="M33" s="100"/>
      <c r="P33" s="218"/>
      <c r="Q33" s="117"/>
      <c r="R33" s="153"/>
      <c r="S33" s="117"/>
      <c r="T33" s="117"/>
      <c r="U33" s="118"/>
      <c r="V33" s="148"/>
    </row>
    <row r="34" spans="2:22" ht="15" customHeight="1" thickBot="1" x14ac:dyDescent="0.2">
      <c r="B34" s="691"/>
      <c r="C34" s="29"/>
      <c r="D34" s="29"/>
      <c r="E34" s="36"/>
      <c r="F34" s="29"/>
      <c r="G34" s="121">
        <f t="shared" si="12"/>
        <v>0</v>
      </c>
      <c r="H34" s="133"/>
      <c r="I34" s="195" t="s">
        <v>160</v>
      </c>
      <c r="J34" s="196" t="s">
        <v>3</v>
      </c>
      <c r="K34" s="809" t="s">
        <v>161</v>
      </c>
      <c r="L34" s="810"/>
      <c r="M34" s="268" t="s">
        <v>217</v>
      </c>
      <c r="N34" s="221" t="s">
        <v>186</v>
      </c>
      <c r="P34" s="222" t="s">
        <v>165</v>
      </c>
      <c r="Q34" s="150"/>
      <c r="R34" s="150"/>
      <c r="S34" s="150"/>
      <c r="T34" s="150"/>
      <c r="U34" s="152"/>
      <c r="V34" s="151">
        <f>SUM(V24:V33)</f>
        <v>6280</v>
      </c>
    </row>
    <row r="35" spans="2:22" ht="15" customHeight="1" x14ac:dyDescent="0.15">
      <c r="B35" s="691"/>
      <c r="C35" s="29"/>
      <c r="D35" s="29"/>
      <c r="E35" s="36"/>
      <c r="F35" s="29"/>
      <c r="G35" s="121">
        <f t="shared" si="12"/>
        <v>0</v>
      </c>
      <c r="H35" s="133"/>
      <c r="I35" s="802" t="s">
        <v>0</v>
      </c>
      <c r="J35" s="349" t="s">
        <v>314</v>
      </c>
      <c r="K35" s="811">
        <v>4300000</v>
      </c>
      <c r="L35" s="811"/>
      <c r="M35" s="334">
        <v>50</v>
      </c>
      <c r="N35" s="346">
        <f>K35*0.00136</f>
        <v>5848</v>
      </c>
    </row>
    <row r="36" spans="2:22" ht="15" customHeight="1" thickBot="1" x14ac:dyDescent="0.2">
      <c r="B36" s="691"/>
      <c r="C36" s="29"/>
      <c r="D36" s="29"/>
      <c r="E36" s="36"/>
      <c r="F36" s="29"/>
      <c r="G36" s="121">
        <f t="shared" si="12"/>
        <v>0</v>
      </c>
      <c r="H36" s="133"/>
      <c r="I36" s="803"/>
      <c r="J36" s="130"/>
      <c r="K36" s="801"/>
      <c r="L36" s="801"/>
      <c r="M36" s="194"/>
      <c r="N36" s="209"/>
      <c r="P36" s="107" t="s">
        <v>166</v>
      </c>
      <c r="Q36" s="100"/>
      <c r="R36" s="100"/>
      <c r="S36" s="100"/>
      <c r="T36" s="100"/>
    </row>
    <row r="37" spans="2:22" ht="15" customHeight="1" x14ac:dyDescent="0.15">
      <c r="B37" s="691"/>
      <c r="C37" s="29"/>
      <c r="D37" s="29"/>
      <c r="E37" s="36"/>
      <c r="F37" s="29"/>
      <c r="G37" s="121">
        <f t="shared" si="12"/>
        <v>0</v>
      </c>
      <c r="H37" s="133"/>
      <c r="I37" s="803"/>
      <c r="J37" s="130"/>
      <c r="K37" s="801"/>
      <c r="L37" s="801"/>
      <c r="M37" s="194"/>
      <c r="N37" s="209"/>
      <c r="O37" s="145"/>
      <c r="P37" s="195" t="s">
        <v>159</v>
      </c>
      <c r="Q37" s="812" t="s">
        <v>167</v>
      </c>
      <c r="R37" s="812"/>
      <c r="S37" s="208" t="s">
        <v>170</v>
      </c>
      <c r="T37" s="208" t="s">
        <v>169</v>
      </c>
      <c r="U37" s="267" t="s">
        <v>217</v>
      </c>
      <c r="V37" s="223" t="s">
        <v>186</v>
      </c>
    </row>
    <row r="38" spans="2:22" ht="15" customHeight="1" thickBot="1" x14ac:dyDescent="0.2">
      <c r="B38" s="794"/>
      <c r="C38" s="122" t="s">
        <v>113</v>
      </c>
      <c r="D38" s="122"/>
      <c r="E38" s="122"/>
      <c r="F38" s="122"/>
      <c r="G38" s="123">
        <f>SUM(G28:G37)</f>
        <v>96294</v>
      </c>
      <c r="H38" s="133"/>
      <c r="I38" s="803"/>
      <c r="J38" s="130"/>
      <c r="K38" s="801"/>
      <c r="L38" s="801"/>
      <c r="M38" s="194"/>
      <c r="N38" s="209"/>
      <c r="O38" s="145"/>
      <c r="P38" s="780" t="s">
        <v>168</v>
      </c>
      <c r="Q38" s="353" t="s">
        <v>335</v>
      </c>
      <c r="R38" s="353"/>
      <c r="S38" s="353"/>
      <c r="T38" s="353"/>
      <c r="U38" s="366"/>
      <c r="V38" s="354">
        <v>36020</v>
      </c>
    </row>
    <row r="39" spans="2:22" ht="15" customHeight="1" thickTop="1" x14ac:dyDescent="0.15">
      <c r="B39" s="795" t="s">
        <v>128</v>
      </c>
      <c r="C39" s="381" t="s">
        <v>432</v>
      </c>
      <c r="D39" s="340">
        <f>3220/10000*30</f>
        <v>9.66</v>
      </c>
      <c r="E39" s="341" t="s">
        <v>305</v>
      </c>
      <c r="F39" s="338">
        <v>5717</v>
      </c>
      <c r="G39" s="121">
        <f>D39*F39</f>
        <v>55226.22</v>
      </c>
      <c r="H39" s="133"/>
      <c r="I39" s="803"/>
      <c r="J39" s="130"/>
      <c r="K39" s="801"/>
      <c r="L39" s="801"/>
      <c r="M39" s="194"/>
      <c r="N39" s="209"/>
      <c r="O39" s="145"/>
      <c r="P39" s="778"/>
      <c r="Q39" s="201" t="s">
        <v>171</v>
      </c>
      <c r="R39" s="226"/>
      <c r="S39" s="202"/>
      <c r="T39" s="227"/>
      <c r="U39" s="202"/>
      <c r="V39" s="209"/>
    </row>
    <row r="40" spans="2:22" ht="15" customHeight="1" x14ac:dyDescent="0.15">
      <c r="B40" s="691"/>
      <c r="C40" s="381" t="s">
        <v>436</v>
      </c>
      <c r="D40" s="340">
        <f>30000/2000/500*30</f>
        <v>0.89999999999999991</v>
      </c>
      <c r="E40" s="342" t="s">
        <v>307</v>
      </c>
      <c r="F40" s="343">
        <v>10364</v>
      </c>
      <c r="G40" s="121">
        <f>D40*F40</f>
        <v>9327.5999999999985</v>
      </c>
      <c r="H40" s="133"/>
      <c r="I40" s="803"/>
      <c r="J40" s="130"/>
      <c r="K40" s="801"/>
      <c r="L40" s="801"/>
      <c r="M40" s="194"/>
      <c r="N40" s="209"/>
      <c r="O40" s="145"/>
      <c r="P40" s="778"/>
      <c r="Q40" s="201" t="s">
        <v>172</v>
      </c>
      <c r="R40" s="226"/>
      <c r="S40" s="202"/>
      <c r="T40" s="227"/>
      <c r="U40" s="202"/>
      <c r="V40" s="209"/>
    </row>
    <row r="41" spans="2:22" ht="15" customHeight="1" x14ac:dyDescent="0.15">
      <c r="B41" s="691"/>
      <c r="C41" s="385" t="s">
        <v>437</v>
      </c>
      <c r="D41" s="339">
        <f>30000/1000/500*30</f>
        <v>1.7999999999999998</v>
      </c>
      <c r="E41" s="342" t="s">
        <v>307</v>
      </c>
      <c r="F41" s="343">
        <v>11101</v>
      </c>
      <c r="G41" s="121">
        <f t="shared" ref="G41:G47" si="13">D41*F41</f>
        <v>19981.8</v>
      </c>
      <c r="H41" s="133"/>
      <c r="I41" s="803"/>
      <c r="J41" s="130"/>
      <c r="K41" s="801"/>
      <c r="L41" s="801"/>
      <c r="M41" s="194"/>
      <c r="N41" s="209"/>
      <c r="O41" s="145"/>
      <c r="P41" s="778"/>
      <c r="Q41" s="201" t="s">
        <v>174</v>
      </c>
      <c r="R41" s="226"/>
      <c r="S41" s="202"/>
      <c r="T41" s="227"/>
      <c r="U41" s="202"/>
      <c r="V41" s="209"/>
    </row>
    <row r="42" spans="2:22" ht="15" customHeight="1" thickBot="1" x14ac:dyDescent="0.2">
      <c r="B42" s="691"/>
      <c r="C42" s="385" t="s">
        <v>438</v>
      </c>
      <c r="D42" s="339">
        <f>30000/2000/500*30</f>
        <v>0.89999999999999991</v>
      </c>
      <c r="E42" s="342" t="s">
        <v>307</v>
      </c>
      <c r="F42" s="343">
        <v>4277</v>
      </c>
      <c r="G42" s="121">
        <f t="shared" si="13"/>
        <v>3849.2999999999997</v>
      </c>
      <c r="H42" s="133"/>
      <c r="I42" s="804"/>
      <c r="J42" s="197" t="s">
        <v>114</v>
      </c>
      <c r="K42" s="805"/>
      <c r="L42" s="806"/>
      <c r="M42" s="198"/>
      <c r="N42" s="205">
        <f>SUM(N35:N41)</f>
        <v>5848</v>
      </c>
      <c r="O42" s="145"/>
      <c r="P42" s="778"/>
      <c r="Q42" s="201"/>
      <c r="R42" s="226"/>
      <c r="S42" s="202"/>
      <c r="T42" s="227"/>
      <c r="U42" s="202"/>
      <c r="V42" s="209"/>
    </row>
    <row r="43" spans="2:22" ht="15" customHeight="1" thickTop="1" x14ac:dyDescent="0.15">
      <c r="B43" s="691"/>
      <c r="C43" s="279"/>
      <c r="D43" s="279"/>
      <c r="E43" s="36"/>
      <c r="F43" s="279"/>
      <c r="G43" s="121">
        <f t="shared" si="13"/>
        <v>0</v>
      </c>
      <c r="H43" s="133"/>
      <c r="I43" s="813" t="s">
        <v>162</v>
      </c>
      <c r="J43" s="350" t="s">
        <v>268</v>
      </c>
      <c r="K43" s="827">
        <v>4100</v>
      </c>
      <c r="L43" s="827"/>
      <c r="M43" s="351">
        <v>50</v>
      </c>
      <c r="N43" s="352">
        <v>820</v>
      </c>
      <c r="O43" s="145"/>
      <c r="P43" s="778"/>
      <c r="Q43" s="201"/>
      <c r="R43" s="226"/>
      <c r="S43" s="202"/>
      <c r="T43" s="227"/>
      <c r="U43" s="202"/>
      <c r="V43" s="209"/>
    </row>
    <row r="44" spans="2:22" ht="15" customHeight="1" thickBot="1" x14ac:dyDescent="0.2">
      <c r="B44" s="691"/>
      <c r="C44" s="29"/>
      <c r="D44" s="29"/>
      <c r="E44" s="36"/>
      <c r="F44" s="29"/>
      <c r="G44" s="121">
        <f t="shared" si="13"/>
        <v>0</v>
      </c>
      <c r="H44" s="133"/>
      <c r="I44" s="814"/>
      <c r="J44" s="201"/>
      <c r="K44" s="801"/>
      <c r="L44" s="801"/>
      <c r="M44" s="194"/>
      <c r="N44" s="209"/>
      <c r="O44" s="145"/>
      <c r="P44" s="781"/>
      <c r="Q44" s="210" t="s">
        <v>173</v>
      </c>
      <c r="R44" s="211"/>
      <c r="S44" s="211"/>
      <c r="T44" s="211"/>
      <c r="U44" s="211"/>
      <c r="V44" s="212">
        <f>SUM(V38:V43)</f>
        <v>36020</v>
      </c>
    </row>
    <row r="45" spans="2:22" ht="15" customHeight="1" thickTop="1" x14ac:dyDescent="0.15">
      <c r="B45" s="691"/>
      <c r="C45" s="29"/>
      <c r="D45" s="29"/>
      <c r="E45" s="36"/>
      <c r="F45" s="29"/>
      <c r="G45" s="121">
        <f t="shared" si="13"/>
        <v>0</v>
      </c>
      <c r="H45" s="133"/>
      <c r="I45" s="814"/>
      <c r="J45" s="130"/>
      <c r="K45" s="801"/>
      <c r="L45" s="801"/>
      <c r="M45" s="194"/>
      <c r="N45" s="209"/>
      <c r="O45" s="145"/>
      <c r="P45" s="777" t="s">
        <v>179</v>
      </c>
      <c r="Q45" s="774" t="s">
        <v>187</v>
      </c>
      <c r="R45" s="367" t="s">
        <v>268</v>
      </c>
      <c r="S45" s="367">
        <v>15600</v>
      </c>
      <c r="T45" s="367">
        <v>100</v>
      </c>
      <c r="U45" s="368">
        <v>50</v>
      </c>
      <c r="V45" s="369">
        <v>3120</v>
      </c>
    </row>
    <row r="46" spans="2:22" ht="15" customHeight="1" thickBot="1" x14ac:dyDescent="0.2">
      <c r="B46" s="691"/>
      <c r="C46" s="29"/>
      <c r="D46" s="29"/>
      <c r="E46" s="29"/>
      <c r="F46" s="29"/>
      <c r="G46" s="121">
        <f t="shared" si="13"/>
        <v>0</v>
      </c>
      <c r="H46" s="133"/>
      <c r="I46" s="826"/>
      <c r="J46" s="197" t="s">
        <v>114</v>
      </c>
      <c r="K46" s="805"/>
      <c r="L46" s="806"/>
      <c r="M46" s="198"/>
      <c r="N46" s="205">
        <f>SUM(N43:N45)</f>
        <v>820</v>
      </c>
      <c r="O46" s="145"/>
      <c r="P46" s="778"/>
      <c r="Q46" s="775"/>
      <c r="R46" s="228"/>
      <c r="S46" s="201"/>
      <c r="T46" s="227"/>
      <c r="U46" s="201"/>
      <c r="V46" s="209"/>
    </row>
    <row r="47" spans="2:22" ht="15" customHeight="1" thickTop="1" x14ac:dyDescent="0.15">
      <c r="B47" s="691"/>
      <c r="C47" s="29"/>
      <c r="D47" s="29"/>
      <c r="E47" s="29"/>
      <c r="F47" s="29"/>
      <c r="G47" s="121">
        <f t="shared" si="13"/>
        <v>0</v>
      </c>
      <c r="H47" s="133"/>
      <c r="I47" s="813" t="s">
        <v>163</v>
      </c>
      <c r="J47" s="199"/>
      <c r="K47" s="825"/>
      <c r="L47" s="825"/>
      <c r="M47" s="200"/>
      <c r="N47" s="224"/>
      <c r="O47" s="145"/>
      <c r="P47" s="778"/>
      <c r="Q47" s="775"/>
      <c r="R47" s="228"/>
      <c r="S47" s="201"/>
      <c r="T47" s="201"/>
      <c r="U47" s="130"/>
      <c r="V47" s="229"/>
    </row>
    <row r="48" spans="2:22" ht="15" customHeight="1" x14ac:dyDescent="0.15">
      <c r="B48" s="691"/>
      <c r="C48" s="29"/>
      <c r="D48" s="29"/>
      <c r="E48" s="29"/>
      <c r="F48" s="29"/>
      <c r="G48" s="121">
        <f t="shared" ref="G48:G52" si="14">D48*F48</f>
        <v>0</v>
      </c>
      <c r="H48" s="133"/>
      <c r="I48" s="814"/>
      <c r="J48" s="201"/>
      <c r="K48" s="801"/>
      <c r="L48" s="801"/>
      <c r="M48" s="194"/>
      <c r="N48" s="209"/>
      <c r="O48" s="145"/>
      <c r="P48" s="778"/>
      <c r="Q48" s="775"/>
      <c r="R48" s="228"/>
      <c r="S48" s="201"/>
      <c r="T48" s="227"/>
      <c r="U48" s="201"/>
      <c r="V48" s="209"/>
    </row>
    <row r="49" spans="2:22" ht="15" customHeight="1" thickBot="1" x14ac:dyDescent="0.2">
      <c r="B49" s="794"/>
      <c r="C49" s="124" t="s">
        <v>114</v>
      </c>
      <c r="D49" s="125"/>
      <c r="E49" s="125"/>
      <c r="F49" s="125"/>
      <c r="G49" s="126">
        <f>SUM(G39:G48)</f>
        <v>88384.92</v>
      </c>
      <c r="H49" s="133"/>
      <c r="I49" s="814"/>
      <c r="J49" s="130"/>
      <c r="K49" s="801"/>
      <c r="L49" s="801"/>
      <c r="M49" s="194"/>
      <c r="N49" s="209"/>
      <c r="O49" s="145"/>
      <c r="P49" s="778"/>
      <c r="Q49" s="776"/>
      <c r="R49" s="228"/>
      <c r="S49" s="201"/>
      <c r="T49" s="201"/>
      <c r="U49" s="130"/>
      <c r="V49" s="229"/>
    </row>
    <row r="50" spans="2:22" ht="15" customHeight="1" thickTop="1" thickBot="1" x14ac:dyDescent="0.2">
      <c r="B50" s="795" t="s">
        <v>28</v>
      </c>
      <c r="C50" s="29"/>
      <c r="D50" s="29"/>
      <c r="E50" s="36"/>
      <c r="F50" s="29"/>
      <c r="G50" s="121">
        <f t="shared" si="14"/>
        <v>0</v>
      </c>
      <c r="H50" s="133"/>
      <c r="I50" s="826"/>
      <c r="J50" s="197" t="s">
        <v>114</v>
      </c>
      <c r="K50" s="805"/>
      <c r="L50" s="806"/>
      <c r="M50" s="198"/>
      <c r="N50" s="205">
        <f>SUM(N47:N49)</f>
        <v>0</v>
      </c>
      <c r="O50" s="145"/>
      <c r="P50" s="778"/>
      <c r="Q50" s="210" t="s">
        <v>173</v>
      </c>
      <c r="R50" s="211"/>
      <c r="S50" s="211"/>
      <c r="T50" s="211"/>
      <c r="U50" s="211"/>
      <c r="V50" s="212">
        <f>SUM(V45:V49)</f>
        <v>3120</v>
      </c>
    </row>
    <row r="51" spans="2:22" ht="15" customHeight="1" thickTop="1" x14ac:dyDescent="0.15">
      <c r="B51" s="691"/>
      <c r="C51" s="29"/>
      <c r="D51" s="29"/>
      <c r="E51" s="29"/>
      <c r="F51" s="29"/>
      <c r="G51" s="121">
        <f t="shared" si="14"/>
        <v>0</v>
      </c>
      <c r="H51" s="133"/>
      <c r="I51" s="813" t="s">
        <v>164</v>
      </c>
      <c r="J51" s="350" t="s">
        <v>315</v>
      </c>
      <c r="K51" s="815">
        <v>2400</v>
      </c>
      <c r="L51" s="816"/>
      <c r="M51" s="351">
        <v>50</v>
      </c>
      <c r="N51" s="352">
        <v>480</v>
      </c>
      <c r="O51" s="145"/>
      <c r="P51" s="778"/>
      <c r="Q51" s="774" t="s">
        <v>188</v>
      </c>
      <c r="R51" s="367" t="s">
        <v>268</v>
      </c>
      <c r="S51" s="367">
        <v>25600</v>
      </c>
      <c r="T51" s="367">
        <v>100</v>
      </c>
      <c r="U51" s="368">
        <v>50</v>
      </c>
      <c r="V51" s="369">
        <v>5000</v>
      </c>
    </row>
    <row r="52" spans="2:22" ht="15" customHeight="1" x14ac:dyDescent="0.15">
      <c r="B52" s="691"/>
      <c r="C52" s="29"/>
      <c r="D52" s="29"/>
      <c r="E52" s="29"/>
      <c r="F52" s="29"/>
      <c r="G52" s="121">
        <f t="shared" si="14"/>
        <v>0</v>
      </c>
      <c r="H52" s="133"/>
      <c r="I52" s="814"/>
      <c r="J52" s="353" t="s">
        <v>268</v>
      </c>
      <c r="K52" s="817">
        <v>5000</v>
      </c>
      <c r="L52" s="818"/>
      <c r="M52" s="353">
        <v>50</v>
      </c>
      <c r="N52" s="354">
        <v>1000</v>
      </c>
      <c r="O52" s="145"/>
      <c r="P52" s="778"/>
      <c r="Q52" s="775"/>
      <c r="R52" s="228"/>
      <c r="S52" s="201"/>
      <c r="T52" s="227"/>
      <c r="U52" s="201"/>
      <c r="V52" s="209"/>
    </row>
    <row r="53" spans="2:22" ht="14.25" thickBot="1" x14ac:dyDescent="0.2">
      <c r="B53" s="794"/>
      <c r="C53" s="124" t="s">
        <v>114</v>
      </c>
      <c r="D53" s="125"/>
      <c r="E53" s="125"/>
      <c r="F53" s="125"/>
      <c r="G53" s="126">
        <f>SUM(G50:G52)</f>
        <v>0</v>
      </c>
      <c r="I53" s="814"/>
      <c r="J53" s="201"/>
      <c r="K53" s="819"/>
      <c r="L53" s="820"/>
      <c r="M53" s="213"/>
      <c r="N53" s="209"/>
      <c r="O53" s="145"/>
      <c r="P53" s="778"/>
      <c r="Q53" s="775"/>
      <c r="R53" s="228"/>
      <c r="S53" s="201"/>
      <c r="T53" s="201"/>
      <c r="U53" s="130"/>
      <c r="V53" s="229"/>
    </row>
    <row r="54" spans="2:22" ht="14.25" thickTop="1" x14ac:dyDescent="0.15">
      <c r="B54" s="795" t="s">
        <v>129</v>
      </c>
      <c r="C54" s="29"/>
      <c r="D54" s="29"/>
      <c r="E54" s="36"/>
      <c r="F54" s="29"/>
      <c r="G54" s="121">
        <f>D54*F54</f>
        <v>0</v>
      </c>
      <c r="I54" s="814"/>
      <c r="J54" s="194"/>
      <c r="K54" s="821"/>
      <c r="L54" s="822"/>
      <c r="M54" s="213"/>
      <c r="N54" s="209"/>
      <c r="O54" s="145"/>
      <c r="P54" s="778"/>
      <c r="Q54" s="775"/>
      <c r="R54" s="228"/>
      <c r="S54" s="201"/>
      <c r="T54" s="227"/>
      <c r="U54" s="201"/>
      <c r="V54" s="209"/>
    </row>
    <row r="55" spans="2:22" x14ac:dyDescent="0.15">
      <c r="B55" s="691"/>
      <c r="C55" s="29"/>
      <c r="D55" s="29"/>
      <c r="E55" s="36"/>
      <c r="F55" s="29"/>
      <c r="G55" s="121">
        <f>D55*F55</f>
        <v>0</v>
      </c>
      <c r="I55" s="814"/>
      <c r="J55" s="201"/>
      <c r="K55" s="819"/>
      <c r="L55" s="820"/>
      <c r="M55" s="213"/>
      <c r="N55" s="225"/>
      <c r="O55" s="145"/>
      <c r="P55" s="778"/>
      <c r="Q55" s="776"/>
      <c r="R55" s="228"/>
      <c r="S55" s="201"/>
      <c r="T55" s="201"/>
      <c r="U55" s="130"/>
      <c r="V55" s="229"/>
    </row>
    <row r="56" spans="2:22" x14ac:dyDescent="0.15">
      <c r="B56" s="691"/>
      <c r="C56" s="29"/>
      <c r="D56" s="29"/>
      <c r="E56" s="36"/>
      <c r="F56" s="29"/>
      <c r="G56" s="121">
        <f>D56*F56</f>
        <v>0</v>
      </c>
      <c r="I56" s="802"/>
      <c r="J56" s="203" t="s">
        <v>114</v>
      </c>
      <c r="K56" s="823"/>
      <c r="L56" s="824"/>
      <c r="M56" s="204"/>
      <c r="N56" s="206">
        <f>SUM(N51:N55)</f>
        <v>1480</v>
      </c>
      <c r="O56" s="145"/>
      <c r="P56" s="779"/>
      <c r="Q56" s="232" t="s">
        <v>173</v>
      </c>
      <c r="R56" s="233"/>
      <c r="S56" s="233"/>
      <c r="T56" s="233"/>
      <c r="U56" s="233"/>
      <c r="V56" s="234">
        <f>SUM(V51:V55)</f>
        <v>5000</v>
      </c>
    </row>
    <row r="57" spans="2:22" ht="14.25" thickBot="1" x14ac:dyDescent="0.2">
      <c r="B57" s="796"/>
      <c r="C57" s="127" t="s">
        <v>116</v>
      </c>
      <c r="D57" s="128"/>
      <c r="E57" s="128"/>
      <c r="F57" s="128"/>
      <c r="G57" s="129">
        <f>SUM(G54:G56)</f>
        <v>0</v>
      </c>
      <c r="I57" s="799" t="s">
        <v>165</v>
      </c>
      <c r="J57" s="800"/>
      <c r="K57" s="807"/>
      <c r="L57" s="808"/>
      <c r="M57" s="152"/>
      <c r="N57" s="207">
        <f>SUM(N42,N46,N50,N56)</f>
        <v>8148</v>
      </c>
      <c r="O57" s="145"/>
      <c r="P57" s="772" t="s">
        <v>165</v>
      </c>
      <c r="Q57" s="773"/>
      <c r="R57" s="230"/>
      <c r="S57" s="230"/>
      <c r="T57" s="230"/>
      <c r="U57" s="230"/>
      <c r="V57" s="231">
        <f>SUM(V44,V50,V56)</f>
        <v>44140</v>
      </c>
    </row>
    <row r="58" spans="2:22" ht="15" customHeight="1" thickTop="1" x14ac:dyDescent="0.15">
      <c r="I58" s="762" t="s">
        <v>316</v>
      </c>
      <c r="J58" s="350" t="s">
        <v>316</v>
      </c>
      <c r="K58" s="764" t="s">
        <v>317</v>
      </c>
      <c r="L58" s="765"/>
      <c r="M58" s="351"/>
      <c r="N58" s="355">
        <f>'[1]７　経営収支'!$F$4*0.3*0.08</f>
        <v>121800</v>
      </c>
      <c r="O58" s="145"/>
      <c r="V58" s="30"/>
    </row>
    <row r="59" spans="2:22" ht="14.25" x14ac:dyDescent="0.15">
      <c r="I59" s="763"/>
      <c r="J59" s="356"/>
      <c r="K59" s="766"/>
      <c r="L59" s="767"/>
      <c r="M59" s="353"/>
      <c r="N59" s="354"/>
      <c r="O59" s="145"/>
    </row>
    <row r="60" spans="2:22" ht="15" thickBot="1" x14ac:dyDescent="0.2">
      <c r="I60" s="768" t="s">
        <v>318</v>
      </c>
      <c r="J60" s="769"/>
      <c r="K60" s="770"/>
      <c r="L60" s="771"/>
      <c r="M60" s="357"/>
      <c r="N60" s="358">
        <f>SUM(N57:N59)</f>
        <v>129948</v>
      </c>
      <c r="O60" s="145"/>
    </row>
    <row r="61" spans="2:22" x14ac:dyDescent="0.15">
      <c r="I61" s="145"/>
      <c r="J61" s="145"/>
      <c r="K61" s="145"/>
      <c r="L61" s="145"/>
      <c r="M61" s="145"/>
      <c r="N61" s="145"/>
      <c r="O61" s="145"/>
    </row>
    <row r="62" spans="2:22" x14ac:dyDescent="0.15">
      <c r="I62" s="145"/>
      <c r="J62" s="145"/>
      <c r="K62" s="145"/>
      <c r="L62" s="145"/>
      <c r="M62" s="145"/>
      <c r="N62" s="145"/>
      <c r="O62" s="145"/>
    </row>
    <row r="63" spans="2:22" x14ac:dyDescent="0.15">
      <c r="I63" s="145"/>
      <c r="J63" s="145"/>
      <c r="K63" s="145"/>
      <c r="L63" s="145"/>
      <c r="M63" s="145"/>
      <c r="N63" s="145"/>
      <c r="O63" s="145"/>
    </row>
    <row r="64" spans="2:22" x14ac:dyDescent="0.15">
      <c r="I64" s="145"/>
      <c r="J64" s="145"/>
      <c r="K64" s="145"/>
      <c r="L64" s="145"/>
      <c r="M64" s="145"/>
      <c r="N64" s="145"/>
      <c r="O64" s="145"/>
    </row>
    <row r="65" spans="9:15" x14ac:dyDescent="0.15">
      <c r="I65" s="145"/>
      <c r="J65" s="145"/>
      <c r="K65" s="145"/>
      <c r="L65" s="145"/>
      <c r="M65" s="145"/>
      <c r="N65" s="145"/>
      <c r="O65" s="145"/>
    </row>
    <row r="66" spans="9:15" x14ac:dyDescent="0.15">
      <c r="I66" s="145"/>
      <c r="J66" s="145"/>
      <c r="K66" s="145"/>
      <c r="L66" s="145"/>
      <c r="M66" s="145"/>
      <c r="N66" s="145"/>
      <c r="O66" s="145"/>
    </row>
    <row r="67" spans="9:15" x14ac:dyDescent="0.15">
      <c r="I67" s="145"/>
      <c r="J67" s="145"/>
      <c r="K67" s="145"/>
      <c r="L67" s="145"/>
      <c r="M67" s="145"/>
      <c r="N67" s="145"/>
      <c r="O67" s="145"/>
    </row>
    <row r="68" spans="9:15" x14ac:dyDescent="0.15">
      <c r="I68" s="145"/>
      <c r="J68" s="145"/>
      <c r="K68" s="145"/>
      <c r="L68" s="145"/>
      <c r="M68" s="145"/>
      <c r="N68" s="145"/>
      <c r="O68" s="145"/>
    </row>
    <row r="69" spans="9:15" x14ac:dyDescent="0.15">
      <c r="I69" s="145"/>
      <c r="J69" s="145"/>
      <c r="K69" s="145"/>
      <c r="L69" s="145"/>
      <c r="M69" s="145"/>
      <c r="N69" s="145"/>
      <c r="O69" s="145"/>
    </row>
    <row r="70" spans="9:15" x14ac:dyDescent="0.15">
      <c r="I70" s="145"/>
      <c r="J70" s="145"/>
      <c r="K70" s="145"/>
      <c r="L70" s="145"/>
      <c r="M70" s="145"/>
      <c r="N70" s="145"/>
      <c r="O70" s="145"/>
    </row>
    <row r="71" spans="9:15" x14ac:dyDescent="0.15">
      <c r="I71" s="145"/>
      <c r="J71" s="145"/>
      <c r="K71" s="145"/>
      <c r="L71" s="145"/>
      <c r="M71" s="145"/>
      <c r="N71" s="145"/>
      <c r="O71" s="145"/>
    </row>
    <row r="72" spans="9:15" x14ac:dyDescent="0.15">
      <c r="I72" s="145"/>
      <c r="J72" s="145"/>
      <c r="K72" s="145"/>
      <c r="L72" s="145"/>
      <c r="M72" s="145"/>
      <c r="N72" s="145"/>
      <c r="O72" s="145"/>
    </row>
    <row r="73" spans="9:15" x14ac:dyDescent="0.15">
      <c r="I73" s="145"/>
      <c r="J73" s="145"/>
      <c r="K73" s="145"/>
      <c r="L73" s="145"/>
      <c r="M73" s="145"/>
      <c r="N73" s="145"/>
      <c r="O73" s="145"/>
    </row>
    <row r="74" spans="9:15" x14ac:dyDescent="0.15">
      <c r="I74" s="145"/>
      <c r="J74" s="145"/>
      <c r="K74" s="145"/>
      <c r="L74" s="145"/>
      <c r="M74" s="145"/>
      <c r="N74" s="145"/>
      <c r="O74" s="145"/>
    </row>
    <row r="75" spans="9:15" x14ac:dyDescent="0.15">
      <c r="I75" s="145"/>
      <c r="J75" s="145"/>
      <c r="K75" s="145"/>
      <c r="L75" s="145"/>
      <c r="M75" s="145"/>
      <c r="N75" s="145"/>
      <c r="O75" s="145"/>
    </row>
    <row r="76" spans="9:15" x14ac:dyDescent="0.15">
      <c r="I76" s="145"/>
      <c r="J76" s="145"/>
      <c r="K76" s="145"/>
      <c r="L76" s="145"/>
      <c r="M76" s="145"/>
      <c r="N76" s="145"/>
      <c r="O76" s="145"/>
    </row>
    <row r="77" spans="9:15" x14ac:dyDescent="0.15">
      <c r="I77" s="145"/>
      <c r="J77" s="145"/>
      <c r="K77" s="145"/>
      <c r="L77" s="145"/>
      <c r="M77" s="145"/>
      <c r="N77" s="145"/>
      <c r="O77" s="145"/>
    </row>
    <row r="78" spans="9:15" x14ac:dyDescent="0.15">
      <c r="I78" s="145"/>
      <c r="J78" s="145"/>
      <c r="K78" s="145"/>
      <c r="L78" s="145"/>
      <c r="M78" s="145"/>
      <c r="N78" s="145"/>
      <c r="O78" s="145"/>
    </row>
    <row r="79" spans="9:15" x14ac:dyDescent="0.15">
      <c r="I79" s="145"/>
      <c r="J79" s="145"/>
      <c r="K79" s="145"/>
      <c r="L79" s="145"/>
      <c r="M79" s="145"/>
      <c r="N79" s="145"/>
      <c r="O79" s="145"/>
    </row>
    <row r="80" spans="9:15" x14ac:dyDescent="0.15">
      <c r="I80" s="145"/>
      <c r="J80" s="145"/>
      <c r="K80" s="145"/>
      <c r="L80" s="145"/>
      <c r="M80" s="145"/>
      <c r="N80" s="145"/>
      <c r="O80" s="145"/>
    </row>
    <row r="81" spans="2:15" x14ac:dyDescent="0.15">
      <c r="I81" s="145"/>
      <c r="J81" s="145"/>
      <c r="K81" s="145"/>
      <c r="L81" s="145"/>
      <c r="M81" s="145"/>
      <c r="N81" s="145"/>
      <c r="O81" s="145"/>
    </row>
    <row r="82" spans="2:15" x14ac:dyDescent="0.15">
      <c r="I82" s="145"/>
      <c r="J82" s="145"/>
      <c r="K82" s="145"/>
      <c r="L82" s="145"/>
      <c r="M82" s="145"/>
      <c r="N82" s="145"/>
      <c r="O82" s="145"/>
    </row>
    <row r="83" spans="2:15" x14ac:dyDescent="0.15">
      <c r="B83" s="132"/>
      <c r="C83" s="133"/>
      <c r="D83" s="133"/>
      <c r="E83" s="133"/>
      <c r="F83" s="133"/>
      <c r="I83" s="145"/>
      <c r="J83" s="145"/>
      <c r="K83" s="145"/>
      <c r="L83" s="145"/>
      <c r="M83" s="145"/>
      <c r="N83" s="145"/>
      <c r="O83" s="145"/>
    </row>
    <row r="84" spans="2:15" x14ac:dyDescent="0.15">
      <c r="B84" s="132"/>
      <c r="C84" s="133"/>
      <c r="D84" s="133"/>
      <c r="E84" s="133"/>
      <c r="F84" s="133"/>
      <c r="I84" s="145"/>
      <c r="J84" s="145"/>
      <c r="K84" s="145"/>
      <c r="L84" s="145"/>
      <c r="M84" s="145"/>
      <c r="N84" s="145"/>
      <c r="O84" s="145"/>
    </row>
    <row r="85" spans="2:15" x14ac:dyDescent="0.15">
      <c r="I85" s="145"/>
      <c r="J85" s="145"/>
      <c r="K85" s="145"/>
      <c r="L85" s="145"/>
      <c r="M85" s="145"/>
      <c r="N85" s="145"/>
      <c r="O85" s="145"/>
    </row>
    <row r="86" spans="2:15" x14ac:dyDescent="0.15">
      <c r="I86" s="145"/>
      <c r="J86" s="145"/>
      <c r="K86" s="145"/>
      <c r="L86" s="145"/>
      <c r="M86" s="145"/>
      <c r="N86" s="145"/>
      <c r="O86" s="145"/>
    </row>
    <row r="87" spans="2:15" x14ac:dyDescent="0.15">
      <c r="I87" s="145"/>
      <c r="J87" s="145"/>
      <c r="K87" s="145"/>
      <c r="L87" s="145"/>
      <c r="M87" s="145"/>
      <c r="N87" s="145"/>
      <c r="O87" s="145"/>
    </row>
    <row r="88" spans="2:15" x14ac:dyDescent="0.15">
      <c r="I88" s="145"/>
      <c r="J88" s="145"/>
      <c r="K88" s="145"/>
      <c r="L88" s="145"/>
      <c r="M88" s="145"/>
      <c r="N88" s="145"/>
      <c r="O88" s="145"/>
    </row>
    <row r="89" spans="2:15" x14ac:dyDescent="0.15">
      <c r="I89" s="145"/>
      <c r="J89" s="145"/>
      <c r="K89" s="145"/>
      <c r="L89" s="145"/>
      <c r="M89" s="145"/>
      <c r="N89" s="145"/>
      <c r="O89" s="145"/>
    </row>
    <row r="90" spans="2:15" x14ac:dyDescent="0.15">
      <c r="I90" s="145"/>
      <c r="J90" s="145"/>
      <c r="K90" s="145"/>
      <c r="L90" s="145"/>
      <c r="M90" s="145"/>
      <c r="N90" s="145"/>
      <c r="O90" s="145"/>
    </row>
    <row r="91" spans="2:15" x14ac:dyDescent="0.15">
      <c r="I91" s="145"/>
      <c r="J91" s="145"/>
      <c r="K91" s="145"/>
      <c r="L91" s="145"/>
      <c r="M91" s="145"/>
      <c r="N91" s="145"/>
      <c r="O91" s="145"/>
    </row>
    <row r="92" spans="2:15" x14ac:dyDescent="0.15">
      <c r="I92" s="145"/>
      <c r="J92" s="145"/>
      <c r="K92" s="145"/>
      <c r="L92" s="145"/>
      <c r="M92" s="145"/>
      <c r="N92" s="145"/>
      <c r="O92" s="145"/>
    </row>
    <row r="93" spans="2:15" x14ac:dyDescent="0.15">
      <c r="I93" s="145"/>
      <c r="J93" s="145"/>
      <c r="K93" s="145"/>
      <c r="L93" s="145"/>
      <c r="M93" s="145"/>
      <c r="N93" s="145"/>
      <c r="O93" s="145"/>
    </row>
    <row r="94" spans="2:15" x14ac:dyDescent="0.15">
      <c r="I94" s="145"/>
      <c r="J94" s="145"/>
      <c r="K94" s="145"/>
      <c r="L94" s="145"/>
      <c r="M94" s="145"/>
      <c r="N94" s="145"/>
      <c r="O94" s="145"/>
    </row>
    <row r="95" spans="2:15" x14ac:dyDescent="0.15">
      <c r="I95" s="145"/>
      <c r="J95" s="145"/>
      <c r="K95" s="145"/>
      <c r="L95" s="145"/>
      <c r="M95" s="145"/>
      <c r="N95" s="145"/>
      <c r="O95" s="145"/>
    </row>
    <row r="96" spans="2:15" x14ac:dyDescent="0.15">
      <c r="I96" s="145"/>
      <c r="J96" s="145"/>
      <c r="K96" s="145"/>
      <c r="L96" s="145"/>
      <c r="M96" s="145"/>
      <c r="N96" s="145"/>
      <c r="O96" s="145"/>
    </row>
    <row r="97" spans="9:15" x14ac:dyDescent="0.15">
      <c r="I97" s="145"/>
      <c r="J97" s="145"/>
      <c r="K97" s="145"/>
      <c r="L97" s="145"/>
      <c r="M97" s="145"/>
      <c r="N97" s="145"/>
      <c r="O97" s="145"/>
    </row>
    <row r="98" spans="9:15" x14ac:dyDescent="0.15">
      <c r="I98" s="145"/>
      <c r="J98" s="145"/>
      <c r="K98" s="145"/>
      <c r="L98" s="145"/>
      <c r="M98" s="145"/>
      <c r="N98" s="145"/>
      <c r="O98" s="145"/>
    </row>
    <row r="99" spans="9:15" x14ac:dyDescent="0.15">
      <c r="I99" s="145"/>
      <c r="J99" s="145"/>
      <c r="K99" s="145"/>
      <c r="L99" s="145"/>
      <c r="M99" s="145"/>
      <c r="N99" s="145"/>
      <c r="O99" s="145"/>
    </row>
    <row r="100" spans="9:15" x14ac:dyDescent="0.15">
      <c r="I100" s="145"/>
      <c r="J100" s="145"/>
      <c r="K100" s="145"/>
      <c r="L100" s="145"/>
      <c r="M100" s="145"/>
      <c r="N100" s="145"/>
      <c r="O100" s="145"/>
    </row>
    <row r="101" spans="9:15" x14ac:dyDescent="0.15">
      <c r="I101" s="145"/>
      <c r="J101" s="145"/>
      <c r="K101" s="145"/>
      <c r="L101" s="145"/>
      <c r="M101" s="145"/>
      <c r="N101" s="145"/>
      <c r="O101" s="145"/>
    </row>
    <row r="102" spans="9:15" x14ac:dyDescent="0.15">
      <c r="I102" s="145"/>
      <c r="J102" s="145"/>
      <c r="K102" s="145"/>
      <c r="L102" s="145"/>
      <c r="M102" s="145"/>
      <c r="N102" s="145"/>
      <c r="O102" s="145"/>
    </row>
    <row r="103" spans="9:15" x14ac:dyDescent="0.15">
      <c r="I103" s="145"/>
      <c r="J103" s="145"/>
      <c r="K103" s="145"/>
      <c r="L103" s="145"/>
      <c r="M103" s="145"/>
      <c r="N103" s="145"/>
      <c r="O103" s="145"/>
    </row>
    <row r="104" spans="9:15" x14ac:dyDescent="0.15">
      <c r="I104" s="145"/>
      <c r="J104" s="145"/>
      <c r="K104" s="145"/>
      <c r="L104" s="145"/>
      <c r="M104" s="145"/>
      <c r="N104" s="145"/>
      <c r="O104" s="145"/>
    </row>
    <row r="105" spans="9:15" x14ac:dyDescent="0.15">
      <c r="I105" s="145"/>
      <c r="J105" s="145"/>
      <c r="K105" s="145"/>
      <c r="L105" s="145"/>
      <c r="M105" s="145"/>
      <c r="N105" s="145"/>
      <c r="O105" s="145"/>
    </row>
    <row r="106" spans="9:15" x14ac:dyDescent="0.15">
      <c r="I106" s="145"/>
      <c r="J106" s="145"/>
      <c r="K106" s="145"/>
      <c r="L106" s="145"/>
      <c r="M106" s="145"/>
      <c r="N106" s="145"/>
      <c r="O106" s="145"/>
    </row>
    <row r="107" spans="9:15" x14ac:dyDescent="0.15">
      <c r="I107" s="145"/>
      <c r="J107" s="145"/>
      <c r="K107" s="145"/>
      <c r="L107" s="145"/>
      <c r="M107" s="145"/>
      <c r="N107" s="145"/>
      <c r="O107" s="145"/>
    </row>
    <row r="108" spans="9:15" x14ac:dyDescent="0.15">
      <c r="I108" s="145"/>
      <c r="J108" s="145"/>
      <c r="K108" s="145"/>
      <c r="L108" s="145"/>
      <c r="M108" s="145"/>
      <c r="N108" s="145"/>
      <c r="O108" s="145"/>
    </row>
    <row r="109" spans="9:15" x14ac:dyDescent="0.15">
      <c r="I109" s="145"/>
      <c r="J109" s="145"/>
      <c r="K109" s="145"/>
      <c r="L109" s="145"/>
      <c r="M109" s="145"/>
      <c r="N109" s="145"/>
      <c r="O109" s="145"/>
    </row>
    <row r="110" spans="9:15" x14ac:dyDescent="0.15">
      <c r="I110" s="145"/>
      <c r="J110" s="145"/>
      <c r="K110" s="145"/>
      <c r="L110" s="145"/>
      <c r="M110" s="145"/>
      <c r="N110" s="145"/>
      <c r="O110" s="145"/>
    </row>
    <row r="111" spans="9:15" x14ac:dyDescent="0.15">
      <c r="I111" s="145"/>
      <c r="J111" s="145"/>
      <c r="K111" s="145"/>
      <c r="L111" s="145"/>
      <c r="M111" s="145"/>
      <c r="N111" s="145"/>
      <c r="O111" s="145"/>
    </row>
    <row r="112" spans="9:15" x14ac:dyDescent="0.15">
      <c r="I112" s="145"/>
      <c r="J112" s="145"/>
      <c r="K112" s="145"/>
      <c r="L112" s="145"/>
      <c r="M112" s="145"/>
      <c r="N112" s="145"/>
      <c r="O112" s="145"/>
    </row>
    <row r="113" spans="9:15" x14ac:dyDescent="0.15">
      <c r="I113" s="145"/>
      <c r="J113" s="145"/>
      <c r="K113" s="145"/>
      <c r="L113" s="145"/>
      <c r="M113" s="145"/>
      <c r="N113" s="145"/>
      <c r="O113" s="145"/>
    </row>
    <row r="114" spans="9:15" x14ac:dyDescent="0.15">
      <c r="I114" s="145"/>
      <c r="J114" s="145"/>
      <c r="K114" s="145"/>
      <c r="L114" s="145"/>
      <c r="M114" s="145"/>
      <c r="N114" s="145"/>
      <c r="O114" s="145"/>
    </row>
    <row r="115" spans="9:15" x14ac:dyDescent="0.15">
      <c r="I115" s="145"/>
      <c r="J115" s="145"/>
      <c r="K115" s="145"/>
      <c r="L115" s="145"/>
      <c r="M115" s="145"/>
      <c r="N115" s="145"/>
      <c r="O115" s="145"/>
    </row>
    <row r="116" spans="9:15" x14ac:dyDescent="0.15">
      <c r="I116" s="145"/>
      <c r="J116" s="145"/>
      <c r="K116" s="145"/>
      <c r="L116" s="145"/>
      <c r="M116" s="145"/>
      <c r="N116" s="145"/>
      <c r="O116" s="145"/>
    </row>
    <row r="117" spans="9:15" x14ac:dyDescent="0.15">
      <c r="I117" s="145"/>
      <c r="J117" s="145"/>
      <c r="K117" s="145"/>
      <c r="L117" s="145"/>
      <c r="M117" s="145"/>
      <c r="N117" s="145"/>
      <c r="O117" s="145"/>
    </row>
    <row r="118" spans="9:15" x14ac:dyDescent="0.15">
      <c r="I118" s="145"/>
      <c r="J118" s="145"/>
      <c r="K118" s="145"/>
      <c r="L118" s="145"/>
      <c r="M118" s="145"/>
      <c r="N118" s="145"/>
      <c r="O118" s="145"/>
    </row>
    <row r="119" spans="9:15" x14ac:dyDescent="0.15">
      <c r="I119" s="145"/>
      <c r="J119" s="145"/>
      <c r="K119" s="145"/>
      <c r="L119" s="145"/>
      <c r="M119" s="145"/>
      <c r="N119" s="145"/>
      <c r="O119" s="145"/>
    </row>
    <row r="120" spans="9:15" x14ac:dyDescent="0.15">
      <c r="I120" s="145"/>
      <c r="J120" s="145"/>
      <c r="K120" s="145"/>
      <c r="L120" s="145"/>
      <c r="M120" s="145"/>
      <c r="N120" s="145"/>
      <c r="O120" s="145"/>
    </row>
    <row r="121" spans="9:15" x14ac:dyDescent="0.15">
      <c r="I121" s="145"/>
      <c r="J121" s="145"/>
      <c r="K121" s="145"/>
      <c r="L121" s="145"/>
      <c r="M121" s="145"/>
      <c r="N121" s="145"/>
      <c r="O121" s="145"/>
    </row>
    <row r="122" spans="9:15" x14ac:dyDescent="0.15">
      <c r="I122" s="145"/>
      <c r="J122" s="145"/>
      <c r="K122" s="145"/>
      <c r="L122" s="145"/>
      <c r="M122" s="145"/>
      <c r="N122" s="145"/>
      <c r="O122" s="145"/>
    </row>
    <row r="123" spans="9:15" x14ac:dyDescent="0.15">
      <c r="I123" s="145"/>
      <c r="J123" s="145"/>
      <c r="K123" s="145"/>
      <c r="L123" s="145"/>
      <c r="M123" s="145"/>
      <c r="N123" s="145"/>
      <c r="O123" s="145"/>
    </row>
    <row r="124" spans="9:15" x14ac:dyDescent="0.15">
      <c r="I124" s="145"/>
      <c r="J124" s="145"/>
      <c r="K124" s="145"/>
      <c r="L124" s="145"/>
      <c r="M124" s="145"/>
      <c r="N124" s="145"/>
      <c r="O124" s="145"/>
    </row>
    <row r="125" spans="9:15" x14ac:dyDescent="0.15">
      <c r="I125" s="145"/>
      <c r="J125" s="145"/>
      <c r="K125" s="145"/>
      <c r="L125" s="145"/>
      <c r="M125" s="145"/>
      <c r="N125" s="145"/>
      <c r="O125" s="145"/>
    </row>
    <row r="126" spans="9:15" x14ac:dyDescent="0.15">
      <c r="I126" s="145"/>
      <c r="J126" s="145"/>
      <c r="K126" s="145"/>
      <c r="L126" s="145"/>
      <c r="M126" s="145"/>
      <c r="N126" s="145"/>
      <c r="O126" s="145"/>
    </row>
    <row r="127" spans="9:15" x14ac:dyDescent="0.15">
      <c r="I127" s="145"/>
      <c r="J127" s="145"/>
      <c r="K127" s="145"/>
      <c r="L127" s="145"/>
      <c r="M127" s="145"/>
      <c r="N127" s="145"/>
      <c r="O127" s="145"/>
    </row>
    <row r="128" spans="9:15" x14ac:dyDescent="0.15">
      <c r="I128" s="145"/>
      <c r="J128" s="145"/>
      <c r="K128" s="145"/>
      <c r="L128" s="145"/>
      <c r="M128" s="145"/>
      <c r="N128" s="145"/>
      <c r="O128" s="145"/>
    </row>
    <row r="129" spans="9:15" x14ac:dyDescent="0.15">
      <c r="I129" s="145"/>
      <c r="J129" s="145"/>
      <c r="K129" s="145"/>
      <c r="L129" s="145"/>
      <c r="M129" s="145"/>
      <c r="N129" s="145"/>
      <c r="O129" s="145"/>
    </row>
    <row r="130" spans="9:15" x14ac:dyDescent="0.15">
      <c r="I130" s="145"/>
      <c r="J130" s="145"/>
      <c r="K130" s="145"/>
      <c r="L130" s="145"/>
      <c r="M130" s="145"/>
      <c r="N130" s="145"/>
      <c r="O130" s="145"/>
    </row>
    <row r="131" spans="9:15" x14ac:dyDescent="0.15">
      <c r="I131" s="145"/>
      <c r="J131" s="145"/>
      <c r="K131" s="145"/>
      <c r="L131" s="145"/>
      <c r="M131" s="145"/>
      <c r="N131" s="145"/>
      <c r="O131" s="145"/>
    </row>
    <row r="132" spans="9:15" x14ac:dyDescent="0.15">
      <c r="I132" s="145"/>
      <c r="J132" s="145"/>
      <c r="K132" s="145"/>
      <c r="L132" s="145"/>
      <c r="M132" s="145"/>
      <c r="N132" s="145"/>
      <c r="O132" s="145"/>
    </row>
    <row r="133" spans="9:15" x14ac:dyDescent="0.15">
      <c r="I133" s="145"/>
      <c r="J133" s="145"/>
      <c r="K133" s="145"/>
      <c r="L133" s="145"/>
      <c r="M133" s="145"/>
      <c r="N133" s="145"/>
      <c r="O133" s="145"/>
    </row>
    <row r="134" spans="9:15" x14ac:dyDescent="0.15">
      <c r="I134" s="145"/>
      <c r="J134" s="145"/>
      <c r="K134" s="145"/>
      <c r="L134" s="145"/>
      <c r="M134" s="145"/>
      <c r="N134" s="145"/>
      <c r="O134" s="145"/>
    </row>
    <row r="135" spans="9:15" x14ac:dyDescent="0.15">
      <c r="I135" s="145"/>
      <c r="J135" s="145"/>
      <c r="K135" s="145"/>
      <c r="L135" s="145"/>
      <c r="M135" s="145"/>
      <c r="N135" s="145"/>
      <c r="O135" s="145"/>
    </row>
    <row r="136" spans="9:15" x14ac:dyDescent="0.15">
      <c r="I136" s="145"/>
      <c r="J136" s="145"/>
      <c r="K136" s="145"/>
      <c r="L136" s="145"/>
      <c r="M136" s="145"/>
      <c r="N136" s="145"/>
      <c r="O136" s="145"/>
    </row>
    <row r="137" spans="9:15" x14ac:dyDescent="0.15">
      <c r="I137" s="145"/>
      <c r="J137" s="145"/>
      <c r="K137" s="145"/>
      <c r="L137" s="145"/>
      <c r="M137" s="145"/>
      <c r="N137" s="145"/>
      <c r="O137" s="145"/>
    </row>
    <row r="138" spans="9:15" x14ac:dyDescent="0.15">
      <c r="I138" s="145"/>
      <c r="J138" s="145"/>
      <c r="K138" s="145"/>
      <c r="L138" s="145"/>
      <c r="M138" s="145"/>
      <c r="N138" s="145"/>
      <c r="O138" s="145"/>
    </row>
    <row r="139" spans="9:15" x14ac:dyDescent="0.15">
      <c r="I139" s="145"/>
      <c r="J139" s="145"/>
      <c r="K139" s="145"/>
      <c r="L139" s="145"/>
      <c r="M139" s="145"/>
      <c r="N139" s="145"/>
    </row>
    <row r="140" spans="9:15" x14ac:dyDescent="0.15">
      <c r="I140" s="145"/>
      <c r="J140" s="145"/>
      <c r="K140" s="145"/>
      <c r="L140" s="145"/>
      <c r="M140" s="145"/>
      <c r="N140" s="145"/>
    </row>
    <row r="141" spans="9:15" x14ac:dyDescent="0.15">
      <c r="I141" s="145"/>
      <c r="J141" s="145"/>
      <c r="K141" s="145"/>
      <c r="L141" s="145"/>
      <c r="M141" s="145"/>
      <c r="N141" s="145"/>
    </row>
    <row r="142" spans="9:15" x14ac:dyDescent="0.15">
      <c r="I142" s="145"/>
      <c r="J142" s="145"/>
      <c r="K142" s="145"/>
      <c r="L142" s="145"/>
      <c r="M142" s="145"/>
      <c r="N142" s="145"/>
    </row>
    <row r="143" spans="9:15" x14ac:dyDescent="0.15">
      <c r="I143" s="145"/>
      <c r="J143" s="145"/>
      <c r="K143" s="145"/>
      <c r="L143" s="145"/>
      <c r="M143" s="145"/>
      <c r="N143" s="145"/>
    </row>
    <row r="144" spans="9:15" x14ac:dyDescent="0.15">
      <c r="I144" s="145"/>
      <c r="J144" s="145"/>
      <c r="K144" s="145"/>
      <c r="L144" s="145"/>
      <c r="M144" s="145"/>
      <c r="N144" s="145"/>
    </row>
    <row r="145" spans="9:14" x14ac:dyDescent="0.15">
      <c r="I145" s="145"/>
      <c r="J145" s="145"/>
      <c r="K145" s="145"/>
      <c r="L145" s="145"/>
      <c r="M145" s="145"/>
      <c r="N145" s="145"/>
    </row>
    <row r="146" spans="9:14" x14ac:dyDescent="0.15">
      <c r="I146" s="145"/>
      <c r="J146" s="145"/>
      <c r="K146" s="145"/>
      <c r="L146" s="145"/>
      <c r="M146" s="145"/>
      <c r="N146" s="145"/>
    </row>
    <row r="147" spans="9:14" x14ac:dyDescent="0.15">
      <c r="I147" s="145"/>
      <c r="J147" s="145"/>
      <c r="K147" s="145"/>
      <c r="L147" s="145"/>
      <c r="M147" s="145"/>
      <c r="N147" s="145"/>
    </row>
    <row r="148" spans="9:14" x14ac:dyDescent="0.15">
      <c r="I148" s="145"/>
      <c r="J148" s="145"/>
      <c r="K148" s="145"/>
      <c r="L148" s="145"/>
      <c r="M148" s="145"/>
      <c r="N148" s="145"/>
    </row>
    <row r="149" spans="9:14" x14ac:dyDescent="0.15">
      <c r="I149" s="145"/>
      <c r="J149" s="145"/>
      <c r="K149" s="145"/>
      <c r="L149" s="145"/>
      <c r="M149" s="145"/>
      <c r="N149" s="145"/>
    </row>
    <row r="150" spans="9:14" x14ac:dyDescent="0.15">
      <c r="I150" s="145"/>
      <c r="J150" s="145"/>
      <c r="K150" s="145"/>
      <c r="L150" s="145"/>
      <c r="M150" s="145"/>
      <c r="N150" s="145"/>
    </row>
    <row r="151" spans="9:14" x14ac:dyDescent="0.15">
      <c r="I151" s="145"/>
      <c r="J151" s="145"/>
      <c r="K151" s="145"/>
      <c r="L151" s="145"/>
      <c r="M151" s="145"/>
      <c r="N151" s="145"/>
    </row>
    <row r="152" spans="9:14" x14ac:dyDescent="0.15">
      <c r="I152" s="145"/>
      <c r="J152" s="145"/>
      <c r="K152" s="145"/>
      <c r="L152" s="145"/>
      <c r="M152" s="145"/>
      <c r="N152" s="145"/>
    </row>
    <row r="153" spans="9:14" x14ac:dyDescent="0.15">
      <c r="I153" s="145"/>
      <c r="J153" s="145"/>
      <c r="K153" s="145"/>
      <c r="L153" s="145"/>
      <c r="M153" s="145"/>
      <c r="N153" s="145"/>
    </row>
    <row r="154" spans="9:14" x14ac:dyDescent="0.15">
      <c r="I154" s="145"/>
      <c r="J154" s="145"/>
      <c r="K154" s="145"/>
      <c r="L154" s="145"/>
      <c r="M154" s="145"/>
      <c r="N154" s="145"/>
    </row>
    <row r="155" spans="9:14" x14ac:dyDescent="0.15">
      <c r="J155" s="145"/>
      <c r="K155" s="145"/>
      <c r="L155" s="145"/>
      <c r="M155" s="145"/>
      <c r="N155" s="145"/>
    </row>
    <row r="156" spans="9:14" x14ac:dyDescent="0.15">
      <c r="J156" s="145"/>
      <c r="K156" s="145"/>
      <c r="L156" s="145"/>
      <c r="M156" s="145"/>
      <c r="N156" s="145"/>
    </row>
    <row r="172" spans="15:15" x14ac:dyDescent="0.15">
      <c r="O172" s="145"/>
    </row>
    <row r="173" spans="15:15" x14ac:dyDescent="0.15">
      <c r="O173" s="145"/>
    </row>
    <row r="174" spans="15:15" x14ac:dyDescent="0.15">
      <c r="O174" s="145"/>
    </row>
    <row r="175" spans="15:15" x14ac:dyDescent="0.15">
      <c r="O175" s="145"/>
    </row>
    <row r="176" spans="15:15" x14ac:dyDescent="0.15">
      <c r="O176" s="145"/>
    </row>
    <row r="177" spans="15:15" x14ac:dyDescent="0.15">
      <c r="O177" s="145"/>
    </row>
    <row r="178" spans="15:15" x14ac:dyDescent="0.15">
      <c r="O178" s="145"/>
    </row>
    <row r="179" spans="15:15" x14ac:dyDescent="0.15">
      <c r="O179" s="145"/>
    </row>
    <row r="180" spans="15:15" x14ac:dyDescent="0.15">
      <c r="O180" s="145"/>
    </row>
    <row r="181" spans="15:15" x14ac:dyDescent="0.15">
      <c r="O181" s="145"/>
    </row>
    <row r="182" spans="15:15" x14ac:dyDescent="0.15">
      <c r="O182" s="145"/>
    </row>
    <row r="183" spans="15:15" x14ac:dyDescent="0.15">
      <c r="O183" s="145"/>
    </row>
    <row r="184" spans="15:15" x14ac:dyDescent="0.15">
      <c r="O184" s="145"/>
    </row>
    <row r="185" spans="15:15" x14ac:dyDescent="0.15">
      <c r="O185" s="145"/>
    </row>
    <row r="186" spans="15:15" x14ac:dyDescent="0.15">
      <c r="O186" s="145"/>
    </row>
    <row r="187" spans="15:15" x14ac:dyDescent="0.15">
      <c r="O187" s="145"/>
    </row>
    <row r="188" spans="15:15" x14ac:dyDescent="0.15">
      <c r="O188" s="145"/>
    </row>
    <row r="189" spans="15:15" x14ac:dyDescent="0.15">
      <c r="O189" s="145"/>
    </row>
    <row r="190" spans="15:15" x14ac:dyDescent="0.15">
      <c r="O190" s="145"/>
    </row>
    <row r="191" spans="15:15" x14ac:dyDescent="0.15">
      <c r="O191" s="145"/>
    </row>
  </sheetData>
  <mergeCells count="75"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K34:L34"/>
    <mergeCell ref="K35:L35"/>
    <mergeCell ref="K36:L36"/>
    <mergeCell ref="K39:L39"/>
    <mergeCell ref="K40:L40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9:U9"/>
    <mergeCell ref="T10:U10"/>
    <mergeCell ref="T11:U11"/>
    <mergeCell ref="T12:U12"/>
    <mergeCell ref="I6:I10"/>
    <mergeCell ref="I11:I15"/>
    <mergeCell ref="P57:Q57"/>
    <mergeCell ref="Q45:Q49"/>
    <mergeCell ref="Q51:Q55"/>
    <mergeCell ref="P45:P56"/>
    <mergeCell ref="P38:P44"/>
    <mergeCell ref="I58:I59"/>
    <mergeCell ref="K58:L58"/>
    <mergeCell ref="K59:L59"/>
    <mergeCell ref="I60:J60"/>
    <mergeCell ref="K60:L60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ColWidth="9"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241</v>
      </c>
    </row>
    <row r="3" spans="2:15" ht="20.100000000000001" customHeight="1" x14ac:dyDescent="0.15">
      <c r="D3" s="82" t="s">
        <v>189</v>
      </c>
      <c r="E3" s="81" t="s">
        <v>94</v>
      </c>
      <c r="F3" s="81"/>
      <c r="G3" s="82" t="s">
        <v>190</v>
      </c>
      <c r="H3" s="81" t="s">
        <v>238</v>
      </c>
      <c r="I3" s="81"/>
    </row>
    <row r="4" spans="2:15" ht="20.100000000000001" customHeight="1" thickBot="1" x14ac:dyDescent="0.2">
      <c r="B4" s="5" t="s">
        <v>200</v>
      </c>
      <c r="C4" s="5" t="s">
        <v>201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05" t="s">
        <v>239</v>
      </c>
      <c r="C5" s="309">
        <v>1</v>
      </c>
      <c r="D5" s="309">
        <v>2</v>
      </c>
      <c r="E5" s="309">
        <v>3</v>
      </c>
      <c r="F5" s="309">
        <v>4</v>
      </c>
      <c r="G5" s="309">
        <v>5</v>
      </c>
      <c r="H5" s="309">
        <v>6</v>
      </c>
      <c r="I5" s="309">
        <v>7</v>
      </c>
      <c r="J5" s="309">
        <v>8</v>
      </c>
      <c r="K5" s="309">
        <v>9</v>
      </c>
      <c r="L5" s="309">
        <v>10</v>
      </c>
      <c r="M5" s="309">
        <v>11</v>
      </c>
      <c r="N5" s="309">
        <v>12</v>
      </c>
      <c r="O5" s="119" t="s">
        <v>202</v>
      </c>
    </row>
    <row r="6" spans="2:15" ht="20.100000000000001" customHeight="1" x14ac:dyDescent="0.15">
      <c r="B6" s="310" t="s">
        <v>280</v>
      </c>
      <c r="C6" s="254">
        <v>132</v>
      </c>
      <c r="D6" s="254">
        <v>122</v>
      </c>
      <c r="E6" s="254">
        <v>133</v>
      </c>
      <c r="F6" s="254">
        <v>129</v>
      </c>
      <c r="G6" s="254">
        <v>114</v>
      </c>
      <c r="H6" s="254">
        <v>76</v>
      </c>
      <c r="I6" s="254">
        <v>101</v>
      </c>
      <c r="J6" s="254">
        <v>108</v>
      </c>
      <c r="K6" s="254">
        <v>100</v>
      </c>
      <c r="L6" s="254">
        <v>96</v>
      </c>
      <c r="M6" s="254">
        <v>115</v>
      </c>
      <c r="N6" s="254">
        <v>107</v>
      </c>
      <c r="O6" s="324">
        <f>SUM(C6:N6)/12</f>
        <v>111.08333333333333</v>
      </c>
    </row>
    <row r="7" spans="2:15" ht="20.100000000000001" customHeight="1" x14ac:dyDescent="0.15">
      <c r="B7" s="310" t="s">
        <v>281</v>
      </c>
      <c r="C7" s="254">
        <v>127</v>
      </c>
      <c r="D7" s="254">
        <v>131</v>
      </c>
      <c r="E7" s="254">
        <v>153</v>
      </c>
      <c r="F7" s="254">
        <v>146</v>
      </c>
      <c r="G7" s="254">
        <v>133</v>
      </c>
      <c r="H7" s="254">
        <v>79</v>
      </c>
      <c r="I7" s="254">
        <v>96</v>
      </c>
      <c r="J7" s="254">
        <v>84</v>
      </c>
      <c r="K7" s="254">
        <v>91</v>
      </c>
      <c r="L7" s="254">
        <v>112</v>
      </c>
      <c r="M7" s="254">
        <v>118</v>
      </c>
      <c r="N7" s="254">
        <v>123</v>
      </c>
      <c r="O7" s="324">
        <f t="shared" ref="O7:O10" si="0">SUM(C7:N7)/12</f>
        <v>116.08333333333333</v>
      </c>
    </row>
    <row r="8" spans="2:15" ht="20.100000000000001" customHeight="1" x14ac:dyDescent="0.15">
      <c r="B8" s="310" t="s">
        <v>282</v>
      </c>
      <c r="C8" s="254">
        <v>147</v>
      </c>
      <c r="D8" s="254">
        <v>144</v>
      </c>
      <c r="E8" s="254">
        <v>132</v>
      </c>
      <c r="F8" s="254">
        <v>130</v>
      </c>
      <c r="G8" s="254">
        <v>116</v>
      </c>
      <c r="H8" s="254">
        <v>95</v>
      </c>
      <c r="I8" s="254">
        <v>99</v>
      </c>
      <c r="J8" s="254">
        <v>95</v>
      </c>
      <c r="K8" s="254">
        <v>108</v>
      </c>
      <c r="L8" s="254">
        <v>110</v>
      </c>
      <c r="M8" s="254">
        <v>88</v>
      </c>
      <c r="N8" s="254">
        <v>128</v>
      </c>
      <c r="O8" s="324">
        <f t="shared" si="0"/>
        <v>116</v>
      </c>
    </row>
    <row r="9" spans="2:15" ht="20.100000000000001" customHeight="1" x14ac:dyDescent="0.15">
      <c r="B9" s="310" t="s">
        <v>283</v>
      </c>
      <c r="C9" s="254">
        <v>135</v>
      </c>
      <c r="D9" s="254">
        <v>155</v>
      </c>
      <c r="E9" s="254">
        <v>160</v>
      </c>
      <c r="F9" s="254">
        <v>140</v>
      </c>
      <c r="G9" s="254">
        <v>141</v>
      </c>
      <c r="H9" s="254">
        <v>81</v>
      </c>
      <c r="I9" s="254">
        <v>92</v>
      </c>
      <c r="J9" s="254">
        <v>93</v>
      </c>
      <c r="K9" s="254">
        <v>86</v>
      </c>
      <c r="L9" s="254">
        <v>98</v>
      </c>
      <c r="M9" s="254">
        <v>125</v>
      </c>
      <c r="N9" s="254">
        <v>134</v>
      </c>
      <c r="O9" s="324">
        <f t="shared" si="0"/>
        <v>120</v>
      </c>
    </row>
    <row r="10" spans="2:15" ht="20.100000000000001" customHeight="1" x14ac:dyDescent="0.15">
      <c r="B10" s="310" t="s">
        <v>284</v>
      </c>
      <c r="C10" s="254">
        <v>131</v>
      </c>
      <c r="D10" s="254">
        <v>147</v>
      </c>
      <c r="E10" s="254">
        <v>128</v>
      </c>
      <c r="F10" s="254">
        <v>163</v>
      </c>
      <c r="G10" s="254">
        <v>123</v>
      </c>
      <c r="H10" s="254">
        <v>92</v>
      </c>
      <c r="I10" s="254">
        <v>102</v>
      </c>
      <c r="J10" s="254">
        <v>107</v>
      </c>
      <c r="K10" s="254">
        <v>114</v>
      </c>
      <c r="L10" s="254">
        <v>93</v>
      </c>
      <c r="M10" s="254">
        <v>104</v>
      </c>
      <c r="N10" s="254">
        <v>135</v>
      </c>
      <c r="O10" s="324">
        <f t="shared" si="0"/>
        <v>119.91666666666667</v>
      </c>
    </row>
    <row r="11" spans="2:15" ht="20.100000000000001" customHeight="1" thickBot="1" x14ac:dyDescent="0.2">
      <c r="B11" s="308" t="s">
        <v>203</v>
      </c>
      <c r="C11" s="306">
        <f>AVERAGE(C6:C10)</f>
        <v>134.4</v>
      </c>
      <c r="D11" s="306">
        <f t="shared" ref="D11:O11" si="1">AVERAGE(D6:D10)</f>
        <v>139.80000000000001</v>
      </c>
      <c r="E11" s="306">
        <f t="shared" si="1"/>
        <v>141.19999999999999</v>
      </c>
      <c r="F11" s="306">
        <f t="shared" si="1"/>
        <v>141.6</v>
      </c>
      <c r="G11" s="306">
        <f t="shared" si="1"/>
        <v>125.4</v>
      </c>
      <c r="H11" s="306">
        <f t="shared" si="1"/>
        <v>84.6</v>
      </c>
      <c r="I11" s="306">
        <f t="shared" si="1"/>
        <v>98</v>
      </c>
      <c r="J11" s="306">
        <f t="shared" si="1"/>
        <v>97.4</v>
      </c>
      <c r="K11" s="306">
        <f t="shared" si="1"/>
        <v>99.8</v>
      </c>
      <c r="L11" s="306">
        <f t="shared" si="1"/>
        <v>101.8</v>
      </c>
      <c r="M11" s="306">
        <f t="shared" si="1"/>
        <v>110</v>
      </c>
      <c r="N11" s="306">
        <f t="shared" si="1"/>
        <v>125.4</v>
      </c>
      <c r="O11" s="307">
        <f t="shared" si="1"/>
        <v>116.61666666666665</v>
      </c>
    </row>
    <row r="12" spans="2:15" ht="20.100000000000001" customHeight="1" x14ac:dyDescent="0.15"/>
    <row r="13" spans="2:15" ht="20.100000000000001" customHeight="1" thickBot="1" x14ac:dyDescent="0.2">
      <c r="B13" s="5" t="s">
        <v>200</v>
      </c>
      <c r="C13" s="5" t="s">
        <v>240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05" t="s">
        <v>239</v>
      </c>
      <c r="C14" s="309">
        <v>1</v>
      </c>
      <c r="D14" s="309">
        <v>2</v>
      </c>
      <c r="E14" s="309">
        <v>3</v>
      </c>
      <c r="F14" s="309">
        <v>4</v>
      </c>
      <c r="G14" s="309">
        <v>5</v>
      </c>
      <c r="H14" s="309">
        <v>6</v>
      </c>
      <c r="I14" s="309">
        <v>7</v>
      </c>
      <c r="J14" s="309">
        <v>8</v>
      </c>
      <c r="K14" s="309">
        <v>9</v>
      </c>
      <c r="L14" s="309">
        <v>10</v>
      </c>
      <c r="M14" s="309">
        <v>11</v>
      </c>
      <c r="N14" s="309">
        <v>12</v>
      </c>
      <c r="O14" s="119" t="s">
        <v>202</v>
      </c>
    </row>
    <row r="15" spans="2:15" ht="20.100000000000001" customHeight="1" x14ac:dyDescent="0.15">
      <c r="B15" s="310" t="s">
        <v>280</v>
      </c>
      <c r="C15" s="254">
        <v>89</v>
      </c>
      <c r="D15" s="254">
        <v>115</v>
      </c>
      <c r="E15" s="254">
        <v>121</v>
      </c>
      <c r="F15" s="254">
        <v>112</v>
      </c>
      <c r="G15" s="254">
        <v>103</v>
      </c>
      <c r="H15" s="254">
        <v>56</v>
      </c>
      <c r="I15" s="254">
        <v>91</v>
      </c>
      <c r="J15" s="254">
        <v>95</v>
      </c>
      <c r="K15" s="254">
        <v>71</v>
      </c>
      <c r="L15" s="254">
        <v>97</v>
      </c>
      <c r="M15" s="254">
        <v>100</v>
      </c>
      <c r="N15" s="254">
        <v>99</v>
      </c>
      <c r="O15" s="324">
        <f t="shared" ref="O15:O19" si="2">SUM(C15:N15)/12</f>
        <v>95.75</v>
      </c>
    </row>
    <row r="16" spans="2:15" ht="20.100000000000001" customHeight="1" x14ac:dyDescent="0.15">
      <c r="B16" s="310" t="s">
        <v>281</v>
      </c>
      <c r="C16" s="254">
        <v>98</v>
      </c>
      <c r="D16" s="254">
        <v>95</v>
      </c>
      <c r="E16" s="254">
        <v>104</v>
      </c>
      <c r="F16" s="254">
        <v>136</v>
      </c>
      <c r="G16" s="254">
        <v>100</v>
      </c>
      <c r="H16" s="254">
        <v>75</v>
      </c>
      <c r="I16" s="254">
        <v>94</v>
      </c>
      <c r="J16" s="254">
        <v>81</v>
      </c>
      <c r="K16" s="254">
        <v>64</v>
      </c>
      <c r="L16" s="254">
        <v>75</v>
      </c>
      <c r="M16" s="254">
        <v>90</v>
      </c>
      <c r="N16" s="254">
        <v>73</v>
      </c>
      <c r="O16" s="324">
        <f t="shared" si="2"/>
        <v>90.416666666666671</v>
      </c>
    </row>
    <row r="17" spans="2:15" ht="20.100000000000001" customHeight="1" x14ac:dyDescent="0.15">
      <c r="B17" s="310" t="s">
        <v>282</v>
      </c>
      <c r="C17" s="254">
        <v>85</v>
      </c>
      <c r="D17" s="254">
        <v>80</v>
      </c>
      <c r="E17" s="254">
        <v>129</v>
      </c>
      <c r="F17" s="254">
        <v>140</v>
      </c>
      <c r="G17" s="254">
        <v>112</v>
      </c>
      <c r="H17" s="254">
        <v>67</v>
      </c>
      <c r="I17" s="254">
        <v>87</v>
      </c>
      <c r="J17" s="254">
        <v>74</v>
      </c>
      <c r="K17" s="254">
        <v>58</v>
      </c>
      <c r="L17" s="254">
        <v>90</v>
      </c>
      <c r="M17" s="254">
        <v>46</v>
      </c>
      <c r="N17" s="254">
        <v>73</v>
      </c>
      <c r="O17" s="324">
        <f t="shared" si="2"/>
        <v>86.75</v>
      </c>
    </row>
    <row r="18" spans="2:15" ht="20.100000000000001" customHeight="1" x14ac:dyDescent="0.15">
      <c r="B18" s="310" t="s">
        <v>283</v>
      </c>
      <c r="C18" s="254">
        <v>99</v>
      </c>
      <c r="D18" s="254">
        <v>116</v>
      </c>
      <c r="E18" s="254">
        <v>107</v>
      </c>
      <c r="F18" s="254">
        <v>103</v>
      </c>
      <c r="G18" s="254">
        <v>99</v>
      </c>
      <c r="H18" s="254">
        <v>95</v>
      </c>
      <c r="I18" s="254">
        <v>75</v>
      </c>
      <c r="J18" s="254">
        <v>75</v>
      </c>
      <c r="K18" s="254">
        <v>52</v>
      </c>
      <c r="L18" s="254">
        <v>45</v>
      </c>
      <c r="M18" s="254">
        <v>104</v>
      </c>
      <c r="N18" s="254">
        <v>110</v>
      </c>
      <c r="O18" s="324">
        <f t="shared" si="2"/>
        <v>90</v>
      </c>
    </row>
    <row r="19" spans="2:15" ht="20.100000000000001" customHeight="1" x14ac:dyDescent="0.15">
      <c r="B19" s="310" t="s">
        <v>284</v>
      </c>
      <c r="C19" s="254">
        <v>124</v>
      </c>
      <c r="D19" s="254">
        <v>166</v>
      </c>
      <c r="E19" s="254">
        <v>146</v>
      </c>
      <c r="F19" s="254">
        <v>178</v>
      </c>
      <c r="G19" s="254">
        <v>135</v>
      </c>
      <c r="H19" s="254">
        <v>93</v>
      </c>
      <c r="I19" s="254">
        <v>86</v>
      </c>
      <c r="J19" s="254">
        <v>81</v>
      </c>
      <c r="K19" s="254">
        <v>98</v>
      </c>
      <c r="L19" s="254">
        <v>112</v>
      </c>
      <c r="M19" s="254">
        <v>95</v>
      </c>
      <c r="N19" s="254">
        <v>166</v>
      </c>
      <c r="O19" s="324">
        <f t="shared" si="2"/>
        <v>123.33333333333333</v>
      </c>
    </row>
    <row r="20" spans="2:15" ht="20.100000000000001" customHeight="1" thickBot="1" x14ac:dyDescent="0.2">
      <c r="B20" s="308" t="s">
        <v>203</v>
      </c>
      <c r="C20" s="306">
        <f>AVERAGE(C15:C19)</f>
        <v>99</v>
      </c>
      <c r="D20" s="306">
        <f t="shared" ref="D20" si="3">AVERAGE(D15:D19)</f>
        <v>114.4</v>
      </c>
      <c r="E20" s="306">
        <f t="shared" ref="E20" si="4">AVERAGE(E15:E19)</f>
        <v>121.4</v>
      </c>
      <c r="F20" s="306">
        <f t="shared" ref="F20" si="5">AVERAGE(F15:F19)</f>
        <v>133.80000000000001</v>
      </c>
      <c r="G20" s="306">
        <f t="shared" ref="G20" si="6">AVERAGE(G15:G19)</f>
        <v>109.8</v>
      </c>
      <c r="H20" s="306">
        <f t="shared" ref="H20" si="7">AVERAGE(H15:H19)</f>
        <v>77.2</v>
      </c>
      <c r="I20" s="306">
        <f t="shared" ref="I20" si="8">AVERAGE(I15:I19)</f>
        <v>86.6</v>
      </c>
      <c r="J20" s="306">
        <f t="shared" ref="J20" si="9">AVERAGE(J15:J19)</f>
        <v>81.2</v>
      </c>
      <c r="K20" s="306">
        <f t="shared" ref="K20" si="10">AVERAGE(K15:K19)</f>
        <v>68.599999999999994</v>
      </c>
      <c r="L20" s="306">
        <f t="shared" ref="L20" si="11">AVERAGE(L15:L19)</f>
        <v>83.8</v>
      </c>
      <c r="M20" s="306">
        <f t="shared" ref="M20" si="12">AVERAGE(M15:M19)</f>
        <v>87</v>
      </c>
      <c r="N20" s="306">
        <f t="shared" ref="N20" si="13">AVERAGE(N15:N19)</f>
        <v>104.2</v>
      </c>
      <c r="O20" s="307">
        <f t="shared" ref="O20" si="14">AVERAGE(O15:O19)</f>
        <v>97.25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標準技術</vt:lpstr>
      <vt:lpstr>４　経営収支(50a)</vt:lpstr>
      <vt:lpstr>５　作業別旬別作業時間</vt:lpstr>
      <vt:lpstr>６　固定資本装備と減価償却費</vt:lpstr>
      <vt:lpstr>７　トルコギキョウ部門収支</vt:lpstr>
      <vt:lpstr>８　経費算出基礎</vt:lpstr>
      <vt:lpstr>９　単価算出基礎</vt:lpstr>
      <vt:lpstr>'４　経営収支(50a)'!Print_Area</vt:lpstr>
      <vt:lpstr>'５　作業別旬別作業時間'!Print_Area</vt:lpstr>
      <vt:lpstr>'６　固定資本装備と減価償却費'!Print_Area</vt:lpstr>
      <vt:lpstr>'７　トルコギキョウ部門収支'!Print_Area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2015-03-03T09:27:32Z</cp:lastPrinted>
  <dcterms:created xsi:type="dcterms:W3CDTF">2005-02-26T02:20:11Z</dcterms:created>
  <dcterms:modified xsi:type="dcterms:W3CDTF">2015-03-24T05:53:16Z</dcterms:modified>
</cp:coreProperties>
</file>