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020" tabRatio="666"/>
  </bookViews>
  <sheets>
    <sheet name="１　対象経営の概要，２　前提条件" sheetId="19" r:id="rId1"/>
    <sheet name="３-１　ピオーネトンネル標準技術 " sheetId="44" r:id="rId2"/>
    <sheet name="３-２　ベリーＡ保温メッシュ標準技術" sheetId="43" r:id="rId3"/>
    <sheet name="３-３　ベリーＡトンネル標準技術" sheetId="45" state="hidden" r:id="rId4"/>
    <sheet name="３-３　シャイントンネル標準技術" sheetId="46" r:id="rId5"/>
    <sheet name="４　経営収支" sheetId="22" r:id="rId6"/>
    <sheet name="５－１　ピオーネトンネル作業時間" sheetId="50" r:id="rId7"/>
    <sheet name="５－２　ベリーＡ保温メッシュ作業時間 " sheetId="51" r:id="rId8"/>
    <sheet name="５－３　ベリーＡトンネル作業時間" sheetId="52" state="hidden" r:id="rId9"/>
    <sheet name="５－３　シャイントンネル作業時間" sheetId="48" r:id="rId10"/>
    <sheet name="作業時間まとめ" sheetId="69" r:id="rId11"/>
    <sheet name="６　固定資本装備と減価償却費" sheetId="30" r:id="rId12"/>
    <sheet name="７－１　ピオーネトンネル部門収支" sheetId="53" r:id="rId13"/>
    <sheet name="７－２　ベリーＡ保温メッシュ部門収支" sheetId="54" r:id="rId14"/>
    <sheet name="７－３　ベリーＡトンネル部門収支" sheetId="55" state="hidden" r:id="rId15"/>
    <sheet name="７－３　シャイントンネル部門収支" sheetId="57" r:id="rId16"/>
    <sheet name="８－１　ピオーネトンネル算出基礎" sheetId="62" r:id="rId17"/>
    <sheet name="８－２　ベリーＡ保温メッシュ算出基礎" sheetId="67" r:id="rId18"/>
    <sheet name="８－３　ベリーＡトンネル算出基礎" sheetId="66" state="hidden" r:id="rId19"/>
    <sheet name="８－３　シャイントンネル算出基礎 " sheetId="64" r:id="rId20"/>
    <sheet name="農薬算出基礎" sheetId="58" state="hidden" r:id="rId21"/>
    <sheet name="肥料算出基礎" sheetId="59" state="hidden" r:id="rId22"/>
    <sheet name="９-１　ピオーネ単価算出基礎" sheetId="42" r:id="rId23"/>
    <sheet name="９-２　ベリーＡ単価算出基礎" sheetId="68" r:id="rId24"/>
    <sheet name="9-3　シャインマスカット単価算出基礎" sheetId="70" r:id="rId25"/>
  </sheets>
  <externalReferences>
    <externalReference r:id="rId26"/>
  </externalReferences>
  <definedNames>
    <definedName name="_a1" localSheetId="1" hidden="1">#REF!</definedName>
    <definedName name="_a1" localSheetId="2" hidden="1">#REF!</definedName>
    <definedName name="_a1" localSheetId="4" hidden="1">#REF!</definedName>
    <definedName name="_a1" localSheetId="3" hidden="1">#REF!</definedName>
    <definedName name="_a1" localSheetId="6" hidden="1">#REF!</definedName>
    <definedName name="_a1" localSheetId="7" hidden="1">#REF!</definedName>
    <definedName name="_a1" localSheetId="9" hidden="1">#REF!</definedName>
    <definedName name="_a1" localSheetId="8" hidden="1">#REF!</definedName>
    <definedName name="_a1" localSheetId="12" hidden="1">#REF!</definedName>
    <definedName name="_a1" localSheetId="13" hidden="1">#REF!</definedName>
    <definedName name="_a1" localSheetId="15" hidden="1">#REF!</definedName>
    <definedName name="_a1" localSheetId="14" hidden="1">#REF!</definedName>
    <definedName name="_a1" localSheetId="17" hidden="1">#REF!</definedName>
    <definedName name="_a1" localSheetId="19" hidden="1">#REF!</definedName>
    <definedName name="_a1" localSheetId="18" hidden="1">#REF!</definedName>
    <definedName name="_a1" localSheetId="23" hidden="1">#REF!</definedName>
    <definedName name="_a1" localSheetId="20" hidden="1">#REF!</definedName>
    <definedName name="_a1" localSheetId="21" hidden="1">#REF!</definedName>
    <definedName name="_a1" hidden="1">#REF!</definedName>
    <definedName name="_a2" localSheetId="1" hidden="1">#REF!</definedName>
    <definedName name="_a2" localSheetId="2" hidden="1">#REF!</definedName>
    <definedName name="_a2" localSheetId="4" hidden="1">#REF!</definedName>
    <definedName name="_a2" localSheetId="3" hidden="1">#REF!</definedName>
    <definedName name="_a2" localSheetId="6" hidden="1">#REF!</definedName>
    <definedName name="_a2" localSheetId="7" hidden="1">#REF!</definedName>
    <definedName name="_a2" localSheetId="9" hidden="1">#REF!</definedName>
    <definedName name="_a2" localSheetId="8" hidden="1">#REF!</definedName>
    <definedName name="_a2" localSheetId="12" hidden="1">#REF!</definedName>
    <definedName name="_a2" localSheetId="13" hidden="1">#REF!</definedName>
    <definedName name="_a2" localSheetId="15" hidden="1">#REF!</definedName>
    <definedName name="_a2" localSheetId="14" hidden="1">#REF!</definedName>
    <definedName name="_a2" localSheetId="17" hidden="1">#REF!</definedName>
    <definedName name="_a2" localSheetId="19" hidden="1">#REF!</definedName>
    <definedName name="_a2" localSheetId="18" hidden="1">#REF!</definedName>
    <definedName name="_a2" localSheetId="23" hidden="1">#REF!</definedName>
    <definedName name="_a2" localSheetId="20" hidden="1">#REF!</definedName>
    <definedName name="_a2" hidden="1">#REF!</definedName>
    <definedName name="_a3" localSheetId="1" hidden="1">#REF!</definedName>
    <definedName name="_a3" localSheetId="2" hidden="1">#REF!</definedName>
    <definedName name="_a3" localSheetId="4" hidden="1">#REF!</definedName>
    <definedName name="_a3" localSheetId="3" hidden="1">#REF!</definedName>
    <definedName name="_a3" localSheetId="6" hidden="1">#REF!</definedName>
    <definedName name="_a3" localSheetId="7" hidden="1">#REF!</definedName>
    <definedName name="_a3" localSheetId="9" hidden="1">#REF!</definedName>
    <definedName name="_a3" localSheetId="8" hidden="1">#REF!</definedName>
    <definedName name="_a3" localSheetId="12" hidden="1">#REF!</definedName>
    <definedName name="_a3" localSheetId="13" hidden="1">#REF!</definedName>
    <definedName name="_a3" localSheetId="15" hidden="1">#REF!</definedName>
    <definedName name="_a3" localSheetId="14" hidden="1">#REF!</definedName>
    <definedName name="_a3" localSheetId="17" hidden="1">#REF!</definedName>
    <definedName name="_a3" localSheetId="19" hidden="1">#REF!</definedName>
    <definedName name="_a3" localSheetId="18" hidden="1">#REF!</definedName>
    <definedName name="_a3" localSheetId="23" hidden="1">#REF!</definedName>
    <definedName name="_a3" localSheetId="20" hidden="1">#REF!</definedName>
    <definedName name="_a3" hidden="1">#REF!</definedName>
    <definedName name="_a4" localSheetId="1" hidden="1">#REF!</definedName>
    <definedName name="_a4" localSheetId="2" hidden="1">#REF!</definedName>
    <definedName name="_a4" localSheetId="4" hidden="1">#REF!</definedName>
    <definedName name="_a4" localSheetId="3" hidden="1">#REF!</definedName>
    <definedName name="_a4" localSheetId="6" hidden="1">#REF!</definedName>
    <definedName name="_a4" localSheetId="7" hidden="1">#REF!</definedName>
    <definedName name="_a4" localSheetId="9" hidden="1">#REF!</definedName>
    <definedName name="_a4" localSheetId="8" hidden="1">#REF!</definedName>
    <definedName name="_a4" localSheetId="12" hidden="1">#REF!</definedName>
    <definedName name="_a4" localSheetId="13" hidden="1">#REF!</definedName>
    <definedName name="_a4" localSheetId="15" hidden="1">#REF!</definedName>
    <definedName name="_a4" localSheetId="14" hidden="1">#REF!</definedName>
    <definedName name="_a4" localSheetId="17" hidden="1">#REF!</definedName>
    <definedName name="_a4" localSheetId="19" hidden="1">#REF!</definedName>
    <definedName name="_a4" localSheetId="18" hidden="1">#REF!</definedName>
    <definedName name="_a4" localSheetId="23" hidden="1">#REF!</definedName>
    <definedName name="_a4" hidden="1">#REF!</definedName>
    <definedName name="_a5" localSheetId="1" hidden="1">#REF!</definedName>
    <definedName name="_a5" localSheetId="2" hidden="1">#REF!</definedName>
    <definedName name="_a5" localSheetId="4" hidden="1">#REF!</definedName>
    <definedName name="_a5" localSheetId="3" hidden="1">#REF!</definedName>
    <definedName name="_a5" localSheetId="6" hidden="1">#REF!</definedName>
    <definedName name="_a5" localSheetId="7" hidden="1">#REF!</definedName>
    <definedName name="_a5" localSheetId="9" hidden="1">#REF!</definedName>
    <definedName name="_a5" localSheetId="8" hidden="1">#REF!</definedName>
    <definedName name="_a5" localSheetId="12" hidden="1">#REF!</definedName>
    <definedName name="_a5" localSheetId="13" hidden="1">#REF!</definedName>
    <definedName name="_a5" localSheetId="15" hidden="1">#REF!</definedName>
    <definedName name="_a5" localSheetId="14" hidden="1">#REF!</definedName>
    <definedName name="_a5" localSheetId="17" hidden="1">#REF!</definedName>
    <definedName name="_a5" localSheetId="19" hidden="1">#REF!</definedName>
    <definedName name="_a5" localSheetId="18" hidden="1">#REF!</definedName>
    <definedName name="_a5" localSheetId="23" hidden="1">#REF!</definedName>
    <definedName name="_a5" hidden="1">#REF!</definedName>
    <definedName name="_a6" localSheetId="1" hidden="1">#REF!</definedName>
    <definedName name="_a6" localSheetId="2" hidden="1">#REF!</definedName>
    <definedName name="_a6" localSheetId="4" hidden="1">#REF!</definedName>
    <definedName name="_a6" localSheetId="3" hidden="1">#REF!</definedName>
    <definedName name="_a6" localSheetId="6" hidden="1">#REF!</definedName>
    <definedName name="_a6" localSheetId="7" hidden="1">#REF!</definedName>
    <definedName name="_a6" localSheetId="9" hidden="1">#REF!</definedName>
    <definedName name="_a6" localSheetId="8" hidden="1">#REF!</definedName>
    <definedName name="_a6" localSheetId="12" hidden="1">#REF!</definedName>
    <definedName name="_a6" localSheetId="13" hidden="1">#REF!</definedName>
    <definedName name="_a6" localSheetId="15" hidden="1">#REF!</definedName>
    <definedName name="_a6" localSheetId="14" hidden="1">#REF!</definedName>
    <definedName name="_a6" localSheetId="17" hidden="1">#REF!</definedName>
    <definedName name="_a6" localSheetId="19" hidden="1">#REF!</definedName>
    <definedName name="_a6" localSheetId="18" hidden="1">#REF!</definedName>
    <definedName name="_a6" localSheetId="23" hidden="1">#REF!</definedName>
    <definedName name="_a6" hidden="1">#REF!</definedName>
    <definedName name="_a7" localSheetId="1" hidden="1">#REF!</definedName>
    <definedName name="_a7" localSheetId="2" hidden="1">#REF!</definedName>
    <definedName name="_a7" localSheetId="4" hidden="1">#REF!</definedName>
    <definedName name="_a7" localSheetId="3" hidden="1">#REF!</definedName>
    <definedName name="_a7" localSheetId="6" hidden="1">#REF!</definedName>
    <definedName name="_a7" localSheetId="7" hidden="1">#REF!</definedName>
    <definedName name="_a7" localSheetId="9" hidden="1">#REF!</definedName>
    <definedName name="_a7" localSheetId="8" hidden="1">#REF!</definedName>
    <definedName name="_a7" localSheetId="12" hidden="1">#REF!</definedName>
    <definedName name="_a7" localSheetId="13" hidden="1">#REF!</definedName>
    <definedName name="_a7" localSheetId="15" hidden="1">#REF!</definedName>
    <definedName name="_a7" localSheetId="14" hidden="1">#REF!</definedName>
    <definedName name="_a7" localSheetId="17" hidden="1">#REF!</definedName>
    <definedName name="_a7" localSheetId="19" hidden="1">#REF!</definedName>
    <definedName name="_a7" localSheetId="18" hidden="1">#REF!</definedName>
    <definedName name="_a7" localSheetId="23" hidden="1">#REF!</definedName>
    <definedName name="_a7" hidden="1">#REF!</definedName>
    <definedName name="aaa" localSheetId="1" hidden="1">#REF!</definedName>
    <definedName name="aaa" localSheetId="2" hidden="1">#REF!</definedName>
    <definedName name="aaa" localSheetId="4" hidden="1">#REF!</definedName>
    <definedName name="aaa" localSheetId="3" hidden="1">#REF!</definedName>
    <definedName name="aaa" localSheetId="6" hidden="1">#REF!</definedName>
    <definedName name="aaa" localSheetId="7" hidden="1">#REF!</definedName>
    <definedName name="aaa" localSheetId="9" hidden="1">#REF!</definedName>
    <definedName name="aaa" localSheetId="8" hidden="1">#REF!</definedName>
    <definedName name="aaa" localSheetId="12" hidden="1">#REF!</definedName>
    <definedName name="aaa" localSheetId="13" hidden="1">#REF!</definedName>
    <definedName name="aaa" localSheetId="15" hidden="1">#REF!</definedName>
    <definedName name="aaa" localSheetId="14" hidden="1">#REF!</definedName>
    <definedName name="aaa" localSheetId="17" hidden="1">#REF!</definedName>
    <definedName name="aaa" localSheetId="19" hidden="1">#REF!</definedName>
    <definedName name="aaa" localSheetId="18" hidden="1">#REF!</definedName>
    <definedName name="aaa" localSheetId="23" hidden="1">#REF!</definedName>
    <definedName name="aaa" hidden="1">#REF!</definedName>
    <definedName name="bbb" localSheetId="1" hidden="1">#REF!</definedName>
    <definedName name="bbb" localSheetId="2" hidden="1">#REF!</definedName>
    <definedName name="bbb" localSheetId="4" hidden="1">#REF!</definedName>
    <definedName name="bbb" localSheetId="3" hidden="1">#REF!</definedName>
    <definedName name="bbb" localSheetId="6" hidden="1">#REF!</definedName>
    <definedName name="bbb" localSheetId="7" hidden="1">#REF!</definedName>
    <definedName name="bbb" localSheetId="9" hidden="1">#REF!</definedName>
    <definedName name="bbb" localSheetId="8" hidden="1">#REF!</definedName>
    <definedName name="bbb" localSheetId="12" hidden="1">#REF!</definedName>
    <definedName name="bbb" localSheetId="13" hidden="1">#REF!</definedName>
    <definedName name="bbb" localSheetId="15" hidden="1">#REF!</definedName>
    <definedName name="bbb" localSheetId="14" hidden="1">#REF!</definedName>
    <definedName name="bbb" localSheetId="17" hidden="1">#REF!</definedName>
    <definedName name="bbb" localSheetId="19" hidden="1">#REF!</definedName>
    <definedName name="bbb" localSheetId="18" hidden="1">#REF!</definedName>
    <definedName name="bbb" localSheetId="23" hidden="1">#REF!</definedName>
    <definedName name="bbb" hidden="1">#REF!</definedName>
    <definedName name="ccc" localSheetId="1" hidden="1">#REF!</definedName>
    <definedName name="ccc" localSheetId="2" hidden="1">#REF!</definedName>
    <definedName name="ccc" localSheetId="4" hidden="1">#REF!</definedName>
    <definedName name="ccc" localSheetId="3" hidden="1">#REF!</definedName>
    <definedName name="ccc" localSheetId="6" hidden="1">#REF!</definedName>
    <definedName name="ccc" localSheetId="7" hidden="1">#REF!</definedName>
    <definedName name="ccc" localSheetId="9" hidden="1">#REF!</definedName>
    <definedName name="ccc" localSheetId="8" hidden="1">#REF!</definedName>
    <definedName name="ccc" localSheetId="12" hidden="1">#REF!</definedName>
    <definedName name="ccc" localSheetId="13" hidden="1">#REF!</definedName>
    <definedName name="ccc" localSheetId="15" hidden="1">#REF!</definedName>
    <definedName name="ccc" localSheetId="14" hidden="1">#REF!</definedName>
    <definedName name="ccc" localSheetId="17" hidden="1">#REF!</definedName>
    <definedName name="ccc" localSheetId="19" hidden="1">#REF!</definedName>
    <definedName name="ccc" localSheetId="18" hidden="1">#REF!</definedName>
    <definedName name="ccc" localSheetId="23" hidden="1">#REF!</definedName>
    <definedName name="ccc" hidden="1">#REF!</definedName>
    <definedName name="ddd" localSheetId="1" hidden="1">#REF!</definedName>
    <definedName name="ddd" localSheetId="2" hidden="1">#REF!</definedName>
    <definedName name="ddd" localSheetId="4" hidden="1">#REF!</definedName>
    <definedName name="ddd" localSheetId="3" hidden="1">#REF!</definedName>
    <definedName name="ddd" localSheetId="6" hidden="1">#REF!</definedName>
    <definedName name="ddd" localSheetId="7" hidden="1">#REF!</definedName>
    <definedName name="ddd" localSheetId="9" hidden="1">#REF!</definedName>
    <definedName name="ddd" localSheetId="8" hidden="1">#REF!</definedName>
    <definedName name="ddd" localSheetId="12" hidden="1">#REF!</definedName>
    <definedName name="ddd" localSheetId="13" hidden="1">#REF!</definedName>
    <definedName name="ddd" localSheetId="15" hidden="1">#REF!</definedName>
    <definedName name="ddd" localSheetId="14" hidden="1">#REF!</definedName>
    <definedName name="ddd" localSheetId="17" hidden="1">#REF!</definedName>
    <definedName name="ddd" localSheetId="19" hidden="1">#REF!</definedName>
    <definedName name="ddd" localSheetId="18" hidden="1">#REF!</definedName>
    <definedName name="ddd" localSheetId="23" hidden="1">#REF!</definedName>
    <definedName name="ddd" hidden="1">#REF!</definedName>
    <definedName name="eee" localSheetId="1" hidden="1">#REF!</definedName>
    <definedName name="eee" localSheetId="2" hidden="1">#REF!</definedName>
    <definedName name="eee" localSheetId="4" hidden="1">#REF!</definedName>
    <definedName name="eee" localSheetId="3" hidden="1">#REF!</definedName>
    <definedName name="eee" localSheetId="6" hidden="1">#REF!</definedName>
    <definedName name="eee" localSheetId="7" hidden="1">#REF!</definedName>
    <definedName name="eee" localSheetId="9" hidden="1">#REF!</definedName>
    <definedName name="eee" localSheetId="8" hidden="1">#REF!</definedName>
    <definedName name="eee" localSheetId="12" hidden="1">#REF!</definedName>
    <definedName name="eee" localSheetId="13" hidden="1">#REF!</definedName>
    <definedName name="eee" localSheetId="15" hidden="1">#REF!</definedName>
    <definedName name="eee" localSheetId="14" hidden="1">#REF!</definedName>
    <definedName name="eee" localSheetId="17" hidden="1">#REF!</definedName>
    <definedName name="eee" localSheetId="19" hidden="1">#REF!</definedName>
    <definedName name="eee" localSheetId="18" hidden="1">#REF!</definedName>
    <definedName name="eee" localSheetId="23" hidden="1">#REF!</definedName>
    <definedName name="eee" hidden="1">#REF!</definedName>
    <definedName name="fff" localSheetId="1" hidden="1">#REF!</definedName>
    <definedName name="fff" localSheetId="2" hidden="1">#REF!</definedName>
    <definedName name="fff" localSheetId="4" hidden="1">#REF!</definedName>
    <definedName name="fff" localSheetId="3" hidden="1">#REF!</definedName>
    <definedName name="fff" localSheetId="6" hidden="1">#REF!</definedName>
    <definedName name="fff" localSheetId="7" hidden="1">#REF!</definedName>
    <definedName name="fff" localSheetId="9" hidden="1">#REF!</definedName>
    <definedName name="fff" localSheetId="8" hidden="1">#REF!</definedName>
    <definedName name="fff" localSheetId="12" hidden="1">#REF!</definedName>
    <definedName name="fff" localSheetId="13" hidden="1">#REF!</definedName>
    <definedName name="fff" localSheetId="15" hidden="1">#REF!</definedName>
    <definedName name="fff" localSheetId="14" hidden="1">#REF!</definedName>
    <definedName name="fff" localSheetId="17" hidden="1">#REF!</definedName>
    <definedName name="fff" localSheetId="19" hidden="1">#REF!</definedName>
    <definedName name="fff" localSheetId="18" hidden="1">#REF!</definedName>
    <definedName name="fff" localSheetId="23" hidden="1">#REF!</definedName>
    <definedName name="fff" hidden="1">#REF!</definedName>
    <definedName name="ggg" localSheetId="1" hidden="1">#REF!</definedName>
    <definedName name="ggg" localSheetId="2" hidden="1">#REF!</definedName>
    <definedName name="ggg" localSheetId="4" hidden="1">#REF!</definedName>
    <definedName name="ggg" localSheetId="3" hidden="1">#REF!</definedName>
    <definedName name="ggg" localSheetId="6" hidden="1">#REF!</definedName>
    <definedName name="ggg" localSheetId="7" hidden="1">#REF!</definedName>
    <definedName name="ggg" localSheetId="9" hidden="1">#REF!</definedName>
    <definedName name="ggg" localSheetId="8" hidden="1">#REF!</definedName>
    <definedName name="ggg" localSheetId="12" hidden="1">#REF!</definedName>
    <definedName name="ggg" localSheetId="13" hidden="1">#REF!</definedName>
    <definedName name="ggg" localSheetId="15" hidden="1">#REF!</definedName>
    <definedName name="ggg" localSheetId="14" hidden="1">#REF!</definedName>
    <definedName name="ggg" localSheetId="17" hidden="1">#REF!</definedName>
    <definedName name="ggg" localSheetId="19" hidden="1">#REF!</definedName>
    <definedName name="ggg" localSheetId="18" hidden="1">#REF!</definedName>
    <definedName name="ggg" localSheetId="23" hidden="1">#REF!</definedName>
    <definedName name="ggg" hidden="1">#REF!</definedName>
    <definedName name="hhh" localSheetId="1" hidden="1">#REF!</definedName>
    <definedName name="hhh" localSheetId="2" hidden="1">#REF!</definedName>
    <definedName name="hhh" localSheetId="4" hidden="1">#REF!</definedName>
    <definedName name="hhh" localSheetId="3" hidden="1">#REF!</definedName>
    <definedName name="hhh" localSheetId="6" hidden="1">#REF!</definedName>
    <definedName name="hhh" localSheetId="7" hidden="1">#REF!</definedName>
    <definedName name="hhh" localSheetId="9" hidden="1">#REF!</definedName>
    <definedName name="hhh" localSheetId="8" hidden="1">#REF!</definedName>
    <definedName name="hhh" localSheetId="12" hidden="1">#REF!</definedName>
    <definedName name="hhh" localSheetId="13" hidden="1">#REF!</definedName>
    <definedName name="hhh" localSheetId="15" hidden="1">#REF!</definedName>
    <definedName name="hhh" localSheetId="14" hidden="1">#REF!</definedName>
    <definedName name="hhh" localSheetId="17" hidden="1">#REF!</definedName>
    <definedName name="hhh" localSheetId="19" hidden="1">#REF!</definedName>
    <definedName name="hhh" localSheetId="18" hidden="1">#REF!</definedName>
    <definedName name="hhh" localSheetId="23" hidden="1">#REF!</definedName>
    <definedName name="hhh" hidden="1">#REF!</definedName>
    <definedName name="_xlnm.Print_Area" localSheetId="0">'１　対象経営の概要，２　前提条件'!$B$1:$AP$29</definedName>
    <definedName name="_xlnm.Print_Area" localSheetId="1">'３-１　ピオーネトンネル標準技術 '!$A$1:$O$11</definedName>
    <definedName name="_xlnm.Print_Area" localSheetId="2">'３-２　ベリーＡ保温メッシュ標準技術'!$A$1:$O$11</definedName>
    <definedName name="_xlnm.Print_Area" localSheetId="4">'３-３　シャイントンネル標準技術'!$A$1:$O$11</definedName>
    <definedName name="_xlnm.Print_Area" localSheetId="3">'３-３　ベリーＡトンネル標準技術'!$A$1:$O$11</definedName>
    <definedName name="_xlnm.Print_Area" localSheetId="5">'４　経営収支'!$A$1:$Q$38</definedName>
    <definedName name="_xlnm.Print_Area" localSheetId="6">'５－１　ピオーネトンネル作業時間'!$B$1:$AN$39</definedName>
    <definedName name="_xlnm.Print_Area" localSheetId="7">'５－２　ベリーＡ保温メッシュ作業時間 '!$A$1:$AN$39</definedName>
    <definedName name="_xlnm.Print_Area" localSheetId="9">'５－３　シャイントンネル作業時間'!$A$1:$AN$39</definedName>
    <definedName name="_xlnm.Print_Area" localSheetId="8">'５－３　ベリーＡトンネル作業時間'!$A$1:$AN$39</definedName>
    <definedName name="_xlnm.Print_Area" localSheetId="11">'６　固定資本装備と減価償却費'!$A$1:$P$26</definedName>
    <definedName name="_xlnm.Print_Area" localSheetId="12">'７－１　ピオーネトンネル部門収支'!$A$1:$S$37</definedName>
    <definedName name="_xlnm.Print_Area" localSheetId="13">'７－２　ベリーＡ保温メッシュ部門収支'!$A$2:$S$37</definedName>
    <definedName name="_xlnm.Print_Area" localSheetId="15">'７－３　シャイントンネル部門収支'!$A$1:$S$37</definedName>
    <definedName name="_xlnm.Print_Area" localSheetId="14">'７－３　ベリーＡトンネル部門収支'!$B$1:$S$37</definedName>
    <definedName name="_xlnm.Print_Area" localSheetId="16">'８－１　ピオーネトンネル算出基礎'!$A$1:$V$61</definedName>
    <definedName name="_xlnm.Print_Area" localSheetId="17">'８－２　ベリーＡ保温メッシュ算出基礎'!$A$1:$V$62</definedName>
    <definedName name="_xlnm.Print_Area" localSheetId="19">'８－３　シャイントンネル算出基礎 '!$A$2:$V$61</definedName>
    <definedName name="_xlnm.Print_Area" localSheetId="18">'８－３　ベリーＡトンネル算出基礎'!$A$2:$V$62</definedName>
    <definedName name="_xlnm.Print_Area" localSheetId="22">'９-１　ピオーネ単価算出基礎'!$B$1:$O$20</definedName>
    <definedName name="_xlnm.Print_Area" localSheetId="23">'９-２　ベリーＡ単価算出基礎'!$B$1:$O$20</definedName>
    <definedName name="_xlnm.Print_Area" localSheetId="24">'9-3　シャインマスカット単価算出基礎'!$A$1:$O$20</definedName>
    <definedName name="_xlnm.Print_Area" localSheetId="10">作業時間まとめ!$A$1:$AM$11</definedName>
    <definedName name="simizu" localSheetId="1" hidden="1">#REF!</definedName>
    <definedName name="simizu" localSheetId="2" hidden="1">#REF!</definedName>
    <definedName name="simizu" localSheetId="4" hidden="1">#REF!</definedName>
    <definedName name="simizu" localSheetId="3" hidden="1">#REF!</definedName>
    <definedName name="simizu" localSheetId="6" hidden="1">#REF!</definedName>
    <definedName name="simizu" localSheetId="7" hidden="1">#REF!</definedName>
    <definedName name="simizu" localSheetId="9" hidden="1">#REF!</definedName>
    <definedName name="simizu" localSheetId="8" hidden="1">#REF!</definedName>
    <definedName name="simizu" localSheetId="12" hidden="1">#REF!</definedName>
    <definedName name="simizu" localSheetId="13" hidden="1">#REF!</definedName>
    <definedName name="simizu" localSheetId="15" hidden="1">#REF!</definedName>
    <definedName name="simizu" localSheetId="14" hidden="1">#REF!</definedName>
    <definedName name="simizu" localSheetId="16" hidden="1">#REF!</definedName>
    <definedName name="simizu" localSheetId="17" hidden="1">#REF!</definedName>
    <definedName name="simizu" localSheetId="19" hidden="1">#REF!</definedName>
    <definedName name="simizu" localSheetId="18" hidden="1">#REF!</definedName>
    <definedName name="simizu" localSheetId="23" hidden="1">#REF!</definedName>
    <definedName name="simizu" localSheetId="20" hidden="1">#REF!</definedName>
    <definedName name="simizu" localSheetId="21" hidden="1">#REF!</definedName>
    <definedName name="simizu" hidden="1">#REF!</definedName>
    <definedName name="ううう" localSheetId="17" hidden="1">#REF!</definedName>
    <definedName name="ううう" localSheetId="19" hidden="1">#REF!</definedName>
    <definedName name="ううう" localSheetId="18" hidden="1">#REF!</definedName>
    <definedName name="ううう" localSheetId="23" hidden="1">#REF!</definedName>
    <definedName name="ううう" hidden="1">#REF!</definedName>
  </definedNames>
  <calcPr calcId="145621"/>
</workbook>
</file>

<file path=xl/calcChain.xml><?xml version="1.0" encoding="utf-8"?>
<calcChain xmlns="http://schemas.openxmlformats.org/spreadsheetml/2006/main">
  <c r="F15" i="19" l="1"/>
  <c r="F14" i="19"/>
  <c r="F13" i="19"/>
  <c r="M5" i="53" l="1"/>
  <c r="O20" i="68" l="1"/>
  <c r="O18" i="68"/>
  <c r="O19" i="68"/>
  <c r="O17" i="68"/>
  <c r="O19" i="70"/>
  <c r="O18" i="70"/>
  <c r="O20" i="70" l="1"/>
  <c r="M20" i="70"/>
  <c r="L20" i="70"/>
  <c r="K20" i="70"/>
  <c r="J20" i="70"/>
  <c r="I20" i="70"/>
  <c r="O18" i="42" l="1"/>
  <c r="O19" i="42"/>
  <c r="O17" i="42"/>
  <c r="P15" i="57" l="1"/>
  <c r="P15" i="54"/>
  <c r="P15" i="53"/>
  <c r="D22" i="48" l="1"/>
  <c r="E22" i="48"/>
  <c r="F22" i="48"/>
  <c r="G22" i="48"/>
  <c r="H22" i="48"/>
  <c r="I22" i="48"/>
  <c r="J22" i="48"/>
  <c r="K22" i="48"/>
  <c r="L22" i="48"/>
  <c r="M22" i="48"/>
  <c r="N22" i="48"/>
  <c r="O22" i="48"/>
  <c r="P22" i="48"/>
  <c r="Q22" i="48"/>
  <c r="R22" i="48"/>
  <c r="S22" i="48"/>
  <c r="T22" i="48"/>
  <c r="U22" i="48"/>
  <c r="V22" i="48"/>
  <c r="W22" i="48"/>
  <c r="X22" i="48"/>
  <c r="Y22" i="48"/>
  <c r="Z22" i="48"/>
  <c r="AA22" i="48"/>
  <c r="AB22" i="48"/>
  <c r="AC22" i="48"/>
  <c r="AD22" i="48"/>
  <c r="AE22" i="48"/>
  <c r="AF22" i="48"/>
  <c r="AG22" i="48"/>
  <c r="AH22" i="48"/>
  <c r="AI22" i="48"/>
  <c r="AJ22" i="48"/>
  <c r="AK22" i="48"/>
  <c r="AL22" i="48"/>
  <c r="AM22" i="48"/>
  <c r="AN13" i="50"/>
  <c r="N47" i="67" l="1"/>
  <c r="N47" i="62"/>
  <c r="N47" i="66"/>
  <c r="N47" i="64"/>
  <c r="P11" i="54"/>
  <c r="K7" i="30" l="1"/>
  <c r="K6" i="30"/>
  <c r="K5" i="30"/>
  <c r="G7" i="30"/>
  <c r="I7" i="30" s="1"/>
  <c r="I6" i="30"/>
  <c r="L6" i="30" s="1"/>
  <c r="P6" i="30" s="1"/>
  <c r="G6" i="30"/>
  <c r="G5" i="30"/>
  <c r="I5" i="30" s="1"/>
  <c r="L7" i="30" l="1"/>
  <c r="P7" i="30" s="1"/>
  <c r="L5" i="30"/>
  <c r="P5" i="30" s="1"/>
  <c r="C27" i="48" l="1"/>
  <c r="C27" i="52"/>
  <c r="C27" i="51"/>
  <c r="C27" i="50"/>
  <c r="F4" i="22"/>
  <c r="V58" i="62" l="1"/>
  <c r="V52" i="62"/>
  <c r="V59" i="67"/>
  <c r="V52" i="67"/>
  <c r="V59" i="66" l="1"/>
  <c r="V52" i="66"/>
  <c r="N59" i="67"/>
  <c r="N58" i="62"/>
  <c r="N59" i="66"/>
  <c r="N58" i="64"/>
  <c r="V58" i="64" l="1"/>
  <c r="V52" i="64"/>
  <c r="V25" i="66" l="1"/>
  <c r="K14" i="30" l="1"/>
  <c r="F33" i="22" l="1"/>
  <c r="O37" i="22" l="1"/>
  <c r="AM11" i="69" l="1"/>
  <c r="AL9" i="69"/>
  <c r="AK9" i="69"/>
  <c r="AJ9" i="69"/>
  <c r="AI9" i="69"/>
  <c r="AH9" i="69"/>
  <c r="AG9" i="69"/>
  <c r="AF9" i="69"/>
  <c r="AE9" i="69"/>
  <c r="AD9" i="69"/>
  <c r="AC9" i="69"/>
  <c r="AB9" i="69"/>
  <c r="AA9" i="69"/>
  <c r="Z9" i="69"/>
  <c r="Y9" i="69"/>
  <c r="X9" i="69"/>
  <c r="W9" i="69"/>
  <c r="V9" i="69"/>
  <c r="U9" i="69"/>
  <c r="T9" i="69"/>
  <c r="S9" i="69"/>
  <c r="R9" i="69"/>
  <c r="Q9" i="69"/>
  <c r="P9" i="69"/>
  <c r="O9" i="69"/>
  <c r="N9" i="69"/>
  <c r="M9" i="69"/>
  <c r="L9" i="69"/>
  <c r="K9" i="69"/>
  <c r="J9" i="69"/>
  <c r="I9" i="69"/>
  <c r="H9" i="69"/>
  <c r="G9" i="69"/>
  <c r="F9" i="69"/>
  <c r="E9" i="69"/>
  <c r="D9" i="69"/>
  <c r="C9" i="69"/>
  <c r="AM9" i="69" s="1"/>
  <c r="AM8" i="69"/>
  <c r="AM7" i="69"/>
  <c r="AM6" i="69"/>
  <c r="AM5" i="69"/>
  <c r="K17" i="30" l="1"/>
  <c r="N5" i="57" l="1"/>
  <c r="J14" i="22" l="1"/>
  <c r="J13" i="22"/>
  <c r="J9" i="22"/>
  <c r="I9" i="22"/>
  <c r="I13" i="22"/>
  <c r="I14" i="22"/>
  <c r="H9" i="22"/>
  <c r="H13" i="22"/>
  <c r="H14" i="22"/>
  <c r="G9" i="22"/>
  <c r="G10" i="22"/>
  <c r="G13" i="22"/>
  <c r="G14" i="22"/>
  <c r="J20" i="22"/>
  <c r="I20" i="22"/>
  <c r="H20" i="22"/>
  <c r="G20" i="22"/>
  <c r="L20" i="68" l="1"/>
  <c r="K20" i="68"/>
  <c r="M5" i="55" s="1"/>
  <c r="J20" i="68"/>
  <c r="I20" i="68"/>
  <c r="V12" i="67" l="1"/>
  <c r="V11" i="67" l="1"/>
  <c r="P13" i="55" l="1"/>
  <c r="D42" i="30" s="1"/>
  <c r="D45" i="30" s="1"/>
  <c r="J26" i="22" l="1"/>
  <c r="J27" i="22"/>
  <c r="J29" i="22"/>
  <c r="J6" i="22"/>
  <c r="I26" i="22"/>
  <c r="I27" i="22"/>
  <c r="I29" i="22"/>
  <c r="I6" i="22"/>
  <c r="H6" i="22"/>
  <c r="H26" i="22"/>
  <c r="H27" i="22"/>
  <c r="H29" i="22"/>
  <c r="G26" i="22"/>
  <c r="G27" i="22"/>
  <c r="G29" i="22"/>
  <c r="G6" i="22"/>
  <c r="F6" i="22" l="1"/>
  <c r="P26" i="57"/>
  <c r="P25" i="57"/>
  <c r="P24" i="57"/>
  <c r="P20" i="57"/>
  <c r="P19" i="57"/>
  <c r="P18" i="57"/>
  <c r="P17" i="57"/>
  <c r="F11" i="57"/>
  <c r="F11" i="55"/>
  <c r="P26" i="55"/>
  <c r="P25" i="55"/>
  <c r="P24" i="55"/>
  <c r="P20" i="55"/>
  <c r="P19" i="55"/>
  <c r="P18" i="55"/>
  <c r="P17" i="55"/>
  <c r="P26" i="54"/>
  <c r="P25" i="54"/>
  <c r="P24" i="54"/>
  <c r="P20" i="54"/>
  <c r="P19" i="54"/>
  <c r="P18" i="54"/>
  <c r="P17" i="54"/>
  <c r="F11" i="54"/>
  <c r="F11" i="53"/>
  <c r="P27" i="53"/>
  <c r="P26" i="53"/>
  <c r="P25" i="53"/>
  <c r="P24" i="53"/>
  <c r="P20" i="53"/>
  <c r="P19" i="53"/>
  <c r="P18" i="53"/>
  <c r="P17" i="53"/>
  <c r="V37" i="66"/>
  <c r="V36" i="66"/>
  <c r="V35" i="66"/>
  <c r="V34" i="66"/>
  <c r="V33" i="66"/>
  <c r="V32" i="66"/>
  <c r="V31" i="66"/>
  <c r="V30" i="66"/>
  <c r="V29" i="66"/>
  <c r="V28" i="66"/>
  <c r="V27" i="66"/>
  <c r="V26" i="66"/>
  <c r="V37" i="62"/>
  <c r="V36" i="62"/>
  <c r="V35" i="62"/>
  <c r="V34" i="62"/>
  <c r="V33" i="62"/>
  <c r="V32" i="62"/>
  <c r="V31" i="62"/>
  <c r="V30" i="62"/>
  <c r="V29" i="62"/>
  <c r="V28" i="62"/>
  <c r="V27" i="62"/>
  <c r="V26" i="62"/>
  <c r="V25" i="62"/>
  <c r="V26" i="64"/>
  <c r="V27" i="64"/>
  <c r="V28" i="64"/>
  <c r="V29" i="64"/>
  <c r="V30" i="64"/>
  <c r="V31" i="64"/>
  <c r="V32" i="64"/>
  <c r="V33" i="64"/>
  <c r="V34" i="64"/>
  <c r="V35" i="64"/>
  <c r="V36" i="64"/>
  <c r="V37" i="64"/>
  <c r="V25" i="64"/>
  <c r="D59" i="64" l="1"/>
  <c r="D58" i="64"/>
  <c r="D54" i="64"/>
  <c r="F48" i="64"/>
  <c r="D48" i="64"/>
  <c r="F47" i="64"/>
  <c r="D47" i="64"/>
  <c r="F46" i="64"/>
  <c r="D46" i="64"/>
  <c r="F45" i="64"/>
  <c r="D45" i="64"/>
  <c r="F44" i="64"/>
  <c r="D44" i="64"/>
  <c r="F43" i="64"/>
  <c r="D43" i="64"/>
  <c r="F36" i="64"/>
  <c r="D36" i="64"/>
  <c r="F35" i="64"/>
  <c r="D35" i="64"/>
  <c r="F34" i="64"/>
  <c r="D34" i="64"/>
  <c r="F33" i="64"/>
  <c r="D33" i="64"/>
  <c r="F32" i="64"/>
  <c r="D32" i="64"/>
  <c r="F31" i="64"/>
  <c r="D31" i="64"/>
  <c r="F30" i="64"/>
  <c r="D30" i="64"/>
  <c r="F29" i="64"/>
  <c r="D29" i="64"/>
  <c r="F18" i="64"/>
  <c r="D18" i="64"/>
  <c r="F14" i="64"/>
  <c r="D14" i="64"/>
  <c r="F13" i="64"/>
  <c r="D13" i="64"/>
  <c r="F11" i="64"/>
  <c r="D11" i="64"/>
  <c r="F10" i="64"/>
  <c r="D10" i="64"/>
  <c r="D9" i="64"/>
  <c r="F8" i="64"/>
  <c r="D8" i="64"/>
  <c r="F5" i="64"/>
  <c r="D5" i="64"/>
  <c r="I31" i="58"/>
  <c r="G31" i="58"/>
  <c r="D60" i="66"/>
  <c r="D59" i="66"/>
  <c r="F58" i="66"/>
  <c r="G58" i="66" s="1"/>
  <c r="D58" i="66"/>
  <c r="C58" i="66"/>
  <c r="D54" i="66"/>
  <c r="F48" i="66"/>
  <c r="D48" i="66"/>
  <c r="F47" i="66"/>
  <c r="D47" i="66"/>
  <c r="F46" i="66"/>
  <c r="D46" i="66"/>
  <c r="F45" i="66"/>
  <c r="D45" i="66"/>
  <c r="F44" i="66"/>
  <c r="D44" i="66"/>
  <c r="F43" i="66"/>
  <c r="D43" i="66"/>
  <c r="F36" i="66"/>
  <c r="D36" i="66"/>
  <c r="F35" i="66"/>
  <c r="D35" i="66"/>
  <c r="F34" i="66"/>
  <c r="D34" i="66"/>
  <c r="F33" i="66"/>
  <c r="D33" i="66"/>
  <c r="F32" i="66"/>
  <c r="D32" i="66"/>
  <c r="F31" i="66"/>
  <c r="D31" i="66"/>
  <c r="F30" i="66"/>
  <c r="D30" i="66"/>
  <c r="F29" i="66"/>
  <c r="D29" i="66"/>
  <c r="F18" i="66"/>
  <c r="D18" i="66"/>
  <c r="F14" i="66"/>
  <c r="D14" i="66"/>
  <c r="F13" i="66"/>
  <c r="D13" i="66"/>
  <c r="F11" i="66"/>
  <c r="D11" i="66"/>
  <c r="F10" i="66"/>
  <c r="D10" i="66"/>
  <c r="D9" i="66"/>
  <c r="F8" i="66"/>
  <c r="D8" i="66"/>
  <c r="F5" i="66"/>
  <c r="D5" i="66"/>
  <c r="F58" i="67"/>
  <c r="D58" i="67"/>
  <c r="G58" i="67" s="1"/>
  <c r="G20" i="58"/>
  <c r="G30" i="58"/>
  <c r="I30" i="58"/>
  <c r="G29" i="58"/>
  <c r="D59" i="67" s="1"/>
  <c r="F5" i="62"/>
  <c r="D5" i="62"/>
  <c r="F5" i="67"/>
  <c r="D5" i="67"/>
  <c r="D60" i="67"/>
  <c r="D54" i="67"/>
  <c r="F48" i="67"/>
  <c r="D48" i="67"/>
  <c r="F47" i="67"/>
  <c r="D47" i="67"/>
  <c r="F46" i="67"/>
  <c r="D46" i="67"/>
  <c r="F45" i="67"/>
  <c r="D45" i="67"/>
  <c r="F44" i="67"/>
  <c r="D44" i="67"/>
  <c r="F43" i="67"/>
  <c r="D43" i="67"/>
  <c r="F36" i="67"/>
  <c r="D36" i="67"/>
  <c r="F35" i="67"/>
  <c r="D35" i="67"/>
  <c r="F34" i="67"/>
  <c r="D34" i="67"/>
  <c r="F33" i="67"/>
  <c r="D33" i="67"/>
  <c r="F32" i="67"/>
  <c r="D32" i="67"/>
  <c r="F31" i="67"/>
  <c r="D31" i="67"/>
  <c r="F30" i="67"/>
  <c r="D30" i="67"/>
  <c r="F29" i="67"/>
  <c r="D29" i="67"/>
  <c r="F18" i="67"/>
  <c r="D18" i="67"/>
  <c r="F14" i="67"/>
  <c r="D14" i="67"/>
  <c r="F13" i="67"/>
  <c r="D13" i="67"/>
  <c r="F11" i="67"/>
  <c r="D11" i="67"/>
  <c r="F10" i="67"/>
  <c r="D10" i="67"/>
  <c r="D9" i="67"/>
  <c r="F8" i="67"/>
  <c r="D8" i="67"/>
  <c r="D60" i="62"/>
  <c r="D59" i="62"/>
  <c r="D58" i="62"/>
  <c r="D54" i="62"/>
  <c r="F48" i="62"/>
  <c r="D48" i="62"/>
  <c r="F47" i="62"/>
  <c r="D47" i="62"/>
  <c r="F46" i="62"/>
  <c r="D46" i="62"/>
  <c r="F45" i="62"/>
  <c r="D45" i="62"/>
  <c r="F44" i="62"/>
  <c r="D44" i="62"/>
  <c r="F43" i="62"/>
  <c r="D43" i="62"/>
  <c r="F36" i="62"/>
  <c r="D36" i="62"/>
  <c r="F35" i="62"/>
  <c r="D35" i="62"/>
  <c r="F34" i="62"/>
  <c r="D34" i="62"/>
  <c r="F33" i="62"/>
  <c r="D33" i="62"/>
  <c r="F32" i="62"/>
  <c r="D32" i="62"/>
  <c r="F31" i="62"/>
  <c r="D31" i="62"/>
  <c r="F30" i="62"/>
  <c r="D30" i="62"/>
  <c r="F29" i="62"/>
  <c r="D29" i="62"/>
  <c r="F18" i="62"/>
  <c r="D18" i="62"/>
  <c r="F14" i="62"/>
  <c r="D14" i="62"/>
  <c r="F13" i="62"/>
  <c r="D13" i="62"/>
  <c r="F11" i="62"/>
  <c r="D11" i="62"/>
  <c r="F10" i="62"/>
  <c r="D10" i="62"/>
  <c r="D9" i="62"/>
  <c r="F8" i="62"/>
  <c r="D8" i="62"/>
  <c r="I29" i="58" l="1"/>
  <c r="G11" i="64"/>
  <c r="G10" i="64"/>
  <c r="G61" i="67"/>
  <c r="G60" i="67"/>
  <c r="N61" i="67"/>
  <c r="G59" i="67"/>
  <c r="G56" i="67"/>
  <c r="G55" i="67"/>
  <c r="N54" i="67"/>
  <c r="G54" i="67"/>
  <c r="V54" i="67"/>
  <c r="G52" i="67"/>
  <c r="G51" i="67"/>
  <c r="N50" i="67"/>
  <c r="G50" i="67"/>
  <c r="G49" i="67"/>
  <c r="V48" i="67"/>
  <c r="G48" i="67"/>
  <c r="G47" i="67"/>
  <c r="N46" i="67"/>
  <c r="G46" i="67"/>
  <c r="G45" i="67"/>
  <c r="G44" i="67"/>
  <c r="G43" i="67"/>
  <c r="G41" i="67"/>
  <c r="G40" i="67"/>
  <c r="V37" i="67"/>
  <c r="V36" i="67"/>
  <c r="G36" i="67"/>
  <c r="V35" i="67"/>
  <c r="G35" i="67"/>
  <c r="V34" i="67"/>
  <c r="G34" i="67"/>
  <c r="V33" i="67"/>
  <c r="G33" i="67"/>
  <c r="V32" i="67"/>
  <c r="L32" i="67"/>
  <c r="K32" i="67"/>
  <c r="G32" i="67"/>
  <c r="S31" i="67"/>
  <c r="Q31" i="67"/>
  <c r="N31" i="67"/>
  <c r="G31" i="67"/>
  <c r="S30" i="67"/>
  <c r="Q30" i="67"/>
  <c r="N30" i="67"/>
  <c r="G30" i="67"/>
  <c r="S29" i="67"/>
  <c r="V29" i="67" s="1"/>
  <c r="N29" i="67"/>
  <c r="G29" i="67"/>
  <c r="S28" i="67"/>
  <c r="Q28" i="67"/>
  <c r="L28" i="67"/>
  <c r="K28" i="67"/>
  <c r="Q27" i="67"/>
  <c r="V27" i="67" s="1"/>
  <c r="N27" i="67"/>
  <c r="S26" i="67"/>
  <c r="Q26" i="67"/>
  <c r="V26" i="67" s="1"/>
  <c r="N26" i="67"/>
  <c r="S25" i="67"/>
  <c r="Q25" i="67"/>
  <c r="V25" i="67" s="1"/>
  <c r="N25" i="67"/>
  <c r="N28" i="67" s="1"/>
  <c r="L24" i="67"/>
  <c r="K24" i="67"/>
  <c r="G24" i="67"/>
  <c r="N23" i="67"/>
  <c r="G23" i="67"/>
  <c r="N22" i="67"/>
  <c r="G22" i="67"/>
  <c r="G25" i="67" s="1"/>
  <c r="N21" i="67"/>
  <c r="N24" i="67" s="1"/>
  <c r="L20" i="67"/>
  <c r="K20" i="67"/>
  <c r="G20" i="67"/>
  <c r="N19" i="67"/>
  <c r="G19" i="67"/>
  <c r="N18" i="67"/>
  <c r="G18" i="67"/>
  <c r="G21" i="67" s="1"/>
  <c r="N17" i="67"/>
  <c r="N20" i="67" s="1"/>
  <c r="P33" i="54" s="1"/>
  <c r="L16" i="67"/>
  <c r="K16" i="67"/>
  <c r="G16" i="67"/>
  <c r="N15" i="67"/>
  <c r="G15" i="67"/>
  <c r="N14" i="67"/>
  <c r="G14" i="67"/>
  <c r="N13" i="67"/>
  <c r="G13" i="67"/>
  <c r="N12" i="67"/>
  <c r="S11" i="67"/>
  <c r="L11" i="67"/>
  <c r="K11" i="67"/>
  <c r="G11" i="67"/>
  <c r="V10" i="67"/>
  <c r="N10" i="67"/>
  <c r="G10" i="67"/>
  <c r="S9" i="67"/>
  <c r="V9" i="67" s="1"/>
  <c r="G9" i="67"/>
  <c r="S8" i="67"/>
  <c r="V8" i="67" s="1"/>
  <c r="N8" i="67"/>
  <c r="G8" i="67"/>
  <c r="V7" i="67"/>
  <c r="S7" i="67"/>
  <c r="N7" i="67"/>
  <c r="S6" i="67"/>
  <c r="V6" i="67" s="1"/>
  <c r="N6" i="67"/>
  <c r="G6" i="67"/>
  <c r="V5" i="67"/>
  <c r="S5" i="67"/>
  <c r="G5" i="67"/>
  <c r="G61" i="66"/>
  <c r="G60" i="66"/>
  <c r="N61" i="66"/>
  <c r="G59" i="66"/>
  <c r="G56" i="66"/>
  <c r="V61" i="66"/>
  <c r="G55" i="66"/>
  <c r="N54" i="66"/>
  <c r="G54" i="66"/>
  <c r="G52" i="66"/>
  <c r="G51" i="66"/>
  <c r="N50" i="66"/>
  <c r="G50" i="66"/>
  <c r="V54" i="66"/>
  <c r="G49" i="66"/>
  <c r="V48" i="66"/>
  <c r="G48" i="66"/>
  <c r="G47" i="66"/>
  <c r="N46" i="66"/>
  <c r="G46" i="66"/>
  <c r="G45" i="66"/>
  <c r="G44" i="66"/>
  <c r="G43" i="66"/>
  <c r="G41" i="66"/>
  <c r="G40" i="66"/>
  <c r="G36" i="66"/>
  <c r="G35" i="66"/>
  <c r="G34" i="66"/>
  <c r="G33" i="66"/>
  <c r="L32" i="66"/>
  <c r="K32" i="66"/>
  <c r="G32" i="66"/>
  <c r="N31" i="66"/>
  <c r="G31" i="66"/>
  <c r="N30" i="66"/>
  <c r="G30" i="66"/>
  <c r="N29" i="66"/>
  <c r="N32" i="66" s="1"/>
  <c r="G29" i="66"/>
  <c r="N28" i="66"/>
  <c r="L28" i="66"/>
  <c r="K28" i="66"/>
  <c r="N27" i="66"/>
  <c r="N26" i="66"/>
  <c r="N25" i="66"/>
  <c r="L24" i="66"/>
  <c r="K24" i="66"/>
  <c r="G24" i="66"/>
  <c r="N23" i="66"/>
  <c r="G23" i="66"/>
  <c r="N22" i="66"/>
  <c r="G22" i="66"/>
  <c r="N21" i="66"/>
  <c r="N24" i="66" s="1"/>
  <c r="L20" i="66"/>
  <c r="K20" i="66"/>
  <c r="G20" i="66"/>
  <c r="N19" i="66"/>
  <c r="G19" i="66"/>
  <c r="N18" i="66"/>
  <c r="G18" i="66"/>
  <c r="N17" i="66"/>
  <c r="L16" i="66"/>
  <c r="K16" i="66"/>
  <c r="G16" i="66"/>
  <c r="N15" i="66"/>
  <c r="G15" i="66"/>
  <c r="N14" i="66"/>
  <c r="G14" i="66"/>
  <c r="N13" i="66"/>
  <c r="G13" i="66"/>
  <c r="G17" i="66" s="1"/>
  <c r="N12" i="66"/>
  <c r="S11" i="66"/>
  <c r="V11" i="66" s="1"/>
  <c r="L11" i="66"/>
  <c r="K11" i="66"/>
  <c r="G11" i="66"/>
  <c r="V10" i="66"/>
  <c r="N10" i="66"/>
  <c r="G10" i="66"/>
  <c r="V9" i="66"/>
  <c r="S9" i="66"/>
  <c r="G9" i="66"/>
  <c r="V8" i="66"/>
  <c r="S8" i="66"/>
  <c r="N8" i="66"/>
  <c r="G8" i="66"/>
  <c r="S7" i="66"/>
  <c r="V7" i="66" s="1"/>
  <c r="N7" i="66"/>
  <c r="S6" i="66"/>
  <c r="V6" i="66" s="1"/>
  <c r="N6" i="66"/>
  <c r="N11" i="66" s="1"/>
  <c r="P30" i="55" s="1"/>
  <c r="G6" i="66"/>
  <c r="S5" i="66"/>
  <c r="V5" i="66" s="1"/>
  <c r="G5" i="66"/>
  <c r="G60" i="64"/>
  <c r="G59" i="64"/>
  <c r="V60" i="64"/>
  <c r="N60" i="64"/>
  <c r="G58" i="64"/>
  <c r="G56" i="64"/>
  <c r="G55" i="64"/>
  <c r="V54" i="64"/>
  <c r="N54" i="64"/>
  <c r="G54" i="64"/>
  <c r="G52" i="64"/>
  <c r="G51" i="64"/>
  <c r="N50" i="64"/>
  <c r="G50" i="64"/>
  <c r="G49" i="64"/>
  <c r="V48" i="64"/>
  <c r="V61" i="64" s="1"/>
  <c r="F26" i="57" s="1"/>
  <c r="J28" i="22" s="1"/>
  <c r="G48" i="64"/>
  <c r="G47" i="64"/>
  <c r="N46" i="64"/>
  <c r="G46" i="64"/>
  <c r="G45" i="64"/>
  <c r="G44" i="64"/>
  <c r="G43" i="64"/>
  <c r="G41" i="64"/>
  <c r="G40" i="64"/>
  <c r="G39" i="64"/>
  <c r="G38" i="64"/>
  <c r="G37" i="64"/>
  <c r="G36" i="64"/>
  <c r="G35" i="64"/>
  <c r="G34" i="64"/>
  <c r="L33" i="64"/>
  <c r="K33" i="64"/>
  <c r="G33" i="64"/>
  <c r="G32" i="64"/>
  <c r="N31" i="64"/>
  <c r="G31" i="64"/>
  <c r="N30" i="64"/>
  <c r="G30" i="64"/>
  <c r="N29" i="64"/>
  <c r="N33" i="64" s="1"/>
  <c r="G29" i="64"/>
  <c r="G42" i="64" s="1"/>
  <c r="L28" i="64"/>
  <c r="K28" i="64"/>
  <c r="N27" i="64"/>
  <c r="N26" i="64"/>
  <c r="N25" i="64"/>
  <c r="N28" i="64" s="1"/>
  <c r="L24" i="64"/>
  <c r="K24" i="64"/>
  <c r="G24" i="64"/>
  <c r="N23" i="64"/>
  <c r="G23" i="64"/>
  <c r="N22" i="64"/>
  <c r="G22" i="64"/>
  <c r="G25" i="64" s="1"/>
  <c r="N21" i="64"/>
  <c r="N24" i="64" s="1"/>
  <c r="L20" i="64"/>
  <c r="K20" i="64"/>
  <c r="G20" i="64"/>
  <c r="N19" i="64"/>
  <c r="G19" i="64"/>
  <c r="N18" i="64"/>
  <c r="G18" i="64"/>
  <c r="G21" i="64" s="1"/>
  <c r="N17" i="64"/>
  <c r="N20" i="64" s="1"/>
  <c r="P33" i="57" s="1"/>
  <c r="L16" i="64"/>
  <c r="K16" i="64"/>
  <c r="G16" i="64"/>
  <c r="N15" i="64"/>
  <c r="G15" i="64"/>
  <c r="N14" i="64"/>
  <c r="G14" i="64"/>
  <c r="N13" i="64"/>
  <c r="G13" i="64"/>
  <c r="N12" i="64"/>
  <c r="S11" i="64"/>
  <c r="V11" i="64" s="1"/>
  <c r="L11" i="64"/>
  <c r="K11" i="64"/>
  <c r="V10" i="64"/>
  <c r="V9" i="64"/>
  <c r="S9" i="64"/>
  <c r="N9" i="64"/>
  <c r="G9" i="64"/>
  <c r="S8" i="64"/>
  <c r="V8" i="64" s="1"/>
  <c r="N8" i="64"/>
  <c r="G8" i="64"/>
  <c r="S7" i="64"/>
  <c r="V7" i="64" s="1"/>
  <c r="N7" i="64"/>
  <c r="S6" i="64"/>
  <c r="V6" i="64" s="1"/>
  <c r="N6" i="64"/>
  <c r="N11" i="64" s="1"/>
  <c r="P30" i="57" s="1"/>
  <c r="G6" i="64"/>
  <c r="S5" i="64"/>
  <c r="V5" i="64" s="1"/>
  <c r="G5" i="64"/>
  <c r="V60" i="62"/>
  <c r="G60" i="62"/>
  <c r="G59" i="62"/>
  <c r="N60" i="62"/>
  <c r="G58" i="62"/>
  <c r="G56" i="62"/>
  <c r="G55" i="62"/>
  <c r="N54" i="62"/>
  <c r="G54" i="62"/>
  <c r="G57" i="62" s="1"/>
  <c r="V54" i="62"/>
  <c r="G52" i="62"/>
  <c r="G51" i="62"/>
  <c r="N50" i="62"/>
  <c r="G50" i="62"/>
  <c r="G49" i="62"/>
  <c r="V48" i="62"/>
  <c r="G48" i="62"/>
  <c r="G47" i="62"/>
  <c r="N46" i="62"/>
  <c r="G46" i="62"/>
  <c r="G45" i="62"/>
  <c r="G44" i="62"/>
  <c r="G43" i="62"/>
  <c r="G41" i="62"/>
  <c r="G40" i="62"/>
  <c r="G36" i="62"/>
  <c r="G35" i="62"/>
  <c r="G34" i="62"/>
  <c r="G33" i="62"/>
  <c r="N32" i="62"/>
  <c r="L32" i="62"/>
  <c r="K32" i="62"/>
  <c r="G32" i="62"/>
  <c r="N31" i="62"/>
  <c r="G31" i="62"/>
  <c r="N30" i="62"/>
  <c r="G30" i="62"/>
  <c r="N29" i="62"/>
  <c r="G29" i="62"/>
  <c r="N28" i="62"/>
  <c r="L28" i="62"/>
  <c r="K28" i="62"/>
  <c r="N27" i="62"/>
  <c r="N26" i="62"/>
  <c r="N25" i="62"/>
  <c r="L24" i="62"/>
  <c r="K24" i="62"/>
  <c r="G24" i="62"/>
  <c r="N23" i="62"/>
  <c r="N24" i="62" s="1"/>
  <c r="G23" i="62"/>
  <c r="N22" i="62"/>
  <c r="G22" i="62"/>
  <c r="G25" i="62" s="1"/>
  <c r="N21" i="62"/>
  <c r="L20" i="62"/>
  <c r="K20" i="62"/>
  <c r="G20" i="62"/>
  <c r="N19" i="62"/>
  <c r="G19" i="62"/>
  <c r="N18" i="62"/>
  <c r="G18" i="62"/>
  <c r="G21" i="62" s="1"/>
  <c r="N17" i="62"/>
  <c r="L16" i="62"/>
  <c r="K16" i="62"/>
  <c r="G16" i="62"/>
  <c r="N15" i="62"/>
  <c r="G15" i="62"/>
  <c r="N14" i="62"/>
  <c r="G14" i="62"/>
  <c r="N13" i="62"/>
  <c r="G13" i="62"/>
  <c r="N12" i="62"/>
  <c r="S11" i="62"/>
  <c r="V11" i="62" s="1"/>
  <c r="L11" i="62"/>
  <c r="K11" i="62"/>
  <c r="G11" i="62"/>
  <c r="V10" i="62"/>
  <c r="N10" i="62"/>
  <c r="G10" i="62"/>
  <c r="V9" i="62"/>
  <c r="S9" i="62"/>
  <c r="G9" i="62"/>
  <c r="S8" i="62"/>
  <c r="V8" i="62" s="1"/>
  <c r="N8" i="62"/>
  <c r="G8" i="62"/>
  <c r="S7" i="62"/>
  <c r="V7" i="62" s="1"/>
  <c r="N7" i="62"/>
  <c r="S6" i="62"/>
  <c r="V6" i="62" s="1"/>
  <c r="N6" i="62"/>
  <c r="G6" i="62"/>
  <c r="S5" i="62"/>
  <c r="V5" i="62" s="1"/>
  <c r="G5" i="62"/>
  <c r="L11" i="59"/>
  <c r="K11" i="59"/>
  <c r="I11" i="59"/>
  <c r="H11" i="59"/>
  <c r="G11" i="59"/>
  <c r="K10" i="59"/>
  <c r="L10" i="59" s="1"/>
  <c r="I10" i="59"/>
  <c r="H10" i="59"/>
  <c r="G10" i="59"/>
  <c r="K9" i="59"/>
  <c r="L9" i="59" s="1"/>
  <c r="I9" i="59"/>
  <c r="H9" i="59"/>
  <c r="G9" i="59"/>
  <c r="L8" i="59"/>
  <c r="K8" i="59"/>
  <c r="I8" i="59"/>
  <c r="H8" i="59"/>
  <c r="G8" i="59"/>
  <c r="G12" i="59" s="1"/>
  <c r="L7" i="59"/>
  <c r="K7" i="59"/>
  <c r="I7" i="59"/>
  <c r="H7" i="59"/>
  <c r="H12" i="59" s="1"/>
  <c r="G7" i="59"/>
  <c r="K6" i="59"/>
  <c r="L6" i="59" s="1"/>
  <c r="I6" i="59"/>
  <c r="H6" i="59"/>
  <c r="G6" i="59"/>
  <c r="K5" i="59"/>
  <c r="L5" i="59" s="1"/>
  <c r="I5" i="59"/>
  <c r="I12" i="59" s="1"/>
  <c r="H5" i="59"/>
  <c r="G5" i="59"/>
  <c r="L4" i="59"/>
  <c r="L12" i="59" s="1"/>
  <c r="K4" i="59"/>
  <c r="G26" i="58"/>
  <c r="F26" i="58"/>
  <c r="I26" i="58" s="1"/>
  <c r="F25" i="58"/>
  <c r="I25" i="58" s="1"/>
  <c r="F24" i="58"/>
  <c r="I24" i="58" s="1"/>
  <c r="I27" i="58" s="1"/>
  <c r="F20" i="58"/>
  <c r="I20" i="58" s="1"/>
  <c r="I23" i="58" s="1"/>
  <c r="G18" i="58"/>
  <c r="F18" i="58"/>
  <c r="I18" i="58" s="1"/>
  <c r="G17" i="58"/>
  <c r="F17" i="58"/>
  <c r="I17" i="58" s="1"/>
  <c r="I16" i="58"/>
  <c r="G16" i="58"/>
  <c r="F16" i="58"/>
  <c r="G15" i="58"/>
  <c r="I15" i="58" s="1"/>
  <c r="F15" i="58"/>
  <c r="G14" i="58"/>
  <c r="F14" i="58"/>
  <c r="I14" i="58" s="1"/>
  <c r="G13" i="58"/>
  <c r="F13" i="58"/>
  <c r="I13" i="58" s="1"/>
  <c r="I19" i="58" s="1"/>
  <c r="I12" i="58"/>
  <c r="G12" i="58"/>
  <c r="F12" i="58"/>
  <c r="I10" i="58"/>
  <c r="G10" i="58"/>
  <c r="F10" i="58"/>
  <c r="G9" i="58"/>
  <c r="I9" i="58" s="1"/>
  <c r="F9" i="58"/>
  <c r="G8" i="58"/>
  <c r="F8" i="58"/>
  <c r="I8" i="58" s="1"/>
  <c r="G7" i="58"/>
  <c r="F7" i="58"/>
  <c r="I7" i="58" s="1"/>
  <c r="I6" i="58"/>
  <c r="G6" i="58"/>
  <c r="F6" i="58"/>
  <c r="G5" i="58"/>
  <c r="I5" i="58" s="1"/>
  <c r="F5" i="58"/>
  <c r="G4" i="58"/>
  <c r="F4" i="58"/>
  <c r="I4" i="58" s="1"/>
  <c r="G3" i="58"/>
  <c r="F3" i="58"/>
  <c r="I3" i="58" s="1"/>
  <c r="I11" i="58" s="1"/>
  <c r="P22" i="57"/>
  <c r="F7" i="57" s="1"/>
  <c r="P14" i="57"/>
  <c r="P13" i="57"/>
  <c r="F6" i="57" s="1"/>
  <c r="P11" i="57"/>
  <c r="N11" i="57"/>
  <c r="N10" i="57"/>
  <c r="R9" i="57"/>
  <c r="N9" i="57"/>
  <c r="R8" i="57"/>
  <c r="N8" i="57"/>
  <c r="R7" i="57"/>
  <c r="N7" i="57"/>
  <c r="R6" i="57"/>
  <c r="N6" i="57"/>
  <c r="R5" i="57"/>
  <c r="P22" i="55"/>
  <c r="F7" i="55" s="1"/>
  <c r="P14" i="55"/>
  <c r="F6" i="55"/>
  <c r="P11" i="55"/>
  <c r="N11" i="55"/>
  <c r="N10" i="55"/>
  <c r="R9" i="55"/>
  <c r="N9" i="55"/>
  <c r="R8" i="55"/>
  <c r="N8" i="55"/>
  <c r="R7" i="55"/>
  <c r="N7" i="55"/>
  <c r="R6" i="55"/>
  <c r="N6" i="55"/>
  <c r="R5" i="55"/>
  <c r="N5" i="55"/>
  <c r="P22" i="54"/>
  <c r="F7" i="54" s="1"/>
  <c r="P14" i="54"/>
  <c r="P13" i="54"/>
  <c r="F6" i="54" s="1"/>
  <c r="N11" i="54"/>
  <c r="N10" i="54"/>
  <c r="R9" i="54"/>
  <c r="N9" i="54"/>
  <c r="R8" i="54"/>
  <c r="N8" i="54"/>
  <c r="R7" i="54"/>
  <c r="N7" i="54"/>
  <c r="R6" i="54"/>
  <c r="N6" i="54"/>
  <c r="R5" i="54"/>
  <c r="N5" i="54"/>
  <c r="R11" i="54" s="1"/>
  <c r="F23" i="54" s="1"/>
  <c r="H25" i="22" s="1"/>
  <c r="P28" i="53"/>
  <c r="F8" i="53" s="1"/>
  <c r="P22" i="53"/>
  <c r="F7" i="53" s="1"/>
  <c r="P14" i="53"/>
  <c r="P13" i="53"/>
  <c r="F6" i="53" s="1"/>
  <c r="P11" i="53"/>
  <c r="N11" i="53"/>
  <c r="N10" i="53"/>
  <c r="R9" i="53"/>
  <c r="N9" i="53"/>
  <c r="R8" i="53"/>
  <c r="N8" i="53"/>
  <c r="R7" i="53"/>
  <c r="N7" i="53"/>
  <c r="R6" i="53"/>
  <c r="N6" i="53"/>
  <c r="R5" i="53"/>
  <c r="AN39" i="52"/>
  <c r="I33" i="22" s="1"/>
  <c r="AM37" i="52"/>
  <c r="AL37" i="52"/>
  <c r="AK37" i="52"/>
  <c r="AJ37" i="52"/>
  <c r="AI37" i="52"/>
  <c r="AH37" i="52"/>
  <c r="AG37" i="52"/>
  <c r="AF37" i="52"/>
  <c r="AE37" i="52"/>
  <c r="AD37" i="52"/>
  <c r="AC37" i="52"/>
  <c r="AB37" i="52"/>
  <c r="AA37" i="52"/>
  <c r="Z37" i="52"/>
  <c r="Y37" i="52"/>
  <c r="X37" i="52"/>
  <c r="W37" i="52"/>
  <c r="V37" i="52"/>
  <c r="U37" i="52"/>
  <c r="T37" i="52"/>
  <c r="S37" i="52"/>
  <c r="R37" i="52"/>
  <c r="Q37" i="52"/>
  <c r="P37" i="52"/>
  <c r="O37" i="52"/>
  <c r="N37" i="52"/>
  <c r="M37" i="52"/>
  <c r="L37" i="52"/>
  <c r="K37" i="52"/>
  <c r="J37" i="52"/>
  <c r="I37" i="52"/>
  <c r="H37" i="52"/>
  <c r="G37" i="52"/>
  <c r="F37" i="52"/>
  <c r="E37" i="52"/>
  <c r="D37" i="52"/>
  <c r="AN37" i="52" s="1"/>
  <c r="AN36" i="52"/>
  <c r="AN35" i="52"/>
  <c r="AN34" i="52"/>
  <c r="AN33" i="52"/>
  <c r="AC31" i="52"/>
  <c r="AC38" i="52" s="1"/>
  <c r="AM22" i="52"/>
  <c r="AM31" i="52" s="1"/>
  <c r="AL22" i="52"/>
  <c r="AL31" i="52" s="1"/>
  <c r="AK22" i="52"/>
  <c r="AK31" i="52" s="1"/>
  <c r="AK38" i="52" s="1"/>
  <c r="AJ22" i="52"/>
  <c r="AJ31" i="52" s="1"/>
  <c r="AJ38" i="52" s="1"/>
  <c r="AI22" i="52"/>
  <c r="AI31" i="52" s="1"/>
  <c r="AH22" i="52"/>
  <c r="AH31" i="52" s="1"/>
  <c r="AG22" i="52"/>
  <c r="AG31" i="52" s="1"/>
  <c r="AG38" i="52" s="1"/>
  <c r="AF22" i="52"/>
  <c r="AF31" i="52" s="1"/>
  <c r="AF38" i="52" s="1"/>
  <c r="AE22" i="52"/>
  <c r="AE31" i="52" s="1"/>
  <c r="AD22" i="52"/>
  <c r="AD31" i="52" s="1"/>
  <c r="AC22" i="52"/>
  <c r="AB22" i="52"/>
  <c r="AB31" i="52" s="1"/>
  <c r="AB38" i="52" s="1"/>
  <c r="AA22" i="52"/>
  <c r="AA31" i="52" s="1"/>
  <c r="Z22" i="52"/>
  <c r="Z31" i="52" s="1"/>
  <c r="Y22" i="52"/>
  <c r="X22" i="52"/>
  <c r="X31" i="52" s="1"/>
  <c r="X38" i="52" s="1"/>
  <c r="W22" i="52"/>
  <c r="W31" i="52" s="1"/>
  <c r="V22" i="52"/>
  <c r="V31" i="52" s="1"/>
  <c r="U22" i="52"/>
  <c r="U31" i="52" s="1"/>
  <c r="U38" i="52" s="1"/>
  <c r="T22" i="52"/>
  <c r="T31" i="52" s="1"/>
  <c r="T38" i="52" s="1"/>
  <c r="S22" i="52"/>
  <c r="S31" i="52" s="1"/>
  <c r="R22" i="52"/>
  <c r="R31" i="52" s="1"/>
  <c r="Q22" i="52"/>
  <c r="Q31" i="52" s="1"/>
  <c r="Q38" i="52" s="1"/>
  <c r="P22" i="52"/>
  <c r="P31" i="52" s="1"/>
  <c r="P38" i="52" s="1"/>
  <c r="O22" i="52"/>
  <c r="O31" i="52" s="1"/>
  <c r="N22" i="52"/>
  <c r="N31" i="52" s="1"/>
  <c r="M22" i="52"/>
  <c r="L22" i="52"/>
  <c r="L31" i="52" s="1"/>
  <c r="L38" i="52" s="1"/>
  <c r="K22" i="52"/>
  <c r="K31" i="52" s="1"/>
  <c r="J22" i="52"/>
  <c r="I22" i="52"/>
  <c r="I31" i="52" s="1"/>
  <c r="I38" i="52" s="1"/>
  <c r="H22" i="52"/>
  <c r="G22" i="52"/>
  <c r="G31" i="52" s="1"/>
  <c r="F22" i="52"/>
  <c r="F31" i="52" s="1"/>
  <c r="E22" i="52"/>
  <c r="E31" i="52" s="1"/>
  <c r="E38" i="52" s="1"/>
  <c r="D22" i="52"/>
  <c r="AN21" i="52"/>
  <c r="AN20" i="52"/>
  <c r="AN19" i="52"/>
  <c r="AN18" i="52"/>
  <c r="AN17" i="52"/>
  <c r="AN16" i="52"/>
  <c r="AN15" i="52"/>
  <c r="AN14" i="52"/>
  <c r="AN13" i="52"/>
  <c r="AN12" i="52"/>
  <c r="AN11" i="52"/>
  <c r="AN10" i="52"/>
  <c r="AN9" i="52"/>
  <c r="AN39" i="51"/>
  <c r="H33" i="22" s="1"/>
  <c r="AM37" i="51"/>
  <c r="AL37" i="51"/>
  <c r="AK37" i="51"/>
  <c r="AJ37" i="51"/>
  <c r="AI37" i="51"/>
  <c r="AH37" i="51"/>
  <c r="AG37" i="51"/>
  <c r="AF37" i="51"/>
  <c r="AE37" i="51"/>
  <c r="AD37" i="51"/>
  <c r="AC37" i="51"/>
  <c r="AB37" i="51"/>
  <c r="AA37" i="51"/>
  <c r="Z37" i="51"/>
  <c r="Y37" i="51"/>
  <c r="X37" i="51"/>
  <c r="W37" i="51"/>
  <c r="V37" i="51"/>
  <c r="U37" i="51"/>
  <c r="T37" i="51"/>
  <c r="S37" i="51"/>
  <c r="R37" i="51"/>
  <c r="Q37" i="51"/>
  <c r="P37" i="51"/>
  <c r="O37" i="51"/>
  <c r="N37" i="51"/>
  <c r="M37" i="51"/>
  <c r="L37" i="51"/>
  <c r="K37" i="51"/>
  <c r="J37" i="51"/>
  <c r="I37" i="51"/>
  <c r="H37" i="51"/>
  <c r="G37" i="51"/>
  <c r="F37" i="51"/>
  <c r="E37" i="51"/>
  <c r="D37" i="51"/>
  <c r="AN36" i="51"/>
  <c r="AN35" i="51"/>
  <c r="AN34" i="51"/>
  <c r="AN33" i="51"/>
  <c r="U31" i="51"/>
  <c r="U38" i="51" s="1"/>
  <c r="AM22" i="51"/>
  <c r="AM31" i="51" s="1"/>
  <c r="AL22" i="51"/>
  <c r="AL31" i="51" s="1"/>
  <c r="AK22" i="51"/>
  <c r="AK31" i="51" s="1"/>
  <c r="AK38" i="51" s="1"/>
  <c r="AJ22" i="51"/>
  <c r="AJ31" i="51" s="1"/>
  <c r="AI22" i="51"/>
  <c r="AI31" i="51" s="1"/>
  <c r="AH22" i="51"/>
  <c r="AH31" i="51" s="1"/>
  <c r="AG22" i="51"/>
  <c r="AG31" i="51" s="1"/>
  <c r="AG38" i="51" s="1"/>
  <c r="AF22" i="51"/>
  <c r="AF31" i="51" s="1"/>
  <c r="AE22" i="51"/>
  <c r="AE31" i="51" s="1"/>
  <c r="AD22" i="51"/>
  <c r="AD31" i="51" s="1"/>
  <c r="AC22" i="51"/>
  <c r="AC31" i="51" s="1"/>
  <c r="AC38" i="51" s="1"/>
  <c r="AB22" i="51"/>
  <c r="AB31" i="51" s="1"/>
  <c r="AA22" i="51"/>
  <c r="AA31" i="51" s="1"/>
  <c r="Z22" i="51"/>
  <c r="Z31" i="51" s="1"/>
  <c r="Y22" i="51"/>
  <c r="Y31" i="51" s="1"/>
  <c r="Y38" i="51" s="1"/>
  <c r="X22" i="51"/>
  <c r="X31" i="51" s="1"/>
  <c r="W22" i="51"/>
  <c r="W31" i="51" s="1"/>
  <c r="V22" i="51"/>
  <c r="V31" i="51" s="1"/>
  <c r="U22" i="51"/>
  <c r="T22" i="51"/>
  <c r="T31" i="51" s="1"/>
  <c r="S22" i="51"/>
  <c r="S31" i="51" s="1"/>
  <c r="R22" i="51"/>
  <c r="R31" i="51" s="1"/>
  <c r="Q22" i="51"/>
  <c r="Q31" i="51" s="1"/>
  <c r="Q38" i="51" s="1"/>
  <c r="P22" i="51"/>
  <c r="P31" i="51" s="1"/>
  <c r="O22" i="51"/>
  <c r="O31" i="51" s="1"/>
  <c r="N22" i="51"/>
  <c r="N31" i="51" s="1"/>
  <c r="M22" i="51"/>
  <c r="M31" i="51" s="1"/>
  <c r="M38" i="51" s="1"/>
  <c r="L22" i="51"/>
  <c r="L31" i="51" s="1"/>
  <c r="K22" i="51"/>
  <c r="K31" i="51" s="1"/>
  <c r="J22" i="51"/>
  <c r="I22" i="51"/>
  <c r="I31" i="51" s="1"/>
  <c r="I38" i="51" s="1"/>
  <c r="H22" i="51"/>
  <c r="H31" i="51" s="1"/>
  <c r="G22" i="51"/>
  <c r="G31" i="51" s="1"/>
  <c r="F22" i="51"/>
  <c r="F31" i="51" s="1"/>
  <c r="E22" i="51"/>
  <c r="E31" i="51" s="1"/>
  <c r="E38" i="51" s="1"/>
  <c r="D22" i="51"/>
  <c r="D31" i="51" s="1"/>
  <c r="AN21" i="51"/>
  <c r="AN20" i="51"/>
  <c r="AN19" i="51"/>
  <c r="AN18" i="51"/>
  <c r="AN17" i="51"/>
  <c r="AN16" i="51"/>
  <c r="AN15" i="51"/>
  <c r="AN14" i="51"/>
  <c r="AN13" i="51"/>
  <c r="AN12" i="51"/>
  <c r="AN11" i="51"/>
  <c r="AN10" i="51"/>
  <c r="AN9" i="51"/>
  <c r="AN39" i="50"/>
  <c r="G33" i="22" s="1"/>
  <c r="AM37" i="50"/>
  <c r="AL37" i="50"/>
  <c r="AK37" i="50"/>
  <c r="AJ37" i="50"/>
  <c r="AI37" i="50"/>
  <c r="AH37" i="50"/>
  <c r="AG37" i="50"/>
  <c r="AF37" i="50"/>
  <c r="AE37" i="50"/>
  <c r="AD37" i="50"/>
  <c r="AC37" i="50"/>
  <c r="AB37" i="50"/>
  <c r="AA37" i="50"/>
  <c r="Z37" i="50"/>
  <c r="Y37" i="50"/>
  <c r="X37" i="50"/>
  <c r="W37" i="50"/>
  <c r="V37" i="50"/>
  <c r="U37" i="50"/>
  <c r="T37" i="50"/>
  <c r="S37" i="50"/>
  <c r="R37" i="50"/>
  <c r="Q37" i="50"/>
  <c r="P37" i="50"/>
  <c r="O37" i="50"/>
  <c r="N37" i="50"/>
  <c r="M37" i="50"/>
  <c r="L37" i="50"/>
  <c r="K37" i="50"/>
  <c r="J37" i="50"/>
  <c r="I37" i="50"/>
  <c r="H37" i="50"/>
  <c r="G37" i="50"/>
  <c r="F37" i="50"/>
  <c r="E37" i="50"/>
  <c r="D37" i="50"/>
  <c r="AN36" i="50"/>
  <c r="AN35" i="50"/>
  <c r="AN34" i="50"/>
  <c r="AN33" i="50"/>
  <c r="AM22" i="50"/>
  <c r="AM31" i="50" s="1"/>
  <c r="AL22" i="50"/>
  <c r="AL31" i="50" s="1"/>
  <c r="AK22" i="50"/>
  <c r="AK31" i="50" s="1"/>
  <c r="AJ22" i="50"/>
  <c r="AJ31" i="50" s="1"/>
  <c r="AI22" i="50"/>
  <c r="AI31" i="50" s="1"/>
  <c r="AH22" i="50"/>
  <c r="AH31" i="50" s="1"/>
  <c r="AG22" i="50"/>
  <c r="AG31" i="50" s="1"/>
  <c r="AF22" i="50"/>
  <c r="AF31" i="50" s="1"/>
  <c r="AE22" i="50"/>
  <c r="AE31" i="50" s="1"/>
  <c r="AD22" i="50"/>
  <c r="AD31" i="50" s="1"/>
  <c r="AC22" i="50"/>
  <c r="AC31" i="50" s="1"/>
  <c r="AB22" i="50"/>
  <c r="AB31" i="50" s="1"/>
  <c r="AA22" i="50"/>
  <c r="AA31" i="50" s="1"/>
  <c r="Z22" i="50"/>
  <c r="Z31" i="50" s="1"/>
  <c r="Y22" i="50"/>
  <c r="Y31" i="50" s="1"/>
  <c r="X22" i="50"/>
  <c r="X31" i="50" s="1"/>
  <c r="W22" i="50"/>
  <c r="W31" i="50" s="1"/>
  <c r="V22" i="50"/>
  <c r="U22" i="50"/>
  <c r="U31" i="50" s="1"/>
  <c r="T22" i="50"/>
  <c r="T31" i="50" s="1"/>
  <c r="S22" i="50"/>
  <c r="S31" i="50" s="1"/>
  <c r="R22" i="50"/>
  <c r="R31" i="50" s="1"/>
  <c r="Q22" i="50"/>
  <c r="Q31" i="50" s="1"/>
  <c r="P22" i="50"/>
  <c r="P31" i="50" s="1"/>
  <c r="O22" i="50"/>
  <c r="O31" i="50" s="1"/>
  <c r="N22" i="50"/>
  <c r="N31" i="50" s="1"/>
  <c r="M22" i="50"/>
  <c r="M31" i="50" s="1"/>
  <c r="L22" i="50"/>
  <c r="L31" i="50" s="1"/>
  <c r="K22" i="50"/>
  <c r="K31" i="50" s="1"/>
  <c r="J22" i="50"/>
  <c r="J31" i="50" s="1"/>
  <c r="I22" i="50"/>
  <c r="I31" i="50" s="1"/>
  <c r="H22" i="50"/>
  <c r="H31" i="50" s="1"/>
  <c r="G22" i="50"/>
  <c r="G31" i="50" s="1"/>
  <c r="F22" i="50"/>
  <c r="F31" i="50" s="1"/>
  <c r="E22" i="50"/>
  <c r="E31" i="50" s="1"/>
  <c r="D22" i="50"/>
  <c r="D31" i="50" s="1"/>
  <c r="AN21" i="50"/>
  <c r="AN20" i="50"/>
  <c r="AN19" i="50"/>
  <c r="AN18" i="50"/>
  <c r="AN17" i="50"/>
  <c r="AN16" i="50"/>
  <c r="AN15" i="50"/>
  <c r="AN14" i="50"/>
  <c r="AN12" i="50"/>
  <c r="AN11" i="50"/>
  <c r="AN10" i="50"/>
  <c r="AN9" i="50"/>
  <c r="AN39" i="48"/>
  <c r="J33" i="22" s="1"/>
  <c r="AM37" i="48"/>
  <c r="AL37" i="48"/>
  <c r="AK37" i="48"/>
  <c r="AJ37" i="48"/>
  <c r="AI37" i="48"/>
  <c r="AH37" i="48"/>
  <c r="AG37" i="48"/>
  <c r="AF37" i="48"/>
  <c r="AE37" i="48"/>
  <c r="AD37" i="48"/>
  <c r="AC37" i="48"/>
  <c r="AB37" i="48"/>
  <c r="AA37" i="48"/>
  <c r="Z37" i="48"/>
  <c r="Y37" i="48"/>
  <c r="X37" i="48"/>
  <c r="W37" i="48"/>
  <c r="V37" i="48"/>
  <c r="U37" i="48"/>
  <c r="T37" i="48"/>
  <c r="S37" i="48"/>
  <c r="R37" i="48"/>
  <c r="Q37" i="48"/>
  <c r="P37" i="48"/>
  <c r="O37" i="48"/>
  <c r="N37" i="48"/>
  <c r="M37" i="48"/>
  <c r="L37" i="48"/>
  <c r="K37" i="48"/>
  <c r="J37" i="48"/>
  <c r="I37" i="48"/>
  <c r="H37" i="48"/>
  <c r="G37" i="48"/>
  <c r="F37" i="48"/>
  <c r="E37" i="48"/>
  <c r="D37" i="48"/>
  <c r="AN36" i="48"/>
  <c r="AN35" i="48"/>
  <c r="AN34" i="48"/>
  <c r="AN33" i="48"/>
  <c r="AF31" i="48"/>
  <c r="AF38" i="48" s="1"/>
  <c r="P31" i="48"/>
  <c r="P38" i="48" s="1"/>
  <c r="AM31" i="48"/>
  <c r="AL31" i="48"/>
  <c r="AJ31" i="48"/>
  <c r="AJ38" i="48" s="1"/>
  <c r="AI31" i="48"/>
  <c r="AH31" i="48"/>
  <c r="AG31" i="48"/>
  <c r="AG38" i="48" s="1"/>
  <c r="AE31" i="48"/>
  <c r="AD31" i="48"/>
  <c r="AB31" i="48"/>
  <c r="AB38" i="48" s="1"/>
  <c r="AA31" i="48"/>
  <c r="Z31" i="48"/>
  <c r="X31" i="48"/>
  <c r="X38" i="48" s="1"/>
  <c r="W31" i="48"/>
  <c r="V31" i="48"/>
  <c r="U31" i="48"/>
  <c r="U38" i="48" s="1"/>
  <c r="T31" i="48"/>
  <c r="T38" i="48" s="1"/>
  <c r="S31" i="48"/>
  <c r="R31" i="48"/>
  <c r="O31" i="48"/>
  <c r="N31" i="48"/>
  <c r="L31" i="48"/>
  <c r="L38" i="48" s="1"/>
  <c r="K31" i="48"/>
  <c r="J31" i="48"/>
  <c r="I31" i="48"/>
  <c r="I38" i="48" s="1"/>
  <c r="H31" i="48"/>
  <c r="H38" i="48" s="1"/>
  <c r="G31" i="48"/>
  <c r="F31" i="48"/>
  <c r="D31" i="48"/>
  <c r="D38" i="48" s="1"/>
  <c r="AN21" i="48"/>
  <c r="AN20" i="48"/>
  <c r="AN19" i="48"/>
  <c r="AN18" i="48"/>
  <c r="AN17" i="48"/>
  <c r="AN16" i="48"/>
  <c r="AN15" i="48"/>
  <c r="AN14" i="48"/>
  <c r="AN13" i="48"/>
  <c r="AN12" i="48"/>
  <c r="AN11" i="48"/>
  <c r="AN10" i="48"/>
  <c r="AN9" i="48"/>
  <c r="AN37" i="48" l="1"/>
  <c r="E23" i="48"/>
  <c r="N23" i="48"/>
  <c r="Q23" i="48"/>
  <c r="AL23" i="48"/>
  <c r="AN37" i="51"/>
  <c r="K23" i="51"/>
  <c r="D38" i="51"/>
  <c r="H38" i="51"/>
  <c r="L38" i="51"/>
  <c r="P38" i="51"/>
  <c r="T38" i="51"/>
  <c r="X38" i="51"/>
  <c r="AB38" i="51"/>
  <c r="AF38" i="51"/>
  <c r="AJ38" i="51"/>
  <c r="AN37" i="50"/>
  <c r="F22" i="55"/>
  <c r="I24" i="22" s="1"/>
  <c r="F21" i="55"/>
  <c r="I23" i="22" s="1"/>
  <c r="F22" i="54"/>
  <c r="H24" i="22" s="1"/>
  <c r="F21" i="54"/>
  <c r="H23" i="22" s="1"/>
  <c r="F22" i="53"/>
  <c r="G24" i="22" s="1"/>
  <c r="F21" i="53"/>
  <c r="G23" i="22" s="1"/>
  <c r="F3" i="69"/>
  <c r="F10" i="69" s="1"/>
  <c r="J3" i="69"/>
  <c r="J10" i="69" s="1"/>
  <c r="N3" i="69"/>
  <c r="N10" i="69" s="1"/>
  <c r="R3" i="69"/>
  <c r="R10" i="69" s="1"/>
  <c r="V3" i="69"/>
  <c r="V10" i="69" s="1"/>
  <c r="Z3" i="69"/>
  <c r="Z10" i="69" s="1"/>
  <c r="AD3" i="69"/>
  <c r="AD10" i="69" s="1"/>
  <c r="AH3" i="69"/>
  <c r="AH10" i="69" s="1"/>
  <c r="AL3" i="69"/>
  <c r="AL10" i="69" s="1"/>
  <c r="E3" i="69"/>
  <c r="E10" i="69" s="1"/>
  <c r="M3" i="69"/>
  <c r="M10" i="69" s="1"/>
  <c r="Q3" i="69"/>
  <c r="Q10" i="69" s="1"/>
  <c r="Y3" i="69"/>
  <c r="Y10" i="69" s="1"/>
  <c r="AC3" i="69"/>
  <c r="AC10" i="69" s="1"/>
  <c r="AG3" i="69"/>
  <c r="AG10" i="69" s="1"/>
  <c r="AK3" i="69"/>
  <c r="AK10" i="69" s="1"/>
  <c r="H38" i="50"/>
  <c r="P38" i="50"/>
  <c r="O3" i="69"/>
  <c r="X38" i="50"/>
  <c r="W3" i="69"/>
  <c r="W10" i="69" s="1"/>
  <c r="AB38" i="50"/>
  <c r="AA3" i="69"/>
  <c r="AA10" i="69" s="1"/>
  <c r="AJ38" i="50"/>
  <c r="AI3" i="69"/>
  <c r="AI10" i="69" s="1"/>
  <c r="E38" i="50"/>
  <c r="I38" i="50"/>
  <c r="H3" i="69"/>
  <c r="H10" i="69" s="1"/>
  <c r="M38" i="50"/>
  <c r="Q38" i="50"/>
  <c r="U38" i="50"/>
  <c r="T3" i="69"/>
  <c r="T10" i="69" s="1"/>
  <c r="Y38" i="50"/>
  <c r="AC38" i="50"/>
  <c r="AG38" i="50"/>
  <c r="AF3" i="69"/>
  <c r="AF10" i="69" s="1"/>
  <c r="AK38" i="50"/>
  <c r="D38" i="50"/>
  <c r="L38" i="50"/>
  <c r="K3" i="69"/>
  <c r="K10" i="69" s="1"/>
  <c r="T38" i="50"/>
  <c r="S3" i="69"/>
  <c r="S10" i="69" s="1"/>
  <c r="AF38" i="50"/>
  <c r="AE3" i="69"/>
  <c r="AE10" i="69" s="1"/>
  <c r="F22" i="57"/>
  <c r="J24" i="22" s="1"/>
  <c r="F21" i="57"/>
  <c r="J23" i="22" s="1"/>
  <c r="N61" i="62"/>
  <c r="F28" i="53" s="1"/>
  <c r="G30" i="22" s="1"/>
  <c r="N61" i="64"/>
  <c r="F28" i="57" s="1"/>
  <c r="J30" i="22" s="1"/>
  <c r="N20" i="62"/>
  <c r="P33" i="53" s="1"/>
  <c r="N16" i="62"/>
  <c r="P31" i="53" s="1"/>
  <c r="N11" i="62"/>
  <c r="P30" i="53" s="1"/>
  <c r="V62" i="66"/>
  <c r="F26" i="55" s="1"/>
  <c r="I28" i="22" s="1"/>
  <c r="N20" i="66"/>
  <c r="P33" i="55" s="1"/>
  <c r="N62" i="66"/>
  <c r="F28" i="55" s="1"/>
  <c r="N16" i="64"/>
  <c r="P31" i="57" s="1"/>
  <c r="P32" i="57" s="1"/>
  <c r="P37" i="57" s="1"/>
  <c r="F9" i="57" s="1"/>
  <c r="J11" i="22" s="1"/>
  <c r="N32" i="51"/>
  <c r="Z32" i="51"/>
  <c r="AL32" i="51"/>
  <c r="Z23" i="48"/>
  <c r="AC23" i="48"/>
  <c r="AN23" i="48"/>
  <c r="H32" i="48"/>
  <c r="T32" i="48"/>
  <c r="AF32" i="48"/>
  <c r="AN22" i="48"/>
  <c r="H23" i="48"/>
  <c r="E31" i="48"/>
  <c r="E38" i="48" s="1"/>
  <c r="M31" i="48"/>
  <c r="M38" i="48" s="1"/>
  <c r="AC31" i="48"/>
  <c r="AC38" i="48" s="1"/>
  <c r="AK31" i="48"/>
  <c r="AK38" i="48" s="1"/>
  <c r="T23" i="48"/>
  <c r="K32" i="48"/>
  <c r="W32" i="48"/>
  <c r="AI32" i="48"/>
  <c r="AF23" i="48"/>
  <c r="Q31" i="48"/>
  <c r="Q38" i="48" s="1"/>
  <c r="Y31" i="48"/>
  <c r="Y38" i="48" s="1"/>
  <c r="W32" i="51"/>
  <c r="AI32" i="51"/>
  <c r="AF23" i="51"/>
  <c r="AN23" i="51"/>
  <c r="H32" i="51"/>
  <c r="T32" i="51"/>
  <c r="AF32" i="51"/>
  <c r="AN22" i="51"/>
  <c r="H23" i="51"/>
  <c r="E23" i="51"/>
  <c r="N23" i="51"/>
  <c r="Q23" i="51"/>
  <c r="Z23" i="51"/>
  <c r="AC23" i="51"/>
  <c r="AL23" i="51"/>
  <c r="T23" i="51"/>
  <c r="H23" i="52"/>
  <c r="N23" i="52"/>
  <c r="Z23" i="52"/>
  <c r="AL23" i="52"/>
  <c r="M31" i="52"/>
  <c r="M38" i="52" s="1"/>
  <c r="AN22" i="52"/>
  <c r="E23" i="52"/>
  <c r="AC23" i="52"/>
  <c r="T23" i="52"/>
  <c r="H31" i="52"/>
  <c r="H38" i="52" s="1"/>
  <c r="K23" i="52"/>
  <c r="W32" i="52"/>
  <c r="AI32" i="52"/>
  <c r="AL32" i="52"/>
  <c r="AF23" i="52"/>
  <c r="Y31" i="52"/>
  <c r="Y38" i="52" s="1"/>
  <c r="Q23" i="52"/>
  <c r="AN23" i="52"/>
  <c r="T32" i="52"/>
  <c r="AF32" i="52"/>
  <c r="D31" i="52"/>
  <c r="D38" i="52" s="1"/>
  <c r="W23" i="50"/>
  <c r="AL32" i="50"/>
  <c r="N32" i="50"/>
  <c r="AI32" i="50"/>
  <c r="T32" i="50"/>
  <c r="K32" i="50"/>
  <c r="Z32" i="50"/>
  <c r="AF23" i="50"/>
  <c r="AN23" i="50"/>
  <c r="H32" i="50"/>
  <c r="AF32" i="50"/>
  <c r="AN22" i="50"/>
  <c r="H23" i="50"/>
  <c r="E23" i="50"/>
  <c r="N23" i="50"/>
  <c r="Q23" i="50"/>
  <c r="Z23" i="50"/>
  <c r="AC23" i="50"/>
  <c r="AL23" i="50"/>
  <c r="T23" i="50"/>
  <c r="R11" i="55"/>
  <c r="R11" i="57"/>
  <c r="P15" i="55"/>
  <c r="V38" i="64"/>
  <c r="G57" i="64"/>
  <c r="G17" i="64"/>
  <c r="G61" i="64"/>
  <c r="P27" i="57" s="1"/>
  <c r="P28" i="57" s="1"/>
  <c r="F8" i="57" s="1"/>
  <c r="J10" i="22" s="1"/>
  <c r="G7" i="64"/>
  <c r="G53" i="66"/>
  <c r="G57" i="66"/>
  <c r="G7" i="66"/>
  <c r="G21" i="66"/>
  <c r="G25" i="66"/>
  <c r="V21" i="66"/>
  <c r="F10" i="55" s="1"/>
  <c r="I12" i="22" s="1"/>
  <c r="N16" i="66"/>
  <c r="P31" i="55" s="1"/>
  <c r="P32" i="55" s="1"/>
  <c r="P37" i="55" s="1"/>
  <c r="F9" i="55" s="1"/>
  <c r="I11" i="22" s="1"/>
  <c r="G12" i="67"/>
  <c r="V61" i="67"/>
  <c r="V62" i="67" s="1"/>
  <c r="F26" i="54" s="1"/>
  <c r="H28" i="22" s="1"/>
  <c r="N11" i="67"/>
  <c r="P30" i="54" s="1"/>
  <c r="P32" i="54" s="1"/>
  <c r="P37" i="54" s="1"/>
  <c r="F9" i="54" s="1"/>
  <c r="H11" i="22" s="1"/>
  <c r="V21" i="67"/>
  <c r="F10" i="54" s="1"/>
  <c r="H12" i="22" s="1"/>
  <c r="N16" i="67"/>
  <c r="P31" i="54" s="1"/>
  <c r="N32" i="67"/>
  <c r="V30" i="67"/>
  <c r="V31" i="67"/>
  <c r="V28" i="67"/>
  <c r="V38" i="67" s="1"/>
  <c r="N62" i="67"/>
  <c r="F28" i="54" s="1"/>
  <c r="G7" i="67"/>
  <c r="G62" i="67"/>
  <c r="P27" i="54" s="1"/>
  <c r="P28" i="54" s="1"/>
  <c r="F8" i="54" s="1"/>
  <c r="H10" i="22" s="1"/>
  <c r="G42" i="67"/>
  <c r="G57" i="67"/>
  <c r="G53" i="62"/>
  <c r="G7" i="62"/>
  <c r="G42" i="62"/>
  <c r="G12" i="62"/>
  <c r="G17" i="62"/>
  <c r="G12" i="64"/>
  <c r="G17" i="67"/>
  <c r="G53" i="67"/>
  <c r="V38" i="66"/>
  <c r="G62" i="66"/>
  <c r="P27" i="55" s="1"/>
  <c r="P28" i="55" s="1"/>
  <c r="F8" i="55" s="1"/>
  <c r="I10" i="22" s="1"/>
  <c r="G12" i="66"/>
  <c r="G42" i="66"/>
  <c r="G53" i="64"/>
  <c r="V21" i="64"/>
  <c r="F10" i="57" s="1"/>
  <c r="J12" i="22" s="1"/>
  <c r="V21" i="62"/>
  <c r="F10" i="53" s="1"/>
  <c r="G12" i="22" s="1"/>
  <c r="V61" i="62"/>
  <c r="F26" i="53" s="1"/>
  <c r="G28" i="22" s="1"/>
  <c r="G61" i="62"/>
  <c r="V38" i="62"/>
  <c r="I28" i="58"/>
  <c r="Q11" i="54"/>
  <c r="F4" i="54"/>
  <c r="H5" i="22" s="1"/>
  <c r="H7" i="22" s="1"/>
  <c r="F38" i="52"/>
  <c r="N38" i="52"/>
  <c r="R38" i="52"/>
  <c r="V38" i="52"/>
  <c r="Z38" i="52"/>
  <c r="AD38" i="52"/>
  <c r="AH38" i="52"/>
  <c r="AL38" i="52"/>
  <c r="G38" i="52"/>
  <c r="K38" i="52"/>
  <c r="O38" i="52"/>
  <c r="S38" i="52"/>
  <c r="W38" i="52"/>
  <c r="AA38" i="52"/>
  <c r="AE38" i="52"/>
  <c r="AI38" i="52"/>
  <c r="AM38" i="52"/>
  <c r="W23" i="52"/>
  <c r="AI23" i="52"/>
  <c r="Q32" i="52"/>
  <c r="AC32" i="52"/>
  <c r="J31" i="52"/>
  <c r="K32" i="52" s="1"/>
  <c r="F38" i="51"/>
  <c r="N38" i="51"/>
  <c r="R38" i="51"/>
  <c r="V38" i="51"/>
  <c r="Z38" i="51"/>
  <c r="AD38" i="51"/>
  <c r="AH38" i="51"/>
  <c r="AL38" i="51"/>
  <c r="G38" i="51"/>
  <c r="K38" i="51"/>
  <c r="O38" i="51"/>
  <c r="S38" i="51"/>
  <c r="W38" i="51"/>
  <c r="AA38" i="51"/>
  <c r="AE38" i="51"/>
  <c r="AI38" i="51"/>
  <c r="AM38" i="51"/>
  <c r="W23" i="51"/>
  <c r="AI23" i="51"/>
  <c r="Q32" i="51"/>
  <c r="AC32" i="51"/>
  <c r="J31" i="51"/>
  <c r="K32" i="51" s="1"/>
  <c r="E32" i="51"/>
  <c r="F38" i="50"/>
  <c r="J38" i="50"/>
  <c r="N38" i="50"/>
  <c r="R38" i="50"/>
  <c r="Z38" i="50"/>
  <c r="AD38" i="50"/>
  <c r="AH38" i="50"/>
  <c r="AL38" i="50"/>
  <c r="G38" i="50"/>
  <c r="K38" i="50"/>
  <c r="O38" i="50"/>
  <c r="S38" i="50"/>
  <c r="W38" i="50"/>
  <c r="AA38" i="50"/>
  <c r="AE38" i="50"/>
  <c r="AI38" i="50"/>
  <c r="AM38" i="50"/>
  <c r="K23" i="50"/>
  <c r="AI23" i="50"/>
  <c r="E32" i="50"/>
  <c r="AC32" i="50"/>
  <c r="V31" i="50"/>
  <c r="Q32" i="50"/>
  <c r="F38" i="48"/>
  <c r="J38" i="48"/>
  <c r="N38" i="48"/>
  <c r="R38" i="48"/>
  <c r="V38" i="48"/>
  <c r="Z38" i="48"/>
  <c r="AD38" i="48"/>
  <c r="AH38" i="48"/>
  <c r="AL38" i="48"/>
  <c r="G38" i="48"/>
  <c r="K38" i="48"/>
  <c r="O38" i="48"/>
  <c r="S38" i="48"/>
  <c r="W38" i="48"/>
  <c r="AA38" i="48"/>
  <c r="AE38" i="48"/>
  <c r="AI38" i="48"/>
  <c r="AM38" i="48"/>
  <c r="K23" i="48"/>
  <c r="W23" i="48"/>
  <c r="AI23" i="48"/>
  <c r="F26" i="22"/>
  <c r="F27" i="22"/>
  <c r="F29" i="22"/>
  <c r="O20" i="42"/>
  <c r="M20" i="42"/>
  <c r="L20" i="42"/>
  <c r="K20" i="42"/>
  <c r="N5" i="53" s="1"/>
  <c r="R11" i="53" s="1"/>
  <c r="F23" i="53" s="1"/>
  <c r="G25" i="22" s="1"/>
  <c r="J20" i="42"/>
  <c r="I20" i="42"/>
  <c r="H20" i="42"/>
  <c r="Q11" i="53" l="1"/>
  <c r="F4" i="53"/>
  <c r="G5" i="22" s="1"/>
  <c r="G7" i="22" s="1"/>
  <c r="AC32" i="48"/>
  <c r="F4" i="55"/>
  <c r="I5" i="22" s="1"/>
  <c r="I7" i="22" s="1"/>
  <c r="F23" i="55"/>
  <c r="I25" i="22" s="1"/>
  <c r="F24" i="22"/>
  <c r="F23" i="22"/>
  <c r="AJ3" i="69"/>
  <c r="AK4" i="69" s="1"/>
  <c r="AB3" i="69"/>
  <c r="AB10" i="69" s="1"/>
  <c r="P3" i="69"/>
  <c r="P10" i="69" s="1"/>
  <c r="E32" i="48"/>
  <c r="D3" i="69"/>
  <c r="D10" i="69" s="1"/>
  <c r="Q32" i="48"/>
  <c r="L3" i="69"/>
  <c r="L10" i="69" s="1"/>
  <c r="E32" i="52"/>
  <c r="C3" i="69"/>
  <c r="C10" i="69" s="1"/>
  <c r="X3" i="69"/>
  <c r="X10" i="69" s="1"/>
  <c r="G3" i="69"/>
  <c r="G10" i="69" s="1"/>
  <c r="S4" i="69"/>
  <c r="I3" i="69"/>
  <c r="I10" i="69" s="1"/>
  <c r="AE4" i="69"/>
  <c r="AH4" i="69"/>
  <c r="W32" i="50"/>
  <c r="AN32" i="50" s="1"/>
  <c r="G37" i="22" s="1"/>
  <c r="U3" i="69"/>
  <c r="O10" i="69"/>
  <c r="F29" i="53"/>
  <c r="G31" i="22" s="1"/>
  <c r="G32" i="22" s="1"/>
  <c r="P37" i="53"/>
  <c r="F9" i="53" s="1"/>
  <c r="G11" i="22" s="1"/>
  <c r="P32" i="53"/>
  <c r="H30" i="22"/>
  <c r="F29" i="54"/>
  <c r="H31" i="22" s="1"/>
  <c r="I30" i="22"/>
  <c r="N32" i="52"/>
  <c r="AN38" i="48"/>
  <c r="Z32" i="48"/>
  <c r="AN31" i="48"/>
  <c r="AL32" i="48"/>
  <c r="N32" i="48"/>
  <c r="AN32" i="51"/>
  <c r="H37" i="22" s="1"/>
  <c r="Z32" i="52"/>
  <c r="H32" i="52"/>
  <c r="F4" i="57"/>
  <c r="J5" i="22" s="1"/>
  <c r="J7" i="22" s="1"/>
  <c r="F23" i="57"/>
  <c r="V38" i="50"/>
  <c r="AN38" i="50" s="1"/>
  <c r="Q11" i="55"/>
  <c r="Q11" i="57"/>
  <c r="AN31" i="52"/>
  <c r="J38" i="52"/>
  <c r="AN38" i="52" s="1"/>
  <c r="AN31" i="51"/>
  <c r="J38" i="51"/>
  <c r="AN38" i="51" s="1"/>
  <c r="AN31" i="50"/>
  <c r="F29" i="55" l="1"/>
  <c r="I31" i="22" s="1"/>
  <c r="I32" i="22" s="1"/>
  <c r="F7" i="22"/>
  <c r="P4" i="69"/>
  <c r="AB4" i="69"/>
  <c r="AN32" i="48"/>
  <c r="J37" i="22" s="1"/>
  <c r="AJ10" i="69"/>
  <c r="H32" i="22"/>
  <c r="D4" i="69"/>
  <c r="G4" i="69"/>
  <c r="M4" i="69"/>
  <c r="Y4" i="69"/>
  <c r="J4" i="69"/>
  <c r="V4" i="69"/>
  <c r="U10" i="69"/>
  <c r="AM10" i="69" s="1"/>
  <c r="AM3" i="69"/>
  <c r="F30" i="53"/>
  <c r="F30" i="54"/>
  <c r="F30" i="55"/>
  <c r="AN32" i="52"/>
  <c r="I37" i="22" s="1"/>
  <c r="J25" i="22"/>
  <c r="F29" i="57"/>
  <c r="J31" i="22" s="1"/>
  <c r="P8" i="30"/>
  <c r="P9" i="30"/>
  <c r="AM4" i="69" l="1"/>
  <c r="L37" i="22" s="1"/>
  <c r="F30" i="57"/>
  <c r="J32" i="22"/>
  <c r="I17" i="30" l="1"/>
  <c r="L17" i="30" s="1"/>
  <c r="I13" i="30"/>
  <c r="L13" i="30" s="1"/>
  <c r="P19" i="30"/>
  <c r="P18" i="30"/>
  <c r="I15" i="30"/>
  <c r="I14" i="30"/>
  <c r="L14" i="30" s="1"/>
  <c r="G25" i="30"/>
  <c r="P24" i="30"/>
  <c r="I23" i="30"/>
  <c r="L23" i="30" s="1"/>
  <c r="N23" i="30" s="1"/>
  <c r="I22" i="30"/>
  <c r="L22" i="30" s="1"/>
  <c r="N22" i="30" s="1"/>
  <c r="I21" i="30"/>
  <c r="G20" i="30"/>
  <c r="I16" i="30"/>
  <c r="L16" i="30" s="1"/>
  <c r="I12" i="30"/>
  <c r="G11" i="30"/>
  <c r="P10" i="30"/>
  <c r="P23" i="30" l="1"/>
  <c r="P22" i="30"/>
  <c r="F17" i="57" s="1"/>
  <c r="J19" i="22" s="1"/>
  <c r="I25" i="30"/>
  <c r="F13" i="22"/>
  <c r="F12" i="22"/>
  <c r="L15" i="30"/>
  <c r="P14" i="30"/>
  <c r="I20" i="30"/>
  <c r="G26" i="30"/>
  <c r="I11" i="30"/>
  <c r="P17" i="30"/>
  <c r="L12" i="30"/>
  <c r="L21" i="30"/>
  <c r="F17" i="55" l="1"/>
  <c r="I19" i="22" s="1"/>
  <c r="F17" i="54"/>
  <c r="H19" i="22" s="1"/>
  <c r="F37" i="22"/>
  <c r="F5" i="22"/>
  <c r="F25" i="22"/>
  <c r="P11" i="30"/>
  <c r="P15" i="30"/>
  <c r="L11" i="30"/>
  <c r="F9" i="22"/>
  <c r="F10" i="22"/>
  <c r="I26" i="30"/>
  <c r="P16" i="30"/>
  <c r="L20" i="30"/>
  <c r="P12" i="30"/>
  <c r="L25" i="30"/>
  <c r="N21" i="30"/>
  <c r="P21" i="30" s="1"/>
  <c r="P13" i="30"/>
  <c r="P25" i="30" l="1"/>
  <c r="F17" i="53"/>
  <c r="G19" i="22" s="1"/>
  <c r="F19" i="22" s="1"/>
  <c r="F13" i="55"/>
  <c r="I15" i="22" s="1"/>
  <c r="F15" i="53"/>
  <c r="G17" i="22" s="1"/>
  <c r="F15" i="57"/>
  <c r="J17" i="22" s="1"/>
  <c r="F13" i="54"/>
  <c r="H15" i="22" s="1"/>
  <c r="F15" i="55"/>
  <c r="I17" i="22" s="1"/>
  <c r="F13" i="53"/>
  <c r="G15" i="22" s="1"/>
  <c r="F13" i="57"/>
  <c r="J15" i="22" s="1"/>
  <c r="F15" i="54"/>
  <c r="H17" i="22" s="1"/>
  <c r="P20" i="30"/>
  <c r="F11" i="22"/>
  <c r="F28" i="22"/>
  <c r="F31" i="22"/>
  <c r="F30" i="22"/>
  <c r="L26" i="30"/>
  <c r="F15" i="22" l="1"/>
  <c r="F14" i="57"/>
  <c r="J16" i="22" s="1"/>
  <c r="F16" i="53"/>
  <c r="F16" i="54"/>
  <c r="H18" i="22" s="1"/>
  <c r="F14" i="53"/>
  <c r="F16" i="55"/>
  <c r="I18" i="22" s="1"/>
  <c r="F14" i="54"/>
  <c r="H16" i="22" s="1"/>
  <c r="F16" i="57"/>
  <c r="J18" i="22" s="1"/>
  <c r="F14" i="55"/>
  <c r="I16" i="22" s="1"/>
  <c r="F32" i="22"/>
  <c r="P26" i="30"/>
  <c r="F19" i="55" l="1"/>
  <c r="I21" i="22" s="1"/>
  <c r="G16" i="22"/>
  <c r="F16" i="22" s="1"/>
  <c r="F17" i="22"/>
  <c r="G18" i="22"/>
  <c r="F18" i="22" s="1"/>
  <c r="F19" i="53"/>
  <c r="G21" i="22" s="1"/>
  <c r="F19" i="54"/>
  <c r="H21" i="22" s="1"/>
  <c r="F19" i="57"/>
  <c r="J21" i="22" s="1"/>
  <c r="F20" i="22"/>
  <c r="F20" i="55"/>
  <c r="F14" i="22"/>
  <c r="I22" i="22" l="1"/>
  <c r="I34" i="22" s="1"/>
  <c r="I35" i="22" s="1"/>
  <c r="I36" i="22" s="1"/>
  <c r="F20" i="57"/>
  <c r="J22" i="22" s="1"/>
  <c r="J34" i="22" s="1"/>
  <c r="J35" i="22" s="1"/>
  <c r="J36" i="22" s="1"/>
  <c r="F20" i="54"/>
  <c r="H22" i="22" s="1"/>
  <c r="H34" i="22" s="1"/>
  <c r="H35" i="22" s="1"/>
  <c r="H36" i="22" s="1"/>
  <c r="G22" i="22"/>
  <c r="G34" i="22" s="1"/>
  <c r="G35" i="22" s="1"/>
  <c r="G36" i="22" s="1"/>
  <c r="F20" i="53"/>
  <c r="F21" i="22"/>
  <c r="F22" i="22" s="1"/>
  <c r="F34" i="22" s="1"/>
  <c r="F35" i="22" s="1"/>
  <c r="F36" i="22" l="1"/>
  <c r="F38" i="22"/>
</calcChain>
</file>

<file path=xl/comments1.xml><?xml version="1.0" encoding="utf-8"?>
<comments xmlns="http://schemas.openxmlformats.org/spreadsheetml/2006/main">
  <authors>
    <author>広島県</author>
  </authors>
  <commentList>
    <comment ref="Q9" authorId="0">
      <text>
        <r>
          <rPr>
            <sz val="9"/>
            <color indexed="81"/>
            <rFont val="ＭＳ Ｐゴシック"/>
            <family val="3"/>
            <charset val="128"/>
          </rPr>
          <t>収量　1600kg/10a
600ｇ/房とすると2666房/10a</t>
        </r>
      </text>
    </comment>
  </commentList>
</comments>
</file>

<file path=xl/comments2.xml><?xml version="1.0" encoding="utf-8"?>
<comments xmlns="http://schemas.openxmlformats.org/spreadsheetml/2006/main">
  <authors>
    <author>広島県</author>
  </authors>
  <commentList>
    <comment ref="Q9" authorId="0">
      <text>
        <r>
          <rPr>
            <sz val="9"/>
            <color indexed="81"/>
            <rFont val="ＭＳ Ｐゴシック"/>
            <family val="3"/>
            <charset val="128"/>
          </rPr>
          <t>収量　2400kg/10a
450ｇ/房とすると5333房/10a</t>
        </r>
      </text>
    </comment>
    <comment ref="Q11" authorId="0">
      <text>
        <r>
          <rPr>
            <sz val="9"/>
            <color indexed="81"/>
            <rFont val="ＭＳ Ｐゴシック"/>
            <family val="3"/>
            <charset val="128"/>
          </rPr>
          <t>ほ場の周囲に設置
ほ場：40m×25mとする</t>
        </r>
      </text>
    </comment>
  </commentList>
</comments>
</file>

<file path=xl/comments3.xml><?xml version="1.0" encoding="utf-8"?>
<comments xmlns="http://schemas.openxmlformats.org/spreadsheetml/2006/main">
  <authors>
    <author>広島県</author>
  </authors>
  <commentList>
    <comment ref="Q9" authorId="0">
      <text>
        <r>
          <rPr>
            <sz val="9"/>
            <color indexed="81"/>
            <rFont val="ＭＳ Ｐゴシック"/>
            <family val="3"/>
            <charset val="128"/>
          </rPr>
          <t>収量　2200kg/10a
450ｇ/房とすると4900房/10a</t>
        </r>
      </text>
    </comment>
  </commentList>
</comments>
</file>

<file path=xl/comments4.xml><?xml version="1.0" encoding="utf-8"?>
<comments xmlns="http://schemas.openxmlformats.org/spreadsheetml/2006/main">
  <authors>
    <author>広島県</author>
  </authors>
  <commentList>
    <comment ref="Q9" authorId="0">
      <text>
        <r>
          <rPr>
            <sz val="9"/>
            <color indexed="81"/>
            <rFont val="ＭＳ Ｐゴシック"/>
            <family val="3"/>
            <charset val="128"/>
          </rPr>
          <t>収量　1800kg/10a
600g/房とすると3000房/10a</t>
        </r>
      </text>
    </comment>
  </commentList>
</comments>
</file>

<file path=xl/comments5.xml><?xml version="1.0" encoding="utf-8"?>
<comments xmlns="http://schemas.openxmlformats.org/spreadsheetml/2006/main">
  <authors>
    <author>広島県</author>
  </authors>
  <commentList>
    <comment ref="F2" authorId="0">
      <text>
        <r>
          <rPr>
            <sz val="9"/>
            <color indexed="81"/>
            <rFont val="ＭＳ Ｐゴシック"/>
            <family val="3"/>
            <charset val="128"/>
          </rPr>
          <t>予約価格*1.1の1円切捨て</t>
        </r>
      </text>
    </comment>
  </commentList>
</comments>
</file>

<file path=xl/comments6.xml><?xml version="1.0" encoding="utf-8"?>
<comments xmlns="http://schemas.openxmlformats.org/spreadsheetml/2006/main">
  <authors>
    <author>広島県</author>
  </authors>
  <commentList>
    <comment ref="K2" authorId="0">
      <text>
        <r>
          <rPr>
            <sz val="9"/>
            <color indexed="81"/>
            <rFont val="ＭＳ Ｐゴシック"/>
            <family val="3"/>
            <charset val="128"/>
          </rPr>
          <t>予約価格*1.1の1円切捨て</t>
        </r>
      </text>
    </comment>
  </commentList>
</comments>
</file>

<file path=xl/sharedStrings.xml><?xml version="1.0" encoding="utf-8"?>
<sst xmlns="http://schemas.openxmlformats.org/spreadsheetml/2006/main" count="2552" uniqueCount="651">
  <si>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</si>
  <si>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</si>
  <si>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</si>
  <si>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</si>
  <si>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</si>
  <si>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</si>
  <si>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</si>
  <si>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</si>
  <si>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</si>
  <si>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</si>
  <si>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</si>
  <si>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</si>
  <si>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</si>
  <si>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</si>
  <si>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</si>
  <si>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</si>
  <si>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</si>
  <si>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</si>
  <si>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</si>
  <si>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</si>
  <si>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</si>
  <si>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</si>
  <si>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</si>
  <si>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</si>
  <si>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</si>
  <si>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</si>
  <si>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</si>
  <si>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</si>
  <si>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</si>
  <si>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</si>
  <si>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</si>
  <si>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</si>
  <si>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</si>
  <si>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</si>
  <si>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</si>
  <si>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</si>
  <si>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</si>
  <si>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</si>
  <si>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</si>
  <si>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</si>
  <si>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</si>
  <si>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</si>
  <si>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</si>
  <si>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台</t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</si>
  <si>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</si>
  <si>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</si>
  <si>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</si>
  <si>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</si>
  <si>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</si>
  <si>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</si>
  <si>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</si>
  <si>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</si>
  <si>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</si>
  <si>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租税公課</t>
    <rPh sb="0" eb="2">
      <t>ソゼイ</t>
    </rPh>
    <rPh sb="2" eb="4">
      <t>コウカ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</si>
  <si>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</si>
  <si>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</si>
  <si>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</si>
  <si>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</si>
  <si>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</si>
  <si>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</si>
  <si>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</si>
  <si>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</si>
  <si>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</si>
  <si>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</si>
  <si>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</si>
  <si>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</si>
  <si>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</si>
  <si>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</si>
  <si>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</si>
  <si>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</si>
  <si>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</si>
  <si>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</si>
  <si>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</si>
  <si>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</si>
  <si>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</si>
  <si>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</si>
  <si>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</si>
  <si>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</si>
  <si>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台</t>
    <rPh sb="0" eb="1">
      <t>ダイ</t>
    </rPh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</si>
  <si>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</si>
  <si>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</si>
  <si>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</si>
  <si>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</si>
  <si>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</si>
  <si>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</si>
  <si>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</si>
  <si>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</si>
  <si>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</si>
  <si>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</si>
  <si>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</si>
  <si>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</si>
  <si>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</si>
  <si>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</si>
  <si>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</si>
  <si>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</si>
  <si>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収穫 ：</t>
    <phoneticPr fontId="4"/>
  </si>
  <si>
    <t>２　前提条件</t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</si>
  <si>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</si>
  <si>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</si>
  <si>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</si>
  <si>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</si>
  <si>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</si>
  <si>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</si>
  <si>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</si>
  <si>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</si>
  <si>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</si>
  <si>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</si>
  <si>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</si>
  <si>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展着剤・調整剤　等</t>
    <rPh sb="0" eb="3">
      <t>テンチャクザイ</t>
    </rPh>
    <rPh sb="4" eb="7">
      <t>チョウセイザイ</t>
    </rPh>
    <rPh sb="8" eb="9">
      <t>ナド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</si>
  <si>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</si>
  <si>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</si>
  <si>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</si>
  <si>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</si>
  <si>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</si>
  <si>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袋・本</t>
  </si>
  <si>
    <t>利用時間</t>
  </si>
  <si>
    <t>　小　計</t>
  </si>
  <si>
    <t>小　計</t>
  </si>
  <si>
    <t>本</t>
    <rPh sb="0" eb="1">
      <t>ホン</t>
    </rPh>
    <phoneticPr fontId="4"/>
  </si>
  <si>
    <t>本</t>
  </si>
  <si>
    <t>小計</t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</si>
  <si>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</si>
  <si>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</si>
  <si>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</si>
  <si>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</si>
  <si>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</si>
  <si>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</si>
  <si>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</si>
  <si>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</si>
  <si>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</si>
  <si>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</si>
  <si>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</si>
  <si>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</si>
  <si>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</si>
  <si>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</si>
  <si>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</si>
  <si>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</si>
  <si>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</si>
  <si>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</si>
  <si>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</si>
  <si>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</si>
  <si>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</si>
  <si>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</si>
  <si>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</si>
  <si>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</si>
  <si>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</si>
  <si>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</si>
  <si>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</si>
  <si>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</si>
  <si>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</si>
  <si>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</si>
  <si>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</si>
  <si>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</si>
  <si>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</si>
  <si>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右表（ア）</t>
    <phoneticPr fontId="4"/>
  </si>
  <si>
    <t>※手入力（根拠を記載）</t>
    <rPh sb="1" eb="2">
      <t>テ</t>
    </rPh>
    <rPh sb="2" eb="4">
      <t>ニュウリョク</t>
    </rPh>
    <rPh sb="5" eb="7">
      <t>コンキョ</t>
    </rPh>
    <rPh sb="8" eb="10">
      <t>キサイ</t>
    </rPh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</si>
  <si>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</si>
  <si>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</si>
  <si>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</si>
  <si>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</si>
  <si>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</si>
  <si>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</si>
  <si>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</si>
  <si>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</si>
  <si>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</si>
  <si>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</si>
  <si>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</si>
  <si>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</si>
  <si>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</si>
  <si>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</si>
  <si>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水稲共済</t>
    <rPh sb="0" eb="2">
      <t>スイトウ</t>
    </rPh>
    <rPh sb="2" eb="4">
      <t>キョウサイ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</si>
  <si>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</si>
  <si>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</si>
  <si>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</si>
  <si>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</si>
  <si>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</si>
  <si>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</si>
  <si>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</si>
  <si>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</si>
  <si>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</si>
  <si>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</si>
  <si>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</si>
  <si>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</si>
  <si>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</si>
  <si>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園芸施設共済</t>
    <rPh sb="0" eb="2">
      <t>エンゲイ</t>
    </rPh>
    <rPh sb="2" eb="4">
      <t>シセツ</t>
    </rPh>
    <rPh sb="4" eb="6">
      <t>キョウサイ</t>
    </rPh>
    <phoneticPr fontId="4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</si>
  <si>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</si>
  <si>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</si>
  <si>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</si>
  <si>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</si>
  <si>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</si>
  <si>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自賠責保険</t>
    <rPh sb="0" eb="3">
      <t>ジバイセキ</t>
    </rPh>
    <rPh sb="3" eb="5">
      <t>ホケン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</si>
  <si>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</si>
  <si>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</si>
  <si>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</si>
  <si>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設定規模</t>
    <rPh sb="0" eb="2">
      <t>セッテイ</t>
    </rPh>
    <rPh sb="2" eb="4">
      <t>キボ</t>
    </rPh>
    <phoneticPr fontId="4"/>
  </si>
  <si>
    <t>ａ</t>
    <phoneticPr fontId="4"/>
  </si>
  <si>
    <t>（１）10a当たり</t>
    <rPh sb="6" eb="7">
      <t>ア</t>
    </rPh>
    <phoneticPr fontId="4"/>
  </si>
  <si>
    <t>（２）労働需給（経営体）</t>
    <rPh sb="3" eb="5">
      <t>ロウドウ</t>
    </rPh>
    <rPh sb="5" eb="7">
      <t>ジュキュウ</t>
    </rPh>
    <rPh sb="8" eb="10">
      <t>ケイエイ</t>
    </rPh>
    <phoneticPr fontId="4"/>
  </si>
  <si>
    <t>Ａ</t>
    <phoneticPr fontId="4"/>
  </si>
  <si>
    <t>Ｂ</t>
    <phoneticPr fontId="4"/>
  </si>
  <si>
    <t>保有労働力</t>
    <rPh sb="0" eb="2">
      <t>ホユウ</t>
    </rPh>
    <rPh sb="2" eb="5">
      <t>ロウドウリョク</t>
    </rPh>
    <phoneticPr fontId="4"/>
  </si>
  <si>
    <t>雇用労働力</t>
    <phoneticPr fontId="4"/>
  </si>
  <si>
    <t>旬　別　計　①</t>
    <phoneticPr fontId="4"/>
  </si>
  <si>
    <t>計　②</t>
    <rPh sb="0" eb="1">
      <t>ケイ</t>
    </rPh>
    <phoneticPr fontId="4"/>
  </si>
  <si>
    <t>過不足労働力　③=②-①</t>
    <phoneticPr fontId="4"/>
  </si>
  <si>
    <t>C</t>
    <phoneticPr fontId="4"/>
  </si>
  <si>
    <t>月別平均価格の推移</t>
  </si>
  <si>
    <t>（全産地）</t>
    <phoneticPr fontId="4"/>
  </si>
  <si>
    <t>平均</t>
  </si>
  <si>
    <t>平　　均</t>
  </si>
  <si>
    <t>軽トラック</t>
  </si>
  <si>
    <t>660cc4WD</t>
  </si>
  <si>
    <t>６　固定資本装備と減価償却費（10a当たり・1年当たり）</t>
    <rPh sb="18" eb="19">
      <t>ア</t>
    </rPh>
    <rPh sb="23" eb="24">
      <t>ネン</t>
    </rPh>
    <rPh sb="24" eb="25">
      <t>ア</t>
    </rPh>
    <phoneticPr fontId="4"/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</si>
  <si>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</si>
  <si>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</si>
  <si>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</si>
  <si>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</si>
  <si>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⑥（％）</t>
    <phoneticPr fontId="4"/>
  </si>
  <si>
    <t>⑧（年）</t>
    <phoneticPr fontId="4"/>
  </si>
  <si>
    <t>　　合　　計</t>
    <phoneticPr fontId="4"/>
  </si>
  <si>
    <t>月</t>
    <rPh sb="0" eb="1">
      <t>ツキ</t>
    </rPh>
    <phoneticPr fontId="4"/>
  </si>
  <si>
    <t>販売量</t>
    <phoneticPr fontId="4"/>
  </si>
  <si>
    <t>個</t>
    <rPh sb="0" eb="1">
      <t>コ</t>
    </rPh>
    <phoneticPr fontId="4"/>
  </si>
  <si>
    <t>数量</t>
    <phoneticPr fontId="4"/>
  </si>
  <si>
    <t>（本）</t>
    <rPh sb="1" eb="2">
      <t>ホン</t>
    </rPh>
    <phoneticPr fontId="4"/>
  </si>
  <si>
    <t>重油</t>
    <rPh sb="0" eb="2">
      <t>ジュウユ</t>
    </rPh>
    <phoneticPr fontId="4"/>
  </si>
  <si>
    <t>研修費</t>
    <rPh sb="0" eb="3">
      <t>ケンシュウヒ</t>
    </rPh>
    <phoneticPr fontId="4"/>
  </si>
  <si>
    <t>管理雑費</t>
    <rPh sb="0" eb="2">
      <t>カンリ</t>
    </rPh>
    <rPh sb="2" eb="4">
      <t>ザッピ</t>
    </rPh>
    <phoneticPr fontId="4"/>
  </si>
  <si>
    <t>農業経営費</t>
    <rPh sb="0" eb="2">
      <t>ノウギョウ</t>
    </rPh>
    <rPh sb="2" eb="4">
      <t>ケイエイ</t>
    </rPh>
    <rPh sb="4" eb="5">
      <t>ヒ</t>
    </rPh>
    <phoneticPr fontId="4"/>
  </si>
  <si>
    <t>販売費・一般管理費　計　③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</si>
  <si>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雇用労賃　④</t>
    <rPh sb="0" eb="2">
      <t>コヨウ</t>
    </rPh>
    <rPh sb="2" eb="4">
      <t>ロウチン</t>
    </rPh>
    <phoneticPr fontId="4"/>
  </si>
  <si>
    <t>経営費　計　⑤=②+③+④　</t>
    <rPh sb="0" eb="2">
      <t>ケイエイ</t>
    </rPh>
    <rPh sb="2" eb="3">
      <t>ヒ</t>
    </rPh>
    <rPh sb="4" eb="5">
      <t>ケイ</t>
    </rPh>
    <phoneticPr fontId="4"/>
  </si>
  <si>
    <t>雇用労賃=</t>
    <rPh sb="0" eb="2">
      <t>コヨウ</t>
    </rPh>
    <rPh sb="2" eb="4">
      <t>ロウチン</t>
    </rPh>
    <phoneticPr fontId="4"/>
  </si>
  <si>
    <t>円/時間</t>
    <rPh sb="0" eb="1">
      <t>エン</t>
    </rPh>
    <rPh sb="2" eb="4">
      <t>ジカン</t>
    </rPh>
    <phoneticPr fontId="4"/>
  </si>
  <si>
    <t>所　　得　⑥=①-⑤</t>
    <rPh sb="0" eb="1">
      <t>トコロ</t>
    </rPh>
    <rPh sb="3" eb="4">
      <t>エ</t>
    </rPh>
    <phoneticPr fontId="4"/>
  </si>
  <si>
    <t>所　得　率　⑦=⑥÷①</t>
    <rPh sb="0" eb="1">
      <t>トコロ</t>
    </rPh>
    <rPh sb="2" eb="3">
      <t>エ</t>
    </rPh>
    <rPh sb="4" eb="5">
      <t>リツ</t>
    </rPh>
    <phoneticPr fontId="4"/>
  </si>
  <si>
    <t>家族労働時間</t>
    <rPh sb="0" eb="2">
      <t>カゾク</t>
    </rPh>
    <rPh sb="2" eb="4">
      <t>ロウドウ</t>
    </rPh>
    <rPh sb="4" eb="6">
      <t>ジカン</t>
    </rPh>
    <phoneticPr fontId="4"/>
  </si>
  <si>
    <t>時間</t>
    <rPh sb="0" eb="2">
      <t>ジカン</t>
    </rPh>
    <phoneticPr fontId="4"/>
  </si>
  <si>
    <t>雇用労働時間</t>
    <rPh sb="0" eb="2">
      <t>コヨウ</t>
    </rPh>
    <rPh sb="2" eb="4">
      <t>ロウドウ</t>
    </rPh>
    <rPh sb="4" eb="6">
      <t>ジカン</t>
    </rPh>
    <phoneticPr fontId="4"/>
  </si>
  <si>
    <t>所要労働時間　⑧</t>
    <rPh sb="0" eb="2">
      <t>ショヨウ</t>
    </rPh>
    <rPh sb="2" eb="4">
      <t>ロウドウ</t>
    </rPh>
    <rPh sb="4" eb="6">
      <t>ジカン</t>
    </rPh>
    <phoneticPr fontId="4"/>
  </si>
  <si>
    <t>家族労働時間当たり所得　⑨=⑥÷家族労働時間</t>
    <rPh sb="0" eb="2">
      <t>カゾク</t>
    </rPh>
    <rPh sb="2" eb="4">
      <t>ロウドウ</t>
    </rPh>
    <rPh sb="4" eb="6">
      <t>ジカン</t>
    </rPh>
    <rPh sb="6" eb="7">
      <t>ア</t>
    </rPh>
    <rPh sb="9" eb="10">
      <t>ドコロ</t>
    </rPh>
    <rPh sb="10" eb="11">
      <t>エ</t>
    </rPh>
    <rPh sb="16" eb="18">
      <t>カゾク</t>
    </rPh>
    <rPh sb="18" eb="20">
      <t>ロウドウ</t>
    </rPh>
    <rPh sb="20" eb="22">
      <t>ジカン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</si>
  <si>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</si>
  <si>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</si>
  <si>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</si>
  <si>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販売費・一般管理費の</t>
    <rPh sb="0" eb="3">
      <t>ハンバイヒ</t>
    </rPh>
    <rPh sb="4" eb="6">
      <t>イッパン</t>
    </rPh>
    <rPh sb="6" eb="9">
      <t>カンリヒ</t>
    </rPh>
    <phoneticPr fontId="4"/>
  </si>
  <si>
    <t>　　　　　　　　　　　　　　　　　　　　　月
　　　年</t>
    <rPh sb="21" eb="22">
      <t>ツキ</t>
    </rPh>
    <rPh sb="26" eb="27">
      <t>ネン</t>
    </rPh>
    <phoneticPr fontId="4"/>
  </si>
  <si>
    <t>（広島県産）</t>
    <rPh sb="1" eb="5">
      <t>ヒロシマケンサン</t>
    </rPh>
    <phoneticPr fontId="4"/>
  </si>
  <si>
    <t>ℓ・kw／時</t>
    <rPh sb="5" eb="6">
      <t>ジ</t>
    </rPh>
    <phoneticPr fontId="4"/>
  </si>
  <si>
    <t>ぶどう専作</t>
    <rPh sb="3" eb="4">
      <t>セン</t>
    </rPh>
    <rPh sb="4" eb="5">
      <t>サク</t>
    </rPh>
    <phoneticPr fontId="3"/>
  </si>
  <si>
    <t>ぶどう</t>
    <phoneticPr fontId="3"/>
  </si>
  <si>
    <t>希釈倍率</t>
    <rPh sb="0" eb="2">
      <t>キシャク</t>
    </rPh>
    <rPh sb="2" eb="4">
      <t>バイリツ</t>
    </rPh>
    <phoneticPr fontId="15"/>
  </si>
  <si>
    <t>散布量</t>
    <rPh sb="0" eb="3">
      <t>サンプリョウ</t>
    </rPh>
    <phoneticPr fontId="15"/>
  </si>
  <si>
    <t>規格</t>
    <rPh sb="0" eb="2">
      <t>キカク</t>
    </rPh>
    <phoneticPr fontId="15"/>
  </si>
  <si>
    <t>価格</t>
    <rPh sb="0" eb="2">
      <t>カカク</t>
    </rPh>
    <phoneticPr fontId="15"/>
  </si>
  <si>
    <t>予約価格</t>
    <rPh sb="0" eb="2">
      <t>ヨヤク</t>
    </rPh>
    <rPh sb="2" eb="4">
      <t>カカク</t>
    </rPh>
    <phoneticPr fontId="4"/>
  </si>
  <si>
    <t>殺
菌
剤</t>
    <rPh sb="2" eb="3">
      <t>キン</t>
    </rPh>
    <rPh sb="4" eb="5">
      <t>ザイ</t>
    </rPh>
    <phoneticPr fontId="4"/>
  </si>
  <si>
    <t>ベフラン液剤25</t>
    <rPh sb="4" eb="6">
      <t>エキザイ</t>
    </rPh>
    <phoneticPr fontId="4"/>
  </si>
  <si>
    <t>g･cc</t>
  </si>
  <si>
    <t>オーソサイド水和剤80（魚）</t>
    <rPh sb="6" eb="8">
      <t>スイワ</t>
    </rPh>
    <rPh sb="8" eb="9">
      <t>ザイ</t>
    </rPh>
    <rPh sb="12" eb="13">
      <t>サカナ</t>
    </rPh>
    <phoneticPr fontId="4"/>
  </si>
  <si>
    <t>ロブラール500アクア</t>
    <phoneticPr fontId="4"/>
  </si>
  <si>
    <t>ドーシャスフロアブル（魚）</t>
    <rPh sb="11" eb="12">
      <t>サカナ</t>
    </rPh>
    <phoneticPr fontId="4"/>
  </si>
  <si>
    <t>オーシャイン水和剤</t>
    <rPh sb="6" eb="8">
      <t>スイワ</t>
    </rPh>
    <rPh sb="8" eb="9">
      <t>ザイ</t>
    </rPh>
    <phoneticPr fontId="15"/>
  </si>
  <si>
    <t>ストロビードライフロアブル</t>
    <phoneticPr fontId="4"/>
  </si>
  <si>
    <t>スイッチ顆粒水和剤</t>
    <rPh sb="4" eb="6">
      <t>カリュウ</t>
    </rPh>
    <rPh sb="6" eb="8">
      <t>スイワ</t>
    </rPh>
    <rPh sb="8" eb="9">
      <t>ザイ</t>
    </rPh>
    <phoneticPr fontId="4"/>
  </si>
  <si>
    <t>ICボルドー66D</t>
    <phoneticPr fontId="4"/>
  </si>
  <si>
    <t>小　計</t>
    <phoneticPr fontId="4"/>
  </si>
  <si>
    <t>殺
虫
剤</t>
    <rPh sb="0" eb="1">
      <t>サツ</t>
    </rPh>
    <rPh sb="2" eb="3">
      <t>ムシ</t>
    </rPh>
    <rPh sb="4" eb="5">
      <t>ザイ</t>
    </rPh>
    <phoneticPr fontId="4"/>
  </si>
  <si>
    <t>石灰硫黄合剤</t>
    <phoneticPr fontId="4"/>
  </si>
  <si>
    <t>スプラサイド水和剤（蜂）</t>
    <rPh sb="6" eb="8">
      <t>スイワ</t>
    </rPh>
    <rPh sb="8" eb="9">
      <t>ザイ</t>
    </rPh>
    <rPh sb="10" eb="11">
      <t>ハチ</t>
    </rPh>
    <phoneticPr fontId="4"/>
  </si>
  <si>
    <t>モスピラン顆粒水溶剤</t>
    <rPh sb="5" eb="7">
      <t>カリュウ</t>
    </rPh>
    <rPh sb="7" eb="9">
      <t>スイヨウ</t>
    </rPh>
    <rPh sb="9" eb="10">
      <t>ザイ</t>
    </rPh>
    <phoneticPr fontId="4"/>
  </si>
  <si>
    <t>ジェイエース水溶剤（蜂）</t>
    <rPh sb="6" eb="8">
      <t>スイヨウ</t>
    </rPh>
    <rPh sb="8" eb="9">
      <t>ザイ</t>
    </rPh>
    <rPh sb="10" eb="11">
      <t>ハチ</t>
    </rPh>
    <phoneticPr fontId="4"/>
  </si>
  <si>
    <t>アディオンフロアブル</t>
    <phoneticPr fontId="4"/>
  </si>
  <si>
    <t>パダンSG水溶剤</t>
    <rPh sb="5" eb="7">
      <t>スイヨウ</t>
    </rPh>
    <rPh sb="7" eb="8">
      <t>ザイ</t>
    </rPh>
    <phoneticPr fontId="4"/>
  </si>
  <si>
    <t>除</t>
    <rPh sb="0" eb="1">
      <t>ジョソウザイ</t>
    </rPh>
    <phoneticPr fontId="15"/>
  </si>
  <si>
    <t>ラウンドアップマックスロード</t>
    <phoneticPr fontId="4"/>
  </si>
  <si>
    <t>3回</t>
    <rPh sb="1" eb="2">
      <t>カイ</t>
    </rPh>
    <phoneticPr fontId="4"/>
  </si>
  <si>
    <t>草</t>
    <rPh sb="0" eb="1">
      <t>クサ</t>
    </rPh>
    <phoneticPr fontId="15"/>
  </si>
  <si>
    <t>剤</t>
    <rPh sb="0" eb="1">
      <t>ザイ</t>
    </rPh>
    <phoneticPr fontId="15"/>
  </si>
  <si>
    <t>調</t>
    <rPh sb="0" eb="1">
      <t>チョウ</t>
    </rPh>
    <phoneticPr fontId="15"/>
  </si>
  <si>
    <t>ジベレリン協和粉末</t>
    <rPh sb="5" eb="7">
      <t>キョウワ</t>
    </rPh>
    <rPh sb="7" eb="9">
      <t>フンマツ</t>
    </rPh>
    <phoneticPr fontId="4"/>
  </si>
  <si>
    <t>成</t>
    <rPh sb="0" eb="1">
      <t>セイ</t>
    </rPh>
    <phoneticPr fontId="15"/>
  </si>
  <si>
    <t>フルメット液剤</t>
    <rPh sb="5" eb="7">
      <t>エキザイ</t>
    </rPh>
    <phoneticPr fontId="15"/>
  </si>
  <si>
    <t>剤</t>
  </si>
  <si>
    <t>フラスター液剤</t>
    <rPh sb="5" eb="7">
      <t>エキザイ</t>
    </rPh>
    <phoneticPr fontId="4"/>
  </si>
  <si>
    <t>小　計</t>
    <phoneticPr fontId="4"/>
  </si>
  <si>
    <t>（イ）肥料名</t>
  </si>
  <si>
    <t>施用量</t>
    <rPh sb="0" eb="2">
      <t>セヨウ</t>
    </rPh>
    <rPh sb="2" eb="3">
      <t>リョウ</t>
    </rPh>
    <phoneticPr fontId="4"/>
  </si>
  <si>
    <t>成分比率（％）</t>
    <rPh sb="0" eb="2">
      <t>セイブン</t>
    </rPh>
    <rPh sb="2" eb="4">
      <t>ヒリツ</t>
    </rPh>
    <phoneticPr fontId="4"/>
  </si>
  <si>
    <t>成分施用量（ｋｇ）</t>
    <rPh sb="0" eb="2">
      <t>セイブン</t>
    </rPh>
    <rPh sb="2" eb="4">
      <t>セヨウ</t>
    </rPh>
    <rPh sb="4" eb="5">
      <t>リョウ</t>
    </rPh>
    <phoneticPr fontId="4"/>
  </si>
  <si>
    <t>規格(kg)</t>
    <rPh sb="0" eb="2">
      <t>キカク</t>
    </rPh>
    <phoneticPr fontId="4"/>
  </si>
  <si>
    <t>単　価</t>
    <phoneticPr fontId="4"/>
  </si>
  <si>
    <t>N</t>
    <phoneticPr fontId="4"/>
  </si>
  <si>
    <t>P</t>
    <phoneticPr fontId="4"/>
  </si>
  <si>
    <t>K</t>
    <phoneticPr fontId="4"/>
  </si>
  <si>
    <t>樹皮堆肥</t>
  </si>
  <si>
    <t>(kg)</t>
    <phoneticPr fontId="4"/>
  </si>
  <si>
    <t>硝酸入り化成肥料S604</t>
    <rPh sb="0" eb="2">
      <t>ショウサン</t>
    </rPh>
    <rPh sb="2" eb="3">
      <t>イ</t>
    </rPh>
    <rPh sb="4" eb="6">
      <t>カセイ</t>
    </rPh>
    <rPh sb="6" eb="8">
      <t>ヒリョウ</t>
    </rPh>
    <phoneticPr fontId="4"/>
  </si>
  <si>
    <t>(kg)</t>
  </si>
  <si>
    <t>ぶどう複合</t>
    <rPh sb="3" eb="5">
      <t>フクゴウ</t>
    </rPh>
    <phoneticPr fontId="4"/>
  </si>
  <si>
    <t>苦土セルカ2号（粉）</t>
    <rPh sb="0" eb="2">
      <t>クド</t>
    </rPh>
    <rPh sb="6" eb="7">
      <t>ゴウ</t>
    </rPh>
    <rPh sb="8" eb="9">
      <t>コナ</t>
    </rPh>
    <phoneticPr fontId="4"/>
  </si>
  <si>
    <t>FTE199</t>
    <phoneticPr fontId="4"/>
  </si>
  <si>
    <t>シンボル</t>
    <phoneticPr fontId="4"/>
  </si>
  <si>
    <t>粒状チャンスＳ</t>
    <rPh sb="0" eb="2">
      <t>リュウジョウ</t>
    </rPh>
    <phoneticPr fontId="4"/>
  </si>
  <si>
    <t>メリット青</t>
    <rPh sb="4" eb="5">
      <t>アオ</t>
    </rPh>
    <phoneticPr fontId="4"/>
  </si>
  <si>
    <t>単価</t>
    <phoneticPr fontId="4"/>
  </si>
  <si>
    <t>予約価格</t>
    <rPh sb="0" eb="2">
      <t>ヨヤク</t>
    </rPh>
    <rPh sb="2" eb="4">
      <t>カカク</t>
    </rPh>
    <phoneticPr fontId="3"/>
  </si>
  <si>
    <t>規格</t>
    <rPh sb="0" eb="2">
      <t>キカク</t>
    </rPh>
    <phoneticPr fontId="3"/>
  </si>
  <si>
    <t>t</t>
  </si>
  <si>
    <t>マイカ線</t>
    <rPh sb="3" eb="4">
      <t>セン</t>
    </rPh>
    <phoneticPr fontId="4"/>
  </si>
  <si>
    <t>巻</t>
    <rPh sb="0" eb="1">
      <t>マキ</t>
    </rPh>
    <phoneticPr fontId="4"/>
  </si>
  <si>
    <t>m</t>
  </si>
  <si>
    <t>誘引テープ</t>
    <rPh sb="0" eb="2">
      <t>ユウイン</t>
    </rPh>
    <phoneticPr fontId="4"/>
  </si>
  <si>
    <t>箱</t>
    <rPh sb="0" eb="1">
      <t>ハコ</t>
    </rPh>
    <phoneticPr fontId="4"/>
  </si>
  <si>
    <t>本</t>
    <rPh sb="0" eb="1">
      <t>ホン</t>
    </rPh>
    <phoneticPr fontId="3"/>
  </si>
  <si>
    <t>かけ袋</t>
    <rPh sb="2" eb="3">
      <t>ブクロ</t>
    </rPh>
    <phoneticPr fontId="4"/>
  </si>
  <si>
    <t>枚</t>
    <rPh sb="0" eb="1">
      <t>マイ</t>
    </rPh>
    <phoneticPr fontId="3"/>
  </si>
  <si>
    <t>防風網</t>
    <rPh sb="0" eb="1">
      <t>フセ</t>
    </rPh>
    <rPh sb="1" eb="2">
      <t>カゼ</t>
    </rPh>
    <rPh sb="2" eb="3">
      <t>アミ</t>
    </rPh>
    <phoneticPr fontId="4"/>
  </si>
  <si>
    <t>6mm目　2m×50ｍ</t>
    <rPh sb="3" eb="4">
      <t>メ</t>
    </rPh>
    <phoneticPr fontId="4"/>
  </si>
  <si>
    <t>収穫・運搬（軽トラ）</t>
    <rPh sb="0" eb="2">
      <t>シュウカク</t>
    </rPh>
    <rPh sb="3" eb="5">
      <t>ウンパン</t>
    </rPh>
    <rPh sb="6" eb="7">
      <t>ケイ</t>
    </rPh>
    <phoneticPr fontId="4"/>
  </si>
  <si>
    <t>施肥（軽トラ）</t>
    <rPh sb="0" eb="2">
      <t>セヒ</t>
    </rPh>
    <rPh sb="3" eb="4">
      <t>ケイ</t>
    </rPh>
    <phoneticPr fontId="4"/>
  </si>
  <si>
    <t>除草剤散布（動噴）</t>
    <rPh sb="0" eb="3">
      <t>ジョソウザイ</t>
    </rPh>
    <rPh sb="3" eb="5">
      <t>サンプ</t>
    </rPh>
    <rPh sb="6" eb="8">
      <t>ドウフン</t>
    </rPh>
    <phoneticPr fontId="4"/>
  </si>
  <si>
    <t>粗皮剥ぎ（高圧洗浄機）</t>
    <rPh sb="0" eb="1">
      <t>アラ</t>
    </rPh>
    <rPh sb="1" eb="2">
      <t>カワ</t>
    </rPh>
    <rPh sb="2" eb="3">
      <t>ハ</t>
    </rPh>
    <rPh sb="5" eb="7">
      <t>コウアツ</t>
    </rPh>
    <rPh sb="7" eb="9">
      <t>センジョウ</t>
    </rPh>
    <rPh sb="9" eb="10">
      <t>キ</t>
    </rPh>
    <phoneticPr fontId="4"/>
  </si>
  <si>
    <t>草刈（草刈機）</t>
    <rPh sb="0" eb="2">
      <t>クサカリ</t>
    </rPh>
    <rPh sb="3" eb="5">
      <t>クサカ</t>
    </rPh>
    <rPh sb="5" eb="6">
      <t>キ</t>
    </rPh>
    <phoneticPr fontId="4"/>
  </si>
  <si>
    <t>小　計</t>
    <phoneticPr fontId="4"/>
  </si>
  <si>
    <t>10a使用基準</t>
    <rPh sb="3" eb="5">
      <t>シヨウ</t>
    </rPh>
    <rPh sb="5" eb="7">
      <t>キジュン</t>
    </rPh>
    <phoneticPr fontId="4"/>
  </si>
  <si>
    <t>テープナー</t>
  </si>
  <si>
    <t>剪定鋏</t>
    <rPh sb="0" eb="2">
      <t>センテイ</t>
    </rPh>
    <rPh sb="2" eb="3">
      <t>ハサミ</t>
    </rPh>
    <phoneticPr fontId="4"/>
  </si>
  <si>
    <t>丁</t>
    <rPh sb="0" eb="1">
      <t>チョウ</t>
    </rPh>
    <phoneticPr fontId="4"/>
  </si>
  <si>
    <t>（２）農薬費</t>
    <phoneticPr fontId="4"/>
  </si>
  <si>
    <t>剪定鋸</t>
    <rPh sb="0" eb="2">
      <t>センテイ</t>
    </rPh>
    <rPh sb="2" eb="3">
      <t>ノコギリ</t>
    </rPh>
    <phoneticPr fontId="4"/>
  </si>
  <si>
    <t>小　計</t>
    <phoneticPr fontId="4"/>
  </si>
  <si>
    <t>摘粒鋏</t>
    <rPh sb="0" eb="1">
      <t>テキ</t>
    </rPh>
    <rPh sb="1" eb="2">
      <t>ツブ</t>
    </rPh>
    <rPh sb="2" eb="3">
      <t>ハサミ</t>
    </rPh>
    <phoneticPr fontId="4"/>
  </si>
  <si>
    <t>コンテナ</t>
  </si>
  <si>
    <t>秤</t>
    <rPh sb="0" eb="1">
      <t>ハカリ</t>
    </rPh>
    <phoneticPr fontId="4"/>
  </si>
  <si>
    <t>最大10kg</t>
    <rPh sb="0" eb="2">
      <t>サイダイ</t>
    </rPh>
    <phoneticPr fontId="4"/>
  </si>
  <si>
    <t>デジタルスケール</t>
  </si>
  <si>
    <t>最大2kg</t>
    <rPh sb="0" eb="2">
      <t>サイダイ</t>
    </rPh>
    <phoneticPr fontId="4"/>
  </si>
  <si>
    <t>400ℓタンク</t>
  </si>
  <si>
    <t>草刈機</t>
    <rPh sb="0" eb="2">
      <t>クサカリ</t>
    </rPh>
    <rPh sb="2" eb="3">
      <t>キ</t>
    </rPh>
    <phoneticPr fontId="4"/>
  </si>
  <si>
    <t>ホース30m</t>
  </si>
  <si>
    <t>ノズル</t>
  </si>
  <si>
    <t>ガソリン携行缶</t>
    <rPh sb="4" eb="6">
      <t>ケイコウ</t>
    </rPh>
    <rPh sb="6" eb="7">
      <t>カン</t>
    </rPh>
    <phoneticPr fontId="4"/>
  </si>
  <si>
    <t>工具セット</t>
    <rPh sb="0" eb="2">
      <t>コウグ</t>
    </rPh>
    <phoneticPr fontId="4"/>
  </si>
  <si>
    <t>金額</t>
    <phoneticPr fontId="4"/>
  </si>
  <si>
    <t>（2）農薬費</t>
    <rPh sb="3" eb="5">
      <t>ノウヤク</t>
    </rPh>
    <rPh sb="5" eb="6">
      <t>ヒ</t>
    </rPh>
    <phoneticPr fontId="4"/>
  </si>
  <si>
    <t>※ＩＣボルドーは3回散布</t>
    <rPh sb="9" eb="10">
      <t>カイ</t>
    </rPh>
    <rPh sb="10" eb="12">
      <t>サンプ</t>
    </rPh>
    <phoneticPr fontId="4"/>
  </si>
  <si>
    <t>※ラウンドアップマックスロードは2回散布</t>
    <rPh sb="17" eb="18">
      <t>カイ</t>
    </rPh>
    <rPh sb="18" eb="20">
      <t>サンプ</t>
    </rPh>
    <phoneticPr fontId="4"/>
  </si>
  <si>
    <t>1ha機械</t>
    <phoneticPr fontId="4"/>
  </si>
  <si>
    <t>防除（ＳＳ）</t>
    <rPh sb="0" eb="2">
      <t>ボウジョ</t>
    </rPh>
    <phoneticPr fontId="4"/>
  </si>
  <si>
    <t>ポリフィルム</t>
    <phoneticPr fontId="4"/>
  </si>
  <si>
    <t>土壌改良（トレンチャー）</t>
    <rPh sb="0" eb="2">
      <t>ドジョウ</t>
    </rPh>
    <rPh sb="2" eb="4">
      <t>カイリョウ</t>
    </rPh>
    <phoneticPr fontId="4"/>
  </si>
  <si>
    <t>クリップ</t>
    <phoneticPr fontId="4"/>
  </si>
  <si>
    <t>袋</t>
    <rPh sb="0" eb="1">
      <t>フクロ</t>
    </rPh>
    <phoneticPr fontId="4"/>
  </si>
  <si>
    <t>個</t>
    <rPh sb="0" eb="1">
      <t>コ</t>
    </rPh>
    <phoneticPr fontId="3"/>
  </si>
  <si>
    <t>土壌改良（中耕機）</t>
    <rPh sb="0" eb="2">
      <t>ドジョウ</t>
    </rPh>
    <rPh sb="2" eb="4">
      <t>カイリョウ</t>
    </rPh>
    <rPh sb="5" eb="7">
      <t>チュウコウ</t>
    </rPh>
    <rPh sb="7" eb="8">
      <t>キ</t>
    </rPh>
    <phoneticPr fontId="4"/>
  </si>
  <si>
    <t>防鳥ネット</t>
    <rPh sb="0" eb="2">
      <t>ボウチョウ</t>
    </rPh>
    <phoneticPr fontId="4"/>
  </si>
  <si>
    <t>36m×72m</t>
    <phoneticPr fontId="4"/>
  </si>
  <si>
    <t>小　計</t>
    <phoneticPr fontId="4"/>
  </si>
  <si>
    <t>ガソリン</t>
    <phoneticPr fontId="4"/>
  </si>
  <si>
    <t>小　計</t>
    <phoneticPr fontId="4"/>
  </si>
  <si>
    <t>小　計</t>
    <phoneticPr fontId="4"/>
  </si>
  <si>
    <t>テープナー</t>
    <phoneticPr fontId="4"/>
  </si>
  <si>
    <t>コンテナ</t>
    <phoneticPr fontId="4"/>
  </si>
  <si>
    <t>デジタルスケール</t>
    <phoneticPr fontId="4"/>
  </si>
  <si>
    <t>小　計</t>
    <phoneticPr fontId="4"/>
  </si>
  <si>
    <t>400ℓタンク</t>
    <phoneticPr fontId="4"/>
  </si>
  <si>
    <t>ホース30m</t>
    <phoneticPr fontId="4"/>
  </si>
  <si>
    <t>ノズル</t>
    <phoneticPr fontId="4"/>
  </si>
  <si>
    <t>金額</t>
    <phoneticPr fontId="4"/>
  </si>
  <si>
    <t>果樹共済</t>
    <rPh sb="0" eb="2">
      <t>カジュ</t>
    </rPh>
    <rPh sb="2" eb="4">
      <t>キョウサイ</t>
    </rPh>
    <phoneticPr fontId="4"/>
  </si>
  <si>
    <t>苦土セルカ2号（粉）</t>
  </si>
  <si>
    <t>FTE199</t>
  </si>
  <si>
    <t>粒状チャンスＳ</t>
  </si>
  <si>
    <t>シンボル</t>
  </si>
  <si>
    <t>硝酸入り化成肥料S604</t>
  </si>
  <si>
    <t>ぶどう複合</t>
  </si>
  <si>
    <t>メリット青</t>
  </si>
  <si>
    <t>ベフラン液剤25</t>
  </si>
  <si>
    <t>オーソサイド水和剤80（魚）</t>
  </si>
  <si>
    <t>ロブラール500アクア</t>
  </si>
  <si>
    <t>ドーシャスフロアブル（魚）</t>
  </si>
  <si>
    <t>オーシャイン水和剤</t>
  </si>
  <si>
    <t>ストロビードライフロアブル</t>
  </si>
  <si>
    <t>スイッチ顆粒水和剤</t>
  </si>
  <si>
    <t>ICボルドー66D</t>
  </si>
  <si>
    <t>石灰硫黄合剤</t>
  </si>
  <si>
    <t>スプラサイド水和剤（蜂）</t>
  </si>
  <si>
    <t>モスピラン顆粒水溶剤</t>
  </si>
  <si>
    <t>ジェイエース水溶剤（蜂）</t>
  </si>
  <si>
    <t>アディオンフロアブル</t>
  </si>
  <si>
    <t>パダンSG水溶剤</t>
  </si>
  <si>
    <t>ラウンドアップマックスロード</t>
  </si>
  <si>
    <t>ジベレリン協和粉末</t>
  </si>
  <si>
    <t>フルメット液剤</t>
  </si>
  <si>
    <t>フラスター液剤</t>
  </si>
  <si>
    <t>ポリフィルム</t>
  </si>
  <si>
    <t>クリップ</t>
  </si>
  <si>
    <t>36m×72m</t>
  </si>
  <si>
    <t>使用量</t>
  </si>
  <si>
    <t>箱</t>
  </si>
  <si>
    <t>ジベレリン協和粉末（ベリーＡ）</t>
    <rPh sb="5" eb="7">
      <t>キョウワ</t>
    </rPh>
    <rPh sb="7" eb="9">
      <t>フンマツ</t>
    </rPh>
    <phoneticPr fontId="4"/>
  </si>
  <si>
    <t>ストマイ液剤20</t>
    <rPh sb="4" eb="6">
      <t>エキザイ</t>
    </rPh>
    <phoneticPr fontId="4"/>
  </si>
  <si>
    <t>フラスター液剤（シャイン）</t>
    <rPh sb="5" eb="7">
      <t>エキザイ</t>
    </rPh>
    <phoneticPr fontId="4"/>
  </si>
  <si>
    <t>７-１　経営収支（10a当たり）</t>
    <rPh sb="12" eb="13">
      <t>ア</t>
    </rPh>
    <phoneticPr fontId="4"/>
  </si>
  <si>
    <t>ピオーネ</t>
    <phoneticPr fontId="4"/>
  </si>
  <si>
    <t>負担面積（a）</t>
    <rPh sb="0" eb="2">
      <t>フタン</t>
    </rPh>
    <rPh sb="2" eb="4">
      <t>メンセキ</t>
    </rPh>
    <phoneticPr fontId="4"/>
  </si>
  <si>
    <t>個</t>
  </si>
  <si>
    <t>丁</t>
  </si>
  <si>
    <t>トンネル被覆</t>
    <rPh sb="4" eb="6">
      <t>ヒフク</t>
    </rPh>
    <phoneticPr fontId="4"/>
  </si>
  <si>
    <t>1種類</t>
    <phoneticPr fontId="4"/>
  </si>
  <si>
    <t>4種類</t>
    <rPh sb="1" eb="3">
      <t>シュルイ</t>
    </rPh>
    <phoneticPr fontId="4"/>
  </si>
  <si>
    <t>2種類</t>
    <rPh sb="1" eb="3">
      <t>シュルイ</t>
    </rPh>
    <phoneticPr fontId="4"/>
  </si>
  <si>
    <t>8種類</t>
    <phoneticPr fontId="4"/>
  </si>
  <si>
    <t>6種類</t>
    <phoneticPr fontId="4"/>
  </si>
  <si>
    <t>3種類</t>
    <phoneticPr fontId="4"/>
  </si>
  <si>
    <t>3作業</t>
    <rPh sb="1" eb="3">
      <t>サギョウ</t>
    </rPh>
    <phoneticPr fontId="4"/>
  </si>
  <si>
    <t>4作業</t>
    <rPh sb="1" eb="3">
      <t>サギョウ</t>
    </rPh>
    <phoneticPr fontId="4"/>
  </si>
  <si>
    <t>1作業</t>
    <rPh sb="1" eb="3">
      <t>サギョウ</t>
    </rPh>
    <phoneticPr fontId="4"/>
  </si>
  <si>
    <t>ベリーＡ</t>
    <phoneticPr fontId="4"/>
  </si>
  <si>
    <t>1種類</t>
    <rPh sb="1" eb="3">
      <t>シュルイ</t>
    </rPh>
    <phoneticPr fontId="4"/>
  </si>
  <si>
    <t>8種類</t>
    <rPh sb="1" eb="3">
      <t>シュルイ</t>
    </rPh>
    <phoneticPr fontId="4"/>
  </si>
  <si>
    <t>6種類</t>
    <rPh sb="1" eb="3">
      <t>シュルイ</t>
    </rPh>
    <phoneticPr fontId="4"/>
  </si>
  <si>
    <t>保温メッシュ</t>
    <rPh sb="0" eb="2">
      <t>ホオン</t>
    </rPh>
    <phoneticPr fontId="4"/>
  </si>
  <si>
    <t>トンネルメッシュ</t>
    <phoneticPr fontId="4"/>
  </si>
  <si>
    <t>右表（イ）　※８－４参照</t>
    <phoneticPr fontId="4"/>
  </si>
  <si>
    <t>右表（ウ）　※８－４参照</t>
    <phoneticPr fontId="4"/>
  </si>
  <si>
    <t>右表（エ）　※８－４参照</t>
    <phoneticPr fontId="4"/>
  </si>
  <si>
    <t>※８－４参照</t>
    <rPh sb="4" eb="6">
      <t>サンショウ</t>
    </rPh>
    <phoneticPr fontId="4"/>
  </si>
  <si>
    <t>シャインマスカット</t>
    <phoneticPr fontId="4"/>
  </si>
  <si>
    <t>3種類</t>
    <rPh sb="1" eb="3">
      <t>シュルイ</t>
    </rPh>
    <phoneticPr fontId="4"/>
  </si>
  <si>
    <t>ピオーネ</t>
    <phoneticPr fontId="4"/>
  </si>
  <si>
    <t>ピオーネ　トンネル</t>
    <phoneticPr fontId="4"/>
  </si>
  <si>
    <t>ベリーＡ　保温メッシュ</t>
    <rPh sb="5" eb="7">
      <t>ホオン</t>
    </rPh>
    <phoneticPr fontId="4"/>
  </si>
  <si>
    <t>ベリーＡ　トンネル</t>
    <phoneticPr fontId="4"/>
  </si>
  <si>
    <t>シャインマスカット　トンネル</t>
    <phoneticPr fontId="4"/>
  </si>
  <si>
    <t>ぶどう棚</t>
    <rPh sb="3" eb="4">
      <t>タナ</t>
    </rPh>
    <phoneticPr fontId="4"/>
  </si>
  <si>
    <t>潅水施設</t>
    <rPh sb="0" eb="2">
      <t>カンスイ</t>
    </rPh>
    <rPh sb="2" eb="4">
      <t>シセツ</t>
    </rPh>
    <phoneticPr fontId="4"/>
  </si>
  <si>
    <t>中耕機</t>
    <rPh sb="0" eb="2">
      <t>チュウコウ</t>
    </rPh>
    <rPh sb="2" eb="3">
      <t>キ</t>
    </rPh>
    <phoneticPr fontId="4"/>
  </si>
  <si>
    <t>トレンチャー</t>
    <phoneticPr fontId="4"/>
  </si>
  <si>
    <t>鉄柱鉄線平棚</t>
    <rPh sb="0" eb="2">
      <t>テッチュウ</t>
    </rPh>
    <rPh sb="2" eb="4">
      <t>テッセン</t>
    </rPh>
    <rPh sb="4" eb="5">
      <t>ヒラ</t>
    </rPh>
    <rPh sb="5" eb="6">
      <t>タナ</t>
    </rPh>
    <phoneticPr fontId="5"/>
  </si>
  <si>
    <t>a</t>
  </si>
  <si>
    <t>高圧洗浄機</t>
    <rPh sb="0" eb="2">
      <t>コウアツ</t>
    </rPh>
    <rPh sb="2" eb="4">
      <t>センジョウ</t>
    </rPh>
    <rPh sb="4" eb="5">
      <t>キ</t>
    </rPh>
    <phoneticPr fontId="4"/>
  </si>
  <si>
    <t>3.5ps，移動車輪付</t>
    <rPh sb="6" eb="8">
      <t>イドウ</t>
    </rPh>
    <rPh sb="8" eb="10">
      <t>シャリン</t>
    </rPh>
    <rPh sb="10" eb="11">
      <t>ツ</t>
    </rPh>
    <phoneticPr fontId="5"/>
  </si>
  <si>
    <t>種苗費　</t>
    <rPh sb="0" eb="2">
      <t>シュビョウ</t>
    </rPh>
    <rPh sb="2" eb="3">
      <t>ヒ</t>
    </rPh>
    <phoneticPr fontId="5"/>
  </si>
  <si>
    <t>肥料費</t>
    <rPh sb="0" eb="2">
      <t>ヒリョウ</t>
    </rPh>
    <rPh sb="2" eb="3">
      <t>ヒ</t>
    </rPh>
    <phoneticPr fontId="5"/>
  </si>
  <si>
    <t>定植時：堆肥，粒状用リン，苦土セルカ2号　\78765　育成：Ｓ６０４，ぶどう複合　\4744</t>
    <rPh sb="0" eb="2">
      <t>テイショク</t>
    </rPh>
    <rPh sb="2" eb="3">
      <t>ジ</t>
    </rPh>
    <rPh sb="4" eb="6">
      <t>タイヒ</t>
    </rPh>
    <rPh sb="7" eb="9">
      <t>リュウジョウ</t>
    </rPh>
    <rPh sb="9" eb="10">
      <t>ヨウ</t>
    </rPh>
    <rPh sb="13" eb="15">
      <t>クド</t>
    </rPh>
    <rPh sb="19" eb="20">
      <t>ゴウ</t>
    </rPh>
    <rPh sb="28" eb="30">
      <t>イクセイ</t>
    </rPh>
    <rPh sb="39" eb="41">
      <t>フクゴウ</t>
    </rPh>
    <phoneticPr fontId="5"/>
  </si>
  <si>
    <t>農薬費</t>
    <rPh sb="0" eb="2">
      <t>ノウヤク</t>
    </rPh>
    <rPh sb="2" eb="3">
      <t>ヒ</t>
    </rPh>
    <phoneticPr fontId="5"/>
  </si>
  <si>
    <t>殺菌剤：ペンコゼブフロアブル，ドーシャスフロアブル，ＩＣボルドー66Ｄ　殺虫剤：石灰硫黄劫財，スミチオン水溶剤40，モスピラン水溶剤，アディオンフロアブル</t>
    <rPh sb="0" eb="3">
      <t>サッキンザイ</t>
    </rPh>
    <rPh sb="36" eb="39">
      <t>サッチュウザイ</t>
    </rPh>
    <rPh sb="40" eb="42">
      <t>セッカイ</t>
    </rPh>
    <rPh sb="42" eb="44">
      <t>イオウ</t>
    </rPh>
    <rPh sb="44" eb="46">
      <t>ゴウザイ</t>
    </rPh>
    <rPh sb="52" eb="54">
      <t>スイヨウ</t>
    </rPh>
    <rPh sb="54" eb="55">
      <t>ザイ</t>
    </rPh>
    <rPh sb="63" eb="65">
      <t>スイヨウ</t>
    </rPh>
    <rPh sb="65" eb="66">
      <t>ザイ</t>
    </rPh>
    <phoneticPr fontId="5"/>
  </si>
  <si>
    <t>合計</t>
    <rPh sb="0" eb="2">
      <t>ゴウケイ</t>
    </rPh>
    <phoneticPr fontId="5"/>
  </si>
  <si>
    <t>1年間育成</t>
    <rPh sb="1" eb="3">
      <t>ネンカン</t>
    </rPh>
    <rPh sb="3" eb="5">
      <t>イクセイ</t>
    </rPh>
    <phoneticPr fontId="4"/>
  </si>
  <si>
    <t>ピオーネ育成費　（10a）</t>
  </si>
  <si>
    <t>種苗費　</t>
  </si>
  <si>
    <t>肥料費</t>
  </si>
  <si>
    <t>定植時：堆肥，粒状用リン，苦土セルカ2号　\78765　育成：Ｓ６０４，ぶどう複合　\4744</t>
  </si>
  <si>
    <t>農薬費</t>
  </si>
  <si>
    <t>殺菌剤：ペンコゼブフロアブル，ドーシャスフロアブル，ＩＣボルドー66Ｄ　殺虫剤：石灰硫黄劫財，スミチオン水溶剤40，モスピラン水溶剤，アディオンフロアブル</t>
  </si>
  <si>
    <t>合計</t>
  </si>
  <si>
    <t>シャインマスカット育成費　（10a）</t>
  </si>
  <si>
    <t>ベリーＡ育成費　（10a）</t>
    <rPh sb="4" eb="6">
      <t>イクセイ</t>
    </rPh>
    <rPh sb="6" eb="7">
      <t>ヒ</t>
    </rPh>
    <phoneticPr fontId="5"/>
  </si>
  <si>
    <t>ぶどう</t>
    <phoneticPr fontId="4"/>
  </si>
  <si>
    <t>トンネルメッシュ</t>
  </si>
  <si>
    <t>ピオーネ</t>
  </si>
  <si>
    <t>ベリーＡ</t>
  </si>
  <si>
    <t>シャインマスカット</t>
  </si>
  <si>
    <t>７－２　経営収支（10a当たり）</t>
    <rPh sb="12" eb="13">
      <t>ア</t>
    </rPh>
    <phoneticPr fontId="4"/>
  </si>
  <si>
    <t>７-３　経営収支（10a当たり）</t>
    <rPh sb="12" eb="13">
      <t>ア</t>
    </rPh>
    <phoneticPr fontId="4"/>
  </si>
  <si>
    <t>８－１　経費の算出基礎（ピオーネ　トンネル被覆，10a当たり）</t>
    <rPh sb="4" eb="6">
      <t>ケイヒ</t>
    </rPh>
    <rPh sb="7" eb="9">
      <t>サンシュツ</t>
    </rPh>
    <rPh sb="9" eb="11">
      <t>キソ</t>
    </rPh>
    <rPh sb="21" eb="23">
      <t>ヒフク</t>
    </rPh>
    <rPh sb="27" eb="28">
      <t>ア</t>
    </rPh>
    <phoneticPr fontId="4"/>
  </si>
  <si>
    <t>８－２　経費の算出基礎（ベリーＡ　保温メッシュ，10a当たり）</t>
    <rPh sb="4" eb="6">
      <t>ケイヒ</t>
    </rPh>
    <rPh sb="7" eb="9">
      <t>サンシュツ</t>
    </rPh>
    <rPh sb="9" eb="11">
      <t>キソ</t>
    </rPh>
    <rPh sb="17" eb="19">
      <t>ホオン</t>
    </rPh>
    <rPh sb="27" eb="28">
      <t>ア</t>
    </rPh>
    <phoneticPr fontId="4"/>
  </si>
  <si>
    <t>８－３　経費の算出基礎（ベリーＡ　トンネル被覆，10a当たり）</t>
    <rPh sb="4" eb="6">
      <t>ケイヒ</t>
    </rPh>
    <rPh sb="7" eb="9">
      <t>サンシュツ</t>
    </rPh>
    <rPh sb="9" eb="11">
      <t>キソ</t>
    </rPh>
    <rPh sb="21" eb="23">
      <t>ヒフク</t>
    </rPh>
    <rPh sb="27" eb="28">
      <t>ア</t>
    </rPh>
    <phoneticPr fontId="4"/>
  </si>
  <si>
    <t>10/60a</t>
    <phoneticPr fontId="4"/>
  </si>
  <si>
    <t>不織布</t>
    <rPh sb="0" eb="3">
      <t>フショクフ</t>
    </rPh>
    <phoneticPr fontId="4"/>
  </si>
  <si>
    <t>0.13mm×180cm×100m</t>
    <phoneticPr fontId="4"/>
  </si>
  <si>
    <t>ピオーネ</t>
    <phoneticPr fontId="4"/>
  </si>
  <si>
    <t>ベリーＡ</t>
    <phoneticPr fontId="4"/>
  </si>
  <si>
    <t>平成23年</t>
    <phoneticPr fontId="4"/>
  </si>
  <si>
    <t>９－１　単価の算出基礎（ピオーネ，1kg当たり）</t>
    <rPh sb="4" eb="6">
      <t>タンカ</t>
    </rPh>
    <phoneticPr fontId="4"/>
  </si>
  <si>
    <t>９－２　単価の算出基礎（ベリーＡ，1kg当たり）</t>
    <rPh sb="4" eb="6">
      <t>タンカ</t>
    </rPh>
    <phoneticPr fontId="4"/>
  </si>
  <si>
    <t>ピオーネ，ベリーＡ，シャインマスカット</t>
    <phoneticPr fontId="3"/>
  </si>
  <si>
    <t>ピオーネ（トンネル被覆）</t>
    <rPh sb="9" eb="11">
      <t>ヒフク</t>
    </rPh>
    <phoneticPr fontId="3"/>
  </si>
  <si>
    <t>ベリーＡ（保温メッシュ）</t>
    <rPh sb="5" eb="7">
      <t>ホオン</t>
    </rPh>
    <phoneticPr fontId="3"/>
  </si>
  <si>
    <t>シャインマスカット（トンネル被覆）</t>
    <rPh sb="14" eb="16">
      <t>ヒフク</t>
    </rPh>
    <phoneticPr fontId="3"/>
  </si>
  <si>
    <t>60a</t>
    <phoneticPr fontId="3"/>
  </si>
  <si>
    <t>∩</t>
  </si>
  <si>
    <t>ベリーＡ</t>
    <phoneticPr fontId="4"/>
  </si>
  <si>
    <t>販売量×80円</t>
  </si>
  <si>
    <t>販売量×18円</t>
  </si>
  <si>
    <t>販売額×11％</t>
  </si>
  <si>
    <t>３－１　標準技術</t>
    <rPh sb="4" eb="6">
      <t>ヒョウジュン</t>
    </rPh>
    <rPh sb="6" eb="8">
      <t>ギジュツ</t>
    </rPh>
    <phoneticPr fontId="4"/>
  </si>
  <si>
    <t>ピオーネ</t>
    <phoneticPr fontId="4"/>
  </si>
  <si>
    <t>剪定誘引</t>
    <rPh sb="0" eb="2">
      <t>センテイ</t>
    </rPh>
    <rPh sb="2" eb="4">
      <t>ユウイン</t>
    </rPh>
    <phoneticPr fontId="4"/>
  </si>
  <si>
    <t>芽かき枝管理</t>
    <rPh sb="0" eb="1">
      <t>メ</t>
    </rPh>
    <rPh sb="3" eb="4">
      <t>エダ</t>
    </rPh>
    <rPh sb="4" eb="6">
      <t>カンリ</t>
    </rPh>
    <phoneticPr fontId="4"/>
  </si>
  <si>
    <t>施肥</t>
    <rPh sb="0" eb="2">
      <t>セヒ</t>
    </rPh>
    <phoneticPr fontId="4"/>
  </si>
  <si>
    <t>防除</t>
    <rPh sb="0" eb="2">
      <t>ボウジョ</t>
    </rPh>
    <phoneticPr fontId="4"/>
  </si>
  <si>
    <t>着果管理</t>
    <rPh sb="0" eb="2">
      <t>チャッカ</t>
    </rPh>
    <rPh sb="2" eb="4">
      <t>カンリ</t>
    </rPh>
    <phoneticPr fontId="4"/>
  </si>
  <si>
    <t>袋かけ</t>
    <rPh sb="0" eb="1">
      <t>フクロ</t>
    </rPh>
    <phoneticPr fontId="4"/>
  </si>
  <si>
    <t>除草</t>
    <rPh sb="0" eb="2">
      <t>ジョソウ</t>
    </rPh>
    <phoneticPr fontId="4"/>
  </si>
  <si>
    <t>潅水</t>
    <rPh sb="0" eb="2">
      <t>カンスイ</t>
    </rPh>
    <phoneticPr fontId="4"/>
  </si>
  <si>
    <t>収穫荷造り</t>
    <rPh sb="0" eb="2">
      <t>シュウカク</t>
    </rPh>
    <rPh sb="2" eb="4">
      <t>ニヅク</t>
    </rPh>
    <phoneticPr fontId="4"/>
  </si>
  <si>
    <t>園管理</t>
    <rPh sb="0" eb="1">
      <t>エン</t>
    </rPh>
    <rPh sb="1" eb="3">
      <t>カンリ</t>
    </rPh>
    <phoneticPr fontId="4"/>
  </si>
  <si>
    <t>土壌管理</t>
    <rPh sb="0" eb="2">
      <t>ドジョウ</t>
    </rPh>
    <rPh sb="2" eb="4">
      <t>カンリ</t>
    </rPh>
    <phoneticPr fontId="4"/>
  </si>
  <si>
    <t>被覆管理</t>
    <rPh sb="0" eb="2">
      <t>ヒフク</t>
    </rPh>
    <rPh sb="2" eb="4">
      <t>カンリ</t>
    </rPh>
    <phoneticPr fontId="4"/>
  </si>
  <si>
    <t>短梢剪定
一文字整枝（かぎ型）</t>
    <rPh sb="0" eb="1">
      <t>タン</t>
    </rPh>
    <rPh sb="1" eb="2">
      <t>コズエ</t>
    </rPh>
    <rPh sb="2" eb="4">
      <t>センテイ</t>
    </rPh>
    <rPh sb="5" eb="8">
      <t>イチモンジ</t>
    </rPh>
    <rPh sb="8" eb="10">
      <t>セイシ</t>
    </rPh>
    <rPh sb="13" eb="14">
      <t>ガタ</t>
    </rPh>
    <phoneticPr fontId="4"/>
  </si>
  <si>
    <t xml:space="preserve">メリット青塗布
芽かき
新梢誘引
フラスター液剤散布
</t>
    <rPh sb="4" eb="5">
      <t>アオ</t>
    </rPh>
    <rPh sb="5" eb="7">
      <t>トフ</t>
    </rPh>
    <rPh sb="8" eb="9">
      <t>メ</t>
    </rPh>
    <rPh sb="12" eb="13">
      <t>アタラ</t>
    </rPh>
    <rPh sb="13" eb="14">
      <t>コズエ</t>
    </rPh>
    <rPh sb="14" eb="16">
      <t>ユウイン</t>
    </rPh>
    <rPh sb="22" eb="24">
      <t>エキザイ</t>
    </rPh>
    <rPh sb="24" eb="26">
      <t>サンプ</t>
    </rPh>
    <phoneticPr fontId="4"/>
  </si>
  <si>
    <t>粗皮剥ぎ
薬剤散布</t>
    <rPh sb="0" eb="1">
      <t>アラ</t>
    </rPh>
    <rPh sb="1" eb="2">
      <t>カワ</t>
    </rPh>
    <rPh sb="2" eb="3">
      <t>ハ</t>
    </rPh>
    <rPh sb="5" eb="7">
      <t>ヤクザイ</t>
    </rPh>
    <rPh sb="7" eb="9">
      <t>サンプ</t>
    </rPh>
    <phoneticPr fontId="4"/>
  </si>
  <si>
    <t>除草剤散布
刈払い</t>
    <rPh sb="0" eb="3">
      <t>ジョソウザイ</t>
    </rPh>
    <rPh sb="3" eb="5">
      <t>サンプ</t>
    </rPh>
    <rPh sb="6" eb="7">
      <t>カ</t>
    </rPh>
    <rPh sb="7" eb="8">
      <t>ハラ</t>
    </rPh>
    <phoneticPr fontId="4"/>
  </si>
  <si>
    <t>修理，整備</t>
    <rPh sb="0" eb="2">
      <t>シュウリ</t>
    </rPh>
    <rPh sb="3" eb="5">
      <t>セイビ</t>
    </rPh>
    <phoneticPr fontId="4"/>
  </si>
  <si>
    <t>深耕</t>
    <rPh sb="0" eb="2">
      <t>シンコウ</t>
    </rPh>
    <phoneticPr fontId="4"/>
  </si>
  <si>
    <t>３月～10月</t>
    <rPh sb="1" eb="2">
      <t>ガツ</t>
    </rPh>
    <rPh sb="5" eb="6">
      <t>ガツ</t>
    </rPh>
    <phoneticPr fontId="4"/>
  </si>
  <si>
    <t>7月</t>
    <rPh sb="1" eb="2">
      <t>ガツ</t>
    </rPh>
    <phoneticPr fontId="4"/>
  </si>
  <si>
    <t>動力噴霧機</t>
    <rPh sb="0" eb="2">
      <t>ドウリョク</t>
    </rPh>
    <rPh sb="2" eb="4">
      <t>フンム</t>
    </rPh>
    <rPh sb="4" eb="5">
      <t>キ</t>
    </rPh>
    <phoneticPr fontId="4"/>
  </si>
  <si>
    <t>動力噴霧機
草刈り機</t>
    <rPh sb="0" eb="2">
      <t>ドウリョク</t>
    </rPh>
    <rPh sb="2" eb="4">
      <t>フンム</t>
    </rPh>
    <rPh sb="4" eb="5">
      <t>キ</t>
    </rPh>
    <rPh sb="6" eb="8">
      <t>クサカ</t>
    </rPh>
    <rPh sb="9" eb="10">
      <t>キ</t>
    </rPh>
    <phoneticPr fontId="4"/>
  </si>
  <si>
    <t>トレンチャー
軽トラック</t>
    <rPh sb="7" eb="8">
      <t>ケイ</t>
    </rPh>
    <phoneticPr fontId="4"/>
  </si>
  <si>
    <t>剪定鋏
剪定鋸</t>
  </si>
  <si>
    <t xml:space="preserve">メリット青
テープナー
誘引テープ
フラスター液剤
</t>
    <rPh sb="4" eb="5">
      <t>アオ</t>
    </rPh>
    <rPh sb="12" eb="14">
      <t>ユウイン</t>
    </rPh>
    <rPh sb="23" eb="25">
      <t>エキザイ</t>
    </rPh>
    <phoneticPr fontId="4"/>
  </si>
  <si>
    <t>殺虫剤
殺菌剤</t>
    <rPh sb="0" eb="3">
      <t>サッチュウザイ</t>
    </rPh>
    <rPh sb="4" eb="7">
      <t>サッキンザイ</t>
    </rPh>
    <phoneticPr fontId="4"/>
  </si>
  <si>
    <t>かけ袋</t>
    <rPh sb="2" eb="3">
      <t>フクロ</t>
    </rPh>
    <phoneticPr fontId="4"/>
  </si>
  <si>
    <t xml:space="preserve">コンテナ
秤
デジタルスケール
摘粒鋏
</t>
    <rPh sb="5" eb="6">
      <t>ハカリ</t>
    </rPh>
    <rPh sb="16" eb="17">
      <t>テキ</t>
    </rPh>
    <rPh sb="17" eb="18">
      <t>ツブ</t>
    </rPh>
    <rPh sb="18" eb="19">
      <t>ハサミ</t>
    </rPh>
    <phoneticPr fontId="4"/>
  </si>
  <si>
    <t>樹勢が落ち着かない場合は，間伐しＨ型仕立てとする</t>
    <rPh sb="0" eb="2">
      <t>ジュセイ</t>
    </rPh>
    <rPh sb="3" eb="4">
      <t>オ</t>
    </rPh>
    <rPh sb="5" eb="6">
      <t>ツ</t>
    </rPh>
    <rPh sb="9" eb="11">
      <t>バアイ</t>
    </rPh>
    <rPh sb="13" eb="15">
      <t>カンバツ</t>
    </rPh>
    <rPh sb="17" eb="18">
      <t>ガタ</t>
    </rPh>
    <rPh sb="18" eb="20">
      <t>シタ</t>
    </rPh>
    <phoneticPr fontId="4"/>
  </si>
  <si>
    <t>トンネル被覆，除去</t>
    <rPh sb="4" eb="6">
      <t>ヒフク</t>
    </rPh>
    <rPh sb="7" eb="9">
      <t>ジョキョ</t>
    </rPh>
    <phoneticPr fontId="4"/>
  </si>
  <si>
    <t>5月～7月</t>
    <rPh sb="1" eb="2">
      <t>ガツ</t>
    </rPh>
    <rPh sb="4" eb="5">
      <t>ガツ</t>
    </rPh>
    <phoneticPr fontId="4"/>
  </si>
  <si>
    <t>軽トラ</t>
    <rPh sb="0" eb="1">
      <t>ケイ</t>
    </rPh>
    <phoneticPr fontId="4"/>
  </si>
  <si>
    <t>マイカ線
ポリフィルム
クリップ</t>
    <rPh sb="3" eb="4">
      <t>セン</t>
    </rPh>
    <phoneticPr fontId="4"/>
  </si>
  <si>
    <t>整枝・剪定</t>
  </si>
  <si>
    <t>芽かき・新枝管理</t>
  </si>
  <si>
    <t>施肥</t>
  </si>
  <si>
    <t>防除</t>
  </si>
  <si>
    <t>着果管理</t>
  </si>
  <si>
    <t>袋かけ</t>
  </si>
  <si>
    <t>除草</t>
  </si>
  <si>
    <t>潅水・敷き藁</t>
  </si>
  <si>
    <t>収穫・出荷</t>
  </si>
  <si>
    <t>土壌管理</t>
  </si>
  <si>
    <t>被覆・除去</t>
  </si>
  <si>
    <t>園内管理</t>
  </si>
  <si>
    <t>５－１　作業別・旬別作業時間</t>
    <phoneticPr fontId="4"/>
  </si>
  <si>
    <t>ピオーネ</t>
    <phoneticPr fontId="4"/>
  </si>
  <si>
    <t>トンネル</t>
    <phoneticPr fontId="4"/>
  </si>
  <si>
    <t>動力噴霧器</t>
  </si>
  <si>
    <t>可搬式4.6ｐｓ</t>
  </si>
  <si>
    <t>10/60a</t>
  </si>
  <si>
    <t>緩傾斜地5度以内，団地化</t>
    <rPh sb="0" eb="3">
      <t>カンケイシャ</t>
    </rPh>
    <rPh sb="3" eb="4">
      <t>チ</t>
    </rPh>
    <rPh sb="5" eb="6">
      <t>ド</t>
    </rPh>
    <rPh sb="6" eb="8">
      <t>イナイ</t>
    </rPh>
    <rPh sb="9" eb="12">
      <t>ダンチカ</t>
    </rPh>
    <phoneticPr fontId="3"/>
  </si>
  <si>
    <t>SS共同利用</t>
    <rPh sb="2" eb="4">
      <t>キョウドウ</t>
    </rPh>
    <rPh sb="4" eb="6">
      <t>リヨウ</t>
    </rPh>
    <phoneticPr fontId="3"/>
  </si>
  <si>
    <t>11月～12月</t>
    <rPh sb="2" eb="3">
      <t>ガツ</t>
    </rPh>
    <rPh sb="6" eb="7">
      <t>ガツ</t>
    </rPh>
    <phoneticPr fontId="4"/>
  </si>
  <si>
    <t>6月</t>
    <rPh sb="1" eb="2">
      <t>ガツ</t>
    </rPh>
    <phoneticPr fontId="4"/>
  </si>
  <si>
    <t>4月～7月</t>
    <rPh sb="1" eb="2">
      <t>ガツ</t>
    </rPh>
    <rPh sb="4" eb="5">
      <t>ガツ</t>
    </rPh>
    <phoneticPr fontId="4"/>
  </si>
  <si>
    <t>7月～8月</t>
    <rPh sb="1" eb="2">
      <t>ガツ</t>
    </rPh>
    <rPh sb="4" eb="5">
      <t>ガツ</t>
    </rPh>
    <phoneticPr fontId="4"/>
  </si>
  <si>
    <t>マイカ線
ポリフィルム
クリップ
不織布</t>
    <rPh sb="3" eb="4">
      <t>セン</t>
    </rPh>
    <rPh sb="17" eb="20">
      <t>フショクフ</t>
    </rPh>
    <phoneticPr fontId="4"/>
  </si>
  <si>
    <t>3月～10月</t>
    <rPh sb="1" eb="2">
      <t>ガツ</t>
    </rPh>
    <rPh sb="5" eb="6">
      <t>ガツ</t>
    </rPh>
    <phoneticPr fontId="4"/>
  </si>
  <si>
    <t>園内管理</t>
    <rPh sb="0" eb="2">
      <t>エンナイ</t>
    </rPh>
    <rPh sb="2" eb="4">
      <t>カンリ</t>
    </rPh>
    <phoneticPr fontId="4"/>
  </si>
  <si>
    <t>12月～1月</t>
    <rPh sb="2" eb="3">
      <t>ガツ</t>
    </rPh>
    <rPh sb="5" eb="6">
      <t>ガツ</t>
    </rPh>
    <phoneticPr fontId="4"/>
  </si>
  <si>
    <t>９月</t>
    <rPh sb="1" eb="2">
      <t>ガツ</t>
    </rPh>
    <phoneticPr fontId="4"/>
  </si>
  <si>
    <t>５－３　作業別・旬別作業時間</t>
    <phoneticPr fontId="4"/>
  </si>
  <si>
    <t>ベリーA</t>
    <phoneticPr fontId="4"/>
  </si>
  <si>
    <t>５－２　作業別・旬別作業時間</t>
    <phoneticPr fontId="4"/>
  </si>
  <si>
    <t>作　業　別</t>
    <phoneticPr fontId="4"/>
  </si>
  <si>
    <t>旬　別　計　①</t>
    <phoneticPr fontId="4"/>
  </si>
  <si>
    <t>月　  　計</t>
    <phoneticPr fontId="4"/>
  </si>
  <si>
    <t>Ａ</t>
    <phoneticPr fontId="4"/>
  </si>
  <si>
    <t>過不足労働力　③=②-①</t>
    <phoneticPr fontId="4"/>
  </si>
  <si>
    <t>雇用労働力</t>
    <phoneticPr fontId="4"/>
  </si>
  <si>
    <t>基幹労働力1名</t>
    <rPh sb="0" eb="2">
      <t>キカン</t>
    </rPh>
    <rPh sb="2" eb="5">
      <t>ロウドウリョク</t>
    </rPh>
    <rPh sb="6" eb="7">
      <t>メイ</t>
    </rPh>
    <phoneticPr fontId="3"/>
  </si>
  <si>
    <t>ＳＳ</t>
  </si>
  <si>
    <t>4WD,1000ℓ，152ℓ/m</t>
  </si>
  <si>
    <t>∩：トンネル被覆</t>
    <rPh sb="6" eb="8">
      <t>ヒフク</t>
    </rPh>
    <phoneticPr fontId="4"/>
  </si>
  <si>
    <t>３－２　標準技術</t>
    <rPh sb="4" eb="6">
      <t>ヒョウジュン</t>
    </rPh>
    <rPh sb="6" eb="8">
      <t>ギジュツ</t>
    </rPh>
    <phoneticPr fontId="4"/>
  </si>
  <si>
    <t>ベリーA</t>
    <phoneticPr fontId="4"/>
  </si>
  <si>
    <t>３－３　標準技術</t>
    <rPh sb="4" eb="6">
      <t>ヒョウジュン</t>
    </rPh>
    <rPh sb="6" eb="8">
      <t>ギジュツ</t>
    </rPh>
    <phoneticPr fontId="4"/>
  </si>
  <si>
    <t>ベリーA</t>
    <phoneticPr fontId="4"/>
  </si>
  <si>
    <t>シャインマスカット</t>
    <phoneticPr fontId="4"/>
  </si>
  <si>
    <t>⑨＝（⑤－⑦）÷⑧（円/10a）</t>
    <phoneticPr fontId="4"/>
  </si>
  <si>
    <t>⑤=③×④（円/10a）</t>
    <phoneticPr fontId="4"/>
  </si>
  <si>
    <t>半殺・一般</t>
    <rPh sb="0" eb="1">
      <t>ハン</t>
    </rPh>
    <rPh sb="1" eb="2">
      <t>サツ</t>
    </rPh>
    <rPh sb="3" eb="5">
      <t>イッパン</t>
    </rPh>
    <phoneticPr fontId="4"/>
  </si>
  <si>
    <t>保温メッシュ
トンネル被覆</t>
    <rPh sb="0" eb="2">
      <t>ホオン</t>
    </rPh>
    <rPh sb="11" eb="13">
      <t>ヒフク</t>
    </rPh>
    <phoneticPr fontId="3"/>
  </si>
  <si>
    <t>南部</t>
    <rPh sb="0" eb="1">
      <t>ナンブ</t>
    </rPh>
    <phoneticPr fontId="3"/>
  </si>
  <si>
    <t>新規就農者</t>
    <rPh sb="0" eb="2">
      <t>シンキ</t>
    </rPh>
    <rPh sb="2" eb="4">
      <t>シュウノウ</t>
    </rPh>
    <rPh sb="4" eb="5">
      <t>シャ</t>
    </rPh>
    <phoneticPr fontId="3"/>
  </si>
  <si>
    <t>個別選果，ＪＡ共同販売</t>
    <rPh sb="0" eb="2">
      <t>コベツ</t>
    </rPh>
    <rPh sb="2" eb="4">
      <t>センカ</t>
    </rPh>
    <rPh sb="7" eb="9">
      <t>キョウドウ</t>
    </rPh>
    <rPh sb="9" eb="11">
      <t>ハンバイ</t>
    </rPh>
    <phoneticPr fontId="3"/>
  </si>
  <si>
    <t>・短梢剪定
・無核栽培</t>
    <phoneticPr fontId="3"/>
  </si>
  <si>
    <t>・結果過多にしない
・大房にしない</t>
    <rPh sb="1" eb="3">
      <t>ケッカ</t>
    </rPh>
    <rPh sb="3" eb="5">
      <t>カタ</t>
    </rPh>
    <rPh sb="11" eb="13">
      <t>オオフサ</t>
    </rPh>
    <phoneticPr fontId="3"/>
  </si>
  <si>
    <t>高圧洗浄機
ＳＳ</t>
    <phoneticPr fontId="4"/>
  </si>
  <si>
    <t>メリット青塗布
芽かき
新梢誘引</t>
    <rPh sb="8" eb="9">
      <t>メ</t>
    </rPh>
    <rPh sb="12" eb="13">
      <t>アタラ</t>
    </rPh>
    <rPh sb="13" eb="14">
      <t>コズエ</t>
    </rPh>
    <rPh sb="14" eb="16">
      <t>ユウイン</t>
    </rPh>
    <phoneticPr fontId="4"/>
  </si>
  <si>
    <t>メリット青
テープナー
誘引テープ</t>
    <rPh sb="4" eb="5">
      <t>アオ</t>
    </rPh>
    <rPh sb="12" eb="14">
      <t>ユウイン</t>
    </rPh>
    <phoneticPr fontId="4"/>
  </si>
  <si>
    <t>摘粒鋏
ジベレリン
フルメット液剤</t>
    <rPh sb="0" eb="1">
      <t>テキ</t>
    </rPh>
    <rPh sb="1" eb="2">
      <t>リュウ</t>
    </rPh>
    <rPh sb="2" eb="3">
      <t>ハサミ</t>
    </rPh>
    <rPh sb="15" eb="17">
      <t>エキザイ</t>
    </rPh>
    <phoneticPr fontId="4"/>
  </si>
  <si>
    <t>摘粒鋏
ジベレリン
フルメット液剤
ストマイ液剤</t>
    <rPh sb="0" eb="1">
      <t>テキ</t>
    </rPh>
    <rPh sb="1" eb="2">
      <t>リュウ</t>
    </rPh>
    <rPh sb="2" eb="3">
      <t>ハサミ</t>
    </rPh>
    <rPh sb="15" eb="17">
      <t>エキザイ</t>
    </rPh>
    <rPh sb="22" eb="24">
      <t>エキザイ</t>
    </rPh>
    <phoneticPr fontId="4"/>
  </si>
  <si>
    <t>摘粒鋏
ジベレリン
フルメット液剤
ストマイ液剤20</t>
    <rPh sb="0" eb="1">
      <t>テキ</t>
    </rPh>
    <rPh sb="1" eb="2">
      <t>リュウ</t>
    </rPh>
    <rPh sb="2" eb="3">
      <t>ハサミ</t>
    </rPh>
    <rPh sb="15" eb="17">
      <t>エキザイ</t>
    </rPh>
    <rPh sb="22" eb="24">
      <t>エキザイ</t>
    </rPh>
    <phoneticPr fontId="4"/>
  </si>
  <si>
    <t>8月～9月</t>
    <rPh sb="1" eb="2">
      <t>ガツ</t>
    </rPh>
    <rPh sb="4" eb="5">
      <t>ガツ</t>
    </rPh>
    <phoneticPr fontId="4"/>
  </si>
  <si>
    <t>10月～11月</t>
    <rPh sb="2" eb="3">
      <t>ガツ</t>
    </rPh>
    <rPh sb="6" eb="7">
      <t>ガツ</t>
    </rPh>
    <phoneticPr fontId="4"/>
  </si>
  <si>
    <t>2月～10月</t>
    <rPh sb="1" eb="2">
      <t>ガツ</t>
    </rPh>
    <rPh sb="5" eb="6">
      <t>ガツ</t>
    </rPh>
    <phoneticPr fontId="4"/>
  </si>
  <si>
    <t>スピードスプレーヤー
高圧洗浄機</t>
    <rPh sb="11" eb="13">
      <t>コウアツ</t>
    </rPh>
    <rPh sb="13" eb="15">
      <t>センジョウ</t>
    </rPh>
    <rPh sb="15" eb="16">
      <t>キ</t>
    </rPh>
    <phoneticPr fontId="4"/>
  </si>
  <si>
    <t>円/10a</t>
    <rPh sb="0" eb="1">
      <t>エン</t>
    </rPh>
    <phoneticPr fontId="4"/>
  </si>
  <si>
    <t>右表（生産量1600kg　商品化率90%）</t>
    <rPh sb="0" eb="1">
      <t>ミギ</t>
    </rPh>
    <rPh sb="1" eb="2">
      <t>ヒョウ</t>
    </rPh>
    <rPh sb="3" eb="5">
      <t>セイサン</t>
    </rPh>
    <rPh sb="5" eb="6">
      <t>リョウ</t>
    </rPh>
    <rPh sb="13" eb="16">
      <t>ショウヒンカ</t>
    </rPh>
    <rPh sb="16" eb="17">
      <t>リツ</t>
    </rPh>
    <phoneticPr fontId="4"/>
  </si>
  <si>
    <t>右表（生産量2400kg　商品化率90%）</t>
    <rPh sb="0" eb="1">
      <t>ミギ</t>
    </rPh>
    <rPh sb="1" eb="2">
      <t>ヒョウ</t>
    </rPh>
    <rPh sb="3" eb="5">
      <t>セイサン</t>
    </rPh>
    <rPh sb="5" eb="6">
      <t>リョウ</t>
    </rPh>
    <rPh sb="13" eb="16">
      <t>ショウヒンカ</t>
    </rPh>
    <rPh sb="16" eb="17">
      <t>リツ</t>
    </rPh>
    <phoneticPr fontId="4"/>
  </si>
  <si>
    <t>右表（生産量1800kg　商品化率90%）</t>
    <rPh sb="0" eb="1">
      <t>ミギ</t>
    </rPh>
    <rPh sb="1" eb="2">
      <t>ヒョウ</t>
    </rPh>
    <rPh sb="3" eb="5">
      <t>セイサン</t>
    </rPh>
    <rPh sb="5" eb="6">
      <t>リョウ</t>
    </rPh>
    <rPh sb="13" eb="16">
      <t>ショウヒンカ</t>
    </rPh>
    <rPh sb="16" eb="17">
      <t>リツ</t>
    </rPh>
    <phoneticPr fontId="4"/>
  </si>
  <si>
    <t>温度管理</t>
    <rPh sb="0" eb="2">
      <t>オンド</t>
    </rPh>
    <rPh sb="2" eb="4">
      <t>カンリ</t>
    </rPh>
    <phoneticPr fontId="4"/>
  </si>
  <si>
    <t>1月，2月，8月，11月</t>
    <rPh sb="1" eb="2">
      <t>ガツ</t>
    </rPh>
    <rPh sb="4" eb="5">
      <t>ガツ</t>
    </rPh>
    <rPh sb="7" eb="8">
      <t>ガツ</t>
    </rPh>
    <rPh sb="11" eb="12">
      <t>ガツ</t>
    </rPh>
    <phoneticPr fontId="4"/>
  </si>
  <si>
    <t>2月，10月，12月</t>
    <rPh sb="1" eb="2">
      <t>ガツ</t>
    </rPh>
    <rPh sb="5" eb="6">
      <t>ガツ</t>
    </rPh>
    <rPh sb="9" eb="10">
      <t>ガツ</t>
    </rPh>
    <phoneticPr fontId="4"/>
  </si>
  <si>
    <t>1月～6月，8月，9月</t>
    <rPh sb="1" eb="2">
      <t>ガツ</t>
    </rPh>
    <rPh sb="4" eb="5">
      <t>ガツ</t>
    </rPh>
    <rPh sb="7" eb="8">
      <t>ガツ</t>
    </rPh>
    <rPh sb="10" eb="11">
      <t>ガツ</t>
    </rPh>
    <phoneticPr fontId="4"/>
  </si>
  <si>
    <t>4月，5月</t>
    <rPh sb="1" eb="2">
      <t>ガツ</t>
    </rPh>
    <rPh sb="4" eb="5">
      <t>ガツ</t>
    </rPh>
    <phoneticPr fontId="4"/>
  </si>
  <si>
    <t>1月，2月，12月</t>
    <rPh sb="1" eb="2">
      <t>ガツ</t>
    </rPh>
    <rPh sb="4" eb="5">
      <t>ガツ</t>
    </rPh>
    <rPh sb="8" eb="9">
      <t>ガツ</t>
    </rPh>
    <phoneticPr fontId="4"/>
  </si>
  <si>
    <t>2月，5月～7月</t>
    <rPh sb="1" eb="2">
      <t>ガツ</t>
    </rPh>
    <rPh sb="4" eb="5">
      <t>ガツ</t>
    </rPh>
    <rPh sb="7" eb="8">
      <t>ガツ</t>
    </rPh>
    <phoneticPr fontId="4"/>
  </si>
  <si>
    <t>1月～7月，10月</t>
    <rPh sb="1" eb="2">
      <t>ガツ</t>
    </rPh>
    <rPh sb="4" eb="5">
      <t>ガツ</t>
    </rPh>
    <rPh sb="8" eb="9">
      <t>ガツ</t>
    </rPh>
    <phoneticPr fontId="4"/>
  </si>
  <si>
    <t>着果量1600kg/10a
花穂整形
　8～9車/房　
　30～35粒/房
種無し処理
環状剥皮</t>
    <rPh sb="0" eb="2">
      <t>チャッカ</t>
    </rPh>
    <rPh sb="2" eb="3">
      <t>リョウ</t>
    </rPh>
    <rPh sb="14" eb="15">
      <t>ハナ</t>
    </rPh>
    <rPh sb="15" eb="16">
      <t>ホ</t>
    </rPh>
    <rPh sb="16" eb="18">
      <t>セイケイ</t>
    </rPh>
    <rPh sb="23" eb="24">
      <t>クルマ</t>
    </rPh>
    <rPh sb="25" eb="26">
      <t>フサ</t>
    </rPh>
    <rPh sb="34" eb="35">
      <t>リュウ</t>
    </rPh>
    <rPh sb="36" eb="37">
      <t>フサ</t>
    </rPh>
    <rPh sb="38" eb="40">
      <t>タネナ</t>
    </rPh>
    <rPh sb="41" eb="43">
      <t>ショリ</t>
    </rPh>
    <rPh sb="44" eb="46">
      <t>カンジョウ</t>
    </rPh>
    <rPh sb="46" eb="48">
      <t>ハクヒ</t>
    </rPh>
    <phoneticPr fontId="4"/>
  </si>
  <si>
    <t>着果量1600kg/10a</t>
    <rPh sb="0" eb="2">
      <t>チャッカ</t>
    </rPh>
    <rPh sb="2" eb="3">
      <t>リョウ</t>
    </rPh>
    <phoneticPr fontId="4"/>
  </si>
  <si>
    <t>3月，9月，10月</t>
    <rPh sb="1" eb="2">
      <t>ガツ</t>
    </rPh>
    <rPh sb="4" eb="5">
      <t>ガツ</t>
    </rPh>
    <rPh sb="8" eb="9">
      <t>ガツ</t>
    </rPh>
    <phoneticPr fontId="4"/>
  </si>
  <si>
    <t>3月～4月，7月</t>
    <rPh sb="1" eb="2">
      <t>ガツ</t>
    </rPh>
    <rPh sb="4" eb="5">
      <t>ガツ</t>
    </rPh>
    <rPh sb="7" eb="8">
      <t>ガツ</t>
    </rPh>
    <phoneticPr fontId="4"/>
  </si>
  <si>
    <t>着果量　2400kg/10a
花穂整形　450g/房　
種無し処理</t>
    <rPh sb="0" eb="2">
      <t>チャッカ</t>
    </rPh>
    <rPh sb="2" eb="3">
      <t>リョウ</t>
    </rPh>
    <rPh sb="15" eb="16">
      <t>ハナ</t>
    </rPh>
    <rPh sb="16" eb="17">
      <t>ホ</t>
    </rPh>
    <rPh sb="17" eb="19">
      <t>セイケイ</t>
    </rPh>
    <rPh sb="25" eb="26">
      <t>フサ</t>
    </rPh>
    <rPh sb="28" eb="30">
      <t>タネナ</t>
    </rPh>
    <rPh sb="31" eb="33">
      <t>ショリ</t>
    </rPh>
    <phoneticPr fontId="4"/>
  </si>
  <si>
    <t>着果量2400kg/10a</t>
    <rPh sb="0" eb="2">
      <t>チャッカ</t>
    </rPh>
    <rPh sb="2" eb="3">
      <t>リョウ</t>
    </rPh>
    <phoneticPr fontId="4"/>
  </si>
  <si>
    <t>3月～6月</t>
    <rPh sb="1" eb="2">
      <t>ガツ</t>
    </rPh>
    <rPh sb="4" eb="5">
      <t>ガツ</t>
    </rPh>
    <phoneticPr fontId="4"/>
  </si>
  <si>
    <t xml:space="preserve">着果量2400kg/10a
花穂整形　450g/房
種無し処理
</t>
    <rPh sb="0" eb="2">
      <t>チャッカ</t>
    </rPh>
    <rPh sb="2" eb="3">
      <t>リョウ</t>
    </rPh>
    <rPh sb="14" eb="15">
      <t>ハナ</t>
    </rPh>
    <rPh sb="15" eb="16">
      <t>ホ</t>
    </rPh>
    <rPh sb="16" eb="18">
      <t>セイケイ</t>
    </rPh>
    <rPh sb="24" eb="25">
      <t>フサ</t>
    </rPh>
    <rPh sb="26" eb="28">
      <t>タネナ</t>
    </rPh>
    <rPh sb="29" eb="31">
      <t>ショリ</t>
    </rPh>
    <phoneticPr fontId="4"/>
  </si>
  <si>
    <t>3月，9月～10月</t>
    <rPh sb="1" eb="2">
      <t>ガツ</t>
    </rPh>
    <rPh sb="4" eb="5">
      <t>ガツ</t>
    </rPh>
    <rPh sb="8" eb="9">
      <t>ガツ</t>
    </rPh>
    <phoneticPr fontId="4"/>
  </si>
  <si>
    <t>3月，4月，7月，11月</t>
    <rPh sb="1" eb="2">
      <t>ガツ</t>
    </rPh>
    <rPh sb="4" eb="5">
      <t>ガツ</t>
    </rPh>
    <rPh sb="7" eb="8">
      <t>ガツ</t>
    </rPh>
    <rPh sb="11" eb="12">
      <t>ガツ</t>
    </rPh>
    <phoneticPr fontId="4"/>
  </si>
  <si>
    <t>着果量1800kg/10a
花穂整形
　500～600ｇ/房
種無し処理</t>
    <rPh sb="0" eb="2">
      <t>チャッカ</t>
    </rPh>
    <rPh sb="2" eb="3">
      <t>リョウ</t>
    </rPh>
    <rPh sb="14" eb="15">
      <t>ハナ</t>
    </rPh>
    <rPh sb="15" eb="16">
      <t>ホ</t>
    </rPh>
    <rPh sb="16" eb="18">
      <t>セイケイ</t>
    </rPh>
    <rPh sb="29" eb="30">
      <t>フサ</t>
    </rPh>
    <rPh sb="31" eb="33">
      <t>タネナ</t>
    </rPh>
    <rPh sb="34" eb="36">
      <t>ショリ</t>
    </rPh>
    <phoneticPr fontId="4"/>
  </si>
  <si>
    <t>着果量1800kg/10a</t>
    <rPh sb="0" eb="2">
      <t>チャッカ</t>
    </rPh>
    <rPh sb="2" eb="3">
      <t>リョウ</t>
    </rPh>
    <phoneticPr fontId="4"/>
  </si>
  <si>
    <t>3月，10月</t>
    <rPh sb="1" eb="2">
      <t>ガツ</t>
    </rPh>
    <rPh sb="5" eb="6">
      <t>ガツ</t>
    </rPh>
    <phoneticPr fontId="4"/>
  </si>
  <si>
    <t>建物・施設</t>
    <rPh sb="0" eb="2">
      <t>タテモノ</t>
    </rPh>
    <rPh sb="3" eb="5">
      <t>シセツ</t>
    </rPh>
    <phoneticPr fontId="4"/>
  </si>
  <si>
    <t>S.S共同利用費用</t>
    <rPh sb="3" eb="5">
      <t>キョウドウ</t>
    </rPh>
    <rPh sb="5" eb="7">
      <t>リヨウ</t>
    </rPh>
    <rPh sb="7" eb="9">
      <t>ヒヨウ</t>
    </rPh>
    <phoneticPr fontId="4"/>
  </si>
  <si>
    <t>ぶどう棚利用料込み</t>
    <rPh sb="3" eb="4">
      <t>タナ</t>
    </rPh>
    <rPh sb="4" eb="6">
      <t>リヨウ</t>
    </rPh>
    <rPh sb="6" eb="7">
      <t>リョウ</t>
    </rPh>
    <rPh sb="7" eb="8">
      <t>コ</t>
    </rPh>
    <phoneticPr fontId="4"/>
  </si>
  <si>
    <t>⑦＝⑤×⑥（円/10a）</t>
    <rPh sb="6" eb="7">
      <t>エン</t>
    </rPh>
    <phoneticPr fontId="4"/>
  </si>
  <si>
    <t>10a機械</t>
    <phoneticPr fontId="4"/>
  </si>
  <si>
    <t>平成25年</t>
  </si>
  <si>
    <t>平成24年</t>
  </si>
  <si>
    <t>シャインマスカット</t>
    <phoneticPr fontId="4"/>
  </si>
  <si>
    <t>（全産地）</t>
    <phoneticPr fontId="4"/>
  </si>
  <si>
    <t>平成26年</t>
  </si>
  <si>
    <t>作型</t>
    <rPh sb="0" eb="2">
      <t>サクガタ</t>
    </rPh>
    <phoneticPr fontId="4"/>
  </si>
  <si>
    <t>Ｓ．Ｓ共同利用費用10，000円/１０ａ</t>
    <rPh sb="3" eb="5">
      <t>キョウドウ</t>
    </rPh>
    <rPh sb="5" eb="7">
      <t>リヨウ</t>
    </rPh>
    <rPh sb="7" eb="9">
      <t>ヒヨウ</t>
    </rPh>
    <rPh sb="15" eb="16">
      <t>エン</t>
    </rPh>
    <phoneticPr fontId="4"/>
  </si>
  <si>
    <t>棚利用料込50，000円/１０ａ</t>
    <rPh sb="0" eb="1">
      <t>タナ</t>
    </rPh>
    <rPh sb="1" eb="3">
      <t>リヨウ</t>
    </rPh>
    <rPh sb="3" eb="4">
      <t>リョウ</t>
    </rPh>
    <rPh sb="4" eb="5">
      <t>コミ</t>
    </rPh>
    <rPh sb="11" eb="12">
      <t>エン</t>
    </rPh>
    <phoneticPr fontId="4"/>
  </si>
  <si>
    <t>右表（イ）</t>
    <phoneticPr fontId="4"/>
  </si>
  <si>
    <t>右表（ウ）　</t>
    <phoneticPr fontId="4"/>
  </si>
  <si>
    <t>右表（エ）　</t>
    <phoneticPr fontId="4"/>
  </si>
  <si>
    <t>右表（イ）　</t>
    <phoneticPr fontId="4"/>
  </si>
  <si>
    <t>７－３　経営収支（10a当たり）</t>
    <rPh sb="12" eb="13">
      <t>ア</t>
    </rPh>
    <phoneticPr fontId="4"/>
  </si>
  <si>
    <t>８－３　経費の算出基礎（シャインマスカット　トンネル被覆，10a当たり）</t>
    <rPh sb="4" eb="6">
      <t>ケイヒ</t>
    </rPh>
    <rPh sb="7" eb="9">
      <t>サンシュツ</t>
    </rPh>
    <rPh sb="9" eb="11">
      <t>キソ</t>
    </rPh>
    <rPh sb="26" eb="28">
      <t>ヒフク</t>
    </rPh>
    <rPh sb="32" eb="33">
      <t>ア</t>
    </rPh>
    <phoneticPr fontId="4"/>
  </si>
  <si>
    <t>９－３　単価の算出基礎（シャインマスカット，1kg当たり）</t>
    <rPh sb="4" eb="6">
      <t>タンカ</t>
    </rPh>
    <phoneticPr fontId="4"/>
  </si>
  <si>
    <t>1人</t>
    <rPh sb="1" eb="2">
      <t>ニン</t>
    </rPh>
    <phoneticPr fontId="3"/>
  </si>
  <si>
    <t>硝酸入り化成肥料</t>
    <phoneticPr fontId="4"/>
  </si>
  <si>
    <t>ぶどう肥料</t>
    <rPh sb="3" eb="5">
      <t>ヒリョウ</t>
    </rPh>
    <phoneticPr fontId="4"/>
  </si>
  <si>
    <t>液肥</t>
    <rPh sb="0" eb="2">
      <t>エキヒ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</si>
  <si>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</si>
  <si>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</si>
  <si>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</si>
  <si>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</si>
  <si>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</si>
  <si>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</si>
  <si>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</si>
  <si>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</si>
  <si>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A</t>
    <phoneticPr fontId="4"/>
  </si>
  <si>
    <t>植調剤</t>
    <rPh sb="0" eb="1">
      <t>ショク</t>
    </rPh>
    <rPh sb="1" eb="2">
      <t>チョウ</t>
    </rPh>
    <rPh sb="2" eb="3">
      <t>ザイ</t>
    </rPh>
    <phoneticPr fontId="4"/>
  </si>
  <si>
    <t>石灰質肥料</t>
  </si>
  <si>
    <t>微量要素肥料</t>
  </si>
  <si>
    <t>有機酸資材</t>
  </si>
  <si>
    <t>土壌団粒化促進剤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</si>
</sst>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#,##0.0_ ;[Red]\-#,##0.0\ "/>
    <numFmt numFmtId="185" formatCode="00&quot;a&quot;"/>
    <numFmt numFmtId="186" formatCode="0_ "/>
    <numFmt numFmtId="187" formatCode="#,##0.00_);[Red]\(#,##0.00\)"/>
    <numFmt numFmtId="188" formatCode="#,##0.000_);[Red]\(#,##0.000\)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 tint="0.34998626667073579"/>
        <bgColor indexed="64"/>
      </patternFill>
    </fill>
  </fills>
  <borders count="274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37" fontId="13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38" fontId="1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925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6" fontId="5" fillId="0" borderId="86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176" fontId="0" fillId="0" borderId="86" xfId="0" applyNumberForma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4" xfId="0" applyFont="1" applyBorder="1" applyAlignment="1">
      <alignment horizontal="center" vertical="center"/>
    </xf>
    <xf numFmtId="0" fontId="0" fillId="0" borderId="34" xfId="0" applyFont="1" applyBorder="1" applyAlignment="1">
      <alignment vertical="center" wrapText="1"/>
    </xf>
    <xf numFmtId="0" fontId="0" fillId="0" borderId="64" xfId="0" applyFont="1" applyBorder="1" applyAlignment="1">
      <alignment vertical="center"/>
    </xf>
    <xf numFmtId="181" fontId="0" fillId="0" borderId="37" xfId="0" applyNumberFormat="1" applyFont="1" applyBorder="1" applyAlignment="1">
      <alignment horizontal="right" vertical="center"/>
    </xf>
    <xf numFmtId="0" fontId="0" fillId="0" borderId="33" xfId="0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181" fontId="0" fillId="0" borderId="40" xfId="0" applyNumberFormat="1" applyFont="1" applyBorder="1" applyAlignment="1">
      <alignment horizontal="right" vertical="center"/>
    </xf>
    <xf numFmtId="181" fontId="0" fillId="3" borderId="40" xfId="0" applyNumberFormat="1" applyFont="1" applyFill="1" applyBorder="1" applyAlignment="1">
      <alignment horizontal="right" vertical="center"/>
    </xf>
    <xf numFmtId="181" fontId="0" fillId="3" borderId="42" xfId="0" applyNumberFormat="1" applyFont="1" applyFill="1" applyBorder="1" applyAlignment="1">
      <alignment horizontal="right" vertical="center"/>
    </xf>
    <xf numFmtId="181" fontId="0" fillId="0" borderId="23" xfId="0" applyNumberFormat="1" applyFont="1" applyBorder="1" applyAlignment="1">
      <alignment horizontal="right" vertical="center"/>
    </xf>
    <xf numFmtId="181" fontId="0" fillId="0" borderId="33" xfId="0" applyNumberFormat="1" applyFont="1" applyBorder="1" applyAlignment="1">
      <alignment horizontal="right" vertical="center"/>
    </xf>
    <xf numFmtId="0" fontId="9" fillId="0" borderId="40" xfId="0" applyFont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9" fontId="0" fillId="0" borderId="70" xfId="0" applyNumberFormat="1" applyFont="1" applyBorder="1" applyAlignment="1">
      <alignment horizontal="center" vertical="center" shrinkToFit="1"/>
    </xf>
    <xf numFmtId="176" fontId="0" fillId="0" borderId="86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82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1" xfId="0" applyNumberFormat="1" applyFont="1" applyBorder="1" applyAlignment="1">
      <alignment horizontal="center" vertical="center" shrinkToFit="1"/>
    </xf>
    <xf numFmtId="176" fontId="0" fillId="0" borderId="82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67" xfId="0" applyNumberFormat="1" applyFont="1" applyBorder="1" applyAlignment="1">
      <alignment horizontal="center" vertical="center"/>
    </xf>
    <xf numFmtId="176" fontId="0" fillId="0" borderId="66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59" xfId="0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 shrinkToFit="1"/>
    </xf>
    <xf numFmtId="179" fontId="0" fillId="0" borderId="66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9" fontId="0" fillId="0" borderId="67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69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7" xfId="2" applyFont="1" applyBorder="1" applyAlignment="1">
      <alignment horizontal="center" vertical="center" wrapText="1"/>
    </xf>
    <xf numFmtId="0" fontId="1" fillId="0" borderId="86" xfId="2" applyFont="1" applyBorder="1" applyAlignment="1">
      <alignment vertical="center" wrapText="1"/>
    </xf>
    <xf numFmtId="0" fontId="1" fillId="0" borderId="110" xfId="2" applyFont="1" applyBorder="1" applyAlignment="1">
      <alignment horizontal="center" vertical="center" wrapText="1"/>
    </xf>
    <xf numFmtId="0" fontId="11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1" fillId="0" borderId="24" xfId="2" applyFont="1" applyBorder="1" applyAlignment="1">
      <alignment horizontal="center"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111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51" xfId="2" applyFont="1" applyBorder="1" applyAlignment="1">
      <alignment horizontal="center" vertical="center" wrapText="1"/>
    </xf>
    <xf numFmtId="0" fontId="1" fillId="0" borderId="115" xfId="2" applyFont="1" applyBorder="1" applyAlignment="1">
      <alignment horizontal="center" vertical="center" wrapText="1"/>
    </xf>
    <xf numFmtId="0" fontId="1" fillId="0" borderId="116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13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30" xfId="2" applyFont="1" applyBorder="1" applyAlignment="1">
      <alignment horizontal="center" vertical="center" wrapText="1"/>
    </xf>
    <xf numFmtId="0" fontId="1" fillId="0" borderId="5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31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07" xfId="0" applyNumberFormat="1" applyFont="1" applyFill="1" applyBorder="1" applyAlignment="1">
      <alignment vertical="center" shrinkToFit="1"/>
    </xf>
    <xf numFmtId="178" fontId="0" fillId="2" borderId="107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0" borderId="0" xfId="3" applyNumberFormat="1" applyFont="1" applyBorder="1" applyAlignment="1">
      <alignment horizontal="right" vertical="center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6" xfId="0" applyNumberFormat="1" applyFont="1" applyFill="1" applyBorder="1" applyAlignment="1">
      <alignment vertical="center"/>
    </xf>
    <xf numFmtId="176" fontId="0" fillId="0" borderId="109" xfId="0" applyNumberFormat="1" applyFont="1" applyBorder="1" applyAlignment="1">
      <alignment horizontal="center" vertical="center" shrinkToFit="1"/>
    </xf>
    <xf numFmtId="176" fontId="0" fillId="0" borderId="73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19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69" xfId="0" applyNumberFormat="1" applyFont="1" applyFill="1" applyBorder="1" applyAlignment="1">
      <alignment vertical="center" shrinkToFit="1"/>
    </xf>
    <xf numFmtId="176" fontId="0" fillId="0" borderId="23" xfId="0" applyNumberFormat="1" applyFont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79" fontId="0" fillId="0" borderId="124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Alignment="1">
      <alignment vertical="center"/>
    </xf>
    <xf numFmtId="177" fontId="0" fillId="0" borderId="1" xfId="0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133" xfId="0" applyNumberFormat="1" applyFill="1" applyBorder="1" applyAlignment="1">
      <alignment vertical="center"/>
    </xf>
    <xf numFmtId="177" fontId="0" fillId="6" borderId="134" xfId="0" applyNumberFormat="1" applyFont="1" applyFill="1" applyBorder="1" applyAlignment="1">
      <alignment vertical="center" shrinkToFit="1"/>
    </xf>
    <xf numFmtId="177" fontId="0" fillId="0" borderId="134" xfId="3" applyNumberFormat="1" applyFont="1" applyBorder="1" applyAlignment="1">
      <alignment vertical="center"/>
    </xf>
    <xf numFmtId="177" fontId="0" fillId="0" borderId="105" xfId="3" applyNumberFormat="1" applyFont="1" applyBorder="1" applyAlignment="1">
      <alignment horizontal="right" vertical="center"/>
    </xf>
    <xf numFmtId="177" fontId="0" fillId="0" borderId="105" xfId="3" applyNumberFormat="1" applyFont="1" applyBorder="1" applyAlignment="1">
      <alignment horizontal="left" vertical="center" shrinkToFit="1"/>
    </xf>
    <xf numFmtId="177" fontId="0" fillId="0" borderId="135" xfId="0" applyNumberFormat="1" applyFont="1" applyBorder="1" applyAlignment="1">
      <alignment vertical="center"/>
    </xf>
    <xf numFmtId="177" fontId="0" fillId="0" borderId="136" xfId="0" applyNumberFormat="1" applyFont="1" applyBorder="1" applyAlignment="1">
      <alignment vertical="center"/>
    </xf>
    <xf numFmtId="177" fontId="0" fillId="0" borderId="137" xfId="0" applyNumberFormat="1" applyFont="1" applyBorder="1" applyAlignment="1">
      <alignment vertical="center"/>
    </xf>
    <xf numFmtId="182" fontId="0" fillId="5" borderId="136" xfId="0" applyNumberFormat="1" applyFont="1" applyFill="1" applyBorder="1" applyAlignment="1">
      <alignment vertical="center"/>
    </xf>
    <xf numFmtId="177" fontId="0" fillId="0" borderId="133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7" fontId="0" fillId="0" borderId="136" xfId="3" applyNumberFormat="1" applyFont="1" applyBorder="1" applyAlignment="1">
      <alignment vertical="center" shrinkToFit="1"/>
    </xf>
    <xf numFmtId="177" fontId="0" fillId="5" borderId="14" xfId="0" applyNumberFormat="1" applyFill="1" applyBorder="1" applyAlignment="1">
      <alignment vertical="center"/>
    </xf>
    <xf numFmtId="177" fontId="0" fillId="0" borderId="136" xfId="0" applyNumberFormat="1" applyFont="1" applyFill="1" applyBorder="1" applyAlignment="1">
      <alignment vertical="center"/>
    </xf>
    <xf numFmtId="177" fontId="0" fillId="0" borderId="133" xfId="0" applyNumberFormat="1" applyFont="1" applyFill="1" applyBorder="1" applyAlignment="1">
      <alignment horizontal="center" vertical="center"/>
    </xf>
    <xf numFmtId="177" fontId="0" fillId="0" borderId="133" xfId="0" applyNumberFormat="1" applyFont="1" applyFill="1" applyBorder="1" applyAlignment="1">
      <alignment vertical="center"/>
    </xf>
    <xf numFmtId="177" fontId="0" fillId="0" borderId="136" xfId="0" applyNumberFormat="1" applyFill="1" applyBorder="1" applyAlignment="1">
      <alignment vertical="center"/>
    </xf>
    <xf numFmtId="178" fontId="0" fillId="0" borderId="13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21" xfId="0" applyNumberFormat="1" applyFont="1" applyFill="1" applyBorder="1" applyAlignment="1">
      <alignment vertical="center"/>
    </xf>
    <xf numFmtId="177" fontId="0" fillId="0" borderId="76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51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36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71" xfId="0" applyNumberFormat="1" applyFont="1" applyFill="1" applyBorder="1" applyAlignment="1">
      <alignment vertical="center" shrinkToFit="1"/>
    </xf>
    <xf numFmtId="177" fontId="0" fillId="0" borderId="86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51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37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133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36" xfId="0" applyNumberFormat="1" applyFont="1" applyFill="1" applyBorder="1" applyAlignment="1">
      <alignment horizontal="left" vertical="center"/>
    </xf>
    <xf numFmtId="177" fontId="0" fillId="0" borderId="136" xfId="3" applyNumberFormat="1" applyFont="1" applyFill="1" applyBorder="1" applyAlignment="1">
      <alignment vertical="center" shrinkToFit="1"/>
    </xf>
    <xf numFmtId="178" fontId="0" fillId="0" borderId="137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6" fontId="0" fillId="2" borderId="52" xfId="0" applyNumberFormat="1" applyFont="1" applyFill="1" applyBorder="1" applyAlignment="1">
      <alignment horizontal="center" vertical="center" shrinkToFit="1"/>
    </xf>
    <xf numFmtId="177" fontId="0" fillId="2" borderId="52" xfId="0" applyNumberFormat="1" applyFont="1" applyFill="1" applyBorder="1" applyAlignment="1">
      <alignment vertical="center" shrinkToFit="1"/>
    </xf>
    <xf numFmtId="177" fontId="0" fillId="0" borderId="143" xfId="3" applyNumberFormat="1" applyFont="1" applyBorder="1" applyAlignment="1">
      <alignment vertical="center" shrinkToFit="1"/>
    </xf>
    <xf numFmtId="177" fontId="0" fillId="0" borderId="23" xfId="3" applyNumberFormat="1" applyFont="1" applyBorder="1" applyAlignment="1">
      <alignment vertical="center" shrinkToFit="1"/>
    </xf>
    <xf numFmtId="177" fontId="0" fillId="0" borderId="23" xfId="3" applyNumberFormat="1" applyFont="1" applyFill="1" applyBorder="1" applyAlignment="1">
      <alignment vertical="center" shrinkToFit="1"/>
    </xf>
    <xf numFmtId="176" fontId="0" fillId="2" borderId="141" xfId="0" applyNumberFormat="1" applyFont="1" applyFill="1" applyBorder="1" applyAlignment="1">
      <alignment vertical="center" shrinkToFit="1"/>
    </xf>
    <xf numFmtId="176" fontId="0" fillId="0" borderId="61" xfId="0" applyNumberFormat="1" applyFont="1" applyBorder="1" applyAlignment="1">
      <alignment vertical="center"/>
    </xf>
    <xf numFmtId="177" fontId="0" fillId="2" borderId="52" xfId="3" applyNumberFormat="1" applyFont="1" applyFill="1" applyBorder="1" applyAlignment="1">
      <alignment horizontal="center" vertical="center" shrinkToFit="1"/>
    </xf>
    <xf numFmtId="177" fontId="0" fillId="2" borderId="52" xfId="3" applyNumberFormat="1" applyFont="1" applyFill="1" applyBorder="1" applyAlignment="1">
      <alignment vertical="center" shrinkToFit="1"/>
    </xf>
    <xf numFmtId="176" fontId="0" fillId="6" borderId="141" xfId="0" applyNumberFormat="1" applyFont="1" applyFill="1" applyBorder="1" applyAlignment="1">
      <alignment vertical="center"/>
    </xf>
    <xf numFmtId="176" fontId="0" fillId="0" borderId="143" xfId="3" applyNumberFormat="1" applyFont="1" applyFill="1" applyBorder="1" applyAlignment="1">
      <alignment vertical="center" shrinkToFit="1"/>
    </xf>
    <xf numFmtId="176" fontId="0" fillId="0" borderId="23" xfId="3" applyNumberFormat="1" applyFont="1" applyFill="1" applyBorder="1" applyAlignment="1">
      <alignment vertical="center" shrinkToFit="1"/>
    </xf>
    <xf numFmtId="176" fontId="0" fillId="0" borderId="144" xfId="0" applyNumberFormat="1" applyFont="1" applyBorder="1" applyAlignment="1">
      <alignment vertical="center"/>
    </xf>
    <xf numFmtId="176" fontId="0" fillId="0" borderId="147" xfId="0" applyNumberFormat="1" applyFont="1" applyBorder="1" applyAlignment="1">
      <alignment vertical="center"/>
    </xf>
    <xf numFmtId="176" fontId="0" fillId="0" borderId="125" xfId="0" applyNumberFormat="1" applyFont="1" applyBorder="1" applyAlignment="1">
      <alignment vertical="center"/>
    </xf>
    <xf numFmtId="179" fontId="0" fillId="0" borderId="23" xfId="0" applyNumberFormat="1" applyFont="1" applyFill="1" applyBorder="1" applyAlignment="1">
      <alignment vertical="center"/>
    </xf>
    <xf numFmtId="9" fontId="0" fillId="0" borderId="23" xfId="3" applyNumberFormat="1" applyFont="1" applyFill="1" applyBorder="1" applyAlignment="1">
      <alignment vertical="center" shrinkToFit="1"/>
    </xf>
    <xf numFmtId="3" fontId="0" fillId="0" borderId="23" xfId="5" applyNumberFormat="1" applyFont="1" applyFill="1" applyBorder="1" applyAlignment="1">
      <alignment vertical="center" shrinkToFit="1"/>
    </xf>
    <xf numFmtId="176" fontId="0" fillId="0" borderId="61" xfId="0" applyNumberFormat="1" applyFont="1" applyBorder="1" applyAlignment="1">
      <alignment vertical="center" shrinkToFit="1"/>
    </xf>
    <xf numFmtId="176" fontId="0" fillId="6" borderId="152" xfId="0" applyNumberFormat="1" applyFont="1" applyFill="1" applyBorder="1" applyAlignment="1">
      <alignment vertical="center"/>
    </xf>
    <xf numFmtId="177" fontId="0" fillId="0" borderId="155" xfId="0" applyNumberFormat="1" applyFont="1" applyFill="1" applyBorder="1" applyAlignment="1">
      <alignment vertical="center" shrinkToFit="1"/>
    </xf>
    <xf numFmtId="177" fontId="0" fillId="0" borderId="156" xfId="0" applyNumberFormat="1" applyFont="1" applyFill="1" applyBorder="1" applyAlignment="1">
      <alignment vertical="center" shrinkToFit="1"/>
    </xf>
    <xf numFmtId="177" fontId="0" fillId="0" borderId="150" xfId="0" applyNumberFormat="1" applyFill="1" applyBorder="1" applyAlignment="1">
      <alignment vertical="center"/>
    </xf>
    <xf numFmtId="0" fontId="0" fillId="0" borderId="0" xfId="2" applyFont="1" applyAlignment="1">
      <alignment vertical="center"/>
    </xf>
    <xf numFmtId="0" fontId="8" fillId="0" borderId="157" xfId="0" applyFont="1" applyBorder="1" applyAlignment="1">
      <alignment horizontal="center" vertical="center" shrinkToFit="1"/>
    </xf>
    <xf numFmtId="0" fontId="8" fillId="0" borderId="160" xfId="0" applyFont="1" applyBorder="1" applyAlignment="1">
      <alignment horizontal="center" vertical="center" shrinkToFit="1"/>
    </xf>
    <xf numFmtId="179" fontId="0" fillId="0" borderId="0" xfId="0" applyNumberFormat="1" applyFont="1" applyBorder="1" applyAlignment="1">
      <alignment vertical="center" shrinkToFit="1"/>
    </xf>
    <xf numFmtId="176" fontId="0" fillId="0" borderId="164" xfId="0" applyNumberFormat="1" applyFont="1" applyBorder="1" applyAlignment="1">
      <alignment vertical="center"/>
    </xf>
    <xf numFmtId="176" fontId="0" fillId="0" borderId="86" xfId="0" applyNumberFormat="1" applyFont="1" applyBorder="1" applyAlignment="1">
      <alignment vertical="center"/>
    </xf>
    <xf numFmtId="179" fontId="0" fillId="0" borderId="10" xfId="0" applyNumberFormat="1" applyFont="1" applyBorder="1" applyAlignment="1">
      <alignment vertical="center" shrinkToFit="1"/>
    </xf>
    <xf numFmtId="179" fontId="0" fillId="0" borderId="165" xfId="0" applyNumberFormat="1" applyFont="1" applyBorder="1" applyAlignment="1">
      <alignment vertical="center" shrinkToFit="1"/>
    </xf>
    <xf numFmtId="179" fontId="0" fillId="0" borderId="12" xfId="0" applyNumberFormat="1" applyFont="1" applyBorder="1" applyAlignment="1">
      <alignment vertical="center" shrinkToFit="1"/>
    </xf>
    <xf numFmtId="179" fontId="0" fillId="0" borderId="167" xfId="0" applyNumberFormat="1" applyFont="1" applyBorder="1" applyAlignment="1">
      <alignment vertical="center" shrinkToFit="1"/>
    </xf>
    <xf numFmtId="179" fontId="0" fillId="0" borderId="168" xfId="0" applyNumberFormat="1" applyFont="1" applyBorder="1" applyAlignment="1">
      <alignment vertical="center" shrinkToFit="1"/>
    </xf>
    <xf numFmtId="179" fontId="0" fillId="0" borderId="133" xfId="0" applyNumberFormat="1" applyFont="1" applyBorder="1" applyAlignment="1">
      <alignment vertical="center" shrinkToFit="1"/>
    </xf>
    <xf numFmtId="179" fontId="0" fillId="0" borderId="11" xfId="0" applyNumberFormat="1" applyFont="1" applyBorder="1" applyAlignment="1">
      <alignment vertical="center" shrinkToFit="1"/>
    </xf>
    <xf numFmtId="179" fontId="0" fillId="0" borderId="170" xfId="0" applyNumberFormat="1" applyFont="1" applyBorder="1" applyAlignment="1">
      <alignment vertical="center" shrinkToFit="1"/>
    </xf>
    <xf numFmtId="179" fontId="0" fillId="0" borderId="119" xfId="0" applyNumberFormat="1" applyFont="1" applyBorder="1" applyAlignment="1">
      <alignment vertical="center" shrinkToFit="1"/>
    </xf>
    <xf numFmtId="179" fontId="0" fillId="0" borderId="120" xfId="0" applyNumberFormat="1" applyFont="1" applyBorder="1" applyAlignment="1">
      <alignment vertical="center" shrinkToFit="1"/>
    </xf>
    <xf numFmtId="179" fontId="0" fillId="0" borderId="172" xfId="0" applyNumberFormat="1" applyFont="1" applyBorder="1" applyAlignment="1">
      <alignment vertical="center" shrinkToFit="1"/>
    </xf>
    <xf numFmtId="179" fontId="0" fillId="0" borderId="151" xfId="0" applyNumberFormat="1" applyFont="1" applyBorder="1" applyAlignment="1">
      <alignment vertical="center" shrinkToFit="1"/>
    </xf>
    <xf numFmtId="184" fontId="0" fillId="0" borderId="12" xfId="0" applyNumberFormat="1" applyFont="1" applyBorder="1" applyAlignment="1">
      <alignment vertical="center" shrinkToFit="1"/>
    </xf>
    <xf numFmtId="184" fontId="0" fillId="0" borderId="167" xfId="0" applyNumberFormat="1" applyFont="1" applyBorder="1" applyAlignment="1">
      <alignment vertical="center" shrinkToFit="1"/>
    </xf>
    <xf numFmtId="0" fontId="1" fillId="0" borderId="0" xfId="2" applyFont="1" applyAlignment="1">
      <alignment horizontal="right" vertical="center"/>
    </xf>
    <xf numFmtId="176" fontId="0" fillId="0" borderId="18" xfId="0" applyNumberFormat="1" applyFont="1" applyBorder="1" applyAlignment="1">
      <alignment vertical="center"/>
    </xf>
    <xf numFmtId="176" fontId="0" fillId="0" borderId="70" xfId="0" applyNumberFormat="1" applyFont="1" applyBorder="1" applyAlignment="1">
      <alignment horizontal="center" vertical="center" shrinkToFit="1"/>
    </xf>
    <xf numFmtId="0" fontId="0" fillId="0" borderId="0" xfId="2" applyFont="1" applyAlignment="1">
      <alignment horizontal="right" vertical="center"/>
    </xf>
    <xf numFmtId="176" fontId="0" fillId="0" borderId="86" xfId="0" applyNumberFormat="1" applyFont="1" applyBorder="1" applyAlignment="1">
      <alignment vertical="center" shrinkToFit="1"/>
    </xf>
    <xf numFmtId="9" fontId="0" fillId="0" borderId="86" xfId="0" applyNumberFormat="1" applyFont="1" applyBorder="1" applyAlignment="1">
      <alignment vertical="center" shrinkToFit="1"/>
    </xf>
    <xf numFmtId="182" fontId="0" fillId="0" borderId="86" xfId="4" applyNumberFormat="1" applyFont="1" applyBorder="1" applyAlignment="1">
      <alignment vertical="center" shrinkToFit="1"/>
    </xf>
    <xf numFmtId="176" fontId="0" fillId="0" borderId="86" xfId="0" applyNumberFormat="1" applyFont="1" applyBorder="1" applyAlignment="1">
      <alignment horizontal="right" vertical="center" shrinkToFit="1"/>
    </xf>
    <xf numFmtId="176" fontId="0" fillId="2" borderId="86" xfId="0" applyNumberFormat="1" applyFont="1" applyFill="1" applyBorder="1" applyAlignment="1">
      <alignment vertical="center" shrinkToFit="1"/>
    </xf>
    <xf numFmtId="176" fontId="0" fillId="2" borderId="86" xfId="0" applyNumberFormat="1" applyFont="1" applyFill="1" applyBorder="1" applyAlignment="1">
      <alignment horizontal="left" vertical="center" shrinkToFit="1"/>
    </xf>
    <xf numFmtId="179" fontId="0" fillId="2" borderId="86" xfId="0" applyNumberFormat="1" applyFont="1" applyFill="1" applyBorder="1" applyAlignment="1">
      <alignment vertical="center" shrinkToFit="1"/>
    </xf>
    <xf numFmtId="9" fontId="0" fillId="0" borderId="86" xfId="4" applyFont="1" applyBorder="1" applyAlignment="1">
      <alignment vertical="center" shrinkToFit="1"/>
    </xf>
    <xf numFmtId="177" fontId="0" fillId="0" borderId="7" xfId="0" applyNumberFormat="1" applyFill="1" applyBorder="1" applyAlignment="1">
      <alignment vertical="center" shrinkToFit="1"/>
    </xf>
    <xf numFmtId="177" fontId="0" fillId="0" borderId="7" xfId="0" applyNumberFormat="1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51" xfId="0" applyNumberFormat="1" applyFill="1" applyBorder="1" applyAlignment="1">
      <alignment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177" fontId="0" fillId="0" borderId="150" xfId="0" applyNumberFormat="1" applyFont="1" applyFill="1" applyBorder="1" applyAlignment="1">
      <alignment vertical="center"/>
    </xf>
    <xf numFmtId="177" fontId="0" fillId="0" borderId="155" xfId="0" applyNumberFormat="1" applyFont="1" applyFill="1" applyBorder="1" applyAlignment="1">
      <alignment vertical="center"/>
    </xf>
    <xf numFmtId="177" fontId="0" fillId="0" borderId="156" xfId="0" applyNumberFormat="1" applyFont="1" applyFill="1" applyBorder="1" applyAlignment="1">
      <alignment vertical="center"/>
    </xf>
    <xf numFmtId="176" fontId="0" fillId="0" borderId="133" xfId="0" applyNumberFormat="1" applyFont="1" applyBorder="1" applyAlignment="1">
      <alignment vertical="center" shrinkToFit="1"/>
    </xf>
    <xf numFmtId="185" fontId="0" fillId="0" borderId="75" xfId="0" applyNumberFormat="1" applyFont="1" applyBorder="1" applyAlignment="1">
      <alignment horizontal="center" vertical="center"/>
    </xf>
    <xf numFmtId="181" fontId="0" fillId="0" borderId="173" xfId="0" applyNumberFormat="1" applyFont="1" applyBorder="1" applyAlignment="1">
      <alignment horizontal="right" vertical="center"/>
    </xf>
    <xf numFmtId="181" fontId="0" fillId="4" borderId="42" xfId="0" applyNumberFormat="1" applyFont="1" applyFill="1" applyBorder="1" applyAlignment="1">
      <alignment horizontal="right" vertical="center"/>
    </xf>
    <xf numFmtId="181" fontId="0" fillId="7" borderId="40" xfId="0" applyNumberFormat="1" applyFont="1" applyFill="1" applyBorder="1" applyAlignment="1">
      <alignment horizontal="right" vertical="center"/>
    </xf>
    <xf numFmtId="181" fontId="0" fillId="7" borderId="43" xfId="1" applyNumberFormat="1" applyFont="1" applyFill="1" applyBorder="1" applyAlignment="1">
      <alignment horizontal="right" vertical="center"/>
    </xf>
    <xf numFmtId="181" fontId="0" fillId="0" borderId="39" xfId="0" applyNumberFormat="1" applyFont="1" applyBorder="1" applyAlignment="1">
      <alignment vertical="center"/>
    </xf>
    <xf numFmtId="181" fontId="0" fillId="0" borderId="180" xfId="0" applyNumberFormat="1" applyFont="1" applyBorder="1" applyAlignment="1">
      <alignment vertical="center"/>
    </xf>
    <xf numFmtId="181" fontId="0" fillId="5" borderId="39" xfId="0" applyNumberFormat="1" applyFont="1" applyFill="1" applyBorder="1" applyAlignment="1">
      <alignment vertical="center"/>
    </xf>
    <xf numFmtId="181" fontId="0" fillId="3" borderId="23" xfId="1" applyNumberFormat="1" applyFont="1" applyFill="1" applyBorder="1" applyAlignment="1">
      <alignment horizontal="right" vertical="center"/>
    </xf>
    <xf numFmtId="181" fontId="0" fillId="0" borderId="39" xfId="0" applyNumberFormat="1" applyFont="1" applyBorder="1" applyAlignment="1">
      <alignment horizontal="right" vertical="center"/>
    </xf>
    <xf numFmtId="182" fontId="0" fillId="3" borderId="23" xfId="1" applyNumberFormat="1" applyFont="1" applyFill="1" applyBorder="1" applyAlignment="1">
      <alignment horizontal="right" vertical="center"/>
    </xf>
    <xf numFmtId="181" fontId="0" fillId="3" borderId="48" xfId="1" applyNumberFormat="1" applyFont="1" applyFill="1" applyBorder="1" applyAlignment="1">
      <alignment horizontal="right" vertical="center"/>
    </xf>
    <xf numFmtId="0" fontId="0" fillId="0" borderId="174" xfId="0" applyFont="1" applyBorder="1" applyAlignment="1">
      <alignment horizontal="center" vertical="center"/>
    </xf>
    <xf numFmtId="185" fontId="0" fillId="0" borderId="130" xfId="0" applyNumberFormat="1" applyFont="1" applyBorder="1" applyAlignment="1">
      <alignment horizontal="center" vertical="center"/>
    </xf>
    <xf numFmtId="181" fontId="0" fillId="0" borderId="39" xfId="0" applyNumberFormat="1" applyFont="1" applyFill="1" applyBorder="1" applyAlignment="1">
      <alignment horizontal="right" vertical="center"/>
    </xf>
    <xf numFmtId="181" fontId="0" fillId="7" borderId="55" xfId="1" applyNumberFormat="1" applyFont="1" applyFill="1" applyBorder="1" applyAlignment="1">
      <alignment horizontal="right" vertical="center"/>
    </xf>
    <xf numFmtId="181" fontId="0" fillId="3" borderId="33" xfId="1" applyNumberFormat="1" applyFont="1" applyFill="1" applyBorder="1" applyAlignment="1">
      <alignment horizontal="right" vertical="center"/>
    </xf>
    <xf numFmtId="182" fontId="0" fillId="3" borderId="33" xfId="1" applyNumberFormat="1" applyFont="1" applyFill="1" applyBorder="1" applyAlignment="1">
      <alignment horizontal="right" vertical="center"/>
    </xf>
    <xf numFmtId="181" fontId="0" fillId="3" borderId="46" xfId="1" applyNumberFormat="1" applyFont="1" applyFill="1" applyBorder="1" applyAlignment="1">
      <alignment horizontal="right" vertical="center"/>
    </xf>
    <xf numFmtId="181" fontId="0" fillId="0" borderId="23" xfId="0" applyNumberFormat="1" applyFont="1" applyFill="1" applyBorder="1" applyAlignment="1">
      <alignment horizontal="right" vertical="center"/>
    </xf>
    <xf numFmtId="177" fontId="0" fillId="0" borderId="133" xfId="3" applyNumberFormat="1" applyFont="1" applyFill="1" applyBorder="1" applyAlignment="1">
      <alignment vertical="center" shrinkToFit="1"/>
    </xf>
    <xf numFmtId="176" fontId="4" fillId="0" borderId="187" xfId="0" applyNumberFormat="1" applyFont="1" applyBorder="1" applyAlignment="1">
      <alignment horizontal="left" vertical="center" wrapText="1"/>
    </xf>
    <xf numFmtId="176" fontId="0" fillId="0" borderId="19" xfId="0" applyNumberFormat="1" applyFont="1" applyBorder="1" applyAlignment="1">
      <alignment vertical="center" shrinkToFit="1"/>
    </xf>
    <xf numFmtId="176" fontId="0" fillId="0" borderId="69" xfId="0" applyNumberFormat="1" applyFont="1" applyBorder="1" applyAlignment="1">
      <alignment vertical="center" shrinkToFit="1"/>
    </xf>
    <xf numFmtId="176" fontId="0" fillId="0" borderId="68" xfId="0" applyNumberFormat="1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 shrinkToFit="1"/>
    </xf>
    <xf numFmtId="176" fontId="0" fillId="0" borderId="188" xfId="0" applyNumberFormat="1" applyFont="1" applyBorder="1" applyAlignment="1">
      <alignment horizontal="center" vertical="center" shrinkToFit="1"/>
    </xf>
    <xf numFmtId="176" fontId="0" fillId="0" borderId="189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69" xfId="0" applyNumberFormat="1" applyFont="1" applyFill="1" applyBorder="1" applyAlignment="1">
      <alignment vertical="center" shrinkToFit="1"/>
    </xf>
    <xf numFmtId="177" fontId="0" fillId="0" borderId="13" xfId="0" applyNumberForma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6" fontId="0" fillId="0" borderId="23" xfId="0" applyNumberFormat="1" applyFont="1" applyBorder="1" applyAlignment="1">
      <alignment vertical="center"/>
    </xf>
    <xf numFmtId="176" fontId="0" fillId="0" borderId="143" xfId="0" applyNumberFormat="1" applyFont="1" applyBorder="1" applyAlignment="1">
      <alignment vertical="center"/>
    </xf>
    <xf numFmtId="179" fontId="9" fillId="5" borderId="124" xfId="0" applyNumberFormat="1" applyFont="1" applyFill="1" applyBorder="1" applyAlignment="1">
      <alignment horizontal="center" vertical="center" shrinkToFit="1"/>
    </xf>
    <xf numFmtId="176" fontId="0" fillId="0" borderId="33" xfId="3" applyNumberFormat="1" applyFont="1" applyFill="1" applyBorder="1" applyAlignment="1">
      <alignment vertical="center" shrinkToFit="1"/>
    </xf>
    <xf numFmtId="176" fontId="0" fillId="0" borderId="40" xfId="3" applyNumberFormat="1" applyFont="1" applyFill="1" applyBorder="1" applyAlignment="1">
      <alignment vertical="center" shrinkToFit="1"/>
    </xf>
    <xf numFmtId="181" fontId="0" fillId="3" borderId="190" xfId="0" applyNumberFormat="1" applyFont="1" applyFill="1" applyBorder="1" applyAlignment="1">
      <alignment horizontal="right" vertical="center"/>
    </xf>
    <xf numFmtId="0" fontId="0" fillId="0" borderId="0" xfId="0" applyAlignment="1"/>
    <xf numFmtId="176" fontId="1" fillId="0" borderId="191" xfId="0" applyNumberFormat="1" applyFont="1" applyBorder="1" applyAlignment="1">
      <alignment vertical="center"/>
    </xf>
    <xf numFmtId="176" fontId="1" fillId="0" borderId="192" xfId="0" applyNumberFormat="1" applyFont="1" applyBorder="1" applyAlignment="1">
      <alignment horizontal="center" vertical="center"/>
    </xf>
    <xf numFmtId="176" fontId="1" fillId="0" borderId="193" xfId="0" applyNumberFormat="1" applyFont="1" applyBorder="1" applyAlignment="1">
      <alignment horizontal="center" vertical="center"/>
    </xf>
    <xf numFmtId="176" fontId="1" fillId="0" borderId="194" xfId="0" applyNumberFormat="1" applyFont="1" applyBorder="1" applyAlignment="1">
      <alignment horizontal="center" vertical="center"/>
    </xf>
    <xf numFmtId="176" fontId="1" fillId="0" borderId="195" xfId="0" applyNumberFormat="1" applyFont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133" xfId="0" applyNumberFormat="1" applyFont="1" applyFill="1" applyBorder="1" applyAlignment="1"/>
    <xf numFmtId="176" fontId="1" fillId="0" borderId="133" xfId="0" applyNumberFormat="1" applyFont="1" applyBorder="1" applyAlignment="1"/>
    <xf numFmtId="176" fontId="1" fillId="8" borderId="133" xfId="0" applyNumberFormat="1" applyFont="1" applyFill="1" applyBorder="1" applyAlignment="1"/>
    <xf numFmtId="176" fontId="1" fillId="5" borderId="133" xfId="0" applyNumberFormat="1" applyFont="1" applyFill="1" applyBorder="1" applyAlignment="1"/>
    <xf numFmtId="176" fontId="1" fillId="0" borderId="2" xfId="0" applyNumberFormat="1" applyFont="1" applyBorder="1" applyAlignment="1"/>
    <xf numFmtId="176" fontId="1" fillId="0" borderId="197" xfId="0" applyNumberFormat="1" applyFont="1" applyBorder="1" applyAlignment="1"/>
    <xf numFmtId="176" fontId="1" fillId="8" borderId="198" xfId="0" applyNumberFormat="1" applyFont="1" applyFill="1" applyBorder="1" applyAlignment="1"/>
    <xf numFmtId="186" fontId="1" fillId="5" borderId="133" xfId="0" applyNumberFormat="1" applyFont="1" applyFill="1" applyBorder="1" applyAlignment="1"/>
    <xf numFmtId="176" fontId="1" fillId="0" borderId="133" xfId="0" applyNumberFormat="1" applyFont="1" applyFill="1" applyBorder="1" applyAlignment="1"/>
    <xf numFmtId="176" fontId="1" fillId="2" borderId="199" xfId="0" applyNumberFormat="1" applyFont="1" applyFill="1" applyBorder="1" applyAlignment="1">
      <alignment horizontal="center" vertical="center"/>
    </xf>
    <xf numFmtId="176" fontId="1" fillId="2" borderId="199" xfId="0" applyNumberFormat="1" applyFont="1" applyFill="1" applyBorder="1" applyAlignment="1"/>
    <xf numFmtId="176" fontId="1" fillId="2" borderId="200" xfId="0" applyNumberFormat="1" applyFont="1" applyFill="1" applyBorder="1" applyAlignment="1"/>
    <xf numFmtId="176" fontId="1" fillId="0" borderId="133" xfId="0" applyNumberFormat="1" applyFont="1" applyBorder="1" applyAlignment="1">
      <alignment vertical="center"/>
    </xf>
    <xf numFmtId="176" fontId="1" fillId="8" borderId="133" xfId="0" applyNumberFormat="1" applyFont="1" applyFill="1" applyBorder="1" applyAlignment="1">
      <alignment vertical="center"/>
    </xf>
    <xf numFmtId="176" fontId="0" fillId="0" borderId="133" xfId="0" applyNumberFormat="1" applyFont="1" applyFill="1" applyBorder="1" applyAlignment="1">
      <alignment vertical="center"/>
    </xf>
    <xf numFmtId="176" fontId="1" fillId="5" borderId="133" xfId="0" applyNumberFormat="1" applyFont="1" applyFill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1" fillId="0" borderId="133" xfId="0" applyNumberFormat="1" applyFont="1" applyFill="1" applyBorder="1" applyAlignment="1">
      <alignment vertical="center"/>
    </xf>
    <xf numFmtId="176" fontId="0" fillId="0" borderId="133" xfId="0" applyNumberFormat="1" applyFont="1" applyBorder="1" applyAlignment="1">
      <alignment vertical="center"/>
    </xf>
    <xf numFmtId="176" fontId="0" fillId="0" borderId="197" xfId="0" applyNumberFormat="1" applyFont="1" applyBorder="1" applyAlignment="1">
      <alignment vertical="center"/>
    </xf>
    <xf numFmtId="176" fontId="1" fillId="0" borderId="197" xfId="0" applyNumberFormat="1" applyFont="1" applyBorder="1" applyAlignment="1">
      <alignment vertical="center"/>
    </xf>
    <xf numFmtId="176" fontId="1" fillId="8" borderId="197" xfId="0" applyNumberFormat="1" applyFont="1" applyFill="1" applyBorder="1" applyAlignment="1">
      <alignment vertical="center"/>
    </xf>
    <xf numFmtId="176" fontId="1" fillId="5" borderId="197" xfId="0" applyNumberFormat="1" applyFont="1" applyFill="1" applyBorder="1" applyAlignment="1">
      <alignment vertical="center"/>
    </xf>
    <xf numFmtId="176" fontId="1" fillId="0" borderId="201" xfId="0" applyNumberFormat="1" applyFont="1" applyBorder="1" applyAlignment="1">
      <alignment vertical="center"/>
    </xf>
    <xf numFmtId="176" fontId="1" fillId="2" borderId="11" xfId="0" applyNumberFormat="1" applyFont="1" applyFill="1" applyBorder="1" applyAlignment="1">
      <alignment horizontal="center" vertical="center"/>
    </xf>
    <xf numFmtId="176" fontId="1" fillId="2" borderId="11" xfId="0" applyNumberFormat="1" applyFont="1" applyFill="1" applyBorder="1" applyAlignment="1">
      <alignment vertical="center"/>
    </xf>
    <xf numFmtId="176" fontId="1" fillId="2" borderId="119" xfId="0" applyNumberFormat="1" applyFont="1" applyFill="1" applyBorder="1" applyAlignment="1">
      <alignment vertical="center"/>
    </xf>
    <xf numFmtId="176" fontId="1" fillId="0" borderId="9" xfId="0" applyNumberFormat="1" applyFont="1" applyBorder="1" applyAlignment="1">
      <alignment horizontal="center" vertical="center"/>
    </xf>
    <xf numFmtId="176" fontId="0" fillId="0" borderId="133" xfId="0" applyNumberFormat="1" applyFont="1" applyBorder="1" applyAlignment="1"/>
    <xf numFmtId="176" fontId="1" fillId="0" borderId="202" xfId="0" applyNumberFormat="1" applyFont="1" applyBorder="1" applyAlignment="1"/>
    <xf numFmtId="176" fontId="1" fillId="0" borderId="169" xfId="0" applyNumberFormat="1" applyFont="1" applyBorder="1" applyAlignment="1">
      <alignment horizontal="center" vertical="center"/>
    </xf>
    <xf numFmtId="176" fontId="1" fillId="0" borderId="58" xfId="0" applyNumberFormat="1" applyFont="1" applyBorder="1" applyAlignment="1">
      <alignment horizontal="center" vertical="center"/>
    </xf>
    <xf numFmtId="176" fontId="1" fillId="9" borderId="133" xfId="0" applyNumberFormat="1" applyFont="1" applyFill="1" applyBorder="1" applyAlignment="1"/>
    <xf numFmtId="176" fontId="1" fillId="0" borderId="68" xfId="0" applyNumberFormat="1" applyFont="1" applyBorder="1" applyAlignment="1">
      <alignment horizontal="center" vertical="center"/>
    </xf>
    <xf numFmtId="176" fontId="1" fillId="2" borderId="19" xfId="0" applyNumberFormat="1" applyFont="1" applyFill="1" applyBorder="1" applyAlignment="1">
      <alignment horizontal="center" vertical="center"/>
    </xf>
    <xf numFmtId="176" fontId="1" fillId="2" borderId="19" xfId="0" applyNumberFormat="1" applyFont="1" applyFill="1" applyBorder="1" applyAlignment="1">
      <alignment vertical="center"/>
    </xf>
    <xf numFmtId="176" fontId="1" fillId="2" borderId="69" xfId="0" applyNumberFormat="1" applyFont="1" applyFill="1" applyBorder="1" applyAlignment="1">
      <alignment vertical="center"/>
    </xf>
    <xf numFmtId="176" fontId="1" fillId="10" borderId="19" xfId="0" applyNumberFormat="1" applyFont="1" applyFill="1" applyBorder="1" applyAlignment="1">
      <alignment horizontal="center" vertical="center"/>
    </xf>
    <xf numFmtId="176" fontId="1" fillId="10" borderId="19" xfId="0" applyNumberFormat="1" applyFont="1" applyFill="1" applyBorder="1" applyAlignment="1">
      <alignment vertical="center"/>
    </xf>
    <xf numFmtId="176" fontId="1" fillId="10" borderId="69" xfId="0" applyNumberFormat="1" applyFont="1" applyFill="1" applyBorder="1" applyAlignment="1">
      <alignment vertical="center"/>
    </xf>
    <xf numFmtId="0" fontId="1" fillId="0" borderId="0" xfId="0" applyFont="1" applyAlignment="1"/>
    <xf numFmtId="177" fontId="0" fillId="0" borderId="205" xfId="0" applyNumberFormat="1" applyBorder="1" applyAlignment="1">
      <alignment vertical="center"/>
    </xf>
    <xf numFmtId="177" fontId="0" fillId="0" borderId="206" xfId="0" applyNumberFormat="1" applyBorder="1" applyAlignment="1">
      <alignment horizontal="center" vertical="center"/>
    </xf>
    <xf numFmtId="177" fontId="1" fillId="0" borderId="177" xfId="0" applyNumberFormat="1" applyFont="1" applyBorder="1" applyAlignment="1">
      <alignment horizontal="center" vertical="center"/>
    </xf>
    <xf numFmtId="177" fontId="0" fillId="0" borderId="208" xfId="0" applyNumberFormat="1" applyBorder="1" applyAlignment="1">
      <alignment horizontal="center" vertical="center"/>
    </xf>
    <xf numFmtId="177" fontId="0" fillId="0" borderId="207" xfId="0" applyNumberFormat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7" fontId="0" fillId="0" borderId="96" xfId="0" applyNumberFormat="1" applyBorder="1" applyAlignment="1">
      <alignment vertical="center"/>
    </xf>
    <xf numFmtId="177" fontId="0" fillId="0" borderId="23" xfId="0" applyNumberFormat="1" applyBorder="1" applyAlignment="1">
      <alignment horizontal="center" vertical="center"/>
    </xf>
    <xf numFmtId="177" fontId="1" fillId="0" borderId="33" xfId="0" applyNumberFormat="1" applyFont="1" applyBorder="1" applyAlignment="1">
      <alignment horizontal="center" vertical="center"/>
    </xf>
    <xf numFmtId="177" fontId="0" fillId="0" borderId="96" xfId="0" applyNumberFormat="1" applyBorder="1" applyAlignment="1">
      <alignment horizontal="center" vertical="center"/>
    </xf>
    <xf numFmtId="177" fontId="0" fillId="0" borderId="61" xfId="0" applyNumberFormat="1" applyBorder="1" applyAlignment="1">
      <alignment horizontal="center" vertical="center"/>
    </xf>
    <xf numFmtId="177" fontId="0" fillId="0" borderId="40" xfId="0" applyNumberFormat="1" applyBorder="1" applyAlignment="1">
      <alignment horizontal="center" vertical="center"/>
    </xf>
    <xf numFmtId="177" fontId="0" fillId="0" borderId="96" xfId="0" applyNumberFormat="1" applyBorder="1" applyAlignment="1"/>
    <xf numFmtId="177" fontId="1" fillId="0" borderId="33" xfId="0" applyNumberFormat="1" applyFont="1" applyBorder="1" applyAlignment="1"/>
    <xf numFmtId="177" fontId="0" fillId="0" borderId="23" xfId="0" applyNumberFormat="1" applyBorder="1" applyAlignment="1"/>
    <xf numFmtId="177" fontId="0" fillId="0" borderId="61" xfId="0" applyNumberFormat="1" applyBorder="1" applyAlignment="1"/>
    <xf numFmtId="178" fontId="0" fillId="0" borderId="96" xfId="0" applyNumberFormat="1" applyBorder="1" applyAlignment="1"/>
    <xf numFmtId="178" fontId="0" fillId="0" borderId="23" xfId="0" applyNumberFormat="1" applyBorder="1" applyAlignment="1"/>
    <xf numFmtId="178" fontId="0" fillId="0" borderId="61" xfId="0" applyNumberFormat="1" applyBorder="1" applyAlignment="1"/>
    <xf numFmtId="177" fontId="0" fillId="0" borderId="40" xfId="0" applyNumberFormat="1" applyBorder="1" applyAlignment="1"/>
    <xf numFmtId="177" fontId="0" fillId="0" borderId="61" xfId="0" applyNumberFormat="1" applyBorder="1" applyAlignment="1">
      <alignment vertical="center"/>
    </xf>
    <xf numFmtId="0" fontId="1" fillId="0" borderId="33" xfId="0" applyFont="1" applyBorder="1" applyAlignment="1"/>
    <xf numFmtId="0" fontId="0" fillId="0" borderId="96" xfId="0" applyBorder="1" applyAlignment="1"/>
    <xf numFmtId="0" fontId="0" fillId="0" borderId="23" xfId="0" applyBorder="1" applyAlignment="1"/>
    <xf numFmtId="0" fontId="0" fillId="0" borderId="61" xfId="0" applyBorder="1" applyAlignment="1"/>
    <xf numFmtId="0" fontId="0" fillId="0" borderId="40" xfId="0" applyBorder="1" applyAlignment="1"/>
    <xf numFmtId="0" fontId="0" fillId="0" borderId="103" xfId="0" applyBorder="1" applyAlignment="1"/>
    <xf numFmtId="177" fontId="0" fillId="0" borderId="43" xfId="0" applyNumberFormat="1" applyBorder="1" applyAlignment="1">
      <alignment horizontal="center" vertical="center"/>
    </xf>
    <xf numFmtId="0" fontId="1" fillId="0" borderId="55" xfId="0" applyFont="1" applyBorder="1" applyAlignment="1"/>
    <xf numFmtId="0" fontId="0" fillId="0" borderId="43" xfId="0" applyBorder="1" applyAlignment="1"/>
    <xf numFmtId="0" fontId="0" fillId="0" borderId="209" xfId="0" applyBorder="1" applyAlignment="1"/>
    <xf numFmtId="178" fontId="0" fillId="0" borderId="103" xfId="0" applyNumberFormat="1" applyBorder="1" applyAlignment="1"/>
    <xf numFmtId="178" fontId="0" fillId="0" borderId="43" xfId="0" applyNumberFormat="1" applyBorder="1" applyAlignment="1"/>
    <xf numFmtId="178" fontId="0" fillId="0" borderId="209" xfId="0" applyNumberFormat="1" applyBorder="1" applyAlignment="1"/>
    <xf numFmtId="0" fontId="0" fillId="0" borderId="44" xfId="0" applyBorder="1" applyAlignment="1"/>
    <xf numFmtId="177" fontId="0" fillId="0" borderId="209" xfId="0" applyNumberFormat="1" applyBorder="1" applyAlignment="1">
      <alignment vertical="center"/>
    </xf>
    <xf numFmtId="0" fontId="0" fillId="0" borderId="210" xfId="0" applyBorder="1" applyAlignment="1"/>
    <xf numFmtId="0" fontId="0" fillId="0" borderId="193" xfId="0" applyBorder="1" applyAlignment="1"/>
    <xf numFmtId="0" fontId="1" fillId="0" borderId="211" xfId="0" applyFont="1" applyBorder="1" applyAlignment="1"/>
    <xf numFmtId="0" fontId="0" fillId="0" borderId="212" xfId="0" applyBorder="1" applyAlignment="1"/>
    <xf numFmtId="178" fontId="0" fillId="0" borderId="210" xfId="0" applyNumberFormat="1" applyBorder="1" applyAlignment="1"/>
    <xf numFmtId="178" fontId="0" fillId="0" borderId="193" xfId="0" applyNumberFormat="1" applyBorder="1" applyAlignment="1"/>
    <xf numFmtId="178" fontId="0" fillId="0" borderId="212" xfId="0" applyNumberFormat="1" applyBorder="1" applyAlignment="1"/>
    <xf numFmtId="0" fontId="0" fillId="0" borderId="213" xfId="0" applyBorder="1" applyAlignment="1"/>
    <xf numFmtId="177" fontId="0" fillId="0" borderId="212" xfId="0" applyNumberFormat="1" applyBorder="1" applyAlignment="1"/>
    <xf numFmtId="176" fontId="0" fillId="0" borderId="217" xfId="0" applyNumberFormat="1" applyFont="1" applyBorder="1" applyAlignment="1">
      <alignment vertical="center" shrinkToFit="1"/>
    </xf>
    <xf numFmtId="176" fontId="0" fillId="0" borderId="218" xfId="0" applyNumberFormat="1" applyFont="1" applyBorder="1" applyAlignment="1">
      <alignment horizontal="center" vertical="center" shrinkToFit="1"/>
    </xf>
    <xf numFmtId="176" fontId="0" fillId="0" borderId="219" xfId="0" applyNumberFormat="1" applyFont="1" applyBorder="1" applyAlignment="1">
      <alignment horizontal="center" vertical="center" shrinkToFit="1"/>
    </xf>
    <xf numFmtId="179" fontId="0" fillId="0" borderId="220" xfId="0" applyNumberFormat="1" applyFont="1" applyBorder="1" applyAlignment="1">
      <alignment horizontal="center" vertical="center" shrinkToFit="1"/>
    </xf>
    <xf numFmtId="177" fontId="0" fillId="0" borderId="217" xfId="0" applyNumberFormat="1" applyFont="1" applyBorder="1" applyAlignment="1">
      <alignment horizontal="center" vertical="center" shrinkToFit="1"/>
    </xf>
    <xf numFmtId="177" fontId="0" fillId="0" borderId="218" xfId="0" applyNumberFormat="1" applyFont="1" applyBorder="1" applyAlignment="1">
      <alignment horizontal="center" vertical="center" shrinkToFit="1"/>
    </xf>
    <xf numFmtId="177" fontId="0" fillId="0" borderId="219" xfId="0" applyNumberFormat="1" applyFont="1" applyBorder="1" applyAlignment="1">
      <alignment horizontal="center" vertical="center" shrinkToFit="1"/>
    </xf>
    <xf numFmtId="176" fontId="0" fillId="0" borderId="133" xfId="0" applyNumberFormat="1" applyFont="1" applyBorder="1" applyAlignment="1">
      <alignment horizontal="center" vertical="center" shrinkToFit="1"/>
    </xf>
    <xf numFmtId="176" fontId="0" fillId="0" borderId="202" xfId="0" applyNumberFormat="1" applyFont="1" applyBorder="1" applyAlignment="1">
      <alignment vertical="center" shrinkToFit="1"/>
    </xf>
    <xf numFmtId="177" fontId="0" fillId="0" borderId="225" xfId="0" applyNumberFormat="1" applyFont="1" applyBorder="1" applyAlignment="1">
      <alignment vertical="center" shrinkToFit="1"/>
    </xf>
    <xf numFmtId="177" fontId="0" fillId="0" borderId="226" xfId="0" applyNumberFormat="1" applyFont="1" applyBorder="1" applyAlignment="1">
      <alignment vertical="center" shrinkToFit="1"/>
    </xf>
    <xf numFmtId="177" fontId="0" fillId="0" borderId="226" xfId="0" applyNumberFormat="1" applyFont="1" applyBorder="1" applyAlignment="1">
      <alignment horizontal="center" vertical="center" shrinkToFit="1"/>
    </xf>
    <xf numFmtId="177" fontId="0" fillId="0" borderId="202" xfId="0" applyNumberFormat="1" applyFont="1" applyBorder="1" applyAlignment="1">
      <alignment vertical="center" shrinkToFit="1"/>
    </xf>
    <xf numFmtId="183" fontId="0" fillId="0" borderId="133" xfId="0" applyNumberFormat="1" applyFont="1" applyBorder="1" applyAlignment="1">
      <alignment vertical="center" shrinkToFit="1"/>
    </xf>
    <xf numFmtId="178" fontId="0" fillId="0" borderId="226" xfId="0" applyNumberFormat="1" applyFont="1" applyBorder="1" applyAlignment="1">
      <alignment vertical="center" shrinkToFit="1"/>
    </xf>
    <xf numFmtId="176" fontId="0" fillId="2" borderId="199" xfId="0" applyNumberFormat="1" applyFont="1" applyFill="1" applyBorder="1" applyAlignment="1">
      <alignment vertical="center" shrinkToFit="1"/>
    </xf>
    <xf numFmtId="176" fontId="0" fillId="2" borderId="200" xfId="0" applyNumberFormat="1" applyFont="1" applyFill="1" applyBorder="1" applyAlignment="1">
      <alignment vertical="center" shrinkToFit="1"/>
    </xf>
    <xf numFmtId="176" fontId="0" fillId="0" borderId="10" xfId="0" applyNumberFormat="1" applyFont="1" applyBorder="1" applyAlignment="1">
      <alignment vertical="center" shrinkToFit="1"/>
    </xf>
    <xf numFmtId="183" fontId="0" fillId="0" borderId="10" xfId="0" applyNumberFormat="1" applyFont="1" applyBorder="1" applyAlignment="1">
      <alignment vertical="center" shrinkToFit="1"/>
    </xf>
    <xf numFmtId="176" fontId="0" fillId="0" borderId="165" xfId="0" applyNumberFormat="1" applyFont="1" applyBorder="1" applyAlignment="1">
      <alignment vertical="center" shrinkToFit="1"/>
    </xf>
    <xf numFmtId="176" fontId="0" fillId="6" borderId="199" xfId="0" applyNumberFormat="1" applyFont="1" applyFill="1" applyBorder="1" applyAlignment="1">
      <alignment horizontal="center" vertical="center" shrinkToFit="1"/>
    </xf>
    <xf numFmtId="183" fontId="0" fillId="6" borderId="199" xfId="0" applyNumberFormat="1" applyFont="1" applyFill="1" applyBorder="1" applyAlignment="1">
      <alignment vertical="center" shrinkToFit="1"/>
    </xf>
    <xf numFmtId="176" fontId="0" fillId="6" borderId="200" xfId="0" applyNumberFormat="1" applyFont="1" applyFill="1" applyBorder="1" applyAlignment="1">
      <alignment vertical="center" shrinkToFit="1"/>
    </xf>
    <xf numFmtId="183" fontId="0" fillId="6" borderId="230" xfId="0" applyNumberFormat="1" applyFont="1" applyFill="1" applyBorder="1" applyAlignment="1">
      <alignment vertical="center" shrinkToFit="1"/>
    </xf>
    <xf numFmtId="183" fontId="0" fillId="6" borderId="231" xfId="0" applyNumberFormat="1" applyFont="1" applyFill="1" applyBorder="1" applyAlignment="1">
      <alignment vertical="center" shrinkToFit="1"/>
    </xf>
    <xf numFmtId="177" fontId="0" fillId="2" borderId="232" xfId="0" applyNumberFormat="1" applyFont="1" applyFill="1" applyBorder="1" applyAlignment="1">
      <alignment vertical="center" shrinkToFit="1"/>
    </xf>
    <xf numFmtId="177" fontId="0" fillId="2" borderId="233" xfId="0" applyNumberFormat="1" applyFont="1" applyFill="1" applyBorder="1" applyAlignment="1">
      <alignment vertical="center" shrinkToFit="1"/>
    </xf>
    <xf numFmtId="177" fontId="0" fillId="2" borderId="236" xfId="0" applyNumberFormat="1" applyFont="1" applyFill="1" applyBorder="1" applyAlignment="1">
      <alignment vertical="center" shrinkToFit="1"/>
    </xf>
    <xf numFmtId="177" fontId="0" fillId="0" borderId="222" xfId="0" applyNumberFormat="1" applyFont="1" applyBorder="1" applyAlignment="1">
      <alignment horizontal="center" vertical="center" shrinkToFit="1"/>
    </xf>
    <xf numFmtId="177" fontId="0" fillId="0" borderId="227" xfId="0" applyNumberFormat="1" applyFont="1" applyBorder="1" applyAlignment="1">
      <alignment vertical="center" shrinkToFit="1"/>
    </xf>
    <xf numFmtId="176" fontId="0" fillId="6" borderId="234" xfId="0" applyNumberFormat="1" applyFont="1" applyFill="1" applyBorder="1" applyAlignment="1">
      <alignment horizontal="center" vertical="center" shrinkToFit="1"/>
    </xf>
    <xf numFmtId="183" fontId="0" fillId="6" borderId="234" xfId="0" applyNumberFormat="1" applyFont="1" applyFill="1" applyBorder="1" applyAlignment="1">
      <alignment vertical="center" shrinkToFit="1"/>
    </xf>
    <xf numFmtId="183" fontId="0" fillId="6" borderId="233" xfId="0" applyNumberFormat="1" applyFont="1" applyFill="1" applyBorder="1" applyAlignment="1">
      <alignment vertical="center" shrinkToFit="1"/>
    </xf>
    <xf numFmtId="183" fontId="0" fillId="6" borderId="237" xfId="0" applyNumberFormat="1" applyFont="1" applyFill="1" applyBorder="1" applyAlignment="1">
      <alignment vertical="center" shrinkToFit="1"/>
    </xf>
    <xf numFmtId="176" fontId="0" fillId="6" borderId="236" xfId="0" applyNumberFormat="1" applyFont="1" applyFill="1" applyBorder="1" applyAlignment="1">
      <alignment vertical="center" shrinkToFit="1"/>
    </xf>
    <xf numFmtId="176" fontId="0" fillId="0" borderId="0" xfId="0" applyNumberFormat="1" applyFont="1" applyBorder="1" applyAlignment="1">
      <alignment horizontal="center" vertical="center" textRotation="255" shrinkToFit="1"/>
    </xf>
    <xf numFmtId="183" fontId="0" fillId="0" borderId="0" xfId="0" applyNumberFormat="1" applyFont="1" applyFill="1" applyBorder="1" applyAlignment="1">
      <alignment vertical="center" shrinkToFit="1"/>
    </xf>
    <xf numFmtId="177" fontId="0" fillId="0" borderId="205" xfId="3" applyNumberFormat="1" applyFont="1" applyBorder="1" applyAlignment="1">
      <alignment horizontal="center" vertical="center" shrinkToFit="1"/>
    </xf>
    <xf numFmtId="177" fontId="0" fillId="0" borderId="173" xfId="3" applyNumberFormat="1" applyFont="1" applyBorder="1" applyAlignment="1">
      <alignment horizontal="center" vertical="center" shrinkToFit="1"/>
    </xf>
    <xf numFmtId="177" fontId="0" fillId="0" borderId="173" xfId="0" applyNumberFormat="1" applyFont="1" applyBorder="1" applyAlignment="1">
      <alignment horizontal="center" vertical="center" shrinkToFit="1"/>
    </xf>
    <xf numFmtId="177" fontId="0" fillId="0" borderId="215" xfId="0" applyNumberFormat="1" applyFont="1" applyBorder="1" applyAlignment="1">
      <alignment horizontal="center" vertical="center" shrinkToFit="1"/>
    </xf>
    <xf numFmtId="177" fontId="0" fillId="2" borderId="232" xfId="0" applyNumberFormat="1" applyFont="1" applyFill="1" applyBorder="1" applyAlignment="1">
      <alignment horizontal="center" vertical="center" shrinkToFit="1"/>
    </xf>
    <xf numFmtId="177" fontId="0" fillId="2" borderId="234" xfId="0" applyNumberFormat="1" applyFont="1" applyFill="1" applyBorder="1" applyAlignment="1">
      <alignment vertical="center" shrinkToFit="1"/>
    </xf>
    <xf numFmtId="177" fontId="0" fillId="0" borderId="206" xfId="3" applyNumberFormat="1" applyFont="1" applyBorder="1" applyAlignment="1">
      <alignment horizontal="center" vertical="center" shrinkToFit="1"/>
    </xf>
    <xf numFmtId="177" fontId="0" fillId="0" borderId="206" xfId="0" applyNumberFormat="1" applyFont="1" applyBorder="1" applyAlignment="1">
      <alignment horizontal="center" vertical="center" shrinkToFit="1"/>
    </xf>
    <xf numFmtId="177" fontId="0" fillId="0" borderId="207" xfId="0" applyNumberFormat="1" applyFont="1" applyBorder="1" applyAlignment="1">
      <alignment horizontal="center" vertical="center" shrinkToFit="1"/>
    </xf>
    <xf numFmtId="179" fontId="0" fillId="0" borderId="143" xfId="0" applyNumberFormat="1" applyBorder="1" applyAlignment="1">
      <alignment vertical="center" shrinkToFit="1"/>
    </xf>
    <xf numFmtId="9" fontId="0" fillId="0" borderId="143" xfId="3" applyNumberFormat="1" applyFont="1" applyFill="1" applyBorder="1" applyAlignment="1">
      <alignment vertical="center" shrinkToFit="1"/>
    </xf>
    <xf numFmtId="176" fontId="0" fillId="2" borderId="216" xfId="0" applyNumberFormat="1" applyFont="1" applyFill="1" applyBorder="1" applyAlignment="1">
      <alignment horizontal="center" vertical="center" shrinkToFit="1"/>
    </xf>
    <xf numFmtId="177" fontId="0" fillId="2" borderId="216" xfId="0" applyNumberFormat="1" applyFont="1" applyFill="1" applyBorder="1" applyAlignment="1">
      <alignment vertical="center" shrinkToFit="1"/>
    </xf>
    <xf numFmtId="176" fontId="0" fillId="2" borderId="152" xfId="0" applyNumberFormat="1" applyFont="1" applyFill="1" applyBorder="1" applyAlignment="1">
      <alignment vertical="center" shrinkToFit="1"/>
    </xf>
    <xf numFmtId="177" fontId="0" fillId="2" borderId="216" xfId="3" applyNumberFormat="1" applyFont="1" applyFill="1" applyBorder="1" applyAlignment="1">
      <alignment horizontal="center" vertical="center" shrinkToFit="1"/>
    </xf>
    <xf numFmtId="177" fontId="0" fillId="2" borderId="216" xfId="3" applyNumberFormat="1" applyFont="1" applyFill="1" applyBorder="1" applyAlignment="1">
      <alignment vertical="center" shrinkToFit="1"/>
    </xf>
    <xf numFmtId="176" fontId="0" fillId="2" borderId="236" xfId="0" applyNumberFormat="1" applyFont="1" applyFill="1" applyBorder="1" applyAlignment="1">
      <alignment vertical="center" shrinkToFit="1"/>
    </xf>
    <xf numFmtId="176" fontId="0" fillId="0" borderId="239" xfId="0" applyNumberFormat="1" applyFont="1" applyFill="1" applyBorder="1" applyAlignment="1">
      <alignment vertical="center"/>
    </xf>
    <xf numFmtId="187" fontId="0" fillId="0" borderId="0" xfId="0" applyNumberFormat="1" applyFont="1" applyAlignment="1">
      <alignment vertical="center"/>
    </xf>
    <xf numFmtId="176" fontId="0" fillId="0" borderId="0" xfId="0" applyNumberFormat="1" applyFont="1" applyFill="1" applyBorder="1" applyAlignment="1">
      <alignment horizontal="center" vertical="center" textRotation="255" shrinkToFit="1"/>
    </xf>
    <xf numFmtId="176" fontId="0" fillId="0" borderId="240" xfId="0" applyNumberFormat="1" applyFont="1" applyBorder="1" applyAlignment="1">
      <alignment vertical="center"/>
    </xf>
    <xf numFmtId="176" fontId="0" fillId="0" borderId="182" xfId="0" applyNumberFormat="1" applyFont="1" applyFill="1" applyBorder="1" applyAlignment="1">
      <alignment vertical="center" shrinkToFit="1"/>
    </xf>
    <xf numFmtId="176" fontId="0" fillId="0" borderId="241" xfId="0" applyNumberFormat="1" applyFont="1" applyBorder="1" applyAlignment="1">
      <alignment vertical="center"/>
    </xf>
    <xf numFmtId="176" fontId="0" fillId="0" borderId="242" xfId="0" applyNumberFormat="1" applyFont="1" applyBorder="1" applyAlignment="1">
      <alignment vertical="center"/>
    </xf>
    <xf numFmtId="176" fontId="0" fillId="0" borderId="243" xfId="0" applyNumberFormat="1" applyFont="1" applyBorder="1" applyAlignment="1">
      <alignment vertical="center"/>
    </xf>
    <xf numFmtId="176" fontId="0" fillId="0" borderId="244" xfId="0" applyNumberFormat="1" applyFont="1" applyBorder="1" applyAlignment="1">
      <alignment vertical="center"/>
    </xf>
    <xf numFmtId="176" fontId="0" fillId="0" borderId="245" xfId="0" applyNumberFormat="1" applyFont="1" applyBorder="1" applyAlignment="1">
      <alignment vertical="center"/>
    </xf>
    <xf numFmtId="176" fontId="0" fillId="0" borderId="40" xfId="0" applyNumberFormat="1" applyFont="1" applyBorder="1" applyAlignment="1">
      <alignment vertical="center"/>
    </xf>
    <xf numFmtId="176" fontId="0" fillId="0" borderId="246" xfId="0" applyNumberFormat="1" applyFont="1" applyBorder="1" applyAlignment="1">
      <alignment vertical="center" shrinkToFit="1"/>
    </xf>
    <xf numFmtId="176" fontId="0" fillId="0" borderId="247" xfId="0" applyNumberFormat="1" applyFont="1" applyBorder="1" applyAlignment="1">
      <alignment vertical="center" shrinkToFit="1"/>
    </xf>
    <xf numFmtId="176" fontId="0" fillId="0" borderId="247" xfId="0" applyNumberFormat="1" applyFont="1" applyBorder="1" applyAlignment="1">
      <alignment horizontal="center" vertical="center" shrinkToFit="1"/>
    </xf>
    <xf numFmtId="176" fontId="0" fillId="0" borderId="248" xfId="0" applyNumberFormat="1" applyFont="1" applyBorder="1" applyAlignment="1">
      <alignment vertical="center" shrinkToFit="1"/>
    </xf>
    <xf numFmtId="176" fontId="0" fillId="0" borderId="137" xfId="0" applyNumberFormat="1" applyFont="1" applyBorder="1" applyAlignment="1">
      <alignment vertical="center" shrinkToFit="1"/>
    </xf>
    <xf numFmtId="183" fontId="0" fillId="0" borderId="249" xfId="0" applyNumberFormat="1" applyFont="1" applyBorder="1" applyAlignment="1">
      <alignment vertical="center" shrinkToFit="1"/>
    </xf>
    <xf numFmtId="179" fontId="0" fillId="0" borderId="240" xfId="0" applyNumberFormat="1" applyFont="1" applyBorder="1" applyAlignment="1">
      <alignment vertical="center"/>
    </xf>
    <xf numFmtId="179" fontId="0" fillId="0" borderId="242" xfId="0" applyNumberFormat="1" applyFont="1" applyBorder="1" applyAlignment="1">
      <alignment vertical="center"/>
    </xf>
    <xf numFmtId="179" fontId="0" fillId="0" borderId="23" xfId="0" applyNumberFormat="1" applyFont="1" applyBorder="1" applyAlignment="1">
      <alignment vertical="center"/>
    </xf>
    <xf numFmtId="179" fontId="0" fillId="0" borderId="247" xfId="0" applyNumberFormat="1" applyFont="1" applyBorder="1" applyAlignment="1">
      <alignment vertical="center" shrinkToFit="1"/>
    </xf>
    <xf numFmtId="179" fontId="0" fillId="2" borderId="199" xfId="0" applyNumberFormat="1" applyFont="1" applyFill="1" applyBorder="1" applyAlignment="1">
      <alignment vertical="center" shrinkToFit="1"/>
    </xf>
    <xf numFmtId="179" fontId="0" fillId="2" borderId="11" xfId="0" applyNumberFormat="1" applyFont="1" applyFill="1" applyBorder="1" applyAlignment="1">
      <alignment vertical="center" shrinkToFit="1"/>
    </xf>
    <xf numFmtId="176" fontId="0" fillId="0" borderId="10" xfId="0" applyNumberFormat="1" applyFont="1" applyFill="1" applyBorder="1" applyAlignment="1"/>
    <xf numFmtId="176" fontId="0" fillId="0" borderId="250" xfId="0" applyNumberFormat="1" applyFont="1" applyFill="1" applyBorder="1" applyAlignment="1">
      <alignment horizontal="center" vertical="center" shrinkToFit="1"/>
    </xf>
    <xf numFmtId="176" fontId="0" fillId="0" borderId="252" xfId="0" applyNumberFormat="1" applyFont="1" applyFill="1" applyBorder="1" applyAlignment="1">
      <alignment vertical="center" shrinkToFit="1"/>
    </xf>
    <xf numFmtId="176" fontId="0" fillId="0" borderId="251" xfId="0" applyNumberFormat="1" applyFont="1" applyFill="1" applyBorder="1" applyAlignment="1">
      <alignment vertical="center" shrinkToFit="1"/>
    </xf>
    <xf numFmtId="0" fontId="0" fillId="5" borderId="0" xfId="0" applyFill="1" applyAlignment="1"/>
    <xf numFmtId="188" fontId="0" fillId="0" borderId="133" xfId="0" applyNumberFormat="1" applyFont="1" applyBorder="1" applyAlignment="1">
      <alignment vertical="center" shrinkToFit="1"/>
    </xf>
    <xf numFmtId="179" fontId="0" fillId="0" borderId="252" xfId="0" applyNumberFormat="1" applyFont="1" applyFill="1" applyBorder="1" applyAlignment="1">
      <alignment vertical="center" shrinkToFit="1"/>
    </xf>
    <xf numFmtId="0" fontId="0" fillId="0" borderId="0" xfId="0" applyFill="1" applyBorder="1" applyAlignment="1"/>
    <xf numFmtId="0" fontId="0" fillId="0" borderId="173" xfId="0" applyFont="1" applyBorder="1" applyAlignment="1">
      <alignment horizontal="center" vertical="center" shrinkToFit="1"/>
    </xf>
    <xf numFmtId="181" fontId="0" fillId="0" borderId="55" xfId="0" applyNumberFormat="1" applyFont="1" applyBorder="1" applyAlignment="1">
      <alignment horizontal="right" vertical="center"/>
    </xf>
    <xf numFmtId="181" fontId="0" fillId="0" borderId="177" xfId="0" applyNumberFormat="1" applyFont="1" applyBorder="1" applyAlignment="1">
      <alignment horizontal="right" vertical="center"/>
    </xf>
    <xf numFmtId="181" fontId="0" fillId="0" borderId="206" xfId="0" applyNumberFormat="1" applyFont="1" applyBorder="1" applyAlignment="1">
      <alignment horizontal="right" vertical="center"/>
    </xf>
    <xf numFmtId="0" fontId="1" fillId="0" borderId="227" xfId="2" applyFont="1" applyBorder="1" applyAlignment="1">
      <alignment horizontal="center" vertical="center" wrapText="1"/>
    </xf>
    <xf numFmtId="0" fontId="1" fillId="0" borderId="234" xfId="2" applyFont="1" applyBorder="1" applyAlignment="1">
      <alignment horizontal="center" vertical="center" wrapText="1"/>
    </xf>
    <xf numFmtId="0" fontId="1" fillId="0" borderId="23" xfId="2" applyFont="1" applyBorder="1" applyAlignment="1">
      <alignment vertical="center"/>
    </xf>
    <xf numFmtId="0" fontId="1" fillId="0" borderId="49" xfId="2" applyFont="1" applyBorder="1" applyAlignment="1">
      <alignment vertical="center"/>
    </xf>
    <xf numFmtId="0" fontId="1" fillId="0" borderId="105" xfId="2" applyFont="1" applyBorder="1" applyAlignment="1">
      <alignment vertical="center"/>
    </xf>
    <xf numFmtId="0" fontId="1" fillId="0" borderId="207" xfId="2" applyFont="1" applyBorder="1" applyAlignment="1">
      <alignment vertical="center"/>
    </xf>
    <xf numFmtId="0" fontId="1" fillId="0" borderId="61" xfId="2" applyFont="1" applyBorder="1" applyAlignment="1">
      <alignment vertical="center"/>
    </xf>
    <xf numFmtId="0" fontId="1" fillId="0" borderId="48" xfId="2" applyFont="1" applyBorder="1" applyAlignment="1">
      <alignment vertical="center"/>
    </xf>
    <xf numFmtId="0" fontId="1" fillId="0" borderId="63" xfId="2" applyFont="1" applyBorder="1" applyAlignment="1">
      <alignment vertical="center"/>
    </xf>
    <xf numFmtId="176" fontId="0" fillId="0" borderId="0" xfId="0" applyNumberFormat="1" applyFont="1" applyBorder="1" applyAlignment="1">
      <alignment horizontal="center" vertical="center"/>
    </xf>
    <xf numFmtId="0" fontId="1" fillId="0" borderId="51" xfId="2" applyFont="1" applyFill="1" applyBorder="1" applyAlignment="1">
      <alignment horizontal="center" vertical="center" wrapText="1"/>
    </xf>
    <xf numFmtId="176" fontId="0" fillId="11" borderId="0" xfId="0" applyNumberFormat="1" applyFont="1" applyFill="1" applyBorder="1" applyAlignment="1">
      <alignment vertical="center"/>
    </xf>
    <xf numFmtId="0" fontId="5" fillId="0" borderId="0" xfId="2" applyFont="1" applyAlignment="1">
      <alignment vertical="center"/>
    </xf>
    <xf numFmtId="176" fontId="0" fillId="0" borderId="133" xfId="0" applyNumberFormat="1" applyFont="1" applyBorder="1" applyAlignment="1">
      <alignment horizontal="center" vertical="center"/>
    </xf>
    <xf numFmtId="176" fontId="0" fillId="0" borderId="136" xfId="0" applyNumberFormat="1" applyFont="1" applyBorder="1" applyAlignment="1">
      <alignment horizontal="center" vertical="center"/>
    </xf>
    <xf numFmtId="179" fontId="0" fillId="0" borderId="136" xfId="0" applyNumberFormat="1" applyFont="1" applyBorder="1" applyAlignment="1">
      <alignment vertical="center" shrinkToFit="1"/>
    </xf>
    <xf numFmtId="176" fontId="0" fillId="0" borderId="226" xfId="0" applyNumberFormat="1" applyFont="1" applyBorder="1" applyAlignment="1">
      <alignment vertical="center"/>
    </xf>
    <xf numFmtId="179" fontId="0" fillId="0" borderId="234" xfId="0" applyNumberFormat="1" applyFont="1" applyBorder="1" applyAlignment="1">
      <alignment vertical="center" shrinkToFit="1"/>
    </xf>
    <xf numFmtId="179" fontId="0" fillId="0" borderId="236" xfId="0" applyNumberFormat="1" applyFont="1" applyBorder="1" applyAlignment="1">
      <alignment vertical="center" shrinkToFit="1"/>
    </xf>
    <xf numFmtId="0" fontId="1" fillId="11" borderId="111" xfId="2" applyFont="1" applyFill="1" applyBorder="1" applyAlignment="1">
      <alignment horizontal="center" vertical="center" wrapText="1"/>
    </xf>
    <xf numFmtId="0" fontId="1" fillId="11" borderId="24" xfId="2" applyFont="1" applyFill="1" applyBorder="1" applyAlignment="1">
      <alignment horizontal="center" vertical="center" wrapText="1"/>
    </xf>
    <xf numFmtId="0" fontId="1" fillId="11" borderId="25" xfId="2" applyFont="1" applyFill="1" applyBorder="1" applyAlignment="1">
      <alignment horizontal="center" vertical="center" wrapText="1"/>
    </xf>
    <xf numFmtId="0" fontId="1" fillId="11" borderId="13" xfId="2" applyFont="1" applyFill="1" applyBorder="1" applyAlignment="1">
      <alignment horizontal="center" vertical="center" wrapText="1"/>
    </xf>
    <xf numFmtId="0" fontId="1" fillId="11" borderId="14" xfId="2" applyFont="1" applyFill="1" applyBorder="1" applyAlignment="1">
      <alignment horizontal="center" vertical="center" wrapText="1"/>
    </xf>
    <xf numFmtId="0" fontId="1" fillId="11" borderId="51" xfId="2" applyFont="1" applyFill="1" applyBorder="1" applyAlignment="1">
      <alignment horizontal="center" vertical="center" wrapText="1"/>
    </xf>
    <xf numFmtId="0" fontId="1" fillId="11" borderId="115" xfId="2" applyFont="1" applyFill="1" applyBorder="1" applyAlignment="1">
      <alignment horizontal="center" vertical="center" wrapText="1"/>
    </xf>
    <xf numFmtId="0" fontId="1" fillId="0" borderId="207" xfId="2" applyFont="1" applyBorder="1" applyAlignment="1">
      <alignment horizontal="center" vertical="center"/>
    </xf>
    <xf numFmtId="0" fontId="1" fillId="0" borderId="61" xfId="2" applyFont="1" applyBorder="1" applyAlignment="1">
      <alignment horizontal="center" vertical="center"/>
    </xf>
    <xf numFmtId="179" fontId="0" fillId="0" borderId="23" xfId="0" applyNumberFormat="1" applyFont="1" applyFill="1" applyBorder="1" applyAlignment="1">
      <alignment vertical="center" shrinkToFit="1"/>
    </xf>
    <xf numFmtId="9" fontId="0" fillId="0" borderId="23" xfId="0" applyNumberFormat="1" applyFont="1" applyBorder="1" applyAlignment="1">
      <alignment vertical="center" shrinkToFit="1"/>
    </xf>
    <xf numFmtId="182" fontId="0" fillId="0" borderId="23" xfId="4" applyNumberFormat="1" applyFont="1" applyBorder="1" applyAlignment="1">
      <alignment vertical="center" shrinkToFit="1"/>
    </xf>
    <xf numFmtId="9" fontId="0" fillId="0" borderId="136" xfId="0" applyNumberFormat="1" applyFont="1" applyBorder="1" applyAlignment="1">
      <alignment vertical="center" shrinkToFit="1"/>
    </xf>
    <xf numFmtId="176" fontId="0" fillId="0" borderId="86" xfId="0" applyNumberFormat="1" applyFont="1" applyFill="1" applyBorder="1" applyAlignment="1">
      <alignment vertical="center" shrinkToFit="1"/>
    </xf>
    <xf numFmtId="176" fontId="0" fillId="0" borderId="86" xfId="0" applyNumberFormat="1" applyFont="1" applyFill="1" applyBorder="1" applyAlignment="1">
      <alignment horizontal="center" vertical="center" shrinkToFit="1"/>
    </xf>
    <xf numFmtId="9" fontId="0" fillId="0" borderId="86" xfId="0" applyNumberFormat="1" applyFont="1" applyFill="1" applyBorder="1" applyAlignment="1">
      <alignment vertical="center" shrinkToFit="1"/>
    </xf>
    <xf numFmtId="182" fontId="0" fillId="0" borderId="86" xfId="4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176" fontId="0" fillId="0" borderId="2" xfId="0" applyNumberFormat="1" applyFont="1" applyFill="1" applyBorder="1" applyAlignment="1">
      <alignment vertical="center" shrinkToFit="1"/>
    </xf>
    <xf numFmtId="176" fontId="0" fillId="0" borderId="86" xfId="0" applyNumberFormat="1" applyFill="1" applyBorder="1" applyAlignment="1">
      <alignment vertical="center" shrinkToFit="1"/>
    </xf>
    <xf numFmtId="176" fontId="0" fillId="0" borderId="86" xfId="0" applyNumberFormat="1" applyFill="1" applyBorder="1" applyAlignment="1">
      <alignment horizontal="center" vertical="center" shrinkToFit="1"/>
    </xf>
    <xf numFmtId="0" fontId="1" fillId="0" borderId="13" xfId="2" applyFont="1" applyBorder="1" applyAlignment="1">
      <alignment horizontal="center" vertical="center" wrapText="1"/>
    </xf>
    <xf numFmtId="0" fontId="19" fillId="11" borderId="14" xfId="2" applyFont="1" applyFill="1" applyBorder="1" applyAlignment="1">
      <alignment horizontal="center" vertical="center" wrapText="1"/>
    </xf>
    <xf numFmtId="0" fontId="1" fillId="0" borderId="13" xfId="2" applyFont="1" applyFill="1" applyBorder="1" applyAlignment="1">
      <alignment horizontal="center" vertical="center" wrapText="1"/>
    </xf>
    <xf numFmtId="0" fontId="1" fillId="0" borderId="14" xfId="2" applyFont="1" applyFill="1" applyBorder="1" applyAlignment="1">
      <alignment horizontal="center" vertical="center" wrapText="1"/>
    </xf>
    <xf numFmtId="0" fontId="1" fillId="0" borderId="226" xfId="2" applyFont="1" applyBorder="1" applyAlignment="1">
      <alignment horizontal="center" vertical="center" wrapText="1"/>
    </xf>
    <xf numFmtId="0" fontId="1" fillId="0" borderId="226" xfId="2" applyFont="1" applyBorder="1" applyAlignment="1">
      <alignment vertical="center" wrapText="1"/>
    </xf>
    <xf numFmtId="0" fontId="1" fillId="0" borderId="265" xfId="2" applyFont="1" applyBorder="1" applyAlignment="1">
      <alignment horizontal="center" vertical="center" wrapText="1"/>
    </xf>
    <xf numFmtId="0" fontId="1" fillId="0" borderId="267" xfId="2" applyFont="1" applyBorder="1" applyAlignment="1">
      <alignment horizontal="center" vertical="center" wrapText="1"/>
    </xf>
    <xf numFmtId="0" fontId="1" fillId="0" borderId="269" xfId="2" applyFont="1" applyBorder="1" applyAlignment="1">
      <alignment vertical="center" wrapText="1"/>
    </xf>
    <xf numFmtId="0" fontId="1" fillId="0" borderId="265" xfId="2" applyFont="1" applyBorder="1" applyAlignment="1">
      <alignment vertical="center" wrapText="1"/>
    </xf>
    <xf numFmtId="0" fontId="1" fillId="0" borderId="270" xfId="2" applyFont="1" applyBorder="1" applyAlignment="1">
      <alignment vertical="center" wrapText="1"/>
    </xf>
    <xf numFmtId="0" fontId="1" fillId="0" borderId="260" xfId="2" applyFont="1" applyBorder="1" applyAlignment="1">
      <alignment horizontal="center" vertical="center"/>
    </xf>
    <xf numFmtId="0" fontId="1" fillId="0" borderId="268" xfId="2" applyFont="1" applyBorder="1" applyAlignment="1">
      <alignment horizontal="center" vertical="center"/>
    </xf>
    <xf numFmtId="0" fontId="1" fillId="0" borderId="269" xfId="2" applyFont="1" applyBorder="1" applyAlignment="1">
      <alignment horizontal="center" vertical="center" wrapText="1"/>
    </xf>
    <xf numFmtId="176" fontId="0" fillId="0" borderId="143" xfId="0" applyNumberFormat="1" applyFont="1" applyBorder="1" applyAlignment="1">
      <alignment vertical="center"/>
    </xf>
    <xf numFmtId="0" fontId="1" fillId="0" borderId="86" xfId="2" applyFont="1" applyBorder="1" applyAlignment="1">
      <alignment horizontal="center" vertical="center" wrapText="1"/>
    </xf>
    <xf numFmtId="0" fontId="1" fillId="0" borderId="49" xfId="2" applyFont="1" applyBorder="1" applyAlignment="1">
      <alignment horizontal="center" vertical="center"/>
    </xf>
    <xf numFmtId="0" fontId="1" fillId="0" borderId="23" xfId="2" applyFont="1" applyBorder="1" applyAlignment="1">
      <alignment horizontal="center" vertical="center"/>
    </xf>
    <xf numFmtId="0" fontId="1" fillId="0" borderId="23" xfId="2" applyFont="1" applyBorder="1" applyAlignment="1">
      <alignment vertical="center" wrapText="1"/>
    </xf>
    <xf numFmtId="0" fontId="1" fillId="0" borderId="57" xfId="2" applyFont="1" applyBorder="1" applyAlignment="1">
      <alignment horizontal="center" vertical="center" wrapText="1"/>
    </xf>
    <xf numFmtId="0" fontId="1" fillId="0" borderId="222" xfId="2" applyFont="1" applyBorder="1" applyAlignment="1">
      <alignment horizontal="center" vertical="center" wrapText="1"/>
    </xf>
    <xf numFmtId="0" fontId="1" fillId="0" borderId="227" xfId="2" applyFont="1" applyBorder="1" applyAlignment="1">
      <alignment vertical="center" wrapText="1"/>
    </xf>
    <xf numFmtId="0" fontId="1" fillId="0" borderId="86" xfId="2" applyFont="1" applyBorder="1" applyAlignment="1">
      <alignment horizontal="center" vertical="center"/>
    </xf>
    <xf numFmtId="0" fontId="1" fillId="0" borderId="61" xfId="2" applyFont="1" applyBorder="1" applyAlignment="1">
      <alignment horizontal="center" vertical="center" wrapText="1"/>
    </xf>
    <xf numFmtId="0" fontId="1" fillId="0" borderId="110" xfId="2" applyFont="1" applyBorder="1" applyAlignment="1">
      <alignment vertical="center" wrapText="1"/>
    </xf>
    <xf numFmtId="0" fontId="1" fillId="0" borderId="110" xfId="2" applyFont="1" applyBorder="1" applyAlignment="1">
      <alignment horizontal="right" vertical="center" wrapText="1"/>
    </xf>
    <xf numFmtId="0" fontId="20" fillId="0" borderId="0" xfId="2" applyFont="1" applyAlignment="1">
      <alignment horizontal="justify" vertical="center"/>
    </xf>
    <xf numFmtId="0" fontId="1" fillId="0" borderId="254" xfId="2" applyFont="1" applyBorder="1" applyAlignment="1">
      <alignment horizontal="center" vertical="center" wrapText="1"/>
    </xf>
    <xf numFmtId="0" fontId="1" fillId="0" borderId="86" xfId="2" applyFont="1" applyBorder="1" applyAlignment="1">
      <alignment horizontal="center" vertical="center" shrinkToFit="1"/>
    </xf>
    <xf numFmtId="0" fontId="1" fillId="0" borderId="260" xfId="2" applyFont="1" applyBorder="1" applyAlignment="1">
      <alignment horizontal="center" vertical="center" wrapText="1"/>
    </xf>
    <xf numFmtId="0" fontId="1" fillId="0" borderId="266" xfId="2" applyFont="1" applyBorder="1" applyAlignment="1">
      <alignment horizontal="center" vertical="center" wrapText="1"/>
    </xf>
    <xf numFmtId="0" fontId="1" fillId="0" borderId="227" xfId="2" applyFont="1" applyBorder="1" applyAlignment="1">
      <alignment horizontal="center" vertical="center" shrinkToFit="1"/>
    </xf>
    <xf numFmtId="0" fontId="1" fillId="0" borderId="226" xfId="2" applyFont="1" applyBorder="1" applyAlignment="1">
      <alignment horizontal="center" vertical="center"/>
    </xf>
    <xf numFmtId="0" fontId="1" fillId="0" borderId="265" xfId="2" applyFont="1" applyBorder="1" applyAlignment="1">
      <alignment horizontal="right" vertical="center" wrapText="1"/>
    </xf>
    <xf numFmtId="176" fontId="0" fillId="0" borderId="76" xfId="0" applyNumberFormat="1" applyFont="1" applyBorder="1" applyAlignment="1">
      <alignment vertical="center"/>
    </xf>
    <xf numFmtId="176" fontId="0" fillId="0" borderId="54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176" fontId="0" fillId="0" borderId="230" xfId="0" applyNumberFormat="1" applyFont="1" applyBorder="1" applyAlignment="1">
      <alignment horizontal="center" vertical="center"/>
    </xf>
    <xf numFmtId="176" fontId="21" fillId="0" borderId="0" xfId="0" applyNumberFormat="1" applyFont="1" applyAlignment="1">
      <alignment vertical="center"/>
    </xf>
    <xf numFmtId="179" fontId="21" fillId="0" borderId="0" xfId="0" applyNumberFormat="1" applyFont="1" applyAlignment="1">
      <alignment vertical="center"/>
    </xf>
    <xf numFmtId="182" fontId="0" fillId="0" borderId="136" xfId="0" applyNumberFormat="1" applyFont="1" applyFill="1" applyBorder="1" applyAlignment="1">
      <alignment vertical="center"/>
    </xf>
    <xf numFmtId="177" fontId="0" fillId="0" borderId="14" xfId="0" applyNumberFormat="1" applyFill="1" applyBorder="1" applyAlignment="1">
      <alignment vertical="center"/>
    </xf>
    <xf numFmtId="179" fontId="0" fillId="0" borderId="124" xfId="0" applyNumberFormat="1" applyFont="1" applyFill="1" applyBorder="1" applyAlignment="1">
      <alignment horizontal="center" vertical="center" shrinkToFit="1"/>
    </xf>
    <xf numFmtId="176" fontId="21" fillId="0" borderId="0" xfId="0" applyNumberFormat="1" applyFont="1" applyFill="1" applyAlignment="1">
      <alignment vertical="center"/>
    </xf>
    <xf numFmtId="187" fontId="21" fillId="0" borderId="0" xfId="0" applyNumberFormat="1" applyFont="1" applyFill="1" applyAlignment="1">
      <alignment vertical="center"/>
    </xf>
    <xf numFmtId="187" fontId="21" fillId="0" borderId="0" xfId="0" applyNumberFormat="1" applyFont="1" applyAlignment="1">
      <alignment vertical="center"/>
    </xf>
    <xf numFmtId="176" fontId="0" fillId="0" borderId="271" xfId="0" applyNumberFormat="1" applyFont="1" applyBorder="1" applyAlignment="1">
      <alignment horizontal="center" vertical="center" shrinkToFit="1"/>
    </xf>
    <xf numFmtId="176" fontId="0" fillId="0" borderId="272" xfId="0" applyNumberFormat="1" applyFont="1" applyBorder="1" applyAlignment="1">
      <alignment horizontal="center" vertical="center" shrinkToFit="1"/>
    </xf>
    <xf numFmtId="176" fontId="0" fillId="0" borderId="226" xfId="0" applyNumberFormat="1" applyFont="1" applyBorder="1" applyAlignment="1">
      <alignment vertical="center" shrinkToFit="1"/>
    </xf>
    <xf numFmtId="177" fontId="0" fillId="0" borderId="188" xfId="0" applyNumberFormat="1" applyFill="1" applyBorder="1" applyAlignment="1">
      <alignment vertical="center" shrinkToFit="1"/>
    </xf>
    <xf numFmtId="177" fontId="0" fillId="0" borderId="133" xfId="0" applyNumberFormat="1" applyFont="1" applyFill="1" applyBorder="1" applyAlignment="1">
      <alignment vertical="center" shrinkToFit="1"/>
    </xf>
    <xf numFmtId="185" fontId="8" fillId="0" borderId="22" xfId="2" applyNumberFormat="1" applyFont="1" applyBorder="1" applyAlignment="1">
      <alignment horizontal="center" vertical="center" wrapText="1"/>
    </xf>
    <xf numFmtId="185" fontId="8" fillId="0" borderId="86" xfId="2" applyNumberFormat="1" applyFont="1" applyBorder="1" applyAlignment="1">
      <alignment horizontal="center" vertical="center" wrapText="1"/>
    </xf>
    <xf numFmtId="185" fontId="1" fillId="0" borderId="16" xfId="2" applyNumberFormat="1" applyFont="1" applyBorder="1" applyAlignment="1">
      <alignment horizontal="center" vertical="center" wrapText="1"/>
    </xf>
    <xf numFmtId="0" fontId="1" fillId="0" borderId="31" xfId="2" applyFont="1" applyBorder="1" applyAlignment="1">
      <alignment vertical="center"/>
    </xf>
    <xf numFmtId="0" fontId="8" fillId="0" borderId="158" xfId="0" applyFont="1" applyBorder="1" applyAlignment="1">
      <alignment horizontal="center" vertical="center" shrinkToFit="1"/>
    </xf>
    <xf numFmtId="0" fontId="8" fillId="0" borderId="159" xfId="0" applyFont="1" applyBorder="1" applyAlignment="1">
      <alignment horizontal="center" vertical="center" shrinkToFit="1"/>
    </xf>
    <xf numFmtId="0" fontId="8" fillId="0" borderId="161" xfId="0" applyFont="1" applyBorder="1" applyAlignment="1">
      <alignment horizontal="center" vertical="center" shrinkToFit="1"/>
    </xf>
    <xf numFmtId="0" fontId="8" fillId="0" borderId="98" xfId="0" quotePrefix="1" applyFont="1" applyBorder="1" applyAlignment="1">
      <alignment horizontal="center" vertical="center" shrinkToFit="1"/>
    </xf>
    <xf numFmtId="0" fontId="8" fillId="0" borderId="98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1" fillId="0" borderId="100" xfId="0" applyFont="1" applyBorder="1" applyAlignment="1">
      <alignment horizontal="center" vertical="center" shrinkToFit="1"/>
    </xf>
    <xf numFmtId="0" fontId="1" fillId="0" borderId="101" xfId="0" applyFont="1" applyBorder="1" applyAlignment="1">
      <alignment horizontal="center" vertical="center" shrinkToFit="1"/>
    </xf>
    <xf numFmtId="0" fontId="1" fillId="0" borderId="102" xfId="0" applyFont="1" applyBorder="1" applyAlignment="1">
      <alignment horizontal="center" vertical="center" shrinkToFit="1"/>
    </xf>
    <xf numFmtId="0" fontId="8" fillId="0" borderId="72" xfId="0" applyFont="1" applyBorder="1" applyAlignment="1">
      <alignment horizontal="center" vertical="center" wrapText="1" shrinkToFit="1"/>
    </xf>
    <xf numFmtId="0" fontId="1" fillId="0" borderId="72" xfId="0" applyFont="1" applyBorder="1" applyAlignment="1">
      <alignment horizontal="center" vertical="center" shrinkToFit="1"/>
    </xf>
    <xf numFmtId="0" fontId="8" fillId="0" borderId="72" xfId="0" applyFont="1" applyBorder="1" applyAlignment="1">
      <alignment horizontal="center" vertical="center" shrinkToFit="1"/>
    </xf>
    <xf numFmtId="0" fontId="0" fillId="0" borderId="48" xfId="2" applyFont="1" applyBorder="1" applyAlignment="1">
      <alignment vertical="center" wrapText="1"/>
    </xf>
    <xf numFmtId="0" fontId="1" fillId="0" borderId="48" xfId="2" applyFont="1" applyBorder="1" applyAlignment="1">
      <alignment vertical="center" wrapText="1"/>
    </xf>
    <xf numFmtId="0" fontId="1" fillId="0" borderId="63" xfId="2" applyFont="1" applyBorder="1" applyAlignment="1">
      <alignment vertical="center" wrapText="1"/>
    </xf>
    <xf numFmtId="0" fontId="1" fillId="0" borderId="96" xfId="2" applyFont="1" applyBorder="1" applyAlignment="1">
      <alignment horizontal="center" vertical="center"/>
    </xf>
    <xf numFmtId="0" fontId="1" fillId="0" borderId="23" xfId="2" applyFont="1" applyBorder="1" applyAlignment="1">
      <alignment horizontal="center" vertical="center"/>
    </xf>
    <xf numFmtId="0" fontId="0" fillId="0" borderId="23" xfId="2" applyFont="1" applyBorder="1" applyAlignment="1">
      <alignment vertical="center" wrapText="1"/>
    </xf>
    <xf numFmtId="0" fontId="1" fillId="0" borderId="23" xfId="2" applyFont="1" applyBorder="1" applyAlignment="1">
      <alignment vertical="center" wrapText="1"/>
    </xf>
    <xf numFmtId="0" fontId="1" fillId="0" borderId="61" xfId="2" applyFont="1" applyBorder="1" applyAlignment="1">
      <alignment vertical="center" wrapText="1"/>
    </xf>
    <xf numFmtId="0" fontId="1" fillId="0" borderId="40" xfId="2" applyFont="1" applyBorder="1" applyAlignment="1">
      <alignment horizontal="center" vertical="center"/>
    </xf>
    <xf numFmtId="0" fontId="1" fillId="0" borderId="62" xfId="2" applyFont="1" applyBorder="1" applyAlignment="1">
      <alignment horizontal="center" vertical="center"/>
    </xf>
    <xf numFmtId="0" fontId="1" fillId="0" borderId="48" xfId="2" applyFont="1" applyBorder="1" applyAlignment="1">
      <alignment horizontal="center" vertical="center"/>
    </xf>
    <xf numFmtId="0" fontId="1" fillId="0" borderId="97" xfId="2" applyFont="1" applyBorder="1" applyAlignment="1">
      <alignment horizontal="center" vertical="center"/>
    </xf>
    <xf numFmtId="0" fontId="1" fillId="0" borderId="50" xfId="2" applyFont="1" applyBorder="1" applyAlignment="1">
      <alignment horizontal="center" vertical="center"/>
    </xf>
    <xf numFmtId="0" fontId="1" fillId="0" borderId="49" xfId="2" applyFont="1" applyBorder="1" applyAlignment="1">
      <alignment horizontal="center" vertical="center"/>
    </xf>
    <xf numFmtId="0" fontId="0" fillId="0" borderId="34" xfId="2" applyFont="1" applyBorder="1" applyAlignment="1">
      <alignment vertical="center" wrapText="1"/>
    </xf>
    <xf numFmtId="0" fontId="1" fillId="0" borderId="36" xfId="2" applyFont="1" applyBorder="1" applyAlignment="1">
      <alignment vertical="center" wrapText="1"/>
    </xf>
    <xf numFmtId="0" fontId="1" fillId="0" borderId="38" xfId="2" applyFont="1" applyBorder="1" applyAlignment="1">
      <alignment vertical="center" wrapText="1"/>
    </xf>
    <xf numFmtId="0" fontId="1" fillId="0" borderId="24" xfId="2" applyFont="1" applyBorder="1" applyAlignment="1">
      <alignment horizontal="center"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1" fillId="0" borderId="92" xfId="2" applyFont="1" applyBorder="1" applyAlignment="1">
      <alignment horizontal="center" vertical="center"/>
    </xf>
    <xf numFmtId="0" fontId="1" fillId="0" borderId="93" xfId="2" applyFont="1" applyBorder="1" applyAlignment="1">
      <alignment horizontal="center" vertical="center"/>
    </xf>
    <xf numFmtId="0" fontId="1" fillId="0" borderId="94" xfId="2" applyFont="1" applyBorder="1" applyAlignment="1">
      <alignment horizontal="center" vertical="center"/>
    </xf>
    <xf numFmtId="0" fontId="1" fillId="0" borderId="95" xfId="2" applyFont="1" applyBorder="1" applyAlignment="1">
      <alignment horizontal="center" vertical="center"/>
    </xf>
    <xf numFmtId="0" fontId="0" fillId="0" borderId="124" xfId="2" applyFont="1" applyBorder="1" applyAlignment="1">
      <alignment vertical="center" wrapText="1"/>
    </xf>
    <xf numFmtId="0" fontId="1" fillId="0" borderId="124" xfId="2" applyFont="1" applyBorder="1" applyAlignment="1">
      <alignment vertical="center" wrapText="1"/>
    </xf>
    <xf numFmtId="0" fontId="1" fillId="0" borderId="125" xfId="2" applyFont="1" applyBorder="1" applyAlignment="1">
      <alignment vertical="center" wrapText="1"/>
    </xf>
    <xf numFmtId="0" fontId="8" fillId="0" borderId="60" xfId="2" applyFont="1" applyBorder="1" applyAlignment="1">
      <alignment horizontal="center" vertical="center" wrapText="1"/>
    </xf>
    <xf numFmtId="0" fontId="8" fillId="0" borderId="58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indent="1"/>
    </xf>
    <xf numFmtId="0" fontId="8" fillId="0" borderId="0" xfId="2" applyFont="1" applyBorder="1" applyAlignment="1">
      <alignment horizontal="left" vertical="center" indent="1"/>
    </xf>
    <xf numFmtId="0" fontId="8" fillId="0" borderId="4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left" vertical="center" wrapText="1" indent="1"/>
    </xf>
    <xf numFmtId="0" fontId="8" fillId="0" borderId="14" xfId="2" applyFont="1" applyBorder="1" applyAlignment="1">
      <alignment horizontal="left" vertical="center" wrapText="1" indent="1"/>
    </xf>
    <xf numFmtId="0" fontId="18" fillId="0" borderId="13" xfId="2" applyFont="1" applyBorder="1" applyAlignment="1">
      <alignment horizontal="left" vertical="center" wrapText="1" indent="1"/>
    </xf>
    <xf numFmtId="0" fontId="18" fillId="0" borderId="14" xfId="2" applyFont="1" applyBorder="1" applyAlignment="1">
      <alignment horizontal="left" vertical="center" wrapText="1" indent="1"/>
    </xf>
    <xf numFmtId="0" fontId="8" fillId="0" borderId="5" xfId="2" applyFont="1" applyBorder="1" applyAlignment="1">
      <alignment horizontal="center" vertical="center" wrapText="1"/>
    </xf>
    <xf numFmtId="0" fontId="8" fillId="0" borderId="84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12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13" xfId="2" applyFont="1" applyBorder="1" applyAlignment="1">
      <alignment vertical="center" wrapText="1"/>
    </xf>
    <xf numFmtId="0" fontId="8" fillId="0" borderId="14" xfId="2" applyFont="1" applyBorder="1" applyAlignment="1">
      <alignment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51" xfId="2" applyFont="1" applyBorder="1" applyAlignment="1">
      <alignment horizontal="center" vertical="center" wrapText="1"/>
    </xf>
    <xf numFmtId="0" fontId="8" fillId="0" borderId="85" xfId="2" applyFont="1" applyBorder="1" applyAlignment="1">
      <alignment horizontal="center" vertical="center" wrapText="1"/>
    </xf>
    <xf numFmtId="0" fontId="8" fillId="0" borderId="86" xfId="2" applyFont="1" applyBorder="1" applyAlignment="1">
      <alignment horizontal="center" vertical="center" wrapText="1"/>
    </xf>
    <xf numFmtId="0" fontId="1" fillId="0" borderId="86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8" fillId="0" borderId="19" xfId="2" applyFont="1" applyBorder="1" applyAlignment="1">
      <alignment vertical="center" wrapText="1"/>
    </xf>
    <xf numFmtId="0" fontId="8" fillId="0" borderId="18" xfId="2" applyFont="1" applyBorder="1" applyAlignment="1">
      <alignment vertical="center" wrapText="1"/>
    </xf>
    <xf numFmtId="0" fontId="8" fillId="0" borderId="77" xfId="2" applyFont="1" applyBorder="1" applyAlignment="1">
      <alignment horizontal="center" vertical="center" textRotation="255" shrinkToFit="1"/>
    </xf>
    <xf numFmtId="0" fontId="8" fillId="0" borderId="58" xfId="2" applyFont="1" applyBorder="1" applyAlignment="1">
      <alignment horizontal="center" vertical="center" textRotation="255" shrinkToFit="1"/>
    </xf>
    <xf numFmtId="0" fontId="8" fillId="0" borderId="78" xfId="2" applyFont="1" applyBorder="1" applyAlignment="1">
      <alignment horizontal="center" vertical="center" textRotation="255" shrinkToFit="1"/>
    </xf>
    <xf numFmtId="0" fontId="1" fillId="0" borderId="10" xfId="2" applyFont="1" applyBorder="1" applyAlignment="1">
      <alignment horizontal="left" vertical="center" wrapText="1" indent="1"/>
    </xf>
    <xf numFmtId="0" fontId="1" fillId="0" borderId="0" xfId="2" applyFont="1" applyBorder="1" applyAlignment="1">
      <alignment horizontal="left" vertical="center" wrapText="1" inden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51" xfId="2" applyFont="1" applyBorder="1" applyAlignment="1">
      <alignment horizontal="left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5" xfId="2" applyFont="1" applyBorder="1" applyAlignment="1">
      <alignment vertical="center" wrapText="1"/>
    </xf>
    <xf numFmtId="0" fontId="8" fillId="0" borderId="4" xfId="2" applyFont="1" applyBorder="1" applyAlignment="1">
      <alignment vertical="center" wrapText="1"/>
    </xf>
    <xf numFmtId="0" fontId="8" fillId="0" borderId="84" xfId="2" applyFont="1" applyBorder="1" applyAlignment="1">
      <alignment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8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31" xfId="2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0" fontId="8" fillId="0" borderId="24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111" xfId="2" applyFont="1" applyBorder="1" applyAlignment="1">
      <alignment horizontal="center" vertical="center" wrapText="1"/>
    </xf>
    <xf numFmtId="0" fontId="1" fillId="0" borderId="108" xfId="2" applyFont="1" applyBorder="1" applyAlignment="1">
      <alignment horizontal="center" vertical="center" wrapText="1"/>
    </xf>
    <xf numFmtId="0" fontId="1" fillId="0" borderId="57" xfId="2" applyFont="1" applyBorder="1" applyAlignment="1">
      <alignment horizontal="center" vertical="center" wrapText="1"/>
    </xf>
    <xf numFmtId="0" fontId="1" fillId="0" borderId="85" xfId="2" applyFont="1" applyBorder="1" applyAlignment="1">
      <alignment horizontal="center" vertical="center" textRotation="255" wrapText="1"/>
    </xf>
    <xf numFmtId="0" fontId="1" fillId="0" borderId="71" xfId="2" applyFont="1" applyBorder="1" applyAlignment="1">
      <alignment horizontal="center" vertical="center"/>
    </xf>
    <xf numFmtId="0" fontId="1" fillId="0" borderId="51" xfId="2" applyFont="1" applyBorder="1" applyAlignment="1">
      <alignment horizontal="center" vertical="center"/>
    </xf>
    <xf numFmtId="0" fontId="1" fillId="0" borderId="81" xfId="2" applyFont="1" applyBorder="1" applyAlignment="1">
      <alignment horizontal="center" vertical="center"/>
    </xf>
    <xf numFmtId="0" fontId="1" fillId="0" borderId="82" xfId="2" applyFont="1" applyBorder="1" applyAlignment="1">
      <alignment horizontal="center" vertical="center"/>
    </xf>
    <xf numFmtId="0" fontId="1" fillId="0" borderId="273" xfId="2" applyFont="1" applyBorder="1" applyAlignment="1">
      <alignment horizontal="center" vertical="center"/>
    </xf>
    <xf numFmtId="0" fontId="1" fillId="0" borderId="264" xfId="2" applyFont="1" applyBorder="1" applyAlignment="1">
      <alignment horizontal="center" vertical="center"/>
    </xf>
    <xf numFmtId="0" fontId="1" fillId="0" borderId="259" xfId="2" applyFont="1" applyBorder="1" applyAlignment="1">
      <alignment horizontal="center" vertical="center" wrapText="1"/>
    </xf>
    <xf numFmtId="0" fontId="1" fillId="0" borderId="260" xfId="2" applyFont="1" applyBorder="1" applyAlignment="1">
      <alignment horizontal="center" vertical="center" wrapText="1"/>
    </xf>
    <xf numFmtId="0" fontId="1" fillId="0" borderId="261" xfId="2" applyFont="1" applyBorder="1" applyAlignment="1">
      <alignment horizontal="center" vertical="center" textRotation="255" wrapText="1"/>
    </xf>
    <xf numFmtId="0" fontId="1" fillId="0" borderId="262" xfId="2" applyFont="1" applyBorder="1" applyAlignment="1">
      <alignment horizontal="center" vertical="center"/>
    </xf>
    <xf numFmtId="0" fontId="1" fillId="0" borderId="228" xfId="2" applyFont="1" applyBorder="1" applyAlignment="1">
      <alignment horizontal="center" vertical="center"/>
    </xf>
    <xf numFmtId="0" fontId="1" fillId="0" borderId="263" xfId="2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104" xfId="0" applyFont="1" applyBorder="1" applyAlignment="1">
      <alignment horizontal="center" vertical="center"/>
    </xf>
    <xf numFmtId="0" fontId="0" fillId="0" borderId="45" xfId="0" applyFont="1" applyBorder="1" applyAlignment="1">
      <alignment vertical="center"/>
    </xf>
    <xf numFmtId="0" fontId="0" fillId="0" borderId="105" xfId="0" applyFont="1" applyBorder="1" applyAlignment="1">
      <alignment vertical="center"/>
    </xf>
    <xf numFmtId="0" fontId="0" fillId="3" borderId="33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0" fillId="0" borderId="149" xfId="0" applyFont="1" applyBorder="1" applyAlignment="1">
      <alignment vertical="center"/>
    </xf>
    <xf numFmtId="0" fontId="0" fillId="0" borderId="124" xfId="0" applyFont="1" applyBorder="1" applyAlignment="1">
      <alignment vertical="center"/>
    </xf>
    <xf numFmtId="0" fontId="0" fillId="0" borderId="149" xfId="0" applyFont="1" applyBorder="1" applyAlignment="1">
      <alignment vertical="center" wrapText="1"/>
    </xf>
    <xf numFmtId="0" fontId="0" fillId="0" borderId="43" xfId="0" applyFont="1" applyBorder="1" applyAlignment="1">
      <alignment vertical="center"/>
    </xf>
    <xf numFmtId="0" fontId="0" fillId="4" borderId="33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center" vertical="center"/>
    </xf>
    <xf numFmtId="0" fontId="0" fillId="3" borderId="181" xfId="0" applyFont="1" applyFill="1" applyBorder="1" applyAlignment="1">
      <alignment horizontal="center" vertical="center"/>
    </xf>
    <xf numFmtId="0" fontId="0" fillId="3" borderId="114" xfId="0" applyFont="1" applyFill="1" applyBorder="1" applyAlignment="1">
      <alignment horizontal="center" vertical="center"/>
    </xf>
    <xf numFmtId="0" fontId="0" fillId="3" borderId="182" xfId="0" applyFont="1" applyFill="1" applyBorder="1" applyAlignment="1">
      <alignment horizontal="center" vertical="center"/>
    </xf>
    <xf numFmtId="0" fontId="0" fillId="3" borderId="44" xfId="0" applyFont="1" applyFill="1" applyBorder="1" applyAlignment="1">
      <alignment horizontal="center" vertical="center"/>
    </xf>
    <xf numFmtId="0" fontId="0" fillId="3" borderId="183" xfId="0" applyFont="1" applyFill="1" applyBorder="1" applyAlignment="1">
      <alignment horizontal="center" vertical="center"/>
    </xf>
    <xf numFmtId="0" fontId="0" fillId="3" borderId="184" xfId="0" applyFont="1" applyFill="1" applyBorder="1" applyAlignment="1">
      <alignment horizontal="center" vertical="center"/>
    </xf>
    <xf numFmtId="181" fontId="0" fillId="0" borderId="33" xfId="0" applyNumberFormat="1" applyFont="1" applyBorder="1" applyAlignment="1">
      <alignment vertical="center"/>
    </xf>
    <xf numFmtId="181" fontId="0" fillId="0" borderId="39" xfId="0" applyNumberFormat="1" applyFont="1" applyBorder="1" applyAlignment="1">
      <alignment vertical="center"/>
    </xf>
    <xf numFmtId="181" fontId="0" fillId="0" borderId="180" xfId="0" applyNumberFormat="1" applyFont="1" applyBorder="1" applyAlignment="1">
      <alignment vertical="center"/>
    </xf>
    <xf numFmtId="0" fontId="0" fillId="7" borderId="103" xfId="0" applyFont="1" applyFill="1" applyBorder="1" applyAlignment="1">
      <alignment horizontal="center" vertical="center"/>
    </xf>
    <xf numFmtId="0" fontId="0" fillId="7" borderId="43" xfId="0" applyFont="1" applyFill="1" applyBorder="1" applyAlignment="1">
      <alignment horizontal="center" vertical="center"/>
    </xf>
    <xf numFmtId="0" fontId="0" fillId="0" borderId="149" xfId="0" applyFont="1" applyFill="1" applyBorder="1" applyAlignment="1">
      <alignment vertical="center"/>
    </xf>
    <xf numFmtId="0" fontId="0" fillId="0" borderId="43" xfId="0" applyFont="1" applyFill="1" applyBorder="1" applyAlignment="1">
      <alignment vertical="center"/>
    </xf>
    <xf numFmtId="0" fontId="0" fillId="0" borderId="124" xfId="0" applyFont="1" applyFill="1" applyBorder="1" applyAlignment="1">
      <alignment vertical="center"/>
    </xf>
    <xf numFmtId="0" fontId="0" fillId="4" borderId="56" xfId="0" applyFont="1" applyFill="1" applyBorder="1" applyAlignment="1">
      <alignment horizontal="center" vertical="center"/>
    </xf>
    <xf numFmtId="0" fontId="0" fillId="4" borderId="4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180" fontId="0" fillId="0" borderId="174" xfId="1" applyNumberFormat="1" applyFont="1" applyBorder="1" applyAlignment="1">
      <alignment horizontal="center" vertical="center"/>
    </xf>
    <xf numFmtId="180" fontId="0" fillId="0" borderId="104" xfId="1" applyNumberFormat="1" applyFont="1" applyBorder="1" applyAlignment="1">
      <alignment horizontal="center" vertical="center"/>
    </xf>
    <xf numFmtId="180" fontId="0" fillId="0" borderId="175" xfId="1" applyNumberFormat="1" applyFont="1" applyBorder="1" applyAlignment="1">
      <alignment horizontal="center" vertical="center"/>
    </xf>
    <xf numFmtId="180" fontId="0" fillId="0" borderId="130" xfId="1" applyNumberFormat="1" applyFont="1" applyBorder="1" applyAlignment="1">
      <alignment horizontal="center" vertical="center"/>
    </xf>
    <xf numFmtId="180" fontId="0" fillId="0" borderId="105" xfId="1" applyNumberFormat="1" applyFont="1" applyBorder="1" applyAlignment="1">
      <alignment horizontal="center" vertical="center"/>
    </xf>
    <xf numFmtId="180" fontId="0" fillId="0" borderId="176" xfId="1" applyNumberFormat="1" applyFont="1" applyBorder="1" applyAlignment="1">
      <alignment horizontal="center" vertical="center"/>
    </xf>
    <xf numFmtId="181" fontId="0" fillId="0" borderId="177" xfId="0" applyNumberFormat="1" applyFont="1" applyBorder="1" applyAlignment="1">
      <alignment vertical="center"/>
    </xf>
    <xf numFmtId="181" fontId="0" fillId="0" borderId="178" xfId="0" applyNumberFormat="1" applyFont="1" applyBorder="1" applyAlignment="1">
      <alignment vertical="center"/>
    </xf>
    <xf numFmtId="181" fontId="0" fillId="0" borderId="179" xfId="0" applyNumberFormat="1" applyFont="1" applyBorder="1" applyAlignment="1">
      <alignment vertical="center"/>
    </xf>
    <xf numFmtId="181" fontId="0" fillId="0" borderId="46" xfId="0" applyNumberFormat="1" applyFont="1" applyBorder="1" applyAlignment="1">
      <alignment vertical="center"/>
    </xf>
    <xf numFmtId="181" fontId="0" fillId="0" borderId="47" xfId="0" applyNumberFormat="1" applyFont="1" applyBorder="1" applyAlignment="1">
      <alignment vertical="center"/>
    </xf>
    <xf numFmtId="181" fontId="0" fillId="0" borderId="185" xfId="0" applyNumberFormat="1" applyFont="1" applyBorder="1" applyAlignment="1">
      <alignment vertical="center"/>
    </xf>
    <xf numFmtId="0" fontId="0" fillId="0" borderId="139" xfId="0" applyFont="1" applyBorder="1" applyAlignment="1">
      <alignment horizontal="center" vertical="center" textRotation="255"/>
    </xf>
    <xf numFmtId="0" fontId="0" fillId="0" borderId="103" xfId="0" applyFont="1" applyBorder="1" applyAlignment="1">
      <alignment horizontal="center" vertical="center" textRotation="255"/>
    </xf>
    <xf numFmtId="0" fontId="0" fillId="3" borderId="97" xfId="0" applyFill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/>
    </xf>
    <xf numFmtId="0" fontId="0" fillId="3" borderId="96" xfId="0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4" borderId="149" xfId="0" applyFont="1" applyFill="1" applyBorder="1" applyAlignment="1">
      <alignment horizontal="center" vertical="center" textRotation="255" wrapText="1"/>
    </xf>
    <xf numFmtId="0" fontId="0" fillId="4" borderId="43" xfId="0" applyFont="1" applyFill="1" applyBorder="1" applyAlignment="1">
      <alignment horizontal="center" vertical="center" textRotation="255" wrapText="1"/>
    </xf>
    <xf numFmtId="0" fontId="0" fillId="4" borderId="124" xfId="0" applyFont="1" applyFill="1" applyBorder="1" applyAlignment="1">
      <alignment horizontal="center" vertical="center" textRotation="255" wrapText="1"/>
    </xf>
    <xf numFmtId="0" fontId="0" fillId="4" borderId="149" xfId="0" applyFont="1" applyFill="1" applyBorder="1" applyAlignment="1">
      <alignment horizontal="center" vertical="center" wrapText="1"/>
    </xf>
    <xf numFmtId="0" fontId="0" fillId="4" borderId="43" xfId="0" applyFont="1" applyFill="1" applyBorder="1" applyAlignment="1">
      <alignment horizontal="center" vertical="center" wrapText="1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4" xfId="0" applyNumberFormat="1" applyFont="1" applyBorder="1" applyAlignment="1">
      <alignment horizontal="center" vertical="center"/>
    </xf>
    <xf numFmtId="176" fontId="0" fillId="0" borderId="65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113" xfId="0" applyNumberFormat="1" applyFont="1" applyBorder="1" applyAlignment="1">
      <alignment horizontal="center" vertical="center"/>
    </xf>
    <xf numFmtId="176" fontId="0" fillId="0" borderId="131" xfId="0" applyNumberFormat="1" applyFont="1" applyBorder="1" applyAlignment="1">
      <alignment horizontal="center" vertical="center"/>
    </xf>
    <xf numFmtId="176" fontId="0" fillId="0" borderId="111" xfId="0" applyNumberFormat="1" applyFont="1" applyBorder="1" applyAlignment="1">
      <alignment horizontal="center" vertical="center"/>
    </xf>
    <xf numFmtId="176" fontId="0" fillId="0" borderId="166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169" xfId="0" applyNumberFormat="1" applyFont="1" applyBorder="1" applyAlignment="1">
      <alignment horizontal="center" vertical="center"/>
    </xf>
    <xf numFmtId="176" fontId="0" fillId="0" borderId="162" xfId="0" applyNumberFormat="1" applyFont="1" applyBorder="1" applyAlignment="1">
      <alignment horizontal="center" vertical="center"/>
    </xf>
    <xf numFmtId="176" fontId="0" fillId="0" borderId="163" xfId="0" applyNumberFormat="1" applyFont="1" applyBorder="1" applyAlignment="1">
      <alignment horizontal="center" vertical="center"/>
    </xf>
    <xf numFmtId="176" fontId="0" fillId="0" borderId="71" xfId="0" applyNumberFormat="1" applyFont="1" applyBorder="1" applyAlignment="1">
      <alignment horizontal="center" vertical="center"/>
    </xf>
    <xf numFmtId="176" fontId="0" fillId="0" borderId="51" xfId="0" applyNumberFormat="1" applyFont="1" applyBorder="1" applyAlignment="1">
      <alignment horizontal="center" vertical="center"/>
    </xf>
    <xf numFmtId="176" fontId="0" fillId="0" borderId="81" xfId="0" applyNumberFormat="1" applyFont="1" applyBorder="1" applyAlignment="1">
      <alignment horizontal="center" vertical="center"/>
    </xf>
    <xf numFmtId="176" fontId="0" fillId="0" borderId="82" xfId="0" applyNumberFormat="1" applyFont="1" applyBorder="1" applyAlignment="1">
      <alignment horizontal="center" vertical="center"/>
    </xf>
    <xf numFmtId="176" fontId="0" fillId="0" borderId="171" xfId="0" applyNumberFormat="1" applyFont="1" applyBorder="1" applyAlignment="1">
      <alignment horizontal="center" vertical="center"/>
    </xf>
    <xf numFmtId="176" fontId="0" fillId="0" borderId="121" xfId="0" applyNumberFormat="1" applyFont="1" applyBorder="1" applyAlignment="1">
      <alignment horizontal="center" vertical="center"/>
    </xf>
    <xf numFmtId="176" fontId="0" fillId="0" borderId="71" xfId="0" applyNumberFormat="1" applyFont="1" applyBorder="1" applyAlignment="1">
      <alignment horizontal="left" vertical="center" indent="1"/>
    </xf>
    <xf numFmtId="176" fontId="0" fillId="0" borderId="51" xfId="0" applyNumberFormat="1" applyFont="1" applyBorder="1" applyAlignment="1">
      <alignment horizontal="left" vertical="center" indent="1"/>
    </xf>
    <xf numFmtId="176" fontId="0" fillId="0" borderId="80" xfId="0" applyNumberFormat="1" applyFont="1" applyBorder="1" applyAlignment="1">
      <alignment horizontal="center" vertical="center"/>
    </xf>
    <xf numFmtId="176" fontId="0" fillId="0" borderId="254" xfId="0" applyNumberFormat="1" applyFont="1" applyBorder="1" applyAlignment="1">
      <alignment horizontal="center" vertical="center"/>
    </xf>
    <xf numFmtId="176" fontId="0" fillId="0" borderId="255" xfId="0" applyNumberFormat="1" applyFont="1" applyBorder="1" applyAlignment="1">
      <alignment horizontal="center" vertical="center"/>
    </xf>
    <xf numFmtId="176" fontId="0" fillId="0" borderId="256" xfId="0" applyNumberFormat="1" applyFont="1" applyBorder="1" applyAlignment="1">
      <alignment horizontal="center" vertical="center"/>
    </xf>
    <xf numFmtId="176" fontId="0" fillId="0" borderId="238" xfId="0" applyNumberFormat="1" applyFont="1" applyBorder="1" applyAlignment="1">
      <alignment horizontal="center" vertical="center"/>
    </xf>
    <xf numFmtId="176" fontId="0" fillId="0" borderId="235" xfId="0" applyNumberFormat="1" applyFont="1" applyBorder="1" applyAlignment="1">
      <alignment horizontal="center" vertical="center"/>
    </xf>
    <xf numFmtId="176" fontId="0" fillId="0" borderId="257" xfId="0" applyNumberFormat="1" applyFont="1" applyBorder="1" applyAlignment="1">
      <alignment horizontal="center" vertical="center"/>
    </xf>
    <xf numFmtId="176" fontId="0" fillId="0" borderId="188" xfId="0" applyNumberFormat="1" applyFont="1" applyBorder="1" applyAlignment="1">
      <alignment horizontal="center" vertical="center"/>
    </xf>
    <xf numFmtId="176" fontId="0" fillId="0" borderId="258" xfId="0" applyNumberFormat="1" applyFont="1" applyBorder="1" applyAlignment="1">
      <alignment horizontal="center" vertical="center"/>
    </xf>
    <xf numFmtId="176" fontId="0" fillId="0" borderId="253" xfId="0" applyNumberFormat="1" applyFont="1" applyBorder="1" applyAlignment="1">
      <alignment horizontal="center" vertical="center"/>
    </xf>
    <xf numFmtId="176" fontId="0" fillId="0" borderId="117" xfId="0" applyNumberFormat="1" applyFont="1" applyBorder="1" applyAlignment="1">
      <alignment horizontal="center" vertical="center" shrinkToFit="1"/>
    </xf>
    <xf numFmtId="176" fontId="0" fillId="0" borderId="83" xfId="0" applyNumberFormat="1" applyFont="1" applyBorder="1" applyAlignment="1">
      <alignment horizontal="center" vertical="center" shrinkToFit="1"/>
    </xf>
    <xf numFmtId="176" fontId="0" fillId="0" borderId="60" xfId="0" applyNumberFormat="1" applyFont="1" applyBorder="1" applyAlignment="1">
      <alignment horizontal="center" vertical="center" textRotation="255" shrinkToFit="1"/>
    </xf>
    <xf numFmtId="176" fontId="0" fillId="0" borderId="58" xfId="0" applyNumberFormat="1" applyFont="1" applyBorder="1" applyAlignment="1">
      <alignment horizontal="center" vertical="center" textRotation="255" shrinkToFit="1"/>
    </xf>
    <xf numFmtId="176" fontId="0" fillId="0" borderId="78" xfId="0" applyNumberFormat="1" applyFont="1" applyBorder="1" applyAlignment="1">
      <alignment horizontal="center" vertical="center" textRotation="255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77" xfId="0" applyNumberFormat="1" applyFont="1" applyBorder="1" applyAlignment="1">
      <alignment horizontal="center" vertical="center" shrinkToFit="1"/>
    </xf>
    <xf numFmtId="176" fontId="0" fillId="0" borderId="78" xfId="0" applyNumberFormat="1" applyFont="1" applyBorder="1" applyAlignment="1">
      <alignment horizontal="center" vertical="center" shrinkToFit="1"/>
    </xf>
    <xf numFmtId="176" fontId="0" fillId="0" borderId="70" xfId="0" applyNumberFormat="1" applyFont="1" applyBorder="1" applyAlignment="1">
      <alignment horizontal="center" vertical="center" shrinkToFit="1"/>
    </xf>
    <xf numFmtId="176" fontId="0" fillId="0" borderId="79" xfId="0" applyNumberFormat="1" applyFont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20" xfId="0" applyNumberFormat="1" applyFont="1" applyBorder="1" applyAlignment="1">
      <alignment vertical="center"/>
    </xf>
    <xf numFmtId="177" fontId="0" fillId="0" borderId="126" xfId="0" applyNumberFormat="1" applyFont="1" applyBorder="1" applyAlignment="1">
      <alignment vertical="center"/>
    </xf>
    <xf numFmtId="177" fontId="0" fillId="0" borderId="138" xfId="0" applyNumberFormat="1" applyFont="1" applyBorder="1" applyAlignment="1">
      <alignment vertical="center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06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0" fontId="0" fillId="0" borderId="127" xfId="0" applyFill="1" applyBorder="1" applyAlignment="1">
      <alignment horizontal="center" vertical="center" textRotation="255" wrapText="1"/>
    </xf>
    <xf numFmtId="0" fontId="0" fillId="0" borderId="43" xfId="0" applyFill="1" applyBorder="1" applyAlignment="1">
      <alignment horizontal="center" vertical="center" textRotation="255" wrapText="1"/>
    </xf>
    <xf numFmtId="0" fontId="0" fillId="0" borderId="75" xfId="0" applyFill="1" applyBorder="1" applyAlignment="1">
      <alignment horizontal="center" vertical="center" textRotation="255" wrapText="1"/>
    </xf>
    <xf numFmtId="0" fontId="0" fillId="0" borderId="41" xfId="0" applyFont="1" applyBorder="1" applyAlignment="1">
      <alignment vertical="center"/>
    </xf>
    <xf numFmtId="0" fontId="0" fillId="0" borderId="49" xfId="0" applyFont="1" applyBorder="1" applyAlignment="1">
      <alignment vertical="center"/>
    </xf>
    <xf numFmtId="0" fontId="0" fillId="6" borderId="46" xfId="0" applyFill="1" applyBorder="1" applyAlignment="1">
      <alignment horizontal="left" vertical="center"/>
    </xf>
    <xf numFmtId="0" fontId="0" fillId="6" borderId="62" xfId="0" applyFont="1" applyFill="1" applyBorder="1" applyAlignment="1">
      <alignment horizontal="left" vertical="center"/>
    </xf>
    <xf numFmtId="177" fontId="0" fillId="0" borderId="22" xfId="0" applyNumberFormat="1" applyFont="1" applyFill="1" applyBorder="1" applyAlignment="1">
      <alignment vertical="center" shrinkToFit="1"/>
    </xf>
    <xf numFmtId="177" fontId="0" fillId="0" borderId="83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86" xfId="0" applyNumberFormat="1" applyFill="1" applyBorder="1" applyAlignment="1">
      <alignment vertical="center"/>
    </xf>
    <xf numFmtId="0" fontId="0" fillId="0" borderId="86" xfId="0" applyFont="1" applyFill="1" applyBorder="1" applyAlignment="1">
      <alignment vertical="center"/>
    </xf>
    <xf numFmtId="0" fontId="0" fillId="0" borderId="73" xfId="0" applyFont="1" applyFill="1" applyBorder="1" applyAlignment="1">
      <alignment vertical="center"/>
    </xf>
    <xf numFmtId="177" fontId="0" fillId="2" borderId="128" xfId="0" applyNumberFormat="1" applyFill="1" applyBorder="1" applyAlignment="1">
      <alignment horizontal="center" vertical="center" shrinkToFit="1"/>
    </xf>
    <xf numFmtId="177" fontId="0" fillId="2" borderId="129" xfId="0" applyNumberFormat="1" applyFill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4" xfId="0" applyNumberFormat="1" applyFont="1" applyBorder="1" applyAlignment="1">
      <alignment horizontal="center" vertical="center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85" xfId="0" applyNumberFormat="1" applyFont="1" applyBorder="1" applyAlignment="1">
      <alignment horizontal="center" vertical="center" shrinkToFit="1"/>
    </xf>
    <xf numFmtId="177" fontId="0" fillId="0" borderId="86" xfId="0" applyNumberFormat="1" applyFont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9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131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32" xfId="0" applyNumberFormat="1" applyBorder="1" applyAlignment="1">
      <alignment horizontal="center" vertical="center" textRotation="255" shrinkToFit="1"/>
    </xf>
    <xf numFmtId="177" fontId="0" fillId="0" borderId="22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186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2" borderId="24" xfId="0" applyNumberFormat="1" applyFont="1" applyFill="1" applyBorder="1" applyAlignment="1">
      <alignment horizontal="right" vertical="center" shrinkToFit="1"/>
    </xf>
    <xf numFmtId="177" fontId="0" fillId="2" borderId="28" xfId="0" applyNumberFormat="1" applyFont="1" applyFill="1" applyBorder="1" applyAlignment="1">
      <alignment horizontal="right" vertical="center" shrinkToFit="1"/>
    </xf>
    <xf numFmtId="177" fontId="0" fillId="0" borderId="122" xfId="0" applyNumberFormat="1" applyBorder="1" applyAlignment="1">
      <alignment horizontal="center" vertical="center" textRotation="255" shrinkToFit="1"/>
    </xf>
    <xf numFmtId="177" fontId="0" fillId="0" borderId="58" xfId="0" applyNumberFormat="1" applyBorder="1" applyAlignment="1">
      <alignment horizontal="center" vertical="center" textRotation="255" shrinkToFit="1"/>
    </xf>
    <xf numFmtId="177" fontId="0" fillId="0" borderId="32" xfId="0" applyNumberFormat="1" applyBorder="1" applyAlignment="1">
      <alignment horizontal="center" vertical="center" textRotation="255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06" xfId="0" applyNumberFormat="1" applyFont="1" applyFill="1" applyBorder="1" applyAlignment="1">
      <alignment horizontal="center" vertical="center" shrinkToFit="1"/>
    </xf>
    <xf numFmtId="177" fontId="0" fillId="2" borderId="232" xfId="0" applyNumberFormat="1" applyFont="1" applyFill="1" applyBorder="1" applyAlignment="1">
      <alignment horizontal="center" vertical="center" shrinkToFit="1"/>
    </xf>
    <xf numFmtId="177" fontId="0" fillId="2" borderId="233" xfId="0" applyNumberFormat="1" applyFont="1" applyFill="1" applyBorder="1" applyAlignment="1">
      <alignment horizontal="center" vertical="center" shrinkToFit="1"/>
    </xf>
    <xf numFmtId="176" fontId="0" fillId="0" borderId="122" xfId="0" applyNumberFormat="1" applyFont="1" applyBorder="1" applyAlignment="1">
      <alignment horizontal="center" vertical="center" textRotation="255" shrinkToFit="1"/>
    </xf>
    <xf numFmtId="176" fontId="0" fillId="0" borderId="118" xfId="0" applyNumberFormat="1" applyFont="1" applyBorder="1" applyAlignment="1">
      <alignment horizontal="center" vertical="center" textRotation="255" shrinkToFit="1"/>
    </xf>
    <xf numFmtId="176" fontId="0" fillId="2" borderId="52" xfId="0" applyNumberFormat="1" applyFont="1" applyFill="1" applyBorder="1" applyAlignment="1">
      <alignment vertical="center" shrinkToFit="1"/>
    </xf>
    <xf numFmtId="176" fontId="0" fillId="0" borderId="52" xfId="0" applyNumberFormat="1" applyFont="1" applyBorder="1" applyAlignment="1">
      <alignment vertical="center"/>
    </xf>
    <xf numFmtId="177" fontId="0" fillId="0" borderId="142" xfId="3" applyNumberFormat="1" applyFont="1" applyBorder="1" applyAlignment="1">
      <alignment horizontal="center" vertical="center" textRotation="255" shrinkToFit="1"/>
    </xf>
    <xf numFmtId="177" fontId="0" fillId="0" borderId="96" xfId="3" applyNumberFormat="1" applyFont="1" applyBorder="1" applyAlignment="1">
      <alignment horizontal="center" vertical="center" textRotation="255" shrinkToFit="1"/>
    </xf>
    <xf numFmtId="177" fontId="0" fillId="0" borderId="139" xfId="3" applyNumberFormat="1" applyFont="1" applyBorder="1" applyAlignment="1">
      <alignment horizontal="center" vertical="center" textRotation="255" shrinkToFit="1"/>
    </xf>
    <xf numFmtId="176" fontId="0" fillId="0" borderId="145" xfId="3" applyNumberFormat="1" applyFont="1" applyFill="1" applyBorder="1" applyAlignment="1">
      <alignment vertical="center" shrinkToFit="1"/>
    </xf>
    <xf numFmtId="176" fontId="0" fillId="0" borderId="146" xfId="3" applyNumberFormat="1" applyFont="1" applyFill="1" applyBorder="1" applyAlignment="1">
      <alignment vertical="center" shrinkToFit="1"/>
    </xf>
    <xf numFmtId="3" fontId="0" fillId="0" borderId="53" xfId="5" applyNumberFormat="1" applyFont="1" applyFill="1" applyBorder="1" applyAlignment="1">
      <alignment horizontal="center" vertical="center" shrinkToFit="1"/>
    </xf>
    <xf numFmtId="3" fontId="0" fillId="0" borderId="43" xfId="5" applyNumberFormat="1" applyFont="1" applyFill="1" applyBorder="1" applyAlignment="1">
      <alignment horizontal="center" vertical="center" shrinkToFit="1"/>
    </xf>
    <xf numFmtId="3" fontId="0" fillId="0" borderId="124" xfId="5" applyNumberFormat="1" applyFont="1" applyFill="1" applyBorder="1" applyAlignment="1">
      <alignment horizontal="center" vertical="center" shrinkToFit="1"/>
    </xf>
    <xf numFmtId="176" fontId="0" fillId="0" borderId="33" xfId="3" applyNumberFormat="1" applyFont="1" applyFill="1" applyBorder="1" applyAlignment="1">
      <alignment vertical="center" shrinkToFit="1"/>
    </xf>
    <xf numFmtId="176" fontId="0" fillId="0" borderId="40" xfId="3" applyNumberFormat="1" applyFont="1" applyFill="1" applyBorder="1" applyAlignment="1">
      <alignment vertical="center" shrinkToFit="1"/>
    </xf>
    <xf numFmtId="176" fontId="0" fillId="0" borderId="32" xfId="0" applyNumberFormat="1" applyFont="1" applyBorder="1" applyAlignment="1">
      <alignment horizontal="center" vertical="center" textRotation="255" shrinkToFit="1"/>
    </xf>
    <xf numFmtId="176" fontId="0" fillId="0" borderId="33" xfId="0" applyNumberFormat="1" applyFont="1" applyFill="1" applyBorder="1" applyAlignment="1">
      <alignment vertical="center"/>
    </xf>
    <xf numFmtId="176" fontId="0" fillId="0" borderId="40" xfId="0" applyNumberFormat="1" applyFont="1" applyFill="1" applyBorder="1" applyAlignment="1">
      <alignment vertical="center"/>
    </xf>
    <xf numFmtId="177" fontId="0" fillId="0" borderId="140" xfId="3" applyNumberFormat="1" applyFont="1" applyBorder="1" applyAlignment="1">
      <alignment horizontal="center" vertical="center" textRotation="255" shrinkToFit="1"/>
    </xf>
    <xf numFmtId="176" fontId="0" fillId="0" borderId="23" xfId="0" applyNumberFormat="1" applyFont="1" applyBorder="1" applyAlignment="1">
      <alignment vertical="center"/>
    </xf>
    <xf numFmtId="176" fontId="0" fillId="2" borderId="216" xfId="0" applyNumberFormat="1" applyFont="1" applyFill="1" applyBorder="1" applyAlignment="1">
      <alignment vertical="center" shrinkToFit="1"/>
    </xf>
    <xf numFmtId="176" fontId="0" fillId="0" borderId="216" xfId="0" applyNumberFormat="1" applyFont="1" applyBorder="1" applyAlignment="1">
      <alignment vertical="center"/>
    </xf>
    <xf numFmtId="177" fontId="0" fillId="2" borderId="238" xfId="0" applyNumberFormat="1" applyFont="1" applyFill="1" applyBorder="1" applyAlignment="1">
      <alignment horizontal="center" vertical="center" shrinkToFit="1"/>
    </xf>
    <xf numFmtId="177" fontId="0" fillId="2" borderId="235" xfId="0" applyNumberFormat="1" applyFont="1" applyFill="1" applyBorder="1" applyAlignment="1">
      <alignment horizontal="center" vertical="center" shrinkToFit="1"/>
    </xf>
    <xf numFmtId="176" fontId="0" fillId="2" borderId="234" xfId="0" applyNumberFormat="1" applyFont="1" applyFill="1" applyBorder="1" applyAlignment="1">
      <alignment horizontal="center" vertical="center" shrinkToFit="1"/>
    </xf>
    <xf numFmtId="176" fontId="0" fillId="2" borderId="235" xfId="0" applyNumberFormat="1" applyFont="1" applyFill="1" applyBorder="1" applyAlignment="1">
      <alignment horizontal="center" vertical="center" shrinkToFit="1"/>
    </xf>
    <xf numFmtId="177" fontId="0" fillId="0" borderId="206" xfId="3" applyNumberFormat="1" applyFont="1" applyBorder="1" applyAlignment="1">
      <alignment horizontal="center" vertical="center" shrinkToFit="1"/>
    </xf>
    <xf numFmtId="177" fontId="0" fillId="0" borderId="139" xfId="3" applyNumberFormat="1" applyFont="1" applyBorder="1" applyAlignment="1">
      <alignment horizontal="center" vertical="center" shrinkToFit="1"/>
    </xf>
    <xf numFmtId="177" fontId="0" fillId="0" borderId="103" xfId="3" applyNumberFormat="1" applyFont="1" applyBorder="1" applyAlignment="1">
      <alignment horizontal="center" vertical="center" shrinkToFit="1"/>
    </xf>
    <xf numFmtId="177" fontId="0" fillId="0" borderId="148" xfId="3" applyNumberFormat="1" applyFont="1" applyBorder="1" applyAlignment="1">
      <alignment horizontal="center" vertical="center" shrinkToFit="1"/>
    </xf>
    <xf numFmtId="176" fontId="0" fillId="0" borderId="143" xfId="0" applyNumberFormat="1" applyFont="1" applyBorder="1" applyAlignment="1">
      <alignment vertical="center"/>
    </xf>
    <xf numFmtId="177" fontId="0" fillId="0" borderId="153" xfId="3" applyNumberFormat="1" applyFont="1" applyBorder="1" applyAlignment="1">
      <alignment horizontal="center" vertical="center" shrinkToFit="1"/>
    </xf>
    <xf numFmtId="177" fontId="0" fillId="0" borderId="154" xfId="3" applyNumberFormat="1" applyFont="1" applyBorder="1" applyAlignment="1">
      <alignment horizontal="center" vertical="center" shrinkToFit="1"/>
    </xf>
    <xf numFmtId="176" fontId="0" fillId="0" borderId="224" xfId="0" applyNumberFormat="1" applyFont="1" applyBorder="1" applyAlignment="1">
      <alignment horizontal="center" vertical="center" textRotation="255" shrinkToFit="1"/>
    </xf>
    <xf numFmtId="177" fontId="0" fillId="0" borderId="177" xfId="3" applyNumberFormat="1" applyFont="1" applyBorder="1" applyAlignment="1">
      <alignment horizontal="center" vertical="center" shrinkToFit="1"/>
    </xf>
    <xf numFmtId="177" fontId="0" fillId="0" borderId="208" xfId="3" applyNumberFormat="1" applyFont="1" applyBorder="1" applyAlignment="1">
      <alignment horizontal="center" vertical="center" shrinkToFit="1"/>
    </xf>
    <xf numFmtId="0" fontId="0" fillId="0" borderId="103" xfId="0" applyFont="1" applyBorder="1">
      <alignment vertical="center"/>
    </xf>
    <xf numFmtId="0" fontId="0" fillId="0" borderId="148" xfId="0" applyFont="1" applyBorder="1">
      <alignment vertical="center"/>
    </xf>
    <xf numFmtId="177" fontId="0" fillId="0" borderId="227" xfId="0" applyNumberFormat="1" applyFont="1" applyBorder="1" applyAlignment="1">
      <alignment horizontal="center" vertical="center" shrinkToFit="1"/>
    </xf>
    <xf numFmtId="177" fontId="0" fillId="0" borderId="228" xfId="0" applyNumberFormat="1" applyFont="1" applyBorder="1" applyAlignment="1">
      <alignment horizontal="center" vertical="center" shrinkToFit="1"/>
    </xf>
    <xf numFmtId="177" fontId="0" fillId="2" borderId="234" xfId="0" applyNumberFormat="1" applyFont="1" applyFill="1" applyBorder="1" applyAlignment="1">
      <alignment horizontal="center" vertical="center" shrinkToFit="1"/>
    </xf>
    <xf numFmtId="176" fontId="0" fillId="0" borderId="229" xfId="0" applyNumberFormat="1" applyFont="1" applyBorder="1" applyAlignment="1">
      <alignment horizontal="center" vertical="center" textRotation="255" shrinkToFit="1"/>
    </xf>
    <xf numFmtId="176" fontId="0" fillId="0" borderId="214" xfId="0" applyNumberFormat="1" applyFont="1" applyBorder="1" applyAlignment="1">
      <alignment horizontal="center" vertical="center" textRotation="255" shrinkToFit="1"/>
    </xf>
    <xf numFmtId="176" fontId="0" fillId="0" borderId="123" xfId="0" applyNumberFormat="1" applyFont="1" applyBorder="1" applyAlignment="1">
      <alignment horizontal="center" vertical="center" textRotation="255" shrinkToFit="1"/>
    </xf>
    <xf numFmtId="176" fontId="0" fillId="0" borderId="220" xfId="0" applyNumberFormat="1" applyFont="1" applyBorder="1" applyAlignment="1">
      <alignment horizontal="center" vertical="center" shrinkToFit="1"/>
    </xf>
    <xf numFmtId="176" fontId="0" fillId="0" borderId="124" xfId="0" applyNumberFormat="1" applyFont="1" applyBorder="1" applyAlignment="1">
      <alignment horizontal="center" vertical="center" shrinkToFit="1"/>
    </xf>
    <xf numFmtId="176" fontId="0" fillId="0" borderId="221" xfId="0" applyNumberFormat="1" applyFont="1" applyBorder="1" applyAlignment="1">
      <alignment horizontal="center" vertical="center" shrinkToFit="1"/>
    </xf>
    <xf numFmtId="176" fontId="0" fillId="0" borderId="125" xfId="0" applyNumberFormat="1" applyFont="1" applyBorder="1" applyAlignment="1">
      <alignment horizontal="center" vertical="center" shrinkToFit="1"/>
    </xf>
    <xf numFmtId="177" fontId="0" fillId="0" borderId="222" xfId="0" applyNumberFormat="1" applyFont="1" applyBorder="1" applyAlignment="1">
      <alignment horizontal="center" vertical="center" shrinkToFit="1"/>
    </xf>
    <xf numFmtId="177" fontId="0" fillId="0" borderId="223" xfId="0" applyNumberFormat="1" applyFont="1" applyBorder="1" applyAlignment="1">
      <alignment horizontal="center" vertical="center" shrinkToFit="1"/>
    </xf>
    <xf numFmtId="176" fontId="0" fillId="0" borderId="196" xfId="0" applyNumberFormat="1" applyFont="1" applyBorder="1" applyAlignment="1">
      <alignment horizontal="center" vertical="center" wrapText="1"/>
    </xf>
    <xf numFmtId="176" fontId="1" fillId="0" borderId="58" xfId="0" applyNumberFormat="1" applyFont="1" applyBorder="1" applyAlignment="1">
      <alignment horizontal="center" vertical="center"/>
    </xf>
    <xf numFmtId="176" fontId="1" fillId="0" borderId="118" xfId="0" applyNumberFormat="1" applyFont="1" applyBorder="1" applyAlignment="1">
      <alignment horizontal="center" vertical="center"/>
    </xf>
    <xf numFmtId="176" fontId="0" fillId="0" borderId="122" xfId="0" applyNumberFormat="1" applyFont="1" applyBorder="1" applyAlignment="1">
      <alignment horizontal="center" vertical="center" wrapText="1"/>
    </xf>
    <xf numFmtId="176" fontId="1" fillId="10" borderId="203" xfId="0" applyNumberFormat="1" applyFont="1" applyFill="1" applyBorder="1" applyAlignment="1">
      <alignment horizontal="center" vertical="center"/>
    </xf>
    <xf numFmtId="176" fontId="1" fillId="10" borderId="204" xfId="0" applyNumberFormat="1" applyFont="1" applyFill="1" applyBorder="1" applyAlignment="1">
      <alignment horizontal="center" vertical="center"/>
    </xf>
    <xf numFmtId="177" fontId="0" fillId="0" borderId="205" xfId="0" applyNumberFormat="1" applyBorder="1" applyAlignment="1">
      <alignment horizontal="center" vertical="center"/>
    </xf>
    <xf numFmtId="177" fontId="0" fillId="0" borderId="206" xfId="0" applyNumberFormat="1" applyBorder="1" applyAlignment="1">
      <alignment horizontal="center" vertical="center"/>
    </xf>
    <xf numFmtId="177" fontId="0" fillId="0" borderId="207" xfId="0" applyNumberFormat="1" applyBorder="1" applyAlignment="1">
      <alignment horizontal="center" vertical="center"/>
    </xf>
  </cellXfs>
  <cellStyles count="13">
    <cellStyle name="パーセント" xfId="4" builtinId="5"/>
    <cellStyle name="パーセント 2" xfId="8"/>
    <cellStyle name="ハイパーリンク_20101209　経営改善計画検討手順（素案）" xfId="9"/>
    <cellStyle name="桁区切り" xfId="1" builtinId="6"/>
    <cellStyle name="桁区切り 2" xfId="7"/>
    <cellStyle name="桁区切り 3" xfId="11"/>
    <cellStyle name="標準" xfId="0" builtinId="0"/>
    <cellStyle name="標準 2" xfId="6"/>
    <cellStyle name="標準 3" xfId="12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9528</xdr:colOff>
      <xdr:row>20</xdr:row>
      <xdr:rowOff>0</xdr:rowOff>
    </xdr:from>
    <xdr:to>
      <xdr:col>28</xdr:col>
      <xdr:colOff>13747</xdr:colOff>
      <xdr:row>21</xdr:row>
      <xdr:rowOff>4350</xdr:rowOff>
    </xdr:to>
    <xdr:sp macro="" textlink="">
      <xdr:nvSpPr>
        <xdr:cNvPr id="5128" name="Rectangle 8" descr="10%"/>
        <xdr:cNvSpPr>
          <a:spLocks noChangeArrowheads="1"/>
        </xdr:cNvSpPr>
      </xdr:nvSpPr>
      <xdr:spPr bwMode="auto">
        <a:xfrm>
          <a:off x="8939216" y="5072063"/>
          <a:ext cx="540000" cy="254381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3175">
          <a:solidFill>
            <a:schemeClr val="bg1">
              <a:lumMod val="75000"/>
            </a:schemeClr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205946</xdr:colOff>
      <xdr:row>12</xdr:row>
      <xdr:rowOff>141588</xdr:rowOff>
    </xdr:from>
    <xdr:to>
      <xdr:col>28</xdr:col>
      <xdr:colOff>64362</xdr:colOff>
      <xdr:row>12</xdr:row>
      <xdr:rowOff>141588</xdr:rowOff>
    </xdr:to>
    <xdr:cxnSp macro="">
      <xdr:nvCxnSpPr>
        <xdr:cNvPr id="3" name="直線コネクタ 2"/>
        <xdr:cNvCxnSpPr/>
      </xdr:nvCxnSpPr>
      <xdr:spPr>
        <a:xfrm>
          <a:off x="3539696" y="3166419"/>
          <a:ext cx="5817977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231680</xdr:colOff>
      <xdr:row>13</xdr:row>
      <xdr:rowOff>128716</xdr:rowOff>
    </xdr:from>
    <xdr:to>
      <xdr:col>24</xdr:col>
      <xdr:colOff>257432</xdr:colOff>
      <xdr:row>13</xdr:row>
      <xdr:rowOff>141588</xdr:rowOff>
    </xdr:to>
    <xdr:cxnSp macro="">
      <xdr:nvCxnSpPr>
        <xdr:cNvPr id="7" name="直線コネクタ 6"/>
        <xdr:cNvCxnSpPr/>
      </xdr:nvCxnSpPr>
      <xdr:spPr>
        <a:xfrm>
          <a:off x="3565430" y="3398108"/>
          <a:ext cx="4904097" cy="12872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</xdr:colOff>
      <xdr:row>14</xdr:row>
      <xdr:rowOff>141590</xdr:rowOff>
    </xdr:from>
    <xdr:to>
      <xdr:col>28</xdr:col>
      <xdr:colOff>231697</xdr:colOff>
      <xdr:row>14</xdr:row>
      <xdr:rowOff>154459</xdr:rowOff>
    </xdr:to>
    <xdr:cxnSp macro="">
      <xdr:nvCxnSpPr>
        <xdr:cNvPr id="11" name="直線コネクタ 10"/>
        <xdr:cNvCxnSpPr/>
      </xdr:nvCxnSpPr>
      <xdr:spPr>
        <a:xfrm>
          <a:off x="3604062" y="3655543"/>
          <a:ext cx="5920946" cy="12869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128719</xdr:colOff>
      <xdr:row>12</xdr:row>
      <xdr:rowOff>128716</xdr:rowOff>
    </xdr:from>
    <xdr:to>
      <xdr:col>41</xdr:col>
      <xdr:colOff>218817</xdr:colOff>
      <xdr:row>12</xdr:row>
      <xdr:rowOff>128716</xdr:rowOff>
    </xdr:to>
    <xdr:cxnSp macro="">
      <xdr:nvCxnSpPr>
        <xdr:cNvPr id="16" name="直線コネクタ 15"/>
        <xdr:cNvCxnSpPr/>
      </xdr:nvCxnSpPr>
      <xdr:spPr>
        <a:xfrm>
          <a:off x="10773550" y="3153547"/>
          <a:ext cx="2252531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51487</xdr:colOff>
      <xdr:row>13</xdr:row>
      <xdr:rowOff>128716</xdr:rowOff>
    </xdr:from>
    <xdr:to>
      <xdr:col>41</xdr:col>
      <xdr:colOff>231689</xdr:colOff>
      <xdr:row>13</xdr:row>
      <xdr:rowOff>128716</xdr:rowOff>
    </xdr:to>
    <xdr:cxnSp macro="">
      <xdr:nvCxnSpPr>
        <xdr:cNvPr id="22" name="直線コネクタ 21"/>
        <xdr:cNvCxnSpPr/>
      </xdr:nvCxnSpPr>
      <xdr:spPr>
        <a:xfrm>
          <a:off x="9885406" y="3398108"/>
          <a:ext cx="3153547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90102</xdr:colOff>
      <xdr:row>14</xdr:row>
      <xdr:rowOff>141588</xdr:rowOff>
    </xdr:from>
    <xdr:to>
      <xdr:col>41</xdr:col>
      <xdr:colOff>180200</xdr:colOff>
      <xdr:row>14</xdr:row>
      <xdr:rowOff>141588</xdr:rowOff>
    </xdr:to>
    <xdr:cxnSp macro="">
      <xdr:nvCxnSpPr>
        <xdr:cNvPr id="23" name="直線コネクタ 22"/>
        <xdr:cNvCxnSpPr/>
      </xdr:nvCxnSpPr>
      <xdr:spPr>
        <a:xfrm>
          <a:off x="10734933" y="3655541"/>
          <a:ext cx="2252531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690562</xdr:colOff>
      <xdr:row>4</xdr:row>
      <xdr:rowOff>71437</xdr:rowOff>
    </xdr:from>
    <xdr:to>
      <xdr:col>30</xdr:col>
      <xdr:colOff>678656</xdr:colOff>
      <xdr:row>7</xdr:row>
      <xdr:rowOff>130968</xdr:rowOff>
    </xdr:to>
    <xdr:sp macro="" textlink="">
      <xdr:nvSpPr>
        <xdr:cNvPr id="2" name="正方形/長方形 1"/>
        <xdr:cNvSpPr/>
      </xdr:nvSpPr>
      <xdr:spPr>
        <a:xfrm>
          <a:off x="18111787" y="890587"/>
          <a:ext cx="2045494" cy="631031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収量　</a:t>
          </a:r>
          <a:r>
            <a:rPr kumimoji="1" lang="en-US" altLang="ja-JP" sz="1100">
              <a:solidFill>
                <a:schemeClr val="bg1"/>
              </a:solidFill>
            </a:rPr>
            <a:t>1800kg/10a</a:t>
          </a:r>
        </a:p>
        <a:p>
          <a:pPr algn="l"/>
          <a:r>
            <a:rPr kumimoji="1" lang="en-US" altLang="ja-JP" sz="1100">
              <a:solidFill>
                <a:schemeClr val="bg1"/>
              </a:solidFill>
            </a:rPr>
            <a:t>600g/</a:t>
          </a:r>
          <a:r>
            <a:rPr kumimoji="1" lang="ja-JP" altLang="en-US" sz="1100">
              <a:solidFill>
                <a:schemeClr val="bg1"/>
              </a:solidFill>
            </a:rPr>
            <a:t>房とすると</a:t>
          </a:r>
          <a:r>
            <a:rPr kumimoji="1" lang="en-US" altLang="ja-JP" sz="1100">
              <a:solidFill>
                <a:schemeClr val="bg1"/>
              </a:solidFill>
            </a:rPr>
            <a:t>3000</a:t>
          </a:r>
          <a:r>
            <a:rPr kumimoji="1" lang="ja-JP" altLang="en-US" sz="1100">
              <a:solidFill>
                <a:schemeClr val="bg1"/>
              </a:solidFill>
            </a:rPr>
            <a:t>房</a:t>
          </a:r>
          <a:r>
            <a:rPr kumimoji="1" lang="en-US" altLang="ja-JP" sz="1100">
              <a:solidFill>
                <a:schemeClr val="bg1"/>
              </a:solidFill>
            </a:rPr>
            <a:t>/10a</a:t>
          </a:r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25</xdr:col>
      <xdr:colOff>11906</xdr:colOff>
      <xdr:row>28</xdr:row>
      <xdr:rowOff>190499</xdr:rowOff>
    </xdr:from>
    <xdr:to>
      <xdr:col>28</xdr:col>
      <xdr:colOff>273843</xdr:colOff>
      <xdr:row>31</xdr:row>
      <xdr:rowOff>154780</xdr:rowOff>
    </xdr:to>
    <xdr:sp macro="" textlink="">
      <xdr:nvSpPr>
        <xdr:cNvPr id="3" name="正方形/長方形 2"/>
        <xdr:cNvSpPr/>
      </xdr:nvSpPr>
      <xdr:spPr>
        <a:xfrm>
          <a:off x="16061531" y="5581649"/>
          <a:ext cx="2319337" cy="535781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秤とデジタルスケールは（株）三商の研究実験用総合カタログより</a:t>
          </a:r>
          <a:endParaRPr kumimoji="1" lang="en-US" altLang="ja-JP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690562</xdr:colOff>
      <xdr:row>4</xdr:row>
      <xdr:rowOff>71437</xdr:rowOff>
    </xdr:from>
    <xdr:to>
      <xdr:col>30</xdr:col>
      <xdr:colOff>678656</xdr:colOff>
      <xdr:row>7</xdr:row>
      <xdr:rowOff>130968</xdr:rowOff>
    </xdr:to>
    <xdr:sp macro="" textlink="">
      <xdr:nvSpPr>
        <xdr:cNvPr id="2" name="正方形/長方形 1"/>
        <xdr:cNvSpPr/>
      </xdr:nvSpPr>
      <xdr:spPr>
        <a:xfrm>
          <a:off x="18111787" y="890587"/>
          <a:ext cx="2045494" cy="631031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収量　</a:t>
          </a:r>
          <a:r>
            <a:rPr kumimoji="1" lang="en-US" altLang="ja-JP" sz="1100">
              <a:solidFill>
                <a:schemeClr val="bg1"/>
              </a:solidFill>
            </a:rPr>
            <a:t>1800kg/10a</a:t>
          </a:r>
        </a:p>
        <a:p>
          <a:pPr algn="l"/>
          <a:r>
            <a:rPr kumimoji="1" lang="en-US" altLang="ja-JP" sz="1100">
              <a:solidFill>
                <a:schemeClr val="bg1"/>
              </a:solidFill>
            </a:rPr>
            <a:t>600g/</a:t>
          </a:r>
          <a:r>
            <a:rPr kumimoji="1" lang="ja-JP" altLang="en-US" sz="1100">
              <a:solidFill>
                <a:schemeClr val="bg1"/>
              </a:solidFill>
            </a:rPr>
            <a:t>房とすると</a:t>
          </a:r>
          <a:r>
            <a:rPr kumimoji="1" lang="en-US" altLang="ja-JP" sz="1100">
              <a:solidFill>
                <a:schemeClr val="bg1"/>
              </a:solidFill>
            </a:rPr>
            <a:t>3000</a:t>
          </a:r>
          <a:r>
            <a:rPr kumimoji="1" lang="ja-JP" altLang="en-US" sz="1100">
              <a:solidFill>
                <a:schemeClr val="bg1"/>
              </a:solidFill>
            </a:rPr>
            <a:t>房</a:t>
          </a:r>
          <a:r>
            <a:rPr kumimoji="1" lang="en-US" altLang="ja-JP" sz="1100">
              <a:solidFill>
                <a:schemeClr val="bg1"/>
              </a:solidFill>
            </a:rPr>
            <a:t>/10a</a:t>
          </a:r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25</xdr:col>
      <xdr:colOff>11906</xdr:colOff>
      <xdr:row>28</xdr:row>
      <xdr:rowOff>190499</xdr:rowOff>
    </xdr:from>
    <xdr:to>
      <xdr:col>28</xdr:col>
      <xdr:colOff>273843</xdr:colOff>
      <xdr:row>31</xdr:row>
      <xdr:rowOff>154780</xdr:rowOff>
    </xdr:to>
    <xdr:sp macro="" textlink="">
      <xdr:nvSpPr>
        <xdr:cNvPr id="3" name="正方形/長方形 2"/>
        <xdr:cNvSpPr/>
      </xdr:nvSpPr>
      <xdr:spPr>
        <a:xfrm>
          <a:off x="16061531" y="5581649"/>
          <a:ext cx="2319337" cy="535781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秤とデジタルスケールは（株）三商の研究実験用総合カタログより</a:t>
          </a:r>
          <a:endParaRPr kumimoji="1" lang="en-US" altLang="ja-JP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690562</xdr:colOff>
      <xdr:row>4</xdr:row>
      <xdr:rowOff>71437</xdr:rowOff>
    </xdr:from>
    <xdr:to>
      <xdr:col>30</xdr:col>
      <xdr:colOff>678656</xdr:colOff>
      <xdr:row>7</xdr:row>
      <xdr:rowOff>130968</xdr:rowOff>
    </xdr:to>
    <xdr:sp macro="" textlink="">
      <xdr:nvSpPr>
        <xdr:cNvPr id="2" name="正方形/長方形 1"/>
        <xdr:cNvSpPr/>
      </xdr:nvSpPr>
      <xdr:spPr>
        <a:xfrm>
          <a:off x="18111787" y="890587"/>
          <a:ext cx="2045494" cy="631031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収量　</a:t>
          </a:r>
          <a:r>
            <a:rPr kumimoji="1" lang="en-US" altLang="ja-JP" sz="1100">
              <a:solidFill>
                <a:sysClr val="windowText" lastClr="000000"/>
              </a:solidFill>
            </a:rPr>
            <a:t>1800kg/10a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600g/</a:t>
          </a:r>
          <a:r>
            <a:rPr kumimoji="1" lang="ja-JP" altLang="en-US" sz="1100">
              <a:solidFill>
                <a:sysClr val="windowText" lastClr="000000"/>
              </a:solidFill>
            </a:rPr>
            <a:t>房とすると</a:t>
          </a:r>
          <a:r>
            <a:rPr kumimoji="1" lang="en-US" altLang="ja-JP" sz="1100">
              <a:solidFill>
                <a:sysClr val="windowText" lastClr="000000"/>
              </a:solidFill>
            </a:rPr>
            <a:t>3000</a:t>
          </a:r>
          <a:r>
            <a:rPr kumimoji="1" lang="ja-JP" altLang="en-US" sz="1100">
              <a:solidFill>
                <a:sysClr val="windowText" lastClr="000000"/>
              </a:solidFill>
            </a:rPr>
            <a:t>房</a:t>
          </a:r>
          <a:r>
            <a:rPr kumimoji="1" lang="en-US" altLang="ja-JP" sz="1100">
              <a:solidFill>
                <a:sysClr val="windowText" lastClr="000000"/>
              </a:solidFill>
            </a:rPr>
            <a:t>/10a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11906</xdr:colOff>
      <xdr:row>28</xdr:row>
      <xdr:rowOff>190499</xdr:rowOff>
    </xdr:from>
    <xdr:to>
      <xdr:col>28</xdr:col>
      <xdr:colOff>273843</xdr:colOff>
      <xdr:row>31</xdr:row>
      <xdr:rowOff>154780</xdr:rowOff>
    </xdr:to>
    <xdr:sp macro="" textlink="">
      <xdr:nvSpPr>
        <xdr:cNvPr id="3" name="正方形/長方形 2"/>
        <xdr:cNvSpPr/>
      </xdr:nvSpPr>
      <xdr:spPr>
        <a:xfrm>
          <a:off x="16061531" y="5581649"/>
          <a:ext cx="2319337" cy="535781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秤とデジタルスケールは（株）三商の研究実験用総合カタログより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H26&#24180;&#24230;/F001%20&#36786;&#26989;&#25216;&#34899;&#35506;&#12304;&#36786;&#25216;&#12305;/&#65318;&#12288;&#25216;&#34899;&#20225;&#30011;&#65319;/600%20%20&#36786;&#26989;&#32076;&#21942;&#25351;&#27161;/10&#12288;&#12304;&#26368;&#26032;&#29256;&#12305;&#32076;&#21942;&#25351;&#27161;&#12288;&#9733;&#20462;&#27491;&#12398;&#38555;&#12399;&#25216;&#34899;&#35506;&#12395;&#36899;&#32097;&#12367;&#12384;&#12373;&#12356;&#9733;/03&#12288;&#26524;&#27193;/21&#12304;&#12406;&#12393;&#12358;&#65288;&#35469;&#23450;&#36786;&#26989;&#32773;1.1ha&#65289;&#12305;150120&#20462;&#274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　対象経営の概要，２　前提条件"/>
      <sheetName val="３-１　ピオーネハウス標準技術"/>
      <sheetName val="３-２　ピオーネトンネル標準技術 "/>
      <sheetName val="３-３　ベリーＡ保温メッシュ標準技術"/>
      <sheetName val="３-４　ベリーＡトンネル標準技術"/>
      <sheetName val="３-５　シャインハウス標準技術"/>
      <sheetName val="３-６　シャイントンネル標準技術"/>
      <sheetName val="４　経営収支"/>
      <sheetName val="５-１　ピオーネハウス作業時間"/>
      <sheetName val="５－２　ピオーネトンネル作業時間"/>
      <sheetName val="５－３　ベリーＡ保温メッシュ作業時間 "/>
      <sheetName val="５－４　ベリーＡトンネル作業時間"/>
      <sheetName val="５－５　シャインハウス作業時間"/>
      <sheetName val="５－６　シャイントンネル作業時間"/>
      <sheetName val="作業時間まとめ"/>
      <sheetName val="６　固定資本装備と減価償却費"/>
      <sheetName val="６-１　ハウス資本装備"/>
      <sheetName val="６-２　保温メッシュ資本装備"/>
      <sheetName val="６-３　トンネル資本装備"/>
      <sheetName val="７－１　ピオーネハウス部門収支"/>
      <sheetName val="７－２　ピオーネトンネル部門収支"/>
      <sheetName val="７－３　ベリーＡ保温メッシュ部門収支"/>
      <sheetName val="７－４　ベリーＡトンネル部門収支"/>
      <sheetName val="７－５　シャインハウス部門収支"/>
      <sheetName val="７－６　シャイントンネル部門収支"/>
      <sheetName val="８－１　ピオーネハウス算出基礎"/>
      <sheetName val="８－２　ピオーネトンネル算出基礎"/>
      <sheetName val="８－３　ベリーＡ保温メッシュ算出基礎"/>
      <sheetName val="８－４　ベリーＡトンネル算出基礎"/>
      <sheetName val="８－５　シャインハウス算出基礎 "/>
      <sheetName val="８－６　シャイントンネル算出基礎 "/>
      <sheetName val="農薬算出基礎"/>
      <sheetName val="肥料算出基礎"/>
      <sheetName val="９－１　ピオーネ単価算出基礎"/>
      <sheetName val="９-2　ベリーＡ単価算出基礎"/>
      <sheetName val="9-3　シャインマスカット単価算出基礎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0">
          <cell r="K20">
            <v>911.66666666666663</v>
          </cell>
        </row>
      </sheetData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0"/>
  <sheetViews>
    <sheetView tabSelected="1" zoomScale="75" zoomScaleNormal="75" zoomScaleSheetLayoutView="74" workbookViewId="0"/>
  </sheetViews>
  <sheetFormatPr defaultRowHeight="13.5" x14ac:dyDescent="0.15"/>
  <cols>
    <col min="1" max="1" width="1.625" style="68" customWidth="1"/>
    <col min="2" max="3" width="7.625" style="68" customWidth="1"/>
    <col min="4" max="6" width="9" style="68"/>
    <col min="7" max="7" width="3.5" style="68" customWidth="1"/>
    <col min="8" max="8" width="3.625" style="68" customWidth="1"/>
    <col min="9" max="9" width="3.75" style="68" customWidth="1"/>
    <col min="10" max="42" width="3.5" style="68" customWidth="1"/>
    <col min="43" max="43" width="1.375" style="68" customWidth="1"/>
    <col min="44" max="16384" width="9" style="68"/>
  </cols>
  <sheetData>
    <row r="1" spans="1:42" ht="9.9499999999999993" customHeight="1" thickBot="1" x14ac:dyDescent="0.2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42" ht="39.950000000000003" customHeight="1" thickBot="1" x14ac:dyDescent="0.2">
      <c r="A2" s="73"/>
      <c r="B2" s="221" t="s">
        <v>69</v>
      </c>
      <c r="C2" s="590" t="s">
        <v>574</v>
      </c>
      <c r="D2" s="591"/>
      <c r="E2" s="222" t="s">
        <v>54</v>
      </c>
      <c r="F2" s="590" t="s">
        <v>248</v>
      </c>
      <c r="G2" s="592"/>
      <c r="H2" s="592"/>
      <c r="I2" s="592"/>
      <c r="J2" s="592"/>
      <c r="K2" s="592"/>
      <c r="L2" s="592"/>
      <c r="M2" s="592"/>
      <c r="N2" s="591"/>
      <c r="O2" s="596" t="s">
        <v>55</v>
      </c>
      <c r="P2" s="597"/>
      <c r="Q2" s="598"/>
      <c r="R2" s="599" t="s">
        <v>572</v>
      </c>
      <c r="S2" s="600"/>
      <c r="T2" s="600"/>
      <c r="U2" s="600"/>
      <c r="V2" s="601" t="s">
        <v>56</v>
      </c>
      <c r="W2" s="600"/>
      <c r="X2" s="600"/>
      <c r="Y2" s="593" t="s">
        <v>573</v>
      </c>
      <c r="Z2" s="594"/>
      <c r="AA2" s="595"/>
      <c r="AB2" s="74"/>
      <c r="AC2" s="74"/>
      <c r="AD2" s="74"/>
    </row>
    <row r="3" spans="1:42" ht="9.9499999999999993" customHeight="1" x14ac:dyDescent="0.15">
      <c r="B3" s="75"/>
    </row>
    <row r="4" spans="1:42" ht="24.95" customHeight="1" thickBot="1" x14ac:dyDescent="0.2">
      <c r="B4" s="68" t="s">
        <v>92</v>
      </c>
    </row>
    <row r="5" spans="1:42" ht="20.100000000000001" customHeight="1" x14ac:dyDescent="0.15">
      <c r="B5" s="680" t="s">
        <v>93</v>
      </c>
      <c r="C5" s="641"/>
      <c r="D5" s="681" t="s">
        <v>633</v>
      </c>
      <c r="E5" s="682"/>
      <c r="F5" s="682"/>
      <c r="G5" s="683"/>
      <c r="H5" s="647" t="s">
        <v>57</v>
      </c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1"/>
      <c r="V5" s="641"/>
      <c r="W5" s="641"/>
      <c r="X5" s="641"/>
      <c r="Y5" s="641"/>
      <c r="Z5" s="641"/>
      <c r="AA5" s="642"/>
      <c r="AD5" s="74"/>
      <c r="AE5" s="74"/>
      <c r="AF5" s="74"/>
      <c r="AG5" s="74"/>
      <c r="AH5" s="74"/>
      <c r="AI5" s="74"/>
      <c r="AJ5" s="74"/>
      <c r="AK5" s="74"/>
      <c r="AL5" s="74"/>
    </row>
    <row r="6" spans="1:42" ht="20.100000000000001" customHeight="1" x14ac:dyDescent="0.15">
      <c r="B6" s="662" t="s">
        <v>58</v>
      </c>
      <c r="C6" s="663"/>
      <c r="D6" s="663"/>
      <c r="E6" s="663"/>
      <c r="F6" s="663"/>
      <c r="G6" s="659"/>
      <c r="H6" s="659" t="s">
        <v>59</v>
      </c>
      <c r="I6" s="660"/>
      <c r="J6" s="660"/>
      <c r="K6" s="660"/>
      <c r="L6" s="660"/>
      <c r="M6" s="660"/>
      <c r="N6" s="659" t="s">
        <v>60</v>
      </c>
      <c r="O6" s="660"/>
      <c r="P6" s="660"/>
      <c r="Q6" s="659" t="s">
        <v>61</v>
      </c>
      <c r="R6" s="660"/>
      <c r="S6" s="660"/>
      <c r="T6" s="660"/>
      <c r="U6" s="660"/>
      <c r="V6" s="660"/>
      <c r="W6" s="660"/>
      <c r="X6" s="661"/>
      <c r="Y6" s="660" t="s">
        <v>62</v>
      </c>
      <c r="Z6" s="660"/>
      <c r="AA6" s="679"/>
    </row>
    <row r="7" spans="1:42" ht="20.100000000000001" customHeight="1" x14ac:dyDescent="0.15">
      <c r="B7" s="637" t="s">
        <v>63</v>
      </c>
      <c r="C7" s="666"/>
      <c r="D7" s="689"/>
      <c r="E7" s="622"/>
      <c r="F7" s="622"/>
      <c r="G7" s="622"/>
      <c r="H7" s="659"/>
      <c r="I7" s="660"/>
      <c r="J7" s="660"/>
      <c r="K7" s="660"/>
      <c r="L7" s="660"/>
      <c r="M7" s="661"/>
      <c r="N7" s="690"/>
      <c r="O7" s="691"/>
      <c r="P7" s="692"/>
      <c r="Q7" s="684"/>
      <c r="R7" s="685"/>
      <c r="S7" s="685"/>
      <c r="T7" s="685"/>
      <c r="U7" s="685"/>
      <c r="V7" s="685"/>
      <c r="W7" s="685"/>
      <c r="X7" s="686"/>
      <c r="Y7" s="687"/>
      <c r="Z7" s="687"/>
      <c r="AA7" s="688"/>
    </row>
    <row r="8" spans="1:42" ht="20.100000000000001" customHeight="1" x14ac:dyDescent="0.15">
      <c r="B8" s="662" t="s">
        <v>64</v>
      </c>
      <c r="C8" s="663"/>
      <c r="D8" s="664"/>
      <c r="E8" s="664"/>
      <c r="F8" s="664"/>
      <c r="G8" s="665"/>
      <c r="H8" s="659"/>
      <c r="I8" s="660"/>
      <c r="J8" s="660"/>
      <c r="K8" s="660"/>
      <c r="L8" s="660"/>
      <c r="M8" s="661"/>
      <c r="N8" s="659"/>
      <c r="O8" s="660"/>
      <c r="P8" s="661"/>
      <c r="Q8" s="676"/>
      <c r="R8" s="677"/>
      <c r="S8" s="677"/>
      <c r="T8" s="677"/>
      <c r="U8" s="677"/>
      <c r="V8" s="677"/>
      <c r="W8" s="677"/>
      <c r="X8" s="678"/>
      <c r="Y8" s="659"/>
      <c r="Z8" s="660"/>
      <c r="AA8" s="679"/>
    </row>
    <row r="9" spans="1:42" ht="20.100000000000001" customHeight="1" x14ac:dyDescent="0.15">
      <c r="B9" s="662" t="s">
        <v>65</v>
      </c>
      <c r="C9" s="663"/>
      <c r="D9" s="664"/>
      <c r="E9" s="664"/>
      <c r="F9" s="664"/>
      <c r="G9" s="665"/>
      <c r="H9" s="659" t="s">
        <v>249</v>
      </c>
      <c r="I9" s="660"/>
      <c r="J9" s="660"/>
      <c r="K9" s="660"/>
      <c r="L9" s="660"/>
      <c r="M9" s="661"/>
      <c r="N9" s="659" t="s">
        <v>481</v>
      </c>
      <c r="O9" s="660"/>
      <c r="P9" s="661"/>
      <c r="Q9" s="676"/>
      <c r="R9" s="677"/>
      <c r="S9" s="677"/>
      <c r="T9" s="677"/>
      <c r="U9" s="677"/>
      <c r="V9" s="677"/>
      <c r="W9" s="677"/>
      <c r="X9" s="678"/>
      <c r="Y9" s="659"/>
      <c r="Z9" s="660"/>
      <c r="AA9" s="679"/>
    </row>
    <row r="10" spans="1:42" ht="20.100000000000001" customHeight="1" x14ac:dyDescent="0.15">
      <c r="B10" s="662" t="s">
        <v>66</v>
      </c>
      <c r="C10" s="663"/>
      <c r="D10" s="664"/>
      <c r="E10" s="664"/>
      <c r="F10" s="664"/>
      <c r="G10" s="665"/>
      <c r="H10" s="657"/>
      <c r="I10" s="658"/>
      <c r="J10" s="658"/>
      <c r="K10" s="658"/>
      <c r="L10" s="658"/>
      <c r="M10" s="658"/>
      <c r="N10" s="659"/>
      <c r="O10" s="660"/>
      <c r="P10" s="661"/>
      <c r="Q10" s="676"/>
      <c r="R10" s="677"/>
      <c r="S10" s="677"/>
      <c r="T10" s="677"/>
      <c r="U10" s="677"/>
      <c r="V10" s="677"/>
      <c r="W10" s="677"/>
      <c r="X10" s="678"/>
      <c r="Y10" s="660"/>
      <c r="Z10" s="660"/>
      <c r="AA10" s="679"/>
    </row>
    <row r="11" spans="1:42" ht="20.100000000000001" customHeight="1" thickBot="1" x14ac:dyDescent="0.2">
      <c r="B11" s="638" t="s">
        <v>67</v>
      </c>
      <c r="C11" s="666"/>
      <c r="D11" s="667"/>
      <c r="E11" s="667"/>
      <c r="F11" s="667"/>
      <c r="G11" s="668"/>
      <c r="H11" s="669"/>
      <c r="I11" s="670"/>
      <c r="J11" s="670"/>
      <c r="K11" s="670"/>
      <c r="L11" s="670"/>
      <c r="M11" s="670"/>
      <c r="N11" s="656"/>
      <c r="O11" s="654"/>
      <c r="P11" s="654"/>
      <c r="Q11" s="651"/>
      <c r="R11" s="652"/>
      <c r="S11" s="652"/>
      <c r="T11" s="652"/>
      <c r="U11" s="652"/>
      <c r="V11" s="652"/>
      <c r="W11" s="652"/>
      <c r="X11" s="653"/>
      <c r="Y11" s="654"/>
      <c r="Z11" s="654"/>
      <c r="AA11" s="655"/>
    </row>
    <row r="12" spans="1:42" ht="20.100000000000001" customHeight="1" x14ac:dyDescent="0.15">
      <c r="B12" s="671" t="s">
        <v>90</v>
      </c>
      <c r="C12" s="647" t="s">
        <v>94</v>
      </c>
      <c r="D12" s="641"/>
      <c r="E12" s="648"/>
      <c r="F12" s="69" t="s">
        <v>91</v>
      </c>
      <c r="G12" s="647">
        <v>1</v>
      </c>
      <c r="H12" s="641"/>
      <c r="I12" s="641"/>
      <c r="J12" s="647">
        <v>2</v>
      </c>
      <c r="K12" s="641"/>
      <c r="L12" s="648"/>
      <c r="M12" s="641">
        <v>3</v>
      </c>
      <c r="N12" s="641"/>
      <c r="O12" s="650"/>
      <c r="P12" s="647">
        <v>4</v>
      </c>
      <c r="Q12" s="641"/>
      <c r="R12" s="648"/>
      <c r="S12" s="649">
        <v>5</v>
      </c>
      <c r="T12" s="641"/>
      <c r="U12" s="650"/>
      <c r="V12" s="647">
        <v>6</v>
      </c>
      <c r="W12" s="641"/>
      <c r="X12" s="648"/>
      <c r="Y12" s="649">
        <v>7</v>
      </c>
      <c r="Z12" s="641"/>
      <c r="AA12" s="650"/>
      <c r="AB12" s="647">
        <v>8</v>
      </c>
      <c r="AC12" s="641"/>
      <c r="AD12" s="648"/>
      <c r="AE12" s="649">
        <v>9</v>
      </c>
      <c r="AF12" s="641"/>
      <c r="AG12" s="650"/>
      <c r="AH12" s="647">
        <v>10</v>
      </c>
      <c r="AI12" s="641"/>
      <c r="AJ12" s="648"/>
      <c r="AK12" s="647">
        <v>11</v>
      </c>
      <c r="AL12" s="641"/>
      <c r="AM12" s="648"/>
      <c r="AN12" s="641">
        <v>12</v>
      </c>
      <c r="AO12" s="641"/>
      <c r="AP12" s="642"/>
    </row>
    <row r="13" spans="1:42" ht="20.100000000000001" customHeight="1" x14ac:dyDescent="0.15">
      <c r="B13" s="672"/>
      <c r="C13" s="643" t="s">
        <v>478</v>
      </c>
      <c r="D13" s="644"/>
      <c r="E13" s="644"/>
      <c r="F13" s="586">
        <f>'４　経営収支'!G4</f>
        <v>10</v>
      </c>
      <c r="G13" s="76"/>
      <c r="H13" s="77"/>
      <c r="I13" s="77"/>
      <c r="J13" s="76"/>
      <c r="K13" s="77"/>
      <c r="L13" s="78"/>
      <c r="M13" s="77"/>
      <c r="N13" s="77"/>
      <c r="O13" s="79" t="s">
        <v>482</v>
      </c>
      <c r="P13" s="76"/>
      <c r="Q13" s="77"/>
      <c r="R13" s="78"/>
      <c r="S13" s="80"/>
      <c r="T13" s="77"/>
      <c r="U13" s="79"/>
      <c r="V13" s="76"/>
      <c r="W13" s="77"/>
      <c r="X13" s="78"/>
      <c r="Y13" s="80"/>
      <c r="Z13" s="77"/>
      <c r="AA13" s="79" t="s">
        <v>482</v>
      </c>
      <c r="AB13" s="76"/>
      <c r="AC13" s="77"/>
      <c r="AD13" s="514"/>
      <c r="AE13" s="515"/>
      <c r="AF13" s="516"/>
      <c r="AG13" s="514"/>
      <c r="AH13" s="76"/>
      <c r="AI13" s="77"/>
      <c r="AJ13" s="78"/>
      <c r="AK13" s="76"/>
      <c r="AL13" s="77"/>
      <c r="AM13" s="78"/>
      <c r="AN13" s="77"/>
      <c r="AO13" s="77"/>
      <c r="AP13" s="81"/>
    </row>
    <row r="14" spans="1:42" ht="20.100000000000001" customHeight="1" x14ac:dyDescent="0.15">
      <c r="B14" s="672"/>
      <c r="C14" s="643" t="s">
        <v>479</v>
      </c>
      <c r="D14" s="644"/>
      <c r="E14" s="644"/>
      <c r="F14" s="587">
        <f>'４　経営収支'!H4</f>
        <v>10</v>
      </c>
      <c r="G14" s="82"/>
      <c r="H14" s="83"/>
      <c r="I14" s="83"/>
      <c r="J14" s="82"/>
      <c r="K14" s="83"/>
      <c r="L14" s="84" t="s">
        <v>482</v>
      </c>
      <c r="M14" s="83"/>
      <c r="N14" s="83"/>
      <c r="O14" s="85"/>
      <c r="P14" s="82"/>
      <c r="Q14" s="83"/>
      <c r="R14" s="84"/>
      <c r="S14" s="86"/>
      <c r="T14" s="83"/>
      <c r="U14" s="85"/>
      <c r="V14" s="82"/>
      <c r="W14" s="83"/>
      <c r="X14" s="84"/>
      <c r="Y14" s="86"/>
      <c r="Z14" s="84" t="s">
        <v>482</v>
      </c>
      <c r="AA14" s="520"/>
      <c r="AB14" s="517"/>
      <c r="AC14" s="536"/>
      <c r="AD14" s="519"/>
      <c r="AE14" s="82"/>
      <c r="AF14" s="83"/>
      <c r="AG14" s="84"/>
      <c r="AH14" s="82"/>
      <c r="AI14" s="83"/>
      <c r="AJ14" s="84"/>
      <c r="AK14" s="82"/>
      <c r="AL14" s="83"/>
      <c r="AM14" s="84"/>
      <c r="AN14" s="83"/>
      <c r="AO14" s="83"/>
      <c r="AP14" s="87"/>
    </row>
    <row r="15" spans="1:42" ht="20.100000000000001" customHeight="1" x14ac:dyDescent="0.15">
      <c r="B15" s="672"/>
      <c r="C15" s="645" t="s">
        <v>480</v>
      </c>
      <c r="D15" s="646"/>
      <c r="E15" s="646"/>
      <c r="F15" s="587">
        <f>'４　経営収支'!J4</f>
        <v>40</v>
      </c>
      <c r="G15" s="535"/>
      <c r="H15" s="83"/>
      <c r="I15" s="83"/>
      <c r="J15" s="535"/>
      <c r="K15" s="83"/>
      <c r="L15" s="84"/>
      <c r="M15" s="83"/>
      <c r="N15" s="83"/>
      <c r="O15" s="85" t="s">
        <v>482</v>
      </c>
      <c r="P15" s="535"/>
      <c r="Q15" s="83"/>
      <c r="R15" s="84"/>
      <c r="S15" s="86"/>
      <c r="T15" s="83"/>
      <c r="U15" s="85"/>
      <c r="V15" s="535"/>
      <c r="W15" s="83"/>
      <c r="X15" s="84"/>
      <c r="Y15" s="86"/>
      <c r="Z15" s="83"/>
      <c r="AA15" s="84" t="s">
        <v>482</v>
      </c>
      <c r="AB15" s="535"/>
      <c r="AC15" s="83"/>
      <c r="AD15" s="505"/>
      <c r="AE15" s="517"/>
      <c r="AF15" s="518"/>
      <c r="AG15" s="519"/>
      <c r="AH15" s="82"/>
      <c r="AI15" s="83"/>
      <c r="AJ15" s="84"/>
      <c r="AK15" s="82"/>
      <c r="AL15" s="83"/>
      <c r="AM15" s="84"/>
      <c r="AN15" s="83"/>
      <c r="AO15" s="83"/>
      <c r="AP15" s="87"/>
    </row>
    <row r="16" spans="1:42" ht="20.100000000000001" customHeight="1" x14ac:dyDescent="0.15">
      <c r="B16" s="672"/>
      <c r="C16" s="645"/>
      <c r="D16" s="646"/>
      <c r="E16" s="646"/>
      <c r="F16" s="587"/>
      <c r="G16" s="82"/>
      <c r="H16" s="83"/>
      <c r="I16" s="83"/>
      <c r="J16" s="82"/>
      <c r="K16" s="83"/>
      <c r="L16" s="84"/>
      <c r="M16" s="83"/>
      <c r="N16" s="83"/>
      <c r="O16" s="85"/>
      <c r="P16" s="82"/>
      <c r="Q16" s="83"/>
      <c r="R16" s="84"/>
      <c r="S16" s="86"/>
      <c r="T16" s="83"/>
      <c r="U16" s="85"/>
      <c r="V16" s="82"/>
      <c r="W16" s="83"/>
      <c r="X16" s="84"/>
      <c r="Y16" s="86"/>
      <c r="Z16" s="83"/>
      <c r="AA16" s="84"/>
      <c r="AB16" s="82"/>
      <c r="AC16" s="83"/>
      <c r="AD16" s="505"/>
      <c r="AE16" s="537"/>
      <c r="AF16" s="538"/>
      <c r="AG16" s="505"/>
      <c r="AH16" s="82"/>
      <c r="AI16" s="83"/>
      <c r="AJ16" s="84"/>
      <c r="AK16" s="82"/>
      <c r="AL16" s="83"/>
      <c r="AM16" s="84"/>
      <c r="AN16" s="83"/>
      <c r="AO16" s="83"/>
      <c r="AP16" s="87"/>
    </row>
    <row r="17" spans="2:42" ht="20.100000000000001" customHeight="1" x14ac:dyDescent="0.15">
      <c r="B17" s="672"/>
      <c r="C17" s="643"/>
      <c r="D17" s="644"/>
      <c r="E17" s="644"/>
      <c r="F17" s="587"/>
      <c r="G17" s="82"/>
      <c r="H17" s="83"/>
      <c r="I17" s="83"/>
      <c r="J17" s="82"/>
      <c r="K17" s="83"/>
      <c r="L17" s="84"/>
      <c r="M17" s="83"/>
      <c r="N17" s="83"/>
      <c r="O17" s="85"/>
      <c r="P17" s="82"/>
      <c r="Q17" s="83"/>
      <c r="R17" s="84"/>
      <c r="S17" s="86"/>
      <c r="T17" s="83"/>
      <c r="U17" s="85"/>
      <c r="V17" s="82"/>
      <c r="W17" s="83"/>
      <c r="X17" s="84"/>
      <c r="Y17" s="86"/>
      <c r="Z17" s="83"/>
      <c r="AA17" s="85"/>
      <c r="AB17" s="82"/>
      <c r="AC17" s="83"/>
      <c r="AD17" s="84"/>
      <c r="AE17" s="82"/>
      <c r="AF17" s="83"/>
      <c r="AG17" s="84"/>
      <c r="AH17" s="82"/>
      <c r="AI17" s="83"/>
      <c r="AJ17" s="84"/>
      <c r="AK17" s="82"/>
      <c r="AL17" s="83"/>
      <c r="AM17" s="84"/>
      <c r="AN17" s="83"/>
      <c r="AO17" s="83"/>
      <c r="AP17" s="87"/>
    </row>
    <row r="18" spans="2:42" ht="20.100000000000001" customHeight="1" x14ac:dyDescent="0.15">
      <c r="B18" s="672"/>
      <c r="C18" s="643"/>
      <c r="D18" s="644"/>
      <c r="E18" s="644"/>
      <c r="F18" s="587"/>
      <c r="G18" s="82"/>
      <c r="H18" s="83"/>
      <c r="I18" s="83"/>
      <c r="J18" s="82"/>
      <c r="K18" s="83"/>
      <c r="L18" s="84"/>
      <c r="M18" s="83"/>
      <c r="N18" s="83"/>
      <c r="O18" s="85"/>
      <c r="P18" s="82"/>
      <c r="Q18" s="83"/>
      <c r="R18" s="84"/>
      <c r="S18" s="86"/>
      <c r="T18" s="83"/>
      <c r="U18" s="85"/>
      <c r="V18" s="82"/>
      <c r="W18" s="83"/>
      <c r="X18" s="84"/>
      <c r="Y18" s="86"/>
      <c r="Z18" s="83"/>
      <c r="AA18" s="85"/>
      <c r="AB18" s="82"/>
      <c r="AC18" s="83"/>
      <c r="AD18" s="84"/>
      <c r="AE18" s="82"/>
      <c r="AF18" s="83"/>
      <c r="AG18" s="84"/>
      <c r="AH18" s="82"/>
      <c r="AI18" s="83"/>
      <c r="AJ18" s="84"/>
      <c r="AK18" s="82"/>
      <c r="AL18" s="83"/>
      <c r="AM18" s="84"/>
      <c r="AN18" s="83"/>
      <c r="AO18" s="83"/>
      <c r="AP18" s="87"/>
    </row>
    <row r="19" spans="2:42" ht="20.100000000000001" customHeight="1" x14ac:dyDescent="0.15">
      <c r="B19" s="673"/>
      <c r="C19" s="674"/>
      <c r="D19" s="675"/>
      <c r="E19" s="675"/>
      <c r="F19" s="588"/>
      <c r="G19" s="88"/>
      <c r="H19" s="89"/>
      <c r="I19" s="89"/>
      <c r="J19" s="90"/>
      <c r="K19" s="91"/>
      <c r="L19" s="92"/>
      <c r="M19" s="89"/>
      <c r="N19" s="89"/>
      <c r="O19" s="93"/>
      <c r="P19" s="90"/>
      <c r="Q19" s="91"/>
      <c r="R19" s="92"/>
      <c r="S19" s="94"/>
      <c r="T19" s="89"/>
      <c r="U19" s="93"/>
      <c r="V19" s="90"/>
      <c r="W19" s="91"/>
      <c r="X19" s="92"/>
      <c r="Y19" s="94"/>
      <c r="Z19" s="89"/>
      <c r="AA19" s="93"/>
      <c r="AB19" s="90"/>
      <c r="AC19" s="91"/>
      <c r="AD19" s="92"/>
      <c r="AE19" s="90"/>
      <c r="AF19" s="91"/>
      <c r="AG19" s="92"/>
      <c r="AH19" s="90"/>
      <c r="AI19" s="91"/>
      <c r="AJ19" s="92"/>
      <c r="AK19" s="90"/>
      <c r="AL19" s="91"/>
      <c r="AM19" s="92"/>
      <c r="AN19" s="91"/>
      <c r="AO19" s="91"/>
      <c r="AP19" s="95"/>
    </row>
    <row r="20" spans="2:42" ht="20.100000000000001" customHeight="1" x14ac:dyDescent="0.15">
      <c r="B20" s="636" t="s">
        <v>68</v>
      </c>
      <c r="C20" s="619"/>
      <c r="D20" s="620"/>
      <c r="E20" s="620"/>
      <c r="F20" s="620"/>
      <c r="G20" s="620"/>
      <c r="H20" s="620"/>
      <c r="I20" s="620"/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  <c r="W20" s="620"/>
      <c r="X20" s="620"/>
      <c r="Y20" s="620"/>
      <c r="Z20" s="620"/>
      <c r="AA20" s="620"/>
      <c r="AB20" s="620"/>
      <c r="AC20" s="620"/>
      <c r="AD20" s="620"/>
      <c r="AE20" s="620"/>
      <c r="AF20" s="620"/>
      <c r="AG20" s="620"/>
      <c r="AH20" s="620"/>
      <c r="AI20" s="620"/>
      <c r="AJ20" s="620"/>
      <c r="AK20" s="620"/>
      <c r="AL20" s="620"/>
      <c r="AM20" s="620"/>
      <c r="AN20" s="620"/>
      <c r="AO20" s="620"/>
      <c r="AP20" s="621"/>
    </row>
    <row r="21" spans="2:42" ht="20.100000000000001" customHeight="1" x14ac:dyDescent="0.15">
      <c r="B21" s="637"/>
      <c r="C21" s="639" t="s">
        <v>563</v>
      </c>
      <c r="D21" s="640"/>
      <c r="E21" s="640"/>
      <c r="F21" s="640"/>
      <c r="G21" s="640"/>
      <c r="H21" s="640"/>
      <c r="I21" s="640"/>
      <c r="J21" s="640"/>
      <c r="K21" s="640"/>
      <c r="L21" s="640"/>
      <c r="M21" s="640"/>
      <c r="N21" s="640"/>
      <c r="O21" s="640"/>
      <c r="P21" s="640"/>
      <c r="Q21" s="640"/>
      <c r="R21" s="640"/>
      <c r="S21" s="640"/>
      <c r="T21" s="640"/>
      <c r="U21" s="640"/>
      <c r="V21" s="96"/>
      <c r="W21" s="96"/>
      <c r="Y21" s="622" t="s">
        <v>95</v>
      </c>
      <c r="Z21" s="622"/>
      <c r="AA21" s="622"/>
      <c r="AB21" s="622"/>
      <c r="AC21" s="96"/>
      <c r="AD21" s="96"/>
      <c r="AI21" s="96"/>
      <c r="AJ21" s="96"/>
      <c r="AK21" s="96"/>
      <c r="AL21" s="96"/>
      <c r="AM21" s="96"/>
      <c r="AN21" s="96"/>
      <c r="AO21" s="96"/>
      <c r="AP21" s="97"/>
    </row>
    <row r="22" spans="2:42" ht="20.100000000000001" customHeight="1" thickBot="1" x14ac:dyDescent="0.2">
      <c r="B22" s="638"/>
      <c r="C22" s="623"/>
      <c r="D22" s="624"/>
      <c r="E22" s="624"/>
      <c r="F22" s="624"/>
      <c r="G22" s="624"/>
      <c r="H22" s="624"/>
      <c r="I22" s="624"/>
      <c r="J22" s="624"/>
      <c r="K22" s="624"/>
      <c r="L22" s="624"/>
      <c r="M22" s="624"/>
      <c r="N22" s="624"/>
      <c r="O22" s="624"/>
      <c r="P22" s="624"/>
      <c r="Q22" s="624"/>
      <c r="R22" s="624"/>
      <c r="S22" s="624"/>
      <c r="T22" s="624"/>
      <c r="U22" s="624"/>
      <c r="V22" s="624"/>
      <c r="W22" s="624"/>
      <c r="X22" s="624"/>
      <c r="Y22" s="624"/>
      <c r="Z22" s="624"/>
      <c r="AA22" s="624"/>
      <c r="AB22" s="624"/>
      <c r="AC22" s="624"/>
      <c r="AD22" s="624"/>
      <c r="AE22" s="624"/>
      <c r="AF22" s="624"/>
      <c r="AG22" s="624"/>
      <c r="AH22" s="624"/>
      <c r="AI22" s="624"/>
      <c r="AJ22" s="624"/>
      <c r="AK22" s="624"/>
      <c r="AL22" s="624"/>
      <c r="AM22" s="624"/>
      <c r="AN22" s="624"/>
      <c r="AO22" s="624"/>
      <c r="AP22" s="625"/>
    </row>
    <row r="23" spans="2:42" ht="9.9499999999999993" customHeight="1" x14ac:dyDescent="0.15"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</row>
    <row r="24" spans="2:42" ht="24.95" customHeight="1" thickBot="1" x14ac:dyDescent="0.2">
      <c r="B24" s="68" t="s">
        <v>96</v>
      </c>
    </row>
    <row r="25" spans="2:42" ht="20.100000000000001" customHeight="1" thickBot="1" x14ac:dyDescent="0.2">
      <c r="B25" s="626" t="s">
        <v>16</v>
      </c>
      <c r="C25" s="627"/>
      <c r="D25" s="627"/>
      <c r="E25" s="627"/>
      <c r="F25" s="627"/>
      <c r="G25" s="627"/>
      <c r="H25" s="627"/>
      <c r="I25" s="627"/>
      <c r="J25" s="627"/>
      <c r="K25" s="627"/>
      <c r="L25" s="627"/>
      <c r="M25" s="627"/>
      <c r="N25" s="628"/>
      <c r="O25" s="629" t="s">
        <v>15</v>
      </c>
      <c r="P25" s="630"/>
      <c r="Q25" s="630"/>
      <c r="R25" s="630"/>
      <c r="S25" s="630"/>
      <c r="T25" s="630"/>
      <c r="U25" s="630"/>
      <c r="V25" s="630"/>
      <c r="W25" s="630"/>
      <c r="X25" s="630"/>
      <c r="Y25" s="630"/>
      <c r="Z25" s="630"/>
      <c r="AA25" s="630"/>
      <c r="AB25" s="630"/>
      <c r="AC25" s="630"/>
      <c r="AD25" s="630"/>
      <c r="AE25" s="630"/>
      <c r="AF25" s="630"/>
      <c r="AG25" s="630"/>
      <c r="AH25" s="630"/>
      <c r="AI25" s="630"/>
      <c r="AJ25" s="630"/>
      <c r="AK25" s="630"/>
      <c r="AL25" s="630"/>
      <c r="AM25" s="630"/>
      <c r="AN25" s="630"/>
      <c r="AO25" s="630"/>
      <c r="AP25" s="631"/>
    </row>
    <row r="26" spans="2:42" ht="39.950000000000003" customHeight="1" x14ac:dyDescent="0.15">
      <c r="B26" s="632" t="s">
        <v>11</v>
      </c>
      <c r="C26" s="615"/>
      <c r="D26" s="615"/>
      <c r="E26" s="633" t="s">
        <v>540</v>
      </c>
      <c r="F26" s="634"/>
      <c r="G26" s="634"/>
      <c r="H26" s="634"/>
      <c r="I26" s="634"/>
      <c r="J26" s="634"/>
      <c r="K26" s="634"/>
      <c r="L26" s="634"/>
      <c r="M26" s="634"/>
      <c r="N26" s="635"/>
      <c r="O26" s="614" t="s">
        <v>8</v>
      </c>
      <c r="P26" s="615"/>
      <c r="Q26" s="615"/>
      <c r="R26" s="615"/>
      <c r="S26" s="615"/>
      <c r="T26" s="616" t="s">
        <v>477</v>
      </c>
      <c r="U26" s="617"/>
      <c r="V26" s="617"/>
      <c r="W26" s="617"/>
      <c r="X26" s="617"/>
      <c r="Y26" s="617"/>
      <c r="Z26" s="617"/>
      <c r="AA26" s="617"/>
      <c r="AB26" s="617"/>
      <c r="AC26" s="617"/>
      <c r="AD26" s="617"/>
      <c r="AE26" s="617"/>
      <c r="AF26" s="617"/>
      <c r="AG26" s="617"/>
      <c r="AH26" s="617"/>
      <c r="AI26" s="617"/>
      <c r="AJ26" s="617"/>
      <c r="AK26" s="617"/>
      <c r="AL26" s="617"/>
      <c r="AM26" s="617"/>
      <c r="AN26" s="617"/>
      <c r="AO26" s="617"/>
      <c r="AP26" s="618"/>
    </row>
    <row r="27" spans="2:42" ht="39.950000000000003" customHeight="1" x14ac:dyDescent="0.15">
      <c r="B27" s="605" t="s">
        <v>12</v>
      </c>
      <c r="C27" s="606"/>
      <c r="D27" s="606"/>
      <c r="E27" s="607" t="s">
        <v>560</v>
      </c>
      <c r="F27" s="608"/>
      <c r="G27" s="608"/>
      <c r="H27" s="608"/>
      <c r="I27" s="608"/>
      <c r="J27" s="608"/>
      <c r="K27" s="608"/>
      <c r="L27" s="608"/>
      <c r="M27" s="608"/>
      <c r="N27" s="609"/>
      <c r="O27" s="610" t="s">
        <v>9</v>
      </c>
      <c r="P27" s="606"/>
      <c r="Q27" s="606"/>
      <c r="R27" s="606"/>
      <c r="S27" s="606"/>
      <c r="T27" s="607" t="s">
        <v>576</v>
      </c>
      <c r="U27" s="608"/>
      <c r="V27" s="608"/>
      <c r="W27" s="608"/>
      <c r="X27" s="608"/>
      <c r="Y27" s="608"/>
      <c r="Z27" s="608"/>
      <c r="AA27" s="608"/>
      <c r="AB27" s="608"/>
      <c r="AC27" s="608"/>
      <c r="AD27" s="608"/>
      <c r="AE27" s="608"/>
      <c r="AF27" s="608"/>
      <c r="AG27" s="608"/>
      <c r="AH27" s="608"/>
      <c r="AI27" s="608"/>
      <c r="AJ27" s="608"/>
      <c r="AK27" s="608"/>
      <c r="AL27" s="608"/>
      <c r="AM27" s="608"/>
      <c r="AN27" s="608"/>
      <c r="AO27" s="608"/>
      <c r="AP27" s="609"/>
    </row>
    <row r="28" spans="2:42" ht="39.950000000000003" customHeight="1" x14ac:dyDescent="0.15">
      <c r="B28" s="605" t="s">
        <v>13</v>
      </c>
      <c r="C28" s="606"/>
      <c r="D28" s="606"/>
      <c r="E28" s="607" t="s">
        <v>541</v>
      </c>
      <c r="F28" s="608"/>
      <c r="G28" s="608"/>
      <c r="H28" s="608"/>
      <c r="I28" s="608"/>
      <c r="J28" s="608"/>
      <c r="K28" s="608"/>
      <c r="L28" s="608"/>
      <c r="M28" s="608"/>
      <c r="N28" s="609"/>
      <c r="O28" s="610" t="s">
        <v>10</v>
      </c>
      <c r="P28" s="606"/>
      <c r="Q28" s="606"/>
      <c r="R28" s="606"/>
      <c r="S28" s="606"/>
      <c r="T28" s="607" t="s">
        <v>577</v>
      </c>
      <c r="U28" s="608"/>
      <c r="V28" s="608"/>
      <c r="W28" s="608"/>
      <c r="X28" s="608"/>
      <c r="Y28" s="608"/>
      <c r="Z28" s="608"/>
      <c r="AA28" s="608"/>
      <c r="AB28" s="608"/>
      <c r="AC28" s="608"/>
      <c r="AD28" s="608"/>
      <c r="AE28" s="608"/>
      <c r="AF28" s="608"/>
      <c r="AG28" s="608"/>
      <c r="AH28" s="608"/>
      <c r="AI28" s="608"/>
      <c r="AJ28" s="608"/>
      <c r="AK28" s="608"/>
      <c r="AL28" s="608"/>
      <c r="AM28" s="608"/>
      <c r="AN28" s="608"/>
      <c r="AO28" s="608"/>
      <c r="AP28" s="609"/>
    </row>
    <row r="29" spans="2:42" ht="39.950000000000003" customHeight="1" thickBot="1" x14ac:dyDescent="0.2">
      <c r="B29" s="613" t="s">
        <v>14</v>
      </c>
      <c r="C29" s="612"/>
      <c r="D29" s="612"/>
      <c r="E29" s="602" t="s">
        <v>575</v>
      </c>
      <c r="F29" s="603"/>
      <c r="G29" s="603"/>
      <c r="H29" s="603"/>
      <c r="I29" s="603"/>
      <c r="J29" s="603"/>
      <c r="K29" s="603"/>
      <c r="L29" s="603"/>
      <c r="M29" s="603"/>
      <c r="N29" s="604"/>
      <c r="O29" s="611"/>
      <c r="P29" s="612"/>
      <c r="Q29" s="612"/>
      <c r="R29" s="612"/>
      <c r="S29" s="612"/>
      <c r="T29" s="603"/>
      <c r="U29" s="603"/>
      <c r="V29" s="603"/>
      <c r="W29" s="603"/>
      <c r="X29" s="603"/>
      <c r="Y29" s="603"/>
      <c r="Z29" s="603"/>
      <c r="AA29" s="603"/>
      <c r="AB29" s="603"/>
      <c r="AC29" s="603"/>
      <c r="AD29" s="603"/>
      <c r="AE29" s="603"/>
      <c r="AF29" s="603"/>
      <c r="AG29" s="603"/>
      <c r="AH29" s="603"/>
      <c r="AI29" s="603"/>
      <c r="AJ29" s="603"/>
      <c r="AK29" s="603"/>
      <c r="AL29" s="603"/>
      <c r="AM29" s="603"/>
      <c r="AN29" s="603"/>
      <c r="AO29" s="603"/>
      <c r="AP29" s="604"/>
    </row>
    <row r="30" spans="2:42" ht="9.75" customHeight="1" x14ac:dyDescent="0.15">
      <c r="B30" s="72"/>
    </row>
  </sheetData>
  <mergeCells count="86">
    <mergeCell ref="Y6:AA6"/>
    <mergeCell ref="B5:C5"/>
    <mergeCell ref="D5:G5"/>
    <mergeCell ref="H5:AA5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  <mergeCell ref="B9:C9"/>
    <mergeCell ref="D9:G9"/>
    <mergeCell ref="H9:M9"/>
    <mergeCell ref="N9:P9"/>
    <mergeCell ref="B8:C8"/>
    <mergeCell ref="D8:G8"/>
    <mergeCell ref="H8:M8"/>
    <mergeCell ref="N8:P8"/>
    <mergeCell ref="Q8:X8"/>
    <mergeCell ref="Y8:AA8"/>
    <mergeCell ref="Q9:X9"/>
    <mergeCell ref="Y9:AA9"/>
    <mergeCell ref="Q10:X10"/>
    <mergeCell ref="Y10:AA10"/>
    <mergeCell ref="H10:M10"/>
    <mergeCell ref="N10:P10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19"/>
    <mergeCell ref="C16:E16"/>
    <mergeCell ref="C17:E17"/>
    <mergeCell ref="C18:E18"/>
    <mergeCell ref="C19:E19"/>
    <mergeCell ref="Q11:X11"/>
    <mergeCell ref="Y11:AA11"/>
    <mergeCell ref="AH12:AJ12"/>
    <mergeCell ref="AK12:AM12"/>
    <mergeCell ref="P12:R12"/>
    <mergeCell ref="S12:U12"/>
    <mergeCell ref="V12:X12"/>
    <mergeCell ref="Y12:AA12"/>
    <mergeCell ref="N11:P11"/>
    <mergeCell ref="AN12:AP12"/>
    <mergeCell ref="C13:E13"/>
    <mergeCell ref="C14:E14"/>
    <mergeCell ref="C15:E15"/>
    <mergeCell ref="AB12:AD12"/>
    <mergeCell ref="AE12:AG12"/>
    <mergeCell ref="O26:S26"/>
    <mergeCell ref="T26:AP26"/>
    <mergeCell ref="C20:AP20"/>
    <mergeCell ref="Y21:AB21"/>
    <mergeCell ref="C22:AP22"/>
    <mergeCell ref="B25:N25"/>
    <mergeCell ref="O25:AP25"/>
    <mergeCell ref="B26:D26"/>
    <mergeCell ref="E26:N26"/>
    <mergeCell ref="B20:B22"/>
    <mergeCell ref="C21:U21"/>
    <mergeCell ref="E29:N29"/>
    <mergeCell ref="B27:D27"/>
    <mergeCell ref="E27:N27"/>
    <mergeCell ref="O27:S27"/>
    <mergeCell ref="T27:AP27"/>
    <mergeCell ref="B28:D28"/>
    <mergeCell ref="E28:N28"/>
    <mergeCell ref="O28:S29"/>
    <mergeCell ref="T28:AP29"/>
    <mergeCell ref="B29:D29"/>
    <mergeCell ref="C2:D2"/>
    <mergeCell ref="F2:N2"/>
    <mergeCell ref="Y2:AA2"/>
    <mergeCell ref="O2:Q2"/>
    <mergeCell ref="R2:U2"/>
    <mergeCell ref="V2:X2"/>
  </mergeCells>
  <phoneticPr fontId="3"/>
  <pageMargins left="0.78740157480314965" right="0.78740157480314965" top="0.78740157480314965" bottom="0.78740157480314965" header="0.39370078740157483" footer="0.39370078740157483"/>
  <pageSetup paperSize="9" scale="76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39"/>
  <sheetViews>
    <sheetView zoomScale="75" zoomScaleNormal="75" workbookViewId="0"/>
  </sheetViews>
  <sheetFormatPr defaultRowHeight="13.5" x14ac:dyDescent="0.15"/>
  <cols>
    <col min="1" max="1" width="1.625" style="29" customWidth="1"/>
    <col min="2" max="3" width="11.625" style="29" customWidth="1"/>
    <col min="4" max="39" width="6.125" style="29" customWidth="1"/>
    <col min="40" max="40" width="7" style="29" customWidth="1"/>
    <col min="41" max="41" width="1.5" style="29" customWidth="1"/>
    <col min="42" max="16384" width="9" style="29"/>
  </cols>
  <sheetData>
    <row r="1" spans="2:63" ht="9.9499999999999993" customHeight="1" x14ac:dyDescent="0.15"/>
    <row r="2" spans="2:63" ht="24.95" customHeight="1" x14ac:dyDescent="0.15">
      <c r="B2" s="4" t="s">
        <v>551</v>
      </c>
      <c r="C2" s="4"/>
      <c r="D2" s="4"/>
      <c r="E2" s="4"/>
      <c r="F2" s="4"/>
      <c r="G2" s="4"/>
      <c r="H2" s="4"/>
      <c r="I2" s="4"/>
      <c r="J2" s="4"/>
      <c r="K2" s="4"/>
      <c r="L2" s="243" t="s">
        <v>192</v>
      </c>
      <c r="M2" s="507" t="s">
        <v>428</v>
      </c>
      <c r="N2" s="220"/>
      <c r="O2" s="243" t="s">
        <v>193</v>
      </c>
      <c r="P2" s="220" t="s">
        <v>408</v>
      </c>
      <c r="Q2" s="4"/>
      <c r="R2" s="4"/>
      <c r="S2" s="4"/>
      <c r="T2" s="4"/>
      <c r="U2" s="4"/>
      <c r="V2" s="4"/>
      <c r="W2" s="31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</row>
    <row r="3" spans="2:63" ht="24.95" customHeight="1" thickBot="1" x14ac:dyDescent="0.2">
      <c r="B3" s="4" t="s">
        <v>196</v>
      </c>
      <c r="C3" s="4"/>
      <c r="D3" s="4"/>
      <c r="E3" s="4"/>
      <c r="F3" s="4"/>
      <c r="G3" s="4"/>
      <c r="H3" s="4"/>
      <c r="I3" s="4"/>
      <c r="J3" s="4"/>
      <c r="K3" s="4"/>
      <c r="L3" s="4"/>
      <c r="M3" s="31"/>
      <c r="N3" s="4"/>
      <c r="O3" s="4"/>
      <c r="P3" s="31"/>
      <c r="Q3" s="4"/>
      <c r="R3" s="4"/>
      <c r="S3" s="4"/>
      <c r="T3" s="4"/>
      <c r="U3" s="4"/>
      <c r="V3" s="4"/>
      <c r="W3" s="31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</row>
    <row r="4" spans="2:63" ht="20.100000000000001" customHeight="1" x14ac:dyDescent="0.15">
      <c r="B4" s="774" t="s">
        <v>98</v>
      </c>
      <c r="C4" s="775"/>
      <c r="D4" s="762">
        <v>1</v>
      </c>
      <c r="E4" s="763"/>
      <c r="F4" s="764"/>
      <c r="G4" s="762">
        <v>2</v>
      </c>
      <c r="H4" s="763"/>
      <c r="I4" s="764"/>
      <c r="J4" s="762">
        <v>3</v>
      </c>
      <c r="K4" s="763"/>
      <c r="L4" s="764"/>
      <c r="M4" s="762">
        <v>4</v>
      </c>
      <c r="N4" s="763"/>
      <c r="O4" s="764"/>
      <c r="P4" s="762">
        <v>5</v>
      </c>
      <c r="Q4" s="763"/>
      <c r="R4" s="764"/>
      <c r="S4" s="762">
        <v>6</v>
      </c>
      <c r="T4" s="763"/>
      <c r="U4" s="764"/>
      <c r="V4" s="762">
        <v>7</v>
      </c>
      <c r="W4" s="763"/>
      <c r="X4" s="764"/>
      <c r="Y4" s="762">
        <v>8</v>
      </c>
      <c r="Z4" s="763"/>
      <c r="AA4" s="764"/>
      <c r="AB4" s="762">
        <v>9</v>
      </c>
      <c r="AC4" s="763"/>
      <c r="AD4" s="764"/>
      <c r="AE4" s="762">
        <v>10</v>
      </c>
      <c r="AF4" s="763"/>
      <c r="AG4" s="764"/>
      <c r="AH4" s="762">
        <v>11</v>
      </c>
      <c r="AI4" s="763"/>
      <c r="AJ4" s="764"/>
      <c r="AK4" s="762">
        <v>12</v>
      </c>
      <c r="AL4" s="763"/>
      <c r="AM4" s="764"/>
      <c r="AN4" s="765" t="s">
        <v>30</v>
      </c>
    </row>
    <row r="5" spans="2:63" ht="20.100000000000001" customHeight="1" x14ac:dyDescent="0.15">
      <c r="B5" s="767"/>
      <c r="C5" s="768"/>
      <c r="D5" s="50" t="s">
        <v>31</v>
      </c>
      <c r="E5" s="51" t="s">
        <v>32</v>
      </c>
      <c r="F5" s="52" t="s">
        <v>33</v>
      </c>
      <c r="G5" s="50" t="s">
        <v>31</v>
      </c>
      <c r="H5" s="52" t="s">
        <v>32</v>
      </c>
      <c r="I5" s="52" t="s">
        <v>33</v>
      </c>
      <c r="J5" s="50" t="s">
        <v>31</v>
      </c>
      <c r="K5" s="52" t="s">
        <v>32</v>
      </c>
      <c r="L5" s="52" t="s">
        <v>33</v>
      </c>
      <c r="M5" s="50" t="s">
        <v>31</v>
      </c>
      <c r="N5" s="52" t="s">
        <v>32</v>
      </c>
      <c r="O5" s="52" t="s">
        <v>33</v>
      </c>
      <c r="P5" s="50" t="s">
        <v>31</v>
      </c>
      <c r="Q5" s="52" t="s">
        <v>32</v>
      </c>
      <c r="R5" s="52" t="s">
        <v>33</v>
      </c>
      <c r="S5" s="50" t="s">
        <v>31</v>
      </c>
      <c r="T5" s="53" t="s">
        <v>32</v>
      </c>
      <c r="U5" s="53" t="s">
        <v>33</v>
      </c>
      <c r="V5" s="50" t="s">
        <v>31</v>
      </c>
      <c r="W5" s="52" t="s">
        <v>32</v>
      </c>
      <c r="X5" s="52" t="s">
        <v>33</v>
      </c>
      <c r="Y5" s="50" t="s">
        <v>31</v>
      </c>
      <c r="Z5" s="52" t="s">
        <v>32</v>
      </c>
      <c r="AA5" s="52" t="s">
        <v>33</v>
      </c>
      <c r="AB5" s="50" t="s">
        <v>31</v>
      </c>
      <c r="AC5" s="52" t="s">
        <v>32</v>
      </c>
      <c r="AD5" s="52" t="s">
        <v>33</v>
      </c>
      <c r="AE5" s="50" t="s">
        <v>31</v>
      </c>
      <c r="AF5" s="52" t="s">
        <v>32</v>
      </c>
      <c r="AG5" s="52" t="s">
        <v>33</v>
      </c>
      <c r="AH5" s="50" t="s">
        <v>31</v>
      </c>
      <c r="AI5" s="52" t="s">
        <v>32</v>
      </c>
      <c r="AJ5" s="52" t="s">
        <v>33</v>
      </c>
      <c r="AK5" s="50" t="s">
        <v>31</v>
      </c>
      <c r="AL5" s="52" t="s">
        <v>32</v>
      </c>
      <c r="AM5" s="52" t="s">
        <v>33</v>
      </c>
      <c r="AN5" s="766"/>
    </row>
    <row r="6" spans="2:63" ht="20.100000000000001" customHeight="1" x14ac:dyDescent="0.15">
      <c r="B6" s="769" t="s">
        <v>99</v>
      </c>
      <c r="C6" s="770"/>
      <c r="D6" s="54"/>
      <c r="E6" s="4"/>
      <c r="F6" s="4"/>
      <c r="G6" s="4"/>
      <c r="H6" s="4"/>
      <c r="I6" s="4"/>
      <c r="J6" s="4"/>
      <c r="K6" s="4"/>
      <c r="L6" s="4"/>
      <c r="M6" s="4"/>
      <c r="N6" s="4"/>
      <c r="O6" s="31"/>
      <c r="P6" s="31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55"/>
    </row>
    <row r="7" spans="2:63" ht="20.100000000000001" customHeight="1" x14ac:dyDescent="0.15">
      <c r="B7" s="772"/>
      <c r="C7" s="784"/>
      <c r="D7" s="54"/>
      <c r="E7" s="4"/>
      <c r="F7" s="4"/>
      <c r="G7" s="4"/>
      <c r="H7" s="4"/>
      <c r="I7" s="4"/>
      <c r="J7" s="504"/>
      <c r="K7" s="4"/>
      <c r="L7" s="504" t="s">
        <v>482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506"/>
      <c r="AC7" s="506"/>
      <c r="AD7" s="506"/>
      <c r="AE7" s="506"/>
      <c r="AF7" s="4"/>
      <c r="AG7" s="4"/>
      <c r="AH7" s="4"/>
      <c r="AI7" s="4"/>
      <c r="AJ7" s="4"/>
      <c r="AK7" s="4"/>
      <c r="AL7" s="4"/>
      <c r="AM7" s="4"/>
      <c r="AN7" s="55"/>
    </row>
    <row r="8" spans="2:63" ht="20.100000000000001" customHeight="1" x14ac:dyDescent="0.15">
      <c r="B8" s="767"/>
      <c r="C8" s="768"/>
      <c r="D8" s="56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8"/>
    </row>
    <row r="9" spans="2:63" ht="20.100000000000001" customHeight="1" x14ac:dyDescent="0.15">
      <c r="B9" s="782" t="s">
        <v>522</v>
      </c>
      <c r="C9" s="783" t="s">
        <v>522</v>
      </c>
      <c r="D9" s="59">
        <v>2</v>
      </c>
      <c r="E9" s="60">
        <v>2</v>
      </c>
      <c r="F9" s="60">
        <v>2</v>
      </c>
      <c r="G9" s="59"/>
      <c r="H9" s="60"/>
      <c r="I9" s="60"/>
      <c r="J9" s="59"/>
      <c r="K9" s="60"/>
      <c r="L9" s="60"/>
      <c r="M9" s="59"/>
      <c r="N9" s="60"/>
      <c r="O9" s="60"/>
      <c r="P9" s="59"/>
      <c r="Q9" s="60"/>
      <c r="R9" s="60"/>
      <c r="S9" s="59"/>
      <c r="T9" s="60"/>
      <c r="U9" s="60"/>
      <c r="V9" s="59"/>
      <c r="W9" s="60"/>
      <c r="X9" s="60"/>
      <c r="Y9" s="59"/>
      <c r="Z9" s="60"/>
      <c r="AA9" s="60"/>
      <c r="AB9" s="59"/>
      <c r="AC9" s="60"/>
      <c r="AD9" s="60"/>
      <c r="AE9" s="59"/>
      <c r="AF9" s="60"/>
      <c r="AG9" s="60"/>
      <c r="AH9" s="59"/>
      <c r="AI9" s="60"/>
      <c r="AJ9" s="60"/>
      <c r="AK9" s="59">
        <v>2</v>
      </c>
      <c r="AL9" s="60">
        <v>2</v>
      </c>
      <c r="AM9" s="60">
        <v>2</v>
      </c>
      <c r="AN9" s="61">
        <f>SUM(D9:AM9)</f>
        <v>12</v>
      </c>
    </row>
    <row r="10" spans="2:63" ht="20.100000000000001" customHeight="1" x14ac:dyDescent="0.15">
      <c r="B10" s="782" t="s">
        <v>523</v>
      </c>
      <c r="C10" s="783" t="s">
        <v>523</v>
      </c>
      <c r="D10" s="59"/>
      <c r="E10" s="60"/>
      <c r="F10" s="60"/>
      <c r="G10" s="59"/>
      <c r="H10" s="60"/>
      <c r="I10" s="60"/>
      <c r="J10" s="59"/>
      <c r="K10" s="60"/>
      <c r="L10" s="60"/>
      <c r="M10" s="59"/>
      <c r="N10" s="60"/>
      <c r="O10" s="60"/>
      <c r="P10" s="59">
        <v>2</v>
      </c>
      <c r="Q10" s="60">
        <v>2</v>
      </c>
      <c r="R10" s="60">
        <v>8</v>
      </c>
      <c r="S10" s="59">
        <v>4</v>
      </c>
      <c r="T10" s="60">
        <v>2</v>
      </c>
      <c r="U10" s="60">
        <v>2</v>
      </c>
      <c r="V10" s="59"/>
      <c r="W10" s="60">
        <v>2</v>
      </c>
      <c r="X10" s="60"/>
      <c r="Y10" s="59"/>
      <c r="Z10" s="60"/>
      <c r="AA10" s="60"/>
      <c r="AB10" s="59"/>
      <c r="AC10" s="60"/>
      <c r="AD10" s="60"/>
      <c r="AE10" s="59"/>
      <c r="AF10" s="60"/>
      <c r="AG10" s="60"/>
      <c r="AH10" s="59"/>
      <c r="AI10" s="60"/>
      <c r="AJ10" s="60"/>
      <c r="AK10" s="59"/>
      <c r="AL10" s="60"/>
      <c r="AM10" s="60"/>
      <c r="AN10" s="61">
        <f t="shared" ref="AN10:AN22" si="0">SUM(D10:AM10)</f>
        <v>22</v>
      </c>
    </row>
    <row r="11" spans="2:63" ht="20.100000000000001" customHeight="1" x14ac:dyDescent="0.15">
      <c r="B11" s="782" t="s">
        <v>524</v>
      </c>
      <c r="C11" s="783" t="s">
        <v>524</v>
      </c>
      <c r="D11" s="59"/>
      <c r="E11" s="60"/>
      <c r="F11" s="60"/>
      <c r="G11" s="59"/>
      <c r="H11" s="60"/>
      <c r="I11" s="60"/>
      <c r="J11" s="59"/>
      <c r="K11" s="60">
        <v>1.5</v>
      </c>
      <c r="L11" s="60"/>
      <c r="M11" s="59"/>
      <c r="N11" s="60"/>
      <c r="O11" s="60"/>
      <c r="P11" s="59"/>
      <c r="Q11" s="60"/>
      <c r="R11" s="60"/>
      <c r="S11" s="59"/>
      <c r="T11" s="60"/>
      <c r="U11" s="60"/>
      <c r="V11" s="59"/>
      <c r="W11" s="60"/>
      <c r="X11" s="60"/>
      <c r="Y11" s="59"/>
      <c r="Z11" s="60"/>
      <c r="AA11" s="60"/>
      <c r="AB11" s="59"/>
      <c r="AC11" s="60"/>
      <c r="AD11" s="60"/>
      <c r="AE11" s="59">
        <v>1.5</v>
      </c>
      <c r="AF11" s="60"/>
      <c r="AG11" s="60">
        <v>1.5</v>
      </c>
      <c r="AH11" s="59"/>
      <c r="AI11" s="60"/>
      <c r="AJ11" s="60"/>
      <c r="AK11" s="59"/>
      <c r="AL11" s="60"/>
      <c r="AM11" s="60"/>
      <c r="AN11" s="61">
        <f t="shared" si="0"/>
        <v>4.5</v>
      </c>
    </row>
    <row r="12" spans="2:63" ht="20.100000000000001" customHeight="1" x14ac:dyDescent="0.15">
      <c r="B12" s="782" t="s">
        <v>525</v>
      </c>
      <c r="C12" s="783" t="s">
        <v>525</v>
      </c>
      <c r="D12" s="59"/>
      <c r="E12" s="60"/>
      <c r="F12" s="60">
        <v>2</v>
      </c>
      <c r="G12" s="59">
        <v>2</v>
      </c>
      <c r="H12" s="60"/>
      <c r="I12" s="60"/>
      <c r="J12" s="59"/>
      <c r="K12" s="60"/>
      <c r="L12" s="60">
        <v>0.5</v>
      </c>
      <c r="M12" s="59"/>
      <c r="N12" s="60">
        <v>0.5</v>
      </c>
      <c r="O12" s="60">
        <v>0.5</v>
      </c>
      <c r="P12" s="59">
        <v>0.5</v>
      </c>
      <c r="Q12" s="60">
        <v>0.5</v>
      </c>
      <c r="R12" s="60"/>
      <c r="S12" s="59">
        <v>0.5</v>
      </c>
      <c r="T12" s="60"/>
      <c r="U12" s="60">
        <v>0.5</v>
      </c>
      <c r="V12" s="59">
        <v>0.5</v>
      </c>
      <c r="W12" s="60">
        <v>0.5</v>
      </c>
      <c r="X12" s="60"/>
      <c r="Y12" s="59"/>
      <c r="Z12" s="60"/>
      <c r="AA12" s="60"/>
      <c r="AB12" s="59"/>
      <c r="AC12" s="60"/>
      <c r="AD12" s="60"/>
      <c r="AE12" s="59"/>
      <c r="AF12" s="60">
        <v>0.5</v>
      </c>
      <c r="AG12" s="60"/>
      <c r="AH12" s="59"/>
      <c r="AI12" s="60"/>
      <c r="AJ12" s="60"/>
      <c r="AK12" s="59"/>
      <c r="AL12" s="60"/>
      <c r="AM12" s="60"/>
      <c r="AN12" s="61">
        <f t="shared" si="0"/>
        <v>9</v>
      </c>
    </row>
    <row r="13" spans="2:63" ht="20.100000000000001" customHeight="1" x14ac:dyDescent="0.15">
      <c r="B13" s="782" t="s">
        <v>526</v>
      </c>
      <c r="C13" s="783" t="s">
        <v>526</v>
      </c>
      <c r="D13" s="59"/>
      <c r="E13" s="60"/>
      <c r="F13" s="60"/>
      <c r="G13" s="59"/>
      <c r="H13" s="60"/>
      <c r="I13" s="60"/>
      <c r="J13" s="59"/>
      <c r="K13" s="60"/>
      <c r="L13" s="60"/>
      <c r="M13" s="59"/>
      <c r="N13" s="60"/>
      <c r="O13" s="60"/>
      <c r="P13" s="59"/>
      <c r="Q13" s="60"/>
      <c r="R13" s="60">
        <v>8</v>
      </c>
      <c r="S13" s="59">
        <v>8</v>
      </c>
      <c r="T13" s="60">
        <v>8</v>
      </c>
      <c r="U13" s="60">
        <v>20</v>
      </c>
      <c r="V13" s="59">
        <v>20</v>
      </c>
      <c r="W13" s="60">
        <v>4</v>
      </c>
      <c r="X13" s="60"/>
      <c r="Y13" s="59"/>
      <c r="Z13" s="60"/>
      <c r="AA13" s="60"/>
      <c r="AB13" s="59"/>
      <c r="AC13" s="60"/>
      <c r="AD13" s="60"/>
      <c r="AE13" s="59"/>
      <c r="AF13" s="60"/>
      <c r="AG13" s="60"/>
      <c r="AH13" s="59"/>
      <c r="AI13" s="60"/>
      <c r="AJ13" s="60"/>
      <c r="AK13" s="59"/>
      <c r="AL13" s="60"/>
      <c r="AM13" s="60"/>
      <c r="AN13" s="61">
        <f t="shared" si="0"/>
        <v>68</v>
      </c>
    </row>
    <row r="14" spans="2:63" ht="20.100000000000001" customHeight="1" x14ac:dyDescent="0.15">
      <c r="B14" s="782" t="s">
        <v>527</v>
      </c>
      <c r="C14" s="783" t="s">
        <v>527</v>
      </c>
      <c r="D14" s="59"/>
      <c r="E14" s="60"/>
      <c r="F14" s="60"/>
      <c r="G14" s="59"/>
      <c r="H14" s="60"/>
      <c r="I14" s="60"/>
      <c r="J14" s="59"/>
      <c r="K14" s="60"/>
      <c r="L14" s="60"/>
      <c r="M14" s="59"/>
      <c r="N14" s="60"/>
      <c r="O14" s="60"/>
      <c r="P14" s="59"/>
      <c r="Q14" s="60"/>
      <c r="R14" s="60"/>
      <c r="S14" s="59"/>
      <c r="T14" s="60"/>
      <c r="U14" s="60"/>
      <c r="V14" s="59"/>
      <c r="W14" s="60">
        <v>8</v>
      </c>
      <c r="X14" s="60"/>
      <c r="Y14" s="59"/>
      <c r="Z14" s="60"/>
      <c r="AA14" s="60"/>
      <c r="AB14" s="59"/>
      <c r="AC14" s="60"/>
      <c r="AD14" s="60"/>
      <c r="AE14" s="59"/>
      <c r="AF14" s="60"/>
      <c r="AG14" s="60"/>
      <c r="AH14" s="59"/>
      <c r="AI14" s="60"/>
      <c r="AJ14" s="60"/>
      <c r="AK14" s="59"/>
      <c r="AL14" s="60"/>
      <c r="AM14" s="60"/>
      <c r="AN14" s="61">
        <f t="shared" si="0"/>
        <v>8</v>
      </c>
    </row>
    <row r="15" spans="2:63" ht="20.100000000000001" customHeight="1" x14ac:dyDescent="0.15">
      <c r="B15" s="782" t="s">
        <v>528</v>
      </c>
      <c r="C15" s="783" t="s">
        <v>528</v>
      </c>
      <c r="D15" s="59"/>
      <c r="E15" s="60"/>
      <c r="F15" s="60"/>
      <c r="G15" s="59"/>
      <c r="H15" s="60"/>
      <c r="I15" s="60"/>
      <c r="J15" s="59"/>
      <c r="K15" s="60"/>
      <c r="L15" s="60"/>
      <c r="M15" s="59">
        <v>1</v>
      </c>
      <c r="N15" s="60"/>
      <c r="O15" s="60"/>
      <c r="P15" s="59">
        <v>1</v>
      </c>
      <c r="Q15" s="60"/>
      <c r="R15" s="60"/>
      <c r="S15" s="59">
        <v>1</v>
      </c>
      <c r="T15" s="60"/>
      <c r="U15" s="60"/>
      <c r="V15" s="59">
        <v>1</v>
      </c>
      <c r="W15" s="60"/>
      <c r="X15" s="60"/>
      <c r="Y15" s="59">
        <v>1</v>
      </c>
      <c r="Z15" s="60"/>
      <c r="AA15" s="60"/>
      <c r="AB15" s="59"/>
      <c r="AC15" s="60"/>
      <c r="AD15" s="60"/>
      <c r="AE15" s="59"/>
      <c r="AF15" s="60"/>
      <c r="AG15" s="60"/>
      <c r="AH15" s="59"/>
      <c r="AI15" s="60"/>
      <c r="AJ15" s="60"/>
      <c r="AK15" s="59"/>
      <c r="AL15" s="60"/>
      <c r="AM15" s="60"/>
      <c r="AN15" s="61">
        <f t="shared" si="0"/>
        <v>5</v>
      </c>
    </row>
    <row r="16" spans="2:63" ht="20.100000000000001" customHeight="1" x14ac:dyDescent="0.15">
      <c r="B16" s="782" t="s">
        <v>529</v>
      </c>
      <c r="C16" s="783" t="s">
        <v>529</v>
      </c>
      <c r="D16" s="59"/>
      <c r="E16" s="60"/>
      <c r="F16" s="60"/>
      <c r="G16" s="59"/>
      <c r="H16" s="60"/>
      <c r="I16" s="60"/>
      <c r="J16" s="59"/>
      <c r="K16" s="60"/>
      <c r="L16" s="60">
        <v>0.2</v>
      </c>
      <c r="M16" s="59">
        <v>0.2</v>
      </c>
      <c r="N16" s="60">
        <v>0.2</v>
      </c>
      <c r="O16" s="60">
        <v>0.2</v>
      </c>
      <c r="P16" s="59">
        <v>0.2</v>
      </c>
      <c r="Q16" s="60">
        <v>0.2</v>
      </c>
      <c r="R16" s="60">
        <v>0.2</v>
      </c>
      <c r="S16" s="59">
        <v>0.2</v>
      </c>
      <c r="T16" s="60">
        <v>0.2</v>
      </c>
      <c r="U16" s="60">
        <v>0.2</v>
      </c>
      <c r="V16" s="59">
        <v>0.2</v>
      </c>
      <c r="W16" s="60">
        <v>0.2</v>
      </c>
      <c r="X16" s="60">
        <v>0.2</v>
      </c>
      <c r="Y16" s="59">
        <v>0.2</v>
      </c>
      <c r="Z16" s="60">
        <v>0.2</v>
      </c>
      <c r="AA16" s="60">
        <v>0.2</v>
      </c>
      <c r="AB16" s="59">
        <v>0.2</v>
      </c>
      <c r="AC16" s="60">
        <v>0.2</v>
      </c>
      <c r="AD16" s="60">
        <v>0.2</v>
      </c>
      <c r="AE16" s="59">
        <v>0.2</v>
      </c>
      <c r="AF16" s="60">
        <v>0.2</v>
      </c>
      <c r="AG16" s="60">
        <v>0.2</v>
      </c>
      <c r="AH16" s="59"/>
      <c r="AI16" s="60"/>
      <c r="AJ16" s="60"/>
      <c r="AK16" s="59"/>
      <c r="AL16" s="60"/>
      <c r="AM16" s="60"/>
      <c r="AN16" s="61">
        <f t="shared" si="0"/>
        <v>4.4000000000000012</v>
      </c>
    </row>
    <row r="17" spans="2:40" ht="20.100000000000001" customHeight="1" x14ac:dyDescent="0.15">
      <c r="B17" s="782" t="s">
        <v>530</v>
      </c>
      <c r="C17" s="783" t="s">
        <v>530</v>
      </c>
      <c r="D17" s="59"/>
      <c r="E17" s="60"/>
      <c r="F17" s="60"/>
      <c r="G17" s="59"/>
      <c r="H17" s="60"/>
      <c r="I17" s="60"/>
      <c r="J17" s="59"/>
      <c r="K17" s="60"/>
      <c r="L17" s="60"/>
      <c r="M17" s="59"/>
      <c r="N17" s="60"/>
      <c r="O17" s="60"/>
      <c r="P17" s="59"/>
      <c r="Q17" s="60"/>
      <c r="R17" s="60"/>
      <c r="S17" s="59"/>
      <c r="T17" s="60"/>
      <c r="U17" s="60"/>
      <c r="V17" s="59"/>
      <c r="W17" s="60"/>
      <c r="X17" s="60"/>
      <c r="Y17" s="59"/>
      <c r="Z17" s="60"/>
      <c r="AA17" s="60"/>
      <c r="AB17" s="59">
        <v>20</v>
      </c>
      <c r="AC17" s="60">
        <v>25</v>
      </c>
      <c r="AD17" s="60">
        <v>25</v>
      </c>
      <c r="AE17" s="59">
        <v>10</v>
      </c>
      <c r="AF17" s="60"/>
      <c r="AG17" s="60"/>
      <c r="AH17" s="59"/>
      <c r="AI17" s="60"/>
      <c r="AJ17" s="60"/>
      <c r="AK17" s="59"/>
      <c r="AL17" s="60"/>
      <c r="AM17" s="60"/>
      <c r="AN17" s="61">
        <f t="shared" si="0"/>
        <v>80</v>
      </c>
    </row>
    <row r="18" spans="2:40" ht="20.100000000000001" customHeight="1" x14ac:dyDescent="0.15">
      <c r="B18" s="782" t="s">
        <v>531</v>
      </c>
      <c r="C18" s="783" t="s">
        <v>531</v>
      </c>
      <c r="D18" s="59"/>
      <c r="E18" s="60"/>
      <c r="F18" s="60"/>
      <c r="G18" s="59"/>
      <c r="H18" s="60"/>
      <c r="I18" s="60"/>
      <c r="J18" s="59"/>
      <c r="K18" s="60"/>
      <c r="L18" s="60"/>
      <c r="M18" s="59"/>
      <c r="N18" s="60"/>
      <c r="O18" s="60"/>
      <c r="P18" s="59"/>
      <c r="Q18" s="60"/>
      <c r="R18" s="60"/>
      <c r="S18" s="59"/>
      <c r="T18" s="60"/>
      <c r="U18" s="60"/>
      <c r="V18" s="59"/>
      <c r="W18" s="60"/>
      <c r="X18" s="60"/>
      <c r="Y18" s="59"/>
      <c r="Z18" s="60"/>
      <c r="AA18" s="60"/>
      <c r="AB18" s="59"/>
      <c r="AC18" s="60"/>
      <c r="AD18" s="60"/>
      <c r="AE18" s="59"/>
      <c r="AF18" s="60"/>
      <c r="AG18" s="60">
        <v>2</v>
      </c>
      <c r="AH18" s="59">
        <v>4</v>
      </c>
      <c r="AI18" s="60">
        <v>4</v>
      </c>
      <c r="AJ18" s="60">
        <v>4</v>
      </c>
      <c r="AK18" s="59"/>
      <c r="AL18" s="60"/>
      <c r="AM18" s="60"/>
      <c r="AN18" s="61">
        <f t="shared" si="0"/>
        <v>14</v>
      </c>
    </row>
    <row r="19" spans="2:40" ht="20.100000000000001" customHeight="1" x14ac:dyDescent="0.15">
      <c r="B19" s="782" t="s">
        <v>532</v>
      </c>
      <c r="C19" s="783" t="s">
        <v>532</v>
      </c>
      <c r="D19" s="59"/>
      <c r="E19" s="60"/>
      <c r="F19" s="60"/>
      <c r="G19" s="59"/>
      <c r="H19" s="60"/>
      <c r="I19" s="60"/>
      <c r="J19" s="59"/>
      <c r="K19" s="60"/>
      <c r="L19" s="60">
        <v>16</v>
      </c>
      <c r="M19" s="59">
        <v>16</v>
      </c>
      <c r="N19" s="60"/>
      <c r="O19" s="60"/>
      <c r="P19" s="59"/>
      <c r="Q19" s="60"/>
      <c r="R19" s="60"/>
      <c r="S19" s="59"/>
      <c r="T19" s="60"/>
      <c r="U19" s="60"/>
      <c r="V19" s="59"/>
      <c r="W19" s="60">
        <v>4</v>
      </c>
      <c r="X19" s="60">
        <v>4</v>
      </c>
      <c r="Y19" s="59"/>
      <c r="Z19" s="60"/>
      <c r="AA19" s="60"/>
      <c r="AB19" s="59"/>
      <c r="AC19" s="60"/>
      <c r="AD19" s="60"/>
      <c r="AE19" s="59"/>
      <c r="AF19" s="60"/>
      <c r="AG19" s="60"/>
      <c r="AH19" s="59"/>
      <c r="AI19" s="60"/>
      <c r="AJ19" s="60"/>
      <c r="AK19" s="59"/>
      <c r="AL19" s="60"/>
      <c r="AM19" s="60"/>
      <c r="AN19" s="61">
        <f t="shared" si="0"/>
        <v>40</v>
      </c>
    </row>
    <row r="20" spans="2:40" ht="20.100000000000001" customHeight="1" x14ac:dyDescent="0.15">
      <c r="B20" s="782" t="s">
        <v>533</v>
      </c>
      <c r="C20" s="783" t="s">
        <v>533</v>
      </c>
      <c r="D20" s="59"/>
      <c r="E20" s="60"/>
      <c r="F20" s="60">
        <v>4</v>
      </c>
      <c r="G20" s="59"/>
      <c r="H20" s="60"/>
      <c r="I20" s="60">
        <v>4</v>
      </c>
      <c r="J20" s="59"/>
      <c r="K20" s="60"/>
      <c r="L20" s="60"/>
      <c r="M20" s="59"/>
      <c r="N20" s="60"/>
      <c r="O20" s="60"/>
      <c r="P20" s="59"/>
      <c r="Q20" s="60"/>
      <c r="R20" s="60"/>
      <c r="S20" s="59"/>
      <c r="T20" s="60"/>
      <c r="U20" s="60"/>
      <c r="V20" s="59"/>
      <c r="W20" s="60"/>
      <c r="X20" s="60"/>
      <c r="Y20" s="59"/>
      <c r="Z20" s="60"/>
      <c r="AA20" s="60">
        <v>2</v>
      </c>
      <c r="AB20" s="59"/>
      <c r="AC20" s="60"/>
      <c r="AD20" s="60"/>
      <c r="AE20" s="59"/>
      <c r="AF20" s="60"/>
      <c r="AG20" s="60"/>
      <c r="AH20" s="59"/>
      <c r="AI20" s="60"/>
      <c r="AJ20" s="60">
        <v>4</v>
      </c>
      <c r="AK20" s="59"/>
      <c r="AL20" s="60"/>
      <c r="AM20" s="60"/>
      <c r="AN20" s="61">
        <f t="shared" si="0"/>
        <v>14</v>
      </c>
    </row>
    <row r="21" spans="2:40" ht="20.100000000000001" customHeight="1" x14ac:dyDescent="0.15">
      <c r="B21" s="782"/>
      <c r="C21" s="783"/>
      <c r="D21" s="59"/>
      <c r="E21" s="60"/>
      <c r="F21" s="60"/>
      <c r="G21" s="59"/>
      <c r="H21" s="60"/>
      <c r="I21" s="60"/>
      <c r="J21" s="59"/>
      <c r="K21" s="60"/>
      <c r="L21" s="60"/>
      <c r="M21" s="59"/>
      <c r="N21" s="60"/>
      <c r="O21" s="60"/>
      <c r="P21" s="59"/>
      <c r="Q21" s="60"/>
      <c r="R21" s="60"/>
      <c r="S21" s="59"/>
      <c r="T21" s="60"/>
      <c r="U21" s="60"/>
      <c r="V21" s="59"/>
      <c r="W21" s="60"/>
      <c r="X21" s="60"/>
      <c r="Y21" s="59"/>
      <c r="Z21" s="60"/>
      <c r="AA21" s="60"/>
      <c r="AB21" s="59"/>
      <c r="AC21" s="60"/>
      <c r="AD21" s="60"/>
      <c r="AE21" s="59"/>
      <c r="AF21" s="60"/>
      <c r="AG21" s="60"/>
      <c r="AH21" s="59"/>
      <c r="AI21" s="60"/>
      <c r="AJ21" s="60"/>
      <c r="AK21" s="59"/>
      <c r="AL21" s="60"/>
      <c r="AM21" s="60"/>
      <c r="AN21" s="61">
        <f t="shared" si="0"/>
        <v>0</v>
      </c>
    </row>
    <row r="22" spans="2:40" ht="20.100000000000001" customHeight="1" x14ac:dyDescent="0.15">
      <c r="B22" s="776" t="s">
        <v>100</v>
      </c>
      <c r="C22" s="777"/>
      <c r="D22" s="59">
        <f t="shared" ref="D22:AM22" si="1">SUM(D9:D21)</f>
        <v>2</v>
      </c>
      <c r="E22" s="62">
        <f t="shared" si="1"/>
        <v>2</v>
      </c>
      <c r="F22" s="63">
        <f t="shared" si="1"/>
        <v>8</v>
      </c>
      <c r="G22" s="59">
        <f t="shared" si="1"/>
        <v>2</v>
      </c>
      <c r="H22" s="62">
        <f t="shared" si="1"/>
        <v>0</v>
      </c>
      <c r="I22" s="63">
        <f t="shared" si="1"/>
        <v>4</v>
      </c>
      <c r="J22" s="59">
        <f t="shared" si="1"/>
        <v>0</v>
      </c>
      <c r="K22" s="62">
        <f t="shared" si="1"/>
        <v>1.5</v>
      </c>
      <c r="L22" s="63">
        <f t="shared" si="1"/>
        <v>16.7</v>
      </c>
      <c r="M22" s="59">
        <f t="shared" si="1"/>
        <v>17.2</v>
      </c>
      <c r="N22" s="62">
        <f t="shared" si="1"/>
        <v>0.7</v>
      </c>
      <c r="O22" s="63">
        <f t="shared" si="1"/>
        <v>0.7</v>
      </c>
      <c r="P22" s="59">
        <f t="shared" si="1"/>
        <v>3.7</v>
      </c>
      <c r="Q22" s="62">
        <f t="shared" si="1"/>
        <v>2.7</v>
      </c>
      <c r="R22" s="63">
        <f t="shared" si="1"/>
        <v>16.2</v>
      </c>
      <c r="S22" s="59">
        <f t="shared" si="1"/>
        <v>13.7</v>
      </c>
      <c r="T22" s="62">
        <f t="shared" si="1"/>
        <v>10.199999999999999</v>
      </c>
      <c r="U22" s="63">
        <f t="shared" si="1"/>
        <v>22.7</v>
      </c>
      <c r="V22" s="59">
        <f t="shared" si="1"/>
        <v>21.7</v>
      </c>
      <c r="W22" s="62">
        <f t="shared" si="1"/>
        <v>18.7</v>
      </c>
      <c r="X22" s="63">
        <f t="shared" si="1"/>
        <v>4.2</v>
      </c>
      <c r="Y22" s="59">
        <f t="shared" si="1"/>
        <v>1.2</v>
      </c>
      <c r="Z22" s="62">
        <f t="shared" si="1"/>
        <v>0.2</v>
      </c>
      <c r="AA22" s="63">
        <f t="shared" si="1"/>
        <v>2.2000000000000002</v>
      </c>
      <c r="AB22" s="59">
        <f t="shared" si="1"/>
        <v>20.2</v>
      </c>
      <c r="AC22" s="62">
        <f t="shared" si="1"/>
        <v>25.2</v>
      </c>
      <c r="AD22" s="63">
        <f t="shared" si="1"/>
        <v>25.2</v>
      </c>
      <c r="AE22" s="59">
        <f t="shared" si="1"/>
        <v>11.7</v>
      </c>
      <c r="AF22" s="62">
        <f t="shared" si="1"/>
        <v>0.7</v>
      </c>
      <c r="AG22" s="63">
        <f t="shared" si="1"/>
        <v>3.7</v>
      </c>
      <c r="AH22" s="59">
        <f t="shared" si="1"/>
        <v>4</v>
      </c>
      <c r="AI22" s="62">
        <f t="shared" si="1"/>
        <v>4</v>
      </c>
      <c r="AJ22" s="63">
        <f t="shared" si="1"/>
        <v>8</v>
      </c>
      <c r="AK22" s="59">
        <f t="shared" si="1"/>
        <v>2</v>
      </c>
      <c r="AL22" s="62">
        <f t="shared" si="1"/>
        <v>2</v>
      </c>
      <c r="AM22" s="63">
        <f t="shared" si="1"/>
        <v>2</v>
      </c>
      <c r="AN22" s="61">
        <f t="shared" si="0"/>
        <v>280.89999999999992</v>
      </c>
    </row>
    <row r="23" spans="2:40" ht="20.100000000000001" customHeight="1" thickBot="1" x14ac:dyDescent="0.2">
      <c r="B23" s="778" t="s">
        <v>101</v>
      </c>
      <c r="C23" s="779"/>
      <c r="D23" s="64"/>
      <c r="E23" s="65">
        <f>SUM(D22:F22)</f>
        <v>12</v>
      </c>
      <c r="F23" s="65"/>
      <c r="G23" s="64"/>
      <c r="H23" s="65">
        <f>SUM(G22:I22)</f>
        <v>6</v>
      </c>
      <c r="I23" s="65"/>
      <c r="J23" s="64"/>
      <c r="K23" s="65">
        <f>SUM(J22:L22)</f>
        <v>18.2</v>
      </c>
      <c r="L23" s="65"/>
      <c r="M23" s="64"/>
      <c r="N23" s="65">
        <f>SUM(M22:O22)</f>
        <v>18.599999999999998</v>
      </c>
      <c r="O23" s="65"/>
      <c r="P23" s="64"/>
      <c r="Q23" s="65">
        <f>SUM(P22:R22)</f>
        <v>22.6</v>
      </c>
      <c r="R23" s="65"/>
      <c r="S23" s="64"/>
      <c r="T23" s="65">
        <f>SUM(S22:U22)</f>
        <v>46.599999999999994</v>
      </c>
      <c r="U23" s="65"/>
      <c r="V23" s="64"/>
      <c r="W23" s="65">
        <f>SUM(V22:X22)</f>
        <v>44.6</v>
      </c>
      <c r="X23" s="65"/>
      <c r="Y23" s="64"/>
      <c r="Z23" s="65">
        <f>SUM(Y22:AA22)</f>
        <v>3.6</v>
      </c>
      <c r="AA23" s="65"/>
      <c r="AB23" s="64"/>
      <c r="AC23" s="65">
        <f>SUM(AB22:AD22)</f>
        <v>70.599999999999994</v>
      </c>
      <c r="AD23" s="65"/>
      <c r="AE23" s="64"/>
      <c r="AF23" s="65">
        <f>SUM(AE22:AG22)</f>
        <v>16.099999999999998</v>
      </c>
      <c r="AG23" s="65"/>
      <c r="AH23" s="64"/>
      <c r="AI23" s="65">
        <f>SUM(AH22:AJ22)</f>
        <v>16</v>
      </c>
      <c r="AJ23" s="65"/>
      <c r="AK23" s="64"/>
      <c r="AL23" s="65">
        <f>SUM(AK22:AM22)</f>
        <v>6</v>
      </c>
      <c r="AM23" s="65"/>
      <c r="AN23" s="66">
        <f>SUM(AN9:AN21)</f>
        <v>280.89999999999998</v>
      </c>
    </row>
    <row r="24" spans="2:40" ht="9.9499999999999993" customHeight="1" x14ac:dyDescent="0.15"/>
    <row r="25" spans="2:40" ht="24.95" customHeight="1" x14ac:dyDescent="0.15">
      <c r="B25" s="4" t="s">
        <v>197</v>
      </c>
    </row>
    <row r="26" spans="2:40" ht="9.9499999999999993" customHeight="1" thickBot="1" x14ac:dyDescent="0.2"/>
    <row r="27" spans="2:40" ht="20.100000000000001" customHeight="1" thickBot="1" x14ac:dyDescent="0.2">
      <c r="B27" s="29" t="s">
        <v>194</v>
      </c>
      <c r="C27" s="224">
        <f>'４　経営収支'!J4</f>
        <v>40</v>
      </c>
      <c r="D27" s="29" t="s">
        <v>195</v>
      </c>
    </row>
    <row r="28" spans="2:40" ht="9.9499999999999993" customHeight="1" thickBot="1" x14ac:dyDescent="0.2"/>
    <row r="29" spans="2:40" ht="20.100000000000001" customHeight="1" x14ac:dyDescent="0.15">
      <c r="B29" s="774" t="s">
        <v>98</v>
      </c>
      <c r="C29" s="775"/>
      <c r="D29" s="762">
        <v>1</v>
      </c>
      <c r="E29" s="763"/>
      <c r="F29" s="764"/>
      <c r="G29" s="762">
        <v>2</v>
      </c>
      <c r="H29" s="763"/>
      <c r="I29" s="764"/>
      <c r="J29" s="762">
        <v>3</v>
      </c>
      <c r="K29" s="763"/>
      <c r="L29" s="764"/>
      <c r="M29" s="762">
        <v>4</v>
      </c>
      <c r="N29" s="763"/>
      <c r="O29" s="764"/>
      <c r="P29" s="762">
        <v>5</v>
      </c>
      <c r="Q29" s="763"/>
      <c r="R29" s="764"/>
      <c r="S29" s="762">
        <v>6</v>
      </c>
      <c r="T29" s="763"/>
      <c r="U29" s="764"/>
      <c r="V29" s="762">
        <v>7</v>
      </c>
      <c r="W29" s="763"/>
      <c r="X29" s="764"/>
      <c r="Y29" s="762">
        <v>8</v>
      </c>
      <c r="Z29" s="763"/>
      <c r="AA29" s="764"/>
      <c r="AB29" s="762">
        <v>9</v>
      </c>
      <c r="AC29" s="763"/>
      <c r="AD29" s="764"/>
      <c r="AE29" s="762">
        <v>10</v>
      </c>
      <c r="AF29" s="763"/>
      <c r="AG29" s="764"/>
      <c r="AH29" s="762">
        <v>11</v>
      </c>
      <c r="AI29" s="763"/>
      <c r="AJ29" s="764"/>
      <c r="AK29" s="762">
        <v>12</v>
      </c>
      <c r="AL29" s="763"/>
      <c r="AM29" s="764"/>
      <c r="AN29" s="765" t="s">
        <v>30</v>
      </c>
    </row>
    <row r="30" spans="2:40" ht="20.100000000000001" customHeight="1" x14ac:dyDescent="0.15">
      <c r="B30" s="767"/>
      <c r="C30" s="768"/>
      <c r="D30" s="50" t="s">
        <v>31</v>
      </c>
      <c r="E30" s="51" t="s">
        <v>32</v>
      </c>
      <c r="F30" s="52" t="s">
        <v>33</v>
      </c>
      <c r="G30" s="50" t="s">
        <v>31</v>
      </c>
      <c r="H30" s="52" t="s">
        <v>32</v>
      </c>
      <c r="I30" s="52" t="s">
        <v>33</v>
      </c>
      <c r="J30" s="50" t="s">
        <v>31</v>
      </c>
      <c r="K30" s="52" t="s">
        <v>32</v>
      </c>
      <c r="L30" s="52" t="s">
        <v>33</v>
      </c>
      <c r="M30" s="50" t="s">
        <v>31</v>
      </c>
      <c r="N30" s="52" t="s">
        <v>32</v>
      </c>
      <c r="O30" s="52" t="s">
        <v>33</v>
      </c>
      <c r="P30" s="50" t="s">
        <v>31</v>
      </c>
      <c r="Q30" s="52" t="s">
        <v>32</v>
      </c>
      <c r="R30" s="52" t="s">
        <v>33</v>
      </c>
      <c r="S30" s="50" t="s">
        <v>31</v>
      </c>
      <c r="T30" s="53" t="s">
        <v>32</v>
      </c>
      <c r="U30" s="53" t="s">
        <v>33</v>
      </c>
      <c r="V30" s="50" t="s">
        <v>31</v>
      </c>
      <c r="W30" s="52" t="s">
        <v>32</v>
      </c>
      <c r="X30" s="52" t="s">
        <v>33</v>
      </c>
      <c r="Y30" s="50" t="s">
        <v>31</v>
      </c>
      <c r="Z30" s="52" t="s">
        <v>32</v>
      </c>
      <c r="AA30" s="52" t="s">
        <v>33</v>
      </c>
      <c r="AB30" s="50" t="s">
        <v>31</v>
      </c>
      <c r="AC30" s="52" t="s">
        <v>32</v>
      </c>
      <c r="AD30" s="52" t="s">
        <v>33</v>
      </c>
      <c r="AE30" s="50" t="s">
        <v>31</v>
      </c>
      <c r="AF30" s="52" t="s">
        <v>32</v>
      </c>
      <c r="AG30" s="52" t="s">
        <v>33</v>
      </c>
      <c r="AH30" s="50" t="s">
        <v>31</v>
      </c>
      <c r="AI30" s="52" t="s">
        <v>32</v>
      </c>
      <c r="AJ30" s="52" t="s">
        <v>33</v>
      </c>
      <c r="AK30" s="50" t="s">
        <v>31</v>
      </c>
      <c r="AL30" s="52" t="s">
        <v>32</v>
      </c>
      <c r="AM30" s="52" t="s">
        <v>33</v>
      </c>
      <c r="AN30" s="766"/>
    </row>
    <row r="31" spans="2:40" ht="20.100000000000001" customHeight="1" x14ac:dyDescent="0.15">
      <c r="B31" s="767" t="s">
        <v>202</v>
      </c>
      <c r="C31" s="768"/>
      <c r="D31" s="59">
        <f>D22*$C$27/10</f>
        <v>8</v>
      </c>
      <c r="E31" s="62">
        <f t="shared" ref="E31:AM31" si="2">E22*$C$27/10</f>
        <v>8</v>
      </c>
      <c r="F31" s="63">
        <f t="shared" si="2"/>
        <v>32</v>
      </c>
      <c r="G31" s="59">
        <f t="shared" si="2"/>
        <v>8</v>
      </c>
      <c r="H31" s="62">
        <f t="shared" si="2"/>
        <v>0</v>
      </c>
      <c r="I31" s="63">
        <f t="shared" si="2"/>
        <v>16</v>
      </c>
      <c r="J31" s="59">
        <f t="shared" si="2"/>
        <v>0</v>
      </c>
      <c r="K31" s="62">
        <f t="shared" si="2"/>
        <v>6</v>
      </c>
      <c r="L31" s="63">
        <f t="shared" si="2"/>
        <v>66.8</v>
      </c>
      <c r="M31" s="59">
        <f t="shared" si="2"/>
        <v>68.8</v>
      </c>
      <c r="N31" s="62">
        <f t="shared" si="2"/>
        <v>2.8</v>
      </c>
      <c r="O31" s="63">
        <f t="shared" si="2"/>
        <v>2.8</v>
      </c>
      <c r="P31" s="59">
        <f t="shared" si="2"/>
        <v>14.8</v>
      </c>
      <c r="Q31" s="62">
        <f t="shared" si="2"/>
        <v>10.8</v>
      </c>
      <c r="R31" s="63">
        <f t="shared" si="2"/>
        <v>64.8</v>
      </c>
      <c r="S31" s="59">
        <f t="shared" si="2"/>
        <v>54.8</v>
      </c>
      <c r="T31" s="62">
        <f t="shared" si="2"/>
        <v>40.799999999999997</v>
      </c>
      <c r="U31" s="63">
        <f t="shared" si="2"/>
        <v>90.8</v>
      </c>
      <c r="V31" s="59">
        <f t="shared" si="2"/>
        <v>86.8</v>
      </c>
      <c r="W31" s="62">
        <f t="shared" si="2"/>
        <v>74.8</v>
      </c>
      <c r="X31" s="63">
        <f t="shared" si="2"/>
        <v>16.8</v>
      </c>
      <c r="Y31" s="59">
        <f t="shared" si="2"/>
        <v>4.8</v>
      </c>
      <c r="Z31" s="62">
        <f t="shared" si="2"/>
        <v>0.8</v>
      </c>
      <c r="AA31" s="63">
        <f t="shared" si="2"/>
        <v>8.8000000000000007</v>
      </c>
      <c r="AB31" s="59">
        <f t="shared" si="2"/>
        <v>80.8</v>
      </c>
      <c r="AC31" s="62">
        <f t="shared" si="2"/>
        <v>100.8</v>
      </c>
      <c r="AD31" s="63">
        <f t="shared" si="2"/>
        <v>100.8</v>
      </c>
      <c r="AE31" s="59">
        <f t="shared" si="2"/>
        <v>46.8</v>
      </c>
      <c r="AF31" s="62">
        <f t="shared" si="2"/>
        <v>2.8</v>
      </c>
      <c r="AG31" s="63">
        <f t="shared" si="2"/>
        <v>14.8</v>
      </c>
      <c r="AH31" s="59">
        <f t="shared" si="2"/>
        <v>16</v>
      </c>
      <c r="AI31" s="62">
        <f t="shared" si="2"/>
        <v>16</v>
      </c>
      <c r="AJ31" s="63">
        <f t="shared" si="2"/>
        <v>32</v>
      </c>
      <c r="AK31" s="59">
        <f t="shared" si="2"/>
        <v>8</v>
      </c>
      <c r="AL31" s="62">
        <f t="shared" si="2"/>
        <v>8</v>
      </c>
      <c r="AM31" s="63">
        <f t="shared" si="2"/>
        <v>8</v>
      </c>
      <c r="AN31" s="61">
        <f t="shared" ref="AN31:AN35" si="3">SUM(D31:AM31)</f>
        <v>1123.5999999999997</v>
      </c>
    </row>
    <row r="32" spans="2:40" ht="20.100000000000001" customHeight="1" thickBot="1" x14ac:dyDescent="0.2">
      <c r="B32" s="769" t="s">
        <v>101</v>
      </c>
      <c r="C32" s="770"/>
      <c r="D32" s="226"/>
      <c r="E32" s="223">
        <f>SUM(D31:F31)</f>
        <v>48</v>
      </c>
      <c r="F32" s="223"/>
      <c r="G32" s="226"/>
      <c r="H32" s="223">
        <f>SUM(G31:I31)</f>
        <v>24</v>
      </c>
      <c r="I32" s="223"/>
      <c r="J32" s="226"/>
      <c r="K32" s="223">
        <f>SUM(J31:L31)</f>
        <v>72.8</v>
      </c>
      <c r="L32" s="223"/>
      <c r="M32" s="226"/>
      <c r="N32" s="223">
        <f>SUM(M31:O31)</f>
        <v>74.399999999999991</v>
      </c>
      <c r="O32" s="223"/>
      <c r="P32" s="226"/>
      <c r="Q32" s="223">
        <f>SUM(P31:R31)</f>
        <v>90.4</v>
      </c>
      <c r="R32" s="223"/>
      <c r="S32" s="226"/>
      <c r="T32" s="223">
        <f>SUM(S31:U31)</f>
        <v>186.39999999999998</v>
      </c>
      <c r="U32" s="223"/>
      <c r="V32" s="226"/>
      <c r="W32" s="223">
        <f>SUM(V31:X31)</f>
        <v>178.4</v>
      </c>
      <c r="X32" s="223"/>
      <c r="Y32" s="226"/>
      <c r="Z32" s="223">
        <f>SUM(Y31:AA31)</f>
        <v>14.4</v>
      </c>
      <c r="AA32" s="223"/>
      <c r="AB32" s="226"/>
      <c r="AC32" s="223">
        <f>SUM(AB31:AD31)</f>
        <v>282.39999999999998</v>
      </c>
      <c r="AD32" s="223"/>
      <c r="AE32" s="226"/>
      <c r="AF32" s="223">
        <f>SUM(AE31:AG31)</f>
        <v>64.399999999999991</v>
      </c>
      <c r="AG32" s="223"/>
      <c r="AH32" s="226"/>
      <c r="AI32" s="223">
        <f>SUM(AH31:AJ31)</f>
        <v>64</v>
      </c>
      <c r="AJ32" s="223"/>
      <c r="AK32" s="226"/>
      <c r="AL32" s="223">
        <f>SUM(AK31:AM31)</f>
        <v>24</v>
      </c>
      <c r="AM32" s="223"/>
      <c r="AN32" s="227">
        <f t="shared" si="3"/>
        <v>1123.5999999999999</v>
      </c>
    </row>
    <row r="33" spans="2:40" ht="20.100000000000001" customHeight="1" thickTop="1" x14ac:dyDescent="0.15">
      <c r="B33" s="771" t="s">
        <v>200</v>
      </c>
      <c r="C33" s="569" t="s">
        <v>198</v>
      </c>
      <c r="D33" s="228">
        <v>60</v>
      </c>
      <c r="E33" s="229">
        <v>60</v>
      </c>
      <c r="F33" s="229">
        <v>60</v>
      </c>
      <c r="G33" s="228">
        <v>60</v>
      </c>
      <c r="H33" s="229">
        <v>60</v>
      </c>
      <c r="I33" s="229">
        <v>60</v>
      </c>
      <c r="J33" s="228">
        <v>60</v>
      </c>
      <c r="K33" s="229">
        <v>60</v>
      </c>
      <c r="L33" s="229">
        <v>60</v>
      </c>
      <c r="M33" s="228">
        <v>60</v>
      </c>
      <c r="N33" s="229">
        <v>60</v>
      </c>
      <c r="O33" s="229">
        <v>60</v>
      </c>
      <c r="P33" s="228">
        <v>60</v>
      </c>
      <c r="Q33" s="229">
        <v>60</v>
      </c>
      <c r="R33" s="229">
        <v>60</v>
      </c>
      <c r="S33" s="228">
        <v>60</v>
      </c>
      <c r="T33" s="229">
        <v>60</v>
      </c>
      <c r="U33" s="229">
        <v>60</v>
      </c>
      <c r="V33" s="228">
        <v>60</v>
      </c>
      <c r="W33" s="229">
        <v>60</v>
      </c>
      <c r="X33" s="229">
        <v>60</v>
      </c>
      <c r="Y33" s="228">
        <v>60</v>
      </c>
      <c r="Z33" s="229">
        <v>60</v>
      </c>
      <c r="AA33" s="229">
        <v>60</v>
      </c>
      <c r="AB33" s="228">
        <v>60</v>
      </c>
      <c r="AC33" s="229">
        <v>60</v>
      </c>
      <c r="AD33" s="229">
        <v>60</v>
      </c>
      <c r="AE33" s="228">
        <v>60</v>
      </c>
      <c r="AF33" s="229">
        <v>60</v>
      </c>
      <c r="AG33" s="229">
        <v>60</v>
      </c>
      <c r="AH33" s="228">
        <v>60</v>
      </c>
      <c r="AI33" s="229">
        <v>60</v>
      </c>
      <c r="AJ33" s="229">
        <v>60</v>
      </c>
      <c r="AK33" s="228">
        <v>60</v>
      </c>
      <c r="AL33" s="229">
        <v>60</v>
      </c>
      <c r="AM33" s="229">
        <v>60</v>
      </c>
      <c r="AN33" s="230">
        <f t="shared" si="3"/>
        <v>2160</v>
      </c>
    </row>
    <row r="34" spans="2:40" ht="20.100000000000001" customHeight="1" x14ac:dyDescent="0.15">
      <c r="B34" s="772"/>
      <c r="C34" s="225" t="s">
        <v>199</v>
      </c>
      <c r="D34" s="231">
        <v>50</v>
      </c>
      <c r="E34" s="60">
        <v>50</v>
      </c>
      <c r="F34" s="60">
        <v>50</v>
      </c>
      <c r="G34" s="231">
        <v>50</v>
      </c>
      <c r="H34" s="60">
        <v>50</v>
      </c>
      <c r="I34" s="60">
        <v>50</v>
      </c>
      <c r="J34" s="231">
        <v>50</v>
      </c>
      <c r="K34" s="60">
        <v>50</v>
      </c>
      <c r="L34" s="60">
        <v>50</v>
      </c>
      <c r="M34" s="231">
        <v>50</v>
      </c>
      <c r="N34" s="60">
        <v>50</v>
      </c>
      <c r="O34" s="60">
        <v>50</v>
      </c>
      <c r="P34" s="231">
        <v>50</v>
      </c>
      <c r="Q34" s="60">
        <v>50</v>
      </c>
      <c r="R34" s="60">
        <v>50</v>
      </c>
      <c r="S34" s="231">
        <v>50</v>
      </c>
      <c r="T34" s="60">
        <v>50</v>
      </c>
      <c r="U34" s="60">
        <v>50</v>
      </c>
      <c r="V34" s="231">
        <v>50</v>
      </c>
      <c r="W34" s="60">
        <v>50</v>
      </c>
      <c r="X34" s="60">
        <v>50</v>
      </c>
      <c r="Y34" s="231">
        <v>50</v>
      </c>
      <c r="Z34" s="60">
        <v>50</v>
      </c>
      <c r="AA34" s="60">
        <v>50</v>
      </c>
      <c r="AB34" s="231">
        <v>50</v>
      </c>
      <c r="AC34" s="60">
        <v>50</v>
      </c>
      <c r="AD34" s="60">
        <v>50</v>
      </c>
      <c r="AE34" s="231">
        <v>50</v>
      </c>
      <c r="AF34" s="60">
        <v>50</v>
      </c>
      <c r="AG34" s="60">
        <v>50</v>
      </c>
      <c r="AH34" s="231">
        <v>50</v>
      </c>
      <c r="AI34" s="60">
        <v>50</v>
      </c>
      <c r="AJ34" s="60">
        <v>50</v>
      </c>
      <c r="AK34" s="231">
        <v>50</v>
      </c>
      <c r="AL34" s="60">
        <v>50</v>
      </c>
      <c r="AM34" s="60">
        <v>50</v>
      </c>
      <c r="AN34" s="61">
        <f t="shared" si="3"/>
        <v>1800</v>
      </c>
    </row>
    <row r="35" spans="2:40" ht="20.100000000000001" customHeight="1" x14ac:dyDescent="0.15">
      <c r="B35" s="772"/>
      <c r="C35" s="225" t="s">
        <v>205</v>
      </c>
      <c r="D35" s="231">
        <v>25</v>
      </c>
      <c r="E35" s="60">
        <v>25</v>
      </c>
      <c r="F35" s="60">
        <v>25</v>
      </c>
      <c r="G35" s="231">
        <v>25</v>
      </c>
      <c r="H35" s="60">
        <v>25</v>
      </c>
      <c r="I35" s="60">
        <v>25</v>
      </c>
      <c r="J35" s="231">
        <v>25</v>
      </c>
      <c r="K35" s="60">
        <v>25</v>
      </c>
      <c r="L35" s="60">
        <v>25</v>
      </c>
      <c r="M35" s="231">
        <v>25</v>
      </c>
      <c r="N35" s="60">
        <v>25</v>
      </c>
      <c r="O35" s="60">
        <v>25</v>
      </c>
      <c r="P35" s="231">
        <v>25</v>
      </c>
      <c r="Q35" s="60">
        <v>25</v>
      </c>
      <c r="R35" s="60">
        <v>25</v>
      </c>
      <c r="S35" s="231">
        <v>25</v>
      </c>
      <c r="T35" s="60">
        <v>25</v>
      </c>
      <c r="U35" s="60">
        <v>25</v>
      </c>
      <c r="V35" s="231">
        <v>25</v>
      </c>
      <c r="W35" s="60">
        <v>25</v>
      </c>
      <c r="X35" s="60">
        <v>25</v>
      </c>
      <c r="Y35" s="231">
        <v>25</v>
      </c>
      <c r="Z35" s="60">
        <v>25</v>
      </c>
      <c r="AA35" s="60">
        <v>25</v>
      </c>
      <c r="AB35" s="231">
        <v>25</v>
      </c>
      <c r="AC35" s="60">
        <v>25</v>
      </c>
      <c r="AD35" s="60">
        <v>25</v>
      </c>
      <c r="AE35" s="231">
        <v>25</v>
      </c>
      <c r="AF35" s="60">
        <v>25</v>
      </c>
      <c r="AG35" s="60">
        <v>25</v>
      </c>
      <c r="AH35" s="231">
        <v>25</v>
      </c>
      <c r="AI35" s="60">
        <v>25</v>
      </c>
      <c r="AJ35" s="60">
        <v>25</v>
      </c>
      <c r="AK35" s="231">
        <v>25</v>
      </c>
      <c r="AL35" s="60">
        <v>25</v>
      </c>
      <c r="AM35" s="60">
        <v>25</v>
      </c>
      <c r="AN35" s="61">
        <f t="shared" si="3"/>
        <v>900</v>
      </c>
    </row>
    <row r="36" spans="2:40" ht="20.100000000000001" customHeight="1" x14ac:dyDescent="0.15">
      <c r="B36" s="772"/>
      <c r="C36" s="225"/>
      <c r="D36" s="231"/>
      <c r="E36" s="60"/>
      <c r="F36" s="60"/>
      <c r="G36" s="231"/>
      <c r="H36" s="60"/>
      <c r="I36" s="60"/>
      <c r="J36" s="231"/>
      <c r="K36" s="60"/>
      <c r="L36" s="60"/>
      <c r="M36" s="231"/>
      <c r="N36" s="60"/>
      <c r="O36" s="60"/>
      <c r="P36" s="231"/>
      <c r="Q36" s="60"/>
      <c r="R36" s="60"/>
      <c r="S36" s="231"/>
      <c r="T36" s="60"/>
      <c r="U36" s="60"/>
      <c r="V36" s="231"/>
      <c r="W36" s="60"/>
      <c r="X36" s="60"/>
      <c r="Y36" s="231"/>
      <c r="Z36" s="60"/>
      <c r="AA36" s="60"/>
      <c r="AB36" s="231"/>
      <c r="AC36" s="60"/>
      <c r="AD36" s="60"/>
      <c r="AE36" s="231"/>
      <c r="AF36" s="60"/>
      <c r="AG36" s="60"/>
      <c r="AH36" s="231"/>
      <c r="AI36" s="60"/>
      <c r="AJ36" s="60"/>
      <c r="AK36" s="231"/>
      <c r="AL36" s="60"/>
      <c r="AM36" s="60"/>
      <c r="AN36" s="61">
        <f t="shared" ref="AN36:AN39" si="4">SUM(D36:AM36)</f>
        <v>0</v>
      </c>
    </row>
    <row r="37" spans="2:40" ht="20.100000000000001" customHeight="1" thickBot="1" x14ac:dyDescent="0.2">
      <c r="B37" s="773"/>
      <c r="C37" s="570" t="s">
        <v>203</v>
      </c>
      <c r="D37" s="232">
        <f>SUM(D33:D36)</f>
        <v>135</v>
      </c>
      <c r="E37" s="233">
        <f t="shared" ref="E37:AM37" si="5">SUM(E33:E36)</f>
        <v>135</v>
      </c>
      <c r="F37" s="233">
        <f t="shared" si="5"/>
        <v>135</v>
      </c>
      <c r="G37" s="232">
        <f t="shared" si="5"/>
        <v>135</v>
      </c>
      <c r="H37" s="233">
        <f t="shared" si="5"/>
        <v>135</v>
      </c>
      <c r="I37" s="233">
        <f t="shared" si="5"/>
        <v>135</v>
      </c>
      <c r="J37" s="232">
        <f t="shared" si="5"/>
        <v>135</v>
      </c>
      <c r="K37" s="233">
        <f t="shared" si="5"/>
        <v>135</v>
      </c>
      <c r="L37" s="233">
        <f t="shared" si="5"/>
        <v>135</v>
      </c>
      <c r="M37" s="232">
        <f t="shared" si="5"/>
        <v>135</v>
      </c>
      <c r="N37" s="233">
        <f t="shared" si="5"/>
        <v>135</v>
      </c>
      <c r="O37" s="233">
        <f t="shared" si="5"/>
        <v>135</v>
      </c>
      <c r="P37" s="232">
        <f t="shared" si="5"/>
        <v>135</v>
      </c>
      <c r="Q37" s="233">
        <f t="shared" si="5"/>
        <v>135</v>
      </c>
      <c r="R37" s="233">
        <f t="shared" si="5"/>
        <v>135</v>
      </c>
      <c r="S37" s="232">
        <f t="shared" si="5"/>
        <v>135</v>
      </c>
      <c r="T37" s="233">
        <f t="shared" si="5"/>
        <v>135</v>
      </c>
      <c r="U37" s="233">
        <f t="shared" si="5"/>
        <v>135</v>
      </c>
      <c r="V37" s="232">
        <f t="shared" si="5"/>
        <v>135</v>
      </c>
      <c r="W37" s="233">
        <f t="shared" si="5"/>
        <v>135</v>
      </c>
      <c r="X37" s="233">
        <f t="shared" si="5"/>
        <v>135</v>
      </c>
      <c r="Y37" s="232">
        <f t="shared" si="5"/>
        <v>135</v>
      </c>
      <c r="Z37" s="233">
        <f t="shared" si="5"/>
        <v>135</v>
      </c>
      <c r="AA37" s="233">
        <f t="shared" si="5"/>
        <v>135</v>
      </c>
      <c r="AB37" s="232">
        <f t="shared" si="5"/>
        <v>135</v>
      </c>
      <c r="AC37" s="233">
        <f t="shared" si="5"/>
        <v>135</v>
      </c>
      <c r="AD37" s="233">
        <f t="shared" si="5"/>
        <v>135</v>
      </c>
      <c r="AE37" s="232">
        <f t="shared" si="5"/>
        <v>135</v>
      </c>
      <c r="AF37" s="233">
        <f t="shared" si="5"/>
        <v>135</v>
      </c>
      <c r="AG37" s="233">
        <f t="shared" si="5"/>
        <v>135</v>
      </c>
      <c r="AH37" s="232">
        <f t="shared" si="5"/>
        <v>135</v>
      </c>
      <c r="AI37" s="233">
        <f t="shared" si="5"/>
        <v>135</v>
      </c>
      <c r="AJ37" s="233">
        <f t="shared" si="5"/>
        <v>135</v>
      </c>
      <c r="AK37" s="232">
        <f t="shared" si="5"/>
        <v>135</v>
      </c>
      <c r="AL37" s="233">
        <f t="shared" si="5"/>
        <v>135</v>
      </c>
      <c r="AM37" s="233">
        <f t="shared" si="5"/>
        <v>135</v>
      </c>
      <c r="AN37" s="234">
        <f t="shared" si="4"/>
        <v>4860</v>
      </c>
    </row>
    <row r="38" spans="2:40" ht="20.100000000000001" customHeight="1" thickTop="1" x14ac:dyDescent="0.15">
      <c r="B38" s="780" t="s">
        <v>204</v>
      </c>
      <c r="C38" s="781"/>
      <c r="D38" s="238">
        <f>D37-D31</f>
        <v>127</v>
      </c>
      <c r="E38" s="239">
        <f t="shared" ref="E38:AM38" si="6">E37-E31</f>
        <v>127</v>
      </c>
      <c r="F38" s="239">
        <f t="shared" si="6"/>
        <v>103</v>
      </c>
      <c r="G38" s="238">
        <f t="shared" si="6"/>
        <v>127</v>
      </c>
      <c r="H38" s="239">
        <f t="shared" si="6"/>
        <v>135</v>
      </c>
      <c r="I38" s="239">
        <f t="shared" si="6"/>
        <v>119</v>
      </c>
      <c r="J38" s="238">
        <f t="shared" si="6"/>
        <v>135</v>
      </c>
      <c r="K38" s="239">
        <f t="shared" si="6"/>
        <v>129</v>
      </c>
      <c r="L38" s="239">
        <f t="shared" si="6"/>
        <v>68.2</v>
      </c>
      <c r="M38" s="238">
        <f t="shared" si="6"/>
        <v>66.2</v>
      </c>
      <c r="N38" s="239">
        <f t="shared" si="6"/>
        <v>132.19999999999999</v>
      </c>
      <c r="O38" s="239">
        <f t="shared" si="6"/>
        <v>132.19999999999999</v>
      </c>
      <c r="P38" s="238">
        <f t="shared" si="6"/>
        <v>120.2</v>
      </c>
      <c r="Q38" s="239">
        <f t="shared" si="6"/>
        <v>124.2</v>
      </c>
      <c r="R38" s="239">
        <f t="shared" si="6"/>
        <v>70.2</v>
      </c>
      <c r="S38" s="238">
        <f t="shared" si="6"/>
        <v>80.2</v>
      </c>
      <c r="T38" s="239">
        <f t="shared" si="6"/>
        <v>94.2</v>
      </c>
      <c r="U38" s="239">
        <f t="shared" si="6"/>
        <v>44.2</v>
      </c>
      <c r="V38" s="238">
        <f t="shared" si="6"/>
        <v>48.2</v>
      </c>
      <c r="W38" s="239">
        <f t="shared" si="6"/>
        <v>60.2</v>
      </c>
      <c r="X38" s="239">
        <f t="shared" si="6"/>
        <v>118.2</v>
      </c>
      <c r="Y38" s="238">
        <f t="shared" si="6"/>
        <v>130.19999999999999</v>
      </c>
      <c r="Z38" s="239">
        <f t="shared" si="6"/>
        <v>134.19999999999999</v>
      </c>
      <c r="AA38" s="239">
        <f t="shared" si="6"/>
        <v>126.2</v>
      </c>
      <c r="AB38" s="238">
        <f t="shared" si="6"/>
        <v>54.2</v>
      </c>
      <c r="AC38" s="239">
        <f t="shared" si="6"/>
        <v>34.200000000000003</v>
      </c>
      <c r="AD38" s="239">
        <f t="shared" si="6"/>
        <v>34.200000000000003</v>
      </c>
      <c r="AE38" s="238">
        <f t="shared" si="6"/>
        <v>88.2</v>
      </c>
      <c r="AF38" s="239">
        <f t="shared" si="6"/>
        <v>132.19999999999999</v>
      </c>
      <c r="AG38" s="239">
        <f t="shared" si="6"/>
        <v>120.2</v>
      </c>
      <c r="AH38" s="238">
        <f t="shared" si="6"/>
        <v>119</v>
      </c>
      <c r="AI38" s="239">
        <f t="shared" si="6"/>
        <v>119</v>
      </c>
      <c r="AJ38" s="239">
        <f t="shared" si="6"/>
        <v>103</v>
      </c>
      <c r="AK38" s="238">
        <f t="shared" si="6"/>
        <v>127</v>
      </c>
      <c r="AL38" s="239">
        <f t="shared" si="6"/>
        <v>127</v>
      </c>
      <c r="AM38" s="239">
        <f t="shared" si="6"/>
        <v>127</v>
      </c>
      <c r="AN38" s="230">
        <f t="shared" si="4"/>
        <v>3736.3999999999987</v>
      </c>
    </row>
    <row r="39" spans="2:40" ht="20.100000000000001" customHeight="1" thickBot="1" x14ac:dyDescent="0.2">
      <c r="B39" s="778" t="s">
        <v>201</v>
      </c>
      <c r="C39" s="779"/>
      <c r="D39" s="235"/>
      <c r="E39" s="236"/>
      <c r="F39" s="236"/>
      <c r="G39" s="235"/>
      <c r="H39" s="236"/>
      <c r="I39" s="236"/>
      <c r="J39" s="235"/>
      <c r="K39" s="236"/>
      <c r="L39" s="236"/>
      <c r="M39" s="235"/>
      <c r="N39" s="236"/>
      <c r="O39" s="236"/>
      <c r="P39" s="235"/>
      <c r="Q39" s="236"/>
      <c r="R39" s="236"/>
      <c r="S39" s="235"/>
      <c r="T39" s="236"/>
      <c r="U39" s="236"/>
      <c r="V39" s="235"/>
      <c r="W39" s="236"/>
      <c r="X39" s="236"/>
      <c r="Y39" s="235"/>
      <c r="Z39" s="236"/>
      <c r="AA39" s="236"/>
      <c r="AB39" s="235"/>
      <c r="AC39" s="236"/>
      <c r="AD39" s="236"/>
      <c r="AE39" s="235"/>
      <c r="AF39" s="236"/>
      <c r="AG39" s="236"/>
      <c r="AH39" s="235"/>
      <c r="AI39" s="236"/>
      <c r="AJ39" s="236"/>
      <c r="AK39" s="235"/>
      <c r="AL39" s="236"/>
      <c r="AM39" s="236"/>
      <c r="AN39" s="237">
        <f t="shared" si="4"/>
        <v>0</v>
      </c>
    </row>
  </sheetData>
  <mergeCells count="49">
    <mergeCell ref="M4:O4"/>
    <mergeCell ref="P4:R4"/>
    <mergeCell ref="B17:C17"/>
    <mergeCell ref="AK4:AM4"/>
    <mergeCell ref="B12:C12"/>
    <mergeCell ref="B13:C13"/>
    <mergeCell ref="B14:C14"/>
    <mergeCell ref="B15:C15"/>
    <mergeCell ref="B16:C16"/>
    <mergeCell ref="J29:L29"/>
    <mergeCell ref="AN4:AN5"/>
    <mergeCell ref="B6:C8"/>
    <mergeCell ref="B9:C9"/>
    <mergeCell ref="B10:C10"/>
    <mergeCell ref="B11:C11"/>
    <mergeCell ref="S4:U4"/>
    <mergeCell ref="V4:X4"/>
    <mergeCell ref="Y4:AA4"/>
    <mergeCell ref="AB4:AD4"/>
    <mergeCell ref="AE4:AG4"/>
    <mergeCell ref="AH4:AJ4"/>
    <mergeCell ref="B4:C5"/>
    <mergeCell ref="D4:F4"/>
    <mergeCell ref="G4:I4"/>
    <mergeCell ref="J4:L4"/>
    <mergeCell ref="B22:C22"/>
    <mergeCell ref="B23:C23"/>
    <mergeCell ref="B39:C39"/>
    <mergeCell ref="B38:C38"/>
    <mergeCell ref="B18:C18"/>
    <mergeCell ref="B19:C19"/>
    <mergeCell ref="B20:C20"/>
    <mergeCell ref="B21:C21"/>
    <mergeCell ref="AK29:AM29"/>
    <mergeCell ref="AN29:AN30"/>
    <mergeCell ref="B31:C31"/>
    <mergeCell ref="B32:C32"/>
    <mergeCell ref="B33:B37"/>
    <mergeCell ref="S29:U29"/>
    <mergeCell ref="V29:X29"/>
    <mergeCell ref="Y29:AA29"/>
    <mergeCell ref="AB29:AD29"/>
    <mergeCell ref="AE29:AG29"/>
    <mergeCell ref="AH29:AJ29"/>
    <mergeCell ref="B29:C30"/>
    <mergeCell ref="D29:F29"/>
    <mergeCell ref="G29:I29"/>
    <mergeCell ref="M29:O29"/>
    <mergeCell ref="P29:R29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"/>
  <sheetViews>
    <sheetView zoomScale="75" zoomScaleNormal="75" zoomScaleSheetLayoutView="78" workbookViewId="0">
      <selection sqref="A1:B2"/>
    </sheetView>
  </sheetViews>
  <sheetFormatPr defaultRowHeight="13.5" x14ac:dyDescent="0.15"/>
  <cols>
    <col min="1" max="2" width="9" style="571"/>
    <col min="3" max="38" width="6.125" style="571" customWidth="1"/>
    <col min="39" max="16384" width="9" style="571"/>
  </cols>
  <sheetData>
    <row r="1" spans="1:39" x14ac:dyDescent="0.15">
      <c r="A1" s="792" t="s">
        <v>554</v>
      </c>
      <c r="B1" s="793"/>
      <c r="C1" s="785">
        <v>1</v>
      </c>
      <c r="D1" s="786"/>
      <c r="E1" s="787"/>
      <c r="F1" s="785">
        <v>2</v>
      </c>
      <c r="G1" s="786"/>
      <c r="H1" s="787"/>
      <c r="I1" s="785">
        <v>3</v>
      </c>
      <c r="J1" s="786"/>
      <c r="K1" s="787"/>
      <c r="L1" s="785">
        <v>4</v>
      </c>
      <c r="M1" s="786"/>
      <c r="N1" s="787"/>
      <c r="O1" s="785">
        <v>5</v>
      </c>
      <c r="P1" s="786"/>
      <c r="Q1" s="787"/>
      <c r="R1" s="785">
        <v>6</v>
      </c>
      <c r="S1" s="786"/>
      <c r="T1" s="787"/>
      <c r="U1" s="785">
        <v>7</v>
      </c>
      <c r="V1" s="786"/>
      <c r="W1" s="787"/>
      <c r="X1" s="785">
        <v>8</v>
      </c>
      <c r="Y1" s="786"/>
      <c r="Z1" s="787"/>
      <c r="AA1" s="785">
        <v>9</v>
      </c>
      <c r="AB1" s="786"/>
      <c r="AC1" s="787"/>
      <c r="AD1" s="785">
        <v>10</v>
      </c>
      <c r="AE1" s="786"/>
      <c r="AF1" s="787"/>
      <c r="AG1" s="785">
        <v>11</v>
      </c>
      <c r="AH1" s="786"/>
      <c r="AI1" s="787"/>
      <c r="AJ1" s="785">
        <v>12</v>
      </c>
      <c r="AK1" s="786"/>
      <c r="AL1" s="787"/>
      <c r="AM1" s="790" t="s">
        <v>30</v>
      </c>
    </row>
    <row r="2" spans="1:39" x14ac:dyDescent="0.15">
      <c r="A2" s="791"/>
      <c r="B2" s="768"/>
      <c r="C2" s="508" t="s">
        <v>31</v>
      </c>
      <c r="D2" s="51" t="s">
        <v>32</v>
      </c>
      <c r="E2" s="52" t="s">
        <v>33</v>
      </c>
      <c r="F2" s="508" t="s">
        <v>31</v>
      </c>
      <c r="G2" s="52" t="s">
        <v>32</v>
      </c>
      <c r="H2" s="52" t="s">
        <v>33</v>
      </c>
      <c r="I2" s="508" t="s">
        <v>31</v>
      </c>
      <c r="J2" s="52" t="s">
        <v>32</v>
      </c>
      <c r="K2" s="52" t="s">
        <v>33</v>
      </c>
      <c r="L2" s="508" t="s">
        <v>31</v>
      </c>
      <c r="M2" s="52" t="s">
        <v>32</v>
      </c>
      <c r="N2" s="52" t="s">
        <v>33</v>
      </c>
      <c r="O2" s="508" t="s">
        <v>31</v>
      </c>
      <c r="P2" s="52" t="s">
        <v>32</v>
      </c>
      <c r="Q2" s="52" t="s">
        <v>33</v>
      </c>
      <c r="R2" s="508" t="s">
        <v>31</v>
      </c>
      <c r="S2" s="509" t="s">
        <v>32</v>
      </c>
      <c r="T2" s="509" t="s">
        <v>33</v>
      </c>
      <c r="U2" s="508" t="s">
        <v>31</v>
      </c>
      <c r="V2" s="52" t="s">
        <v>32</v>
      </c>
      <c r="W2" s="52" t="s">
        <v>33</v>
      </c>
      <c r="X2" s="508" t="s">
        <v>31</v>
      </c>
      <c r="Y2" s="52" t="s">
        <v>32</v>
      </c>
      <c r="Z2" s="52" t="s">
        <v>33</v>
      </c>
      <c r="AA2" s="508" t="s">
        <v>31</v>
      </c>
      <c r="AB2" s="52" t="s">
        <v>32</v>
      </c>
      <c r="AC2" s="52" t="s">
        <v>33</v>
      </c>
      <c r="AD2" s="508" t="s">
        <v>31</v>
      </c>
      <c r="AE2" s="52" t="s">
        <v>32</v>
      </c>
      <c r="AF2" s="52" t="s">
        <v>33</v>
      </c>
      <c r="AG2" s="508" t="s">
        <v>31</v>
      </c>
      <c r="AH2" s="52" t="s">
        <v>32</v>
      </c>
      <c r="AI2" s="52" t="s">
        <v>33</v>
      </c>
      <c r="AJ2" s="508" t="s">
        <v>31</v>
      </c>
      <c r="AK2" s="52" t="s">
        <v>32</v>
      </c>
      <c r="AL2" s="52" t="s">
        <v>33</v>
      </c>
      <c r="AM2" s="766"/>
    </row>
    <row r="3" spans="1:39" x14ac:dyDescent="0.15">
      <c r="A3" s="791" t="s">
        <v>555</v>
      </c>
      <c r="B3" s="768"/>
      <c r="C3" s="231">
        <f>+'５－１　ピオーネトンネル作業時間'!D31+'５－２　ベリーＡ保温メッシュ作業時間 '!D31+'５－３　ベリーＡトンネル作業時間'!D31+'５－３　シャイントンネル作業時間'!D31</f>
        <v>12</v>
      </c>
      <c r="D3" s="62">
        <f>+'５－１　ピオーネトンネル作業時間'!E31+'５－２　ベリーＡ保温メッシュ作業時間 '!E31+'５－３　ベリーＡトンネル作業時間'!E31+'５－３　シャイントンネル作業時間'!E31</f>
        <v>12</v>
      </c>
      <c r="E3" s="510">
        <f>+'５－１　ピオーネトンネル作業時間'!F31+'５－２　ベリーＡ保温メッシュ作業時間 '!F31+'５－３　ベリーＡトンネル作業時間'!F31+'５－３　シャイントンネル作業時間'!F31</f>
        <v>44</v>
      </c>
      <c r="F3" s="231">
        <f>+'５－１　ピオーネトンネル作業時間'!G31+'５－２　ベリーＡ保温メッシュ作業時間 '!G31+'５－３　ベリーＡトンネル作業時間'!G31+'５－３　シャイントンネル作業時間'!G31</f>
        <v>40</v>
      </c>
      <c r="G3" s="62">
        <f>+'５－１　ピオーネトンネル作業時間'!H31+'５－２　ベリーＡ保温メッシュ作業時間 '!H31+'５－３　ベリーＡトンネル作業時間'!H31+'５－３　シャイントンネル作業時間'!H31</f>
        <v>29.5</v>
      </c>
      <c r="H3" s="510">
        <f>+'５－１　ピオーネトンネル作業時間'!I31+'５－２　ベリーＡ保温メッシュ作業時間 '!I31+'５－３　ベリーＡトンネル作業時間'!I31+'５－３　シャイントンネル作業時間'!I31</f>
        <v>36.700000000000003</v>
      </c>
      <c r="I3" s="231">
        <f>+'５－１　ピオーネトンネル作業時間'!J31+'５－２　ベリーＡ保温メッシュ作業時間 '!J31+'５－３　ベリーＡトンネル作業時間'!J31+'５－３　シャイントンネル作業時間'!J31</f>
        <v>3.2</v>
      </c>
      <c r="J3" s="62">
        <f>+'５－１　ピオーネトンネル作業時間'!K31+'５－２　ベリーＡ保温メッシュ作業時間 '!K31+'５－３　ベリーＡトンネル作業時間'!K31+'５－３　シャイントンネル作業時間'!K31</f>
        <v>13.2</v>
      </c>
      <c r="K3" s="510">
        <f>+'５－１　ピオーネトンネル作業時間'!L31+'５－２　ベリーＡ保温メッシュ作業時間 '!L31+'５－３　ベリーＡトンネル作業時間'!L31+'５－３　シャイントンネル作業時間'!L31</f>
        <v>89.199999999999989</v>
      </c>
      <c r="L3" s="231">
        <f>+'５－１　ピオーネトンネル作業時間'!M31+'５－２　ベリーＡ保温メッシュ作業時間 '!M31+'５－３　ベリーＡトンネル作業時間'!M31+'５－３　シャイントンネル作業時間'!M31</f>
        <v>92.699999999999989</v>
      </c>
      <c r="M3" s="62">
        <f>+'５－１　ピオーネトンネル作業時間'!N31+'５－２　ベリーＡ保温メッシュ作業時間 '!N31+'５－３　ベリーＡトンネル作業時間'!N31+'５－３　シャイントンネル作業時間'!N31</f>
        <v>41.2</v>
      </c>
      <c r="N3" s="510">
        <f>+'５－１　ピオーネトンネル作業時間'!O31+'５－２　ベリーＡ保温メッシュ作業時間 '!O31+'５－３　ベリーＡトンネル作業時間'!O31+'５－３　シャイントンネル作業時間'!O31</f>
        <v>16.7</v>
      </c>
      <c r="O3" s="231">
        <f>+'５－１　ピオーネトンネル作業時間'!P31+'５－２　ベリーＡ保温メッシュ作業時間 '!P31+'５－３　ベリーＡトンネル作業時間'!P31+'５－３　シャイントンネル作業時間'!P31</f>
        <v>32.200000000000003</v>
      </c>
      <c r="P3" s="62">
        <f>+'５－１　ピオーネトンネル作業時間'!Q31+'５－２　ベリーＡ保温メッシュ作業時間 '!Q31+'５－３　ベリーＡトンネル作業時間'!Q31+'５－３　シャイントンネル作業時間'!Q31</f>
        <v>53.7</v>
      </c>
      <c r="Q3" s="510">
        <f>+'５－１　ピオーネトンネル作業時間'!R31+'５－２　ベリーＡ保温メッシュ作業時間 '!R31+'５－３　ベリーＡトンネル作業時間'!R31+'５－３　シャイントンネル作業時間'!R31</f>
        <v>113.7</v>
      </c>
      <c r="R3" s="231">
        <f>+'５－１　ピオーネトンネル作業時間'!S31+'５－２　ベリーＡ保温メッシュ作業時間 '!S31+'５－３　ベリーＡトンネル作業時間'!S31+'５－３　シャイントンネル作業時間'!S31</f>
        <v>82.199999999999989</v>
      </c>
      <c r="S3" s="62">
        <f>+'５－１　ピオーネトンネル作業時間'!T31+'５－２　ベリーＡ保温メッシュ作業時間 '!T31+'５－３　ベリーＡトンネル作業時間'!T31+'５－３　シャイントンネル作業時間'!T31</f>
        <v>61.199999999999996</v>
      </c>
      <c r="T3" s="510">
        <f>+'５－１　ピオーネトンネル作業時間'!U31+'５－２　ベリーＡ保温メッシュ作業時間 '!U31+'５－３　ベリーＡトンネル作業時間'!U31+'５－３　シャイントンネル作業時間'!U31</f>
        <v>114.19999999999999</v>
      </c>
      <c r="U3" s="231">
        <f>+'５－１　ピオーネトンネル作業時間'!V31+'５－２　ベリーＡ保温メッシュ作業時間 '!V31+'５－３　ベリーＡトンネル作業時間'!V31+'５－３　シャイントンネル作業時間'!V31</f>
        <v>109.69999999999999</v>
      </c>
      <c r="V3" s="62">
        <f>+'５－１　ピオーネトンネル作業時間'!W31+'５－２　ベリーＡ保温メッシュ作業時間 '!W31+'５－３　ベリーＡトンネル作業時間'!W31+'５－３　シャイントンネル作業時間'!W31</f>
        <v>101.69999999999999</v>
      </c>
      <c r="W3" s="510">
        <f>+'５－１　ピオーネトンネル作業時間'!X31+'５－２　ベリーＡ保温メッシュ作業時間 '!X31+'５－３　ベリーＡトンネル作業時間'!X31+'５－３　シャイントンネル作業時間'!X31</f>
        <v>53.2</v>
      </c>
      <c r="X3" s="231">
        <f>+'５－１　ピオーネトンネル作業時間'!Y31+'５－２　ベリーＡ保温メッシュ作業時間 '!Y31+'５－３　ベリーＡトンネル作業時間'!Y31+'５－３　シャイントンネル作業時間'!Y31</f>
        <v>34.199999999999996</v>
      </c>
      <c r="Y3" s="62">
        <f>+'５－１　ピオーネトンネル作業時間'!Z31+'５－２　ベリーＡ保温メッシュ作業時間 '!Z31+'５－３　ベリーＡトンネル作業時間'!Z31+'５－３　シャイントンネル作業時間'!Z31</f>
        <v>25.2</v>
      </c>
      <c r="Z3" s="510">
        <f>+'５－１　ピオーネトンネル作業時間'!AA31+'５－２　ベリーＡ保温メッシュ作業時間 '!AA31+'５－３　ベリーＡトンネル作業時間'!AA31+'５－３　シャイントンネル作業時間'!AA31</f>
        <v>36.700000000000003</v>
      </c>
      <c r="AA3" s="231">
        <f>+'５－１　ピオーネトンネル作業時間'!AB31+'５－２　ベリーＡ保温メッシュ作業時間 '!AB31+'５－３　ベリーＡトンネル作業時間'!AB31+'５－３　シャイントンネル作業時間'!AB31</f>
        <v>106.5</v>
      </c>
      <c r="AB3" s="62">
        <f>+'５－１　ピオーネトンネル作業時間'!AC31+'５－２　ベリーＡ保温メッシュ作業時間 '!AC31+'５－３　ベリーＡトンネル作業時間'!AC31+'５－３　シャイントンネル作業時間'!AC31</f>
        <v>126.19999999999999</v>
      </c>
      <c r="AC3" s="510">
        <f>+'５－１　ピオーネトンネル作業時間'!AD31+'５－２　ベリーＡ保温メッシュ作業時間 '!AD31+'５－３　ベリーＡトンネル作業時間'!AD31+'５－３　シャイントンネル作業時間'!AD31</f>
        <v>113.5</v>
      </c>
      <c r="AD3" s="231">
        <f>+'５－１　ピオーネトンネル作業時間'!AE31+'５－２　ベリーＡ保温メッシュ作業時間 '!AE31+'５－３　ベリーＡトンネル作業時間'!AE31+'５－３　シャイントンネル作業時間'!AE31</f>
        <v>49</v>
      </c>
      <c r="AE3" s="62">
        <f>+'５－１　ピオーネトンネル作業時間'!AF31+'５－２　ベリーＡ保温メッシュ作業時間 '!AF31+'５－３　ベリーＡトンネル作業時間'!AF31+'５－３　シャイントンネル作業時間'!AF31</f>
        <v>4.6999999999999993</v>
      </c>
      <c r="AF3" s="510">
        <f>+'５－１　ピオーネトンネル作業時間'!AG31+'５－２　ベリーＡ保温メッシュ作業時間 '!AG31+'５－３　ベリーＡトンネル作業時間'!AG31+'５－３　シャイントンネル作業時間'!AG31</f>
        <v>19</v>
      </c>
      <c r="AG3" s="231">
        <f>+'５－１　ピオーネトンネル作業時間'!AH31+'５－２　ベリーＡ保温メッシュ作業時間 '!AH31+'５－３　ベリーＡトンネル作業時間'!AH31+'５－３　シャイントンネル作業時間'!AH31</f>
        <v>24</v>
      </c>
      <c r="AH3" s="62">
        <f>+'５－１　ピオーネトンネル作業時間'!AI31+'５－２　ベリーＡ保温メッシュ作業時間 '!AI31+'５－３　ベリーＡトンネル作業時間'!AI31+'５－３　シャイントンネル作業時間'!AI31</f>
        <v>24</v>
      </c>
      <c r="AI3" s="510">
        <f>+'５－１　ピオーネトンネル作業時間'!AJ31+'５－２　ベリーＡ保温メッシュ作業時間 '!AJ31+'５－３　ベリーＡトンネル作業時間'!AJ31+'５－３　シャイントンネル作業時間'!AJ31</f>
        <v>48</v>
      </c>
      <c r="AJ3" s="231">
        <f>+'５－１　ピオーネトンネル作業時間'!AK31+'５－２　ベリーＡ保温メッシュ作業時間 '!AK31+'５－３　ベリーＡトンネル作業時間'!AK31+'５－３　シャイントンネル作業時間'!AK31</f>
        <v>20</v>
      </c>
      <c r="AK3" s="62">
        <f>+'５－１　ピオーネトンネル作業時間'!AL31+'５－２　ベリーＡ保温メッシュ作業時間 '!AL31+'５－３　ベリーＡトンネル作業時間'!AL31+'５－３　シャイントンネル作業時間'!AL31</f>
        <v>15.5</v>
      </c>
      <c r="AL3" s="510">
        <f>+'５－１　ピオーネトンネル作業時間'!AM31+'５－２　ベリーＡ保温メッシュ作業時間 '!AM31+'５－３　ベリーＡトンネル作業時間'!AM31+'５－３　シャイントンネル作業時間'!AM31</f>
        <v>10</v>
      </c>
      <c r="AM3" s="61">
        <f t="shared" ref="AM3:AM7" si="0">SUM(C3:AL3)</f>
        <v>1808.7000000000005</v>
      </c>
    </row>
    <row r="4" spans="1:39" ht="14.25" thickBot="1" x14ac:dyDescent="0.2">
      <c r="A4" s="769" t="s">
        <v>556</v>
      </c>
      <c r="B4" s="770"/>
      <c r="C4" s="226"/>
      <c r="D4" s="223">
        <f>SUM(C3:E3)</f>
        <v>68</v>
      </c>
      <c r="E4" s="223"/>
      <c r="F4" s="226"/>
      <c r="G4" s="223">
        <f>SUM(F3:H3)</f>
        <v>106.2</v>
      </c>
      <c r="H4" s="223"/>
      <c r="I4" s="226"/>
      <c r="J4" s="223">
        <f>SUM(I3:K3)</f>
        <v>105.6</v>
      </c>
      <c r="K4" s="223"/>
      <c r="L4" s="226"/>
      <c r="M4" s="223">
        <f>SUM(L3:N3)</f>
        <v>150.59999999999997</v>
      </c>
      <c r="N4" s="223"/>
      <c r="O4" s="226"/>
      <c r="P4" s="223">
        <f>SUM(O3:Q3)</f>
        <v>199.60000000000002</v>
      </c>
      <c r="Q4" s="223"/>
      <c r="R4" s="226"/>
      <c r="S4" s="223">
        <f>SUM(R3:T3)</f>
        <v>257.59999999999997</v>
      </c>
      <c r="T4" s="223"/>
      <c r="U4" s="226"/>
      <c r="V4" s="223">
        <f>SUM(U3:W3)</f>
        <v>264.59999999999997</v>
      </c>
      <c r="W4" s="223"/>
      <c r="X4" s="226"/>
      <c r="Y4" s="223">
        <f>SUM(X3:Z3)</f>
        <v>96.1</v>
      </c>
      <c r="Z4" s="223"/>
      <c r="AA4" s="226"/>
      <c r="AB4" s="223">
        <f>SUM(AA3:AC3)</f>
        <v>346.2</v>
      </c>
      <c r="AC4" s="223"/>
      <c r="AD4" s="226"/>
      <c r="AE4" s="223">
        <f>SUM(AD3:AF3)</f>
        <v>72.7</v>
      </c>
      <c r="AF4" s="223"/>
      <c r="AG4" s="226"/>
      <c r="AH4" s="223">
        <f>SUM(AG3:AI3)</f>
        <v>96</v>
      </c>
      <c r="AI4" s="223"/>
      <c r="AJ4" s="226"/>
      <c r="AK4" s="223">
        <f>SUM(AJ3:AL3)</f>
        <v>45.5</v>
      </c>
      <c r="AL4" s="223"/>
      <c r="AM4" s="227">
        <f t="shared" si="0"/>
        <v>1808.6999999999998</v>
      </c>
    </row>
    <row r="5" spans="1:39" ht="14.25" thickTop="1" x14ac:dyDescent="0.15">
      <c r="A5" s="771" t="s">
        <v>200</v>
      </c>
      <c r="B5" s="569" t="s">
        <v>557</v>
      </c>
      <c r="C5" s="228">
        <v>60</v>
      </c>
      <c r="D5" s="229">
        <v>60</v>
      </c>
      <c r="E5" s="229">
        <v>60</v>
      </c>
      <c r="F5" s="228">
        <v>60</v>
      </c>
      <c r="G5" s="229">
        <v>60</v>
      </c>
      <c r="H5" s="229">
        <v>60</v>
      </c>
      <c r="I5" s="228">
        <v>60</v>
      </c>
      <c r="J5" s="229">
        <v>60</v>
      </c>
      <c r="K5" s="229">
        <v>60</v>
      </c>
      <c r="L5" s="228">
        <v>60</v>
      </c>
      <c r="M5" s="229">
        <v>60</v>
      </c>
      <c r="N5" s="229">
        <v>60</v>
      </c>
      <c r="O5" s="228">
        <v>60</v>
      </c>
      <c r="P5" s="229">
        <v>60</v>
      </c>
      <c r="Q5" s="229">
        <v>60</v>
      </c>
      <c r="R5" s="228">
        <v>60</v>
      </c>
      <c r="S5" s="229">
        <v>60</v>
      </c>
      <c r="T5" s="229">
        <v>60</v>
      </c>
      <c r="U5" s="228">
        <v>60</v>
      </c>
      <c r="V5" s="229">
        <v>60</v>
      </c>
      <c r="W5" s="229">
        <v>60</v>
      </c>
      <c r="X5" s="228">
        <v>60</v>
      </c>
      <c r="Y5" s="229">
        <v>60</v>
      </c>
      <c r="Z5" s="229">
        <v>60</v>
      </c>
      <c r="AA5" s="228">
        <v>60</v>
      </c>
      <c r="AB5" s="229">
        <v>60</v>
      </c>
      <c r="AC5" s="229">
        <v>60</v>
      </c>
      <c r="AD5" s="228">
        <v>60</v>
      </c>
      <c r="AE5" s="229">
        <v>60</v>
      </c>
      <c r="AF5" s="229">
        <v>60</v>
      </c>
      <c r="AG5" s="228">
        <v>60</v>
      </c>
      <c r="AH5" s="229">
        <v>60</v>
      </c>
      <c r="AI5" s="229">
        <v>60</v>
      </c>
      <c r="AJ5" s="228">
        <v>60</v>
      </c>
      <c r="AK5" s="229">
        <v>60</v>
      </c>
      <c r="AL5" s="229">
        <v>60</v>
      </c>
      <c r="AM5" s="230">
        <f t="shared" si="0"/>
        <v>2160</v>
      </c>
    </row>
    <row r="6" spans="1:39" x14ac:dyDescent="0.15">
      <c r="A6" s="772"/>
      <c r="B6" s="511"/>
      <c r="C6" s="231"/>
      <c r="D6" s="60"/>
      <c r="E6" s="60"/>
      <c r="F6" s="231"/>
      <c r="G6" s="60"/>
      <c r="H6" s="60"/>
      <c r="I6" s="231"/>
      <c r="J6" s="60"/>
      <c r="K6" s="60"/>
      <c r="L6" s="231"/>
      <c r="M6" s="60"/>
      <c r="N6" s="60"/>
      <c r="O6" s="231"/>
      <c r="P6" s="60"/>
      <c r="Q6" s="60"/>
      <c r="R6" s="231"/>
      <c r="S6" s="60"/>
      <c r="T6" s="60"/>
      <c r="U6" s="231"/>
      <c r="V6" s="60"/>
      <c r="W6" s="60"/>
      <c r="X6" s="231"/>
      <c r="Y6" s="60"/>
      <c r="Z6" s="60"/>
      <c r="AA6" s="231"/>
      <c r="AB6" s="60"/>
      <c r="AC6" s="60"/>
      <c r="AD6" s="231"/>
      <c r="AE6" s="60"/>
      <c r="AF6" s="60"/>
      <c r="AG6" s="231"/>
      <c r="AH6" s="60"/>
      <c r="AI6" s="60"/>
      <c r="AJ6" s="231"/>
      <c r="AK6" s="60"/>
      <c r="AL6" s="60"/>
      <c r="AM6" s="61">
        <f t="shared" si="0"/>
        <v>0</v>
      </c>
    </row>
    <row r="7" spans="1:39" x14ac:dyDescent="0.15">
      <c r="A7" s="772"/>
      <c r="B7" s="511"/>
      <c r="C7" s="231"/>
      <c r="D7" s="60"/>
      <c r="E7" s="60"/>
      <c r="F7" s="231"/>
      <c r="G7" s="60"/>
      <c r="H7" s="60"/>
      <c r="I7" s="231"/>
      <c r="J7" s="60"/>
      <c r="K7" s="60"/>
      <c r="L7" s="231"/>
      <c r="M7" s="60"/>
      <c r="N7" s="60"/>
      <c r="O7" s="231"/>
      <c r="P7" s="60"/>
      <c r="Q7" s="60"/>
      <c r="R7" s="231"/>
      <c r="S7" s="60"/>
      <c r="T7" s="60"/>
      <c r="U7" s="231"/>
      <c r="V7" s="60"/>
      <c r="W7" s="60"/>
      <c r="X7" s="231"/>
      <c r="Y7" s="60"/>
      <c r="Z7" s="60"/>
      <c r="AA7" s="231"/>
      <c r="AB7" s="60"/>
      <c r="AC7" s="60"/>
      <c r="AD7" s="231"/>
      <c r="AE7" s="60"/>
      <c r="AF7" s="60"/>
      <c r="AG7" s="231"/>
      <c r="AH7" s="60"/>
      <c r="AI7" s="60"/>
      <c r="AJ7" s="231"/>
      <c r="AK7" s="60"/>
      <c r="AL7" s="60"/>
      <c r="AM7" s="61">
        <f t="shared" si="0"/>
        <v>0</v>
      </c>
    </row>
    <row r="8" spans="1:39" x14ac:dyDescent="0.15">
      <c r="A8" s="772"/>
      <c r="B8" s="511"/>
      <c r="C8" s="231"/>
      <c r="D8" s="60"/>
      <c r="E8" s="60"/>
      <c r="F8" s="231"/>
      <c r="G8" s="60"/>
      <c r="H8" s="60"/>
      <c r="I8" s="231"/>
      <c r="J8" s="60"/>
      <c r="K8" s="60"/>
      <c r="L8" s="231"/>
      <c r="M8" s="60"/>
      <c r="N8" s="60"/>
      <c r="O8" s="231"/>
      <c r="P8" s="60"/>
      <c r="Q8" s="60"/>
      <c r="R8" s="231"/>
      <c r="S8" s="60"/>
      <c r="T8" s="60"/>
      <c r="U8" s="231"/>
      <c r="V8" s="60"/>
      <c r="W8" s="60"/>
      <c r="X8" s="231"/>
      <c r="Y8" s="60"/>
      <c r="Z8" s="60"/>
      <c r="AA8" s="231"/>
      <c r="AB8" s="60"/>
      <c r="AC8" s="60"/>
      <c r="AD8" s="231"/>
      <c r="AE8" s="60"/>
      <c r="AF8" s="60"/>
      <c r="AG8" s="231"/>
      <c r="AH8" s="60"/>
      <c r="AI8" s="60"/>
      <c r="AJ8" s="231"/>
      <c r="AK8" s="60"/>
      <c r="AL8" s="60"/>
      <c r="AM8" s="61">
        <f t="shared" ref="AM8:AM11" si="1">SUM(C8:AL8)</f>
        <v>0</v>
      </c>
    </row>
    <row r="9" spans="1:39" ht="14.25" thickBot="1" x14ac:dyDescent="0.2">
      <c r="A9" s="773"/>
      <c r="B9" s="572" t="s">
        <v>203</v>
      </c>
      <c r="C9" s="232">
        <f>SUM(C5:C8)</f>
        <v>60</v>
      </c>
      <c r="D9" s="233">
        <f t="shared" ref="D9:AL9" si="2">SUM(D5:D8)</f>
        <v>60</v>
      </c>
      <c r="E9" s="233">
        <f t="shared" si="2"/>
        <v>60</v>
      </c>
      <c r="F9" s="232">
        <f t="shared" si="2"/>
        <v>60</v>
      </c>
      <c r="G9" s="233">
        <f t="shared" si="2"/>
        <v>60</v>
      </c>
      <c r="H9" s="233">
        <f t="shared" si="2"/>
        <v>60</v>
      </c>
      <c r="I9" s="232">
        <f t="shared" si="2"/>
        <v>60</v>
      </c>
      <c r="J9" s="233">
        <f t="shared" si="2"/>
        <v>60</v>
      </c>
      <c r="K9" s="233">
        <f t="shared" si="2"/>
        <v>60</v>
      </c>
      <c r="L9" s="232">
        <f t="shared" si="2"/>
        <v>60</v>
      </c>
      <c r="M9" s="233">
        <f t="shared" si="2"/>
        <v>60</v>
      </c>
      <c r="N9" s="233">
        <f t="shared" si="2"/>
        <v>60</v>
      </c>
      <c r="O9" s="232">
        <f t="shared" si="2"/>
        <v>60</v>
      </c>
      <c r="P9" s="233">
        <f t="shared" si="2"/>
        <v>60</v>
      </c>
      <c r="Q9" s="233">
        <f t="shared" si="2"/>
        <v>60</v>
      </c>
      <c r="R9" s="232">
        <f t="shared" si="2"/>
        <v>60</v>
      </c>
      <c r="S9" s="233">
        <f t="shared" si="2"/>
        <v>60</v>
      </c>
      <c r="T9" s="233">
        <f t="shared" si="2"/>
        <v>60</v>
      </c>
      <c r="U9" s="232">
        <f t="shared" si="2"/>
        <v>60</v>
      </c>
      <c r="V9" s="233">
        <f t="shared" si="2"/>
        <v>60</v>
      </c>
      <c r="W9" s="233">
        <f t="shared" si="2"/>
        <v>60</v>
      </c>
      <c r="X9" s="232">
        <f t="shared" si="2"/>
        <v>60</v>
      </c>
      <c r="Y9" s="233">
        <f t="shared" si="2"/>
        <v>60</v>
      </c>
      <c r="Z9" s="233">
        <f t="shared" si="2"/>
        <v>60</v>
      </c>
      <c r="AA9" s="232">
        <f t="shared" si="2"/>
        <v>60</v>
      </c>
      <c r="AB9" s="233">
        <f t="shared" si="2"/>
        <v>60</v>
      </c>
      <c r="AC9" s="233">
        <f t="shared" si="2"/>
        <v>60</v>
      </c>
      <c r="AD9" s="232">
        <f t="shared" si="2"/>
        <v>60</v>
      </c>
      <c r="AE9" s="233">
        <f t="shared" si="2"/>
        <v>60</v>
      </c>
      <c r="AF9" s="233">
        <f t="shared" si="2"/>
        <v>60</v>
      </c>
      <c r="AG9" s="232">
        <f t="shared" si="2"/>
        <v>60</v>
      </c>
      <c r="AH9" s="233">
        <f t="shared" si="2"/>
        <v>60</v>
      </c>
      <c r="AI9" s="233">
        <f t="shared" si="2"/>
        <v>60</v>
      </c>
      <c r="AJ9" s="232">
        <f t="shared" si="2"/>
        <v>60</v>
      </c>
      <c r="AK9" s="233">
        <f t="shared" si="2"/>
        <v>60</v>
      </c>
      <c r="AL9" s="233">
        <f t="shared" si="2"/>
        <v>60</v>
      </c>
      <c r="AM9" s="234">
        <f t="shared" si="1"/>
        <v>2160</v>
      </c>
    </row>
    <row r="10" spans="1:39" ht="14.25" thickTop="1" x14ac:dyDescent="0.15">
      <c r="A10" s="780" t="s">
        <v>558</v>
      </c>
      <c r="B10" s="781"/>
      <c r="C10" s="238">
        <f>C9-C3</f>
        <v>48</v>
      </c>
      <c r="D10" s="239">
        <f t="shared" ref="D10:AL10" si="3">D9-D3</f>
        <v>48</v>
      </c>
      <c r="E10" s="239">
        <f t="shared" si="3"/>
        <v>16</v>
      </c>
      <c r="F10" s="238">
        <f t="shared" si="3"/>
        <v>20</v>
      </c>
      <c r="G10" s="239">
        <f t="shared" si="3"/>
        <v>30.5</v>
      </c>
      <c r="H10" s="239">
        <f t="shared" si="3"/>
        <v>23.299999999999997</v>
      </c>
      <c r="I10" s="238">
        <f t="shared" si="3"/>
        <v>56.8</v>
      </c>
      <c r="J10" s="239">
        <f t="shared" si="3"/>
        <v>46.8</v>
      </c>
      <c r="K10" s="239">
        <f t="shared" si="3"/>
        <v>-29.199999999999989</v>
      </c>
      <c r="L10" s="238">
        <f t="shared" si="3"/>
        <v>-32.699999999999989</v>
      </c>
      <c r="M10" s="239">
        <f t="shared" si="3"/>
        <v>18.799999999999997</v>
      </c>
      <c r="N10" s="239">
        <f t="shared" si="3"/>
        <v>43.3</v>
      </c>
      <c r="O10" s="238">
        <f t="shared" si="3"/>
        <v>27.799999999999997</v>
      </c>
      <c r="P10" s="239">
        <f t="shared" si="3"/>
        <v>6.2999999999999972</v>
      </c>
      <c r="Q10" s="239">
        <f>Q9-Q3</f>
        <v>-53.7</v>
      </c>
      <c r="R10" s="238">
        <f t="shared" si="3"/>
        <v>-22.199999999999989</v>
      </c>
      <c r="S10" s="239">
        <f t="shared" si="3"/>
        <v>-1.1999999999999957</v>
      </c>
      <c r="T10" s="239">
        <f t="shared" si="3"/>
        <v>-54.199999999999989</v>
      </c>
      <c r="U10" s="238">
        <f t="shared" si="3"/>
        <v>-49.699999999999989</v>
      </c>
      <c r="V10" s="239">
        <f t="shared" si="3"/>
        <v>-41.699999999999989</v>
      </c>
      <c r="W10" s="239">
        <f t="shared" si="3"/>
        <v>6.7999999999999972</v>
      </c>
      <c r="X10" s="238">
        <f t="shared" si="3"/>
        <v>25.800000000000004</v>
      </c>
      <c r="Y10" s="239">
        <f t="shared" si="3"/>
        <v>34.799999999999997</v>
      </c>
      <c r="Z10" s="239">
        <f t="shared" si="3"/>
        <v>23.299999999999997</v>
      </c>
      <c r="AA10" s="238">
        <f t="shared" si="3"/>
        <v>-46.5</v>
      </c>
      <c r="AB10" s="239">
        <f t="shared" si="3"/>
        <v>-66.199999999999989</v>
      </c>
      <c r="AC10" s="239">
        <f t="shared" si="3"/>
        <v>-53.5</v>
      </c>
      <c r="AD10" s="238">
        <f t="shared" si="3"/>
        <v>11</v>
      </c>
      <c r="AE10" s="239">
        <f t="shared" si="3"/>
        <v>55.3</v>
      </c>
      <c r="AF10" s="239">
        <f t="shared" si="3"/>
        <v>41</v>
      </c>
      <c r="AG10" s="238">
        <f t="shared" si="3"/>
        <v>36</v>
      </c>
      <c r="AH10" s="239">
        <f t="shared" si="3"/>
        <v>36</v>
      </c>
      <c r="AI10" s="239">
        <f t="shared" si="3"/>
        <v>12</v>
      </c>
      <c r="AJ10" s="238">
        <f t="shared" si="3"/>
        <v>40</v>
      </c>
      <c r="AK10" s="239">
        <f t="shared" si="3"/>
        <v>44.5</v>
      </c>
      <c r="AL10" s="239">
        <f t="shared" si="3"/>
        <v>50</v>
      </c>
      <c r="AM10" s="230">
        <f>SUM(C10:AL10)</f>
        <v>351.30000000000018</v>
      </c>
    </row>
    <row r="11" spans="1:39" ht="14.25" thickBot="1" x14ac:dyDescent="0.2">
      <c r="A11" s="788" t="s">
        <v>559</v>
      </c>
      <c r="B11" s="789"/>
      <c r="C11" s="512"/>
      <c r="D11" s="236"/>
      <c r="E11" s="236"/>
      <c r="F11" s="512"/>
      <c r="G11" s="236"/>
      <c r="H11" s="236"/>
      <c r="I11" s="512"/>
      <c r="J11" s="236"/>
      <c r="K11" s="236"/>
      <c r="L11" s="512"/>
      <c r="M11" s="236"/>
      <c r="N11" s="236"/>
      <c r="O11" s="512">
        <v>50.2</v>
      </c>
      <c r="P11" s="236">
        <v>73.2</v>
      </c>
      <c r="Q11" s="236">
        <v>122.2</v>
      </c>
      <c r="R11" s="512">
        <v>200.2</v>
      </c>
      <c r="S11" s="236">
        <v>156.19999999999999</v>
      </c>
      <c r="T11" s="236">
        <v>83.2</v>
      </c>
      <c r="U11" s="512">
        <v>89.2</v>
      </c>
      <c r="V11" s="236">
        <v>91.2</v>
      </c>
      <c r="W11" s="236"/>
      <c r="X11" s="512"/>
      <c r="Y11" s="236"/>
      <c r="Z11" s="236">
        <v>199.2</v>
      </c>
      <c r="AA11" s="512">
        <v>226.8</v>
      </c>
      <c r="AB11" s="236">
        <v>226.2</v>
      </c>
      <c r="AC11" s="236">
        <v>234.8</v>
      </c>
      <c r="AD11" s="512"/>
      <c r="AE11" s="236"/>
      <c r="AF11" s="236"/>
      <c r="AG11" s="512"/>
      <c r="AH11" s="236"/>
      <c r="AI11" s="236"/>
      <c r="AJ11" s="512"/>
      <c r="AK11" s="236"/>
      <c r="AL11" s="236"/>
      <c r="AM11" s="513">
        <f t="shared" si="1"/>
        <v>1752.6000000000001</v>
      </c>
    </row>
  </sheetData>
  <mergeCells count="19">
    <mergeCell ref="AJ1:AL1"/>
    <mergeCell ref="AM1:AM2"/>
    <mergeCell ref="A3:B3"/>
    <mergeCell ref="A4:B4"/>
    <mergeCell ref="A5:A9"/>
    <mergeCell ref="R1:T1"/>
    <mergeCell ref="U1:W1"/>
    <mergeCell ref="X1:Z1"/>
    <mergeCell ref="AA1:AC1"/>
    <mergeCell ref="AD1:AF1"/>
    <mergeCell ref="AG1:AI1"/>
    <mergeCell ref="A1:B2"/>
    <mergeCell ref="C1:E1"/>
    <mergeCell ref="F1:H1"/>
    <mergeCell ref="I1:K1"/>
    <mergeCell ref="L1:N1"/>
    <mergeCell ref="O1:Q1"/>
    <mergeCell ref="A11:B11"/>
    <mergeCell ref="A10:B10"/>
  </mergeCells>
  <phoneticPr fontId="4"/>
  <pageMargins left="0.7" right="0.7" top="0.75" bottom="0.75" header="0.3" footer="0.3"/>
  <pageSetup paperSize="9" scale="5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5"/>
  <sheetViews>
    <sheetView zoomScale="75" zoomScaleNormal="75" zoomScaleSheetLayoutView="75" workbookViewId="0"/>
  </sheetViews>
  <sheetFormatPr defaultRowHeight="13.5" x14ac:dyDescent="0.15"/>
  <cols>
    <col min="1" max="1" width="1.625" style="29" customWidth="1"/>
    <col min="2" max="2" width="5" style="29" customWidth="1"/>
    <col min="3" max="3" width="22.5" style="29" bestFit="1" customWidth="1"/>
    <col min="4" max="4" width="30" style="29" bestFit="1" customWidth="1"/>
    <col min="5" max="6" width="6" style="29" bestFit="1" customWidth="1"/>
    <col min="7" max="7" width="17.625" style="29" customWidth="1"/>
    <col min="8" max="8" width="10.625" style="29" customWidth="1"/>
    <col min="9" max="9" width="17.625" style="29" customWidth="1"/>
    <col min="10" max="10" width="10.625" style="29" customWidth="1"/>
    <col min="11" max="11" width="15.125" style="30" bestFit="1" customWidth="1"/>
    <col min="12" max="12" width="17.625" style="29" customWidth="1"/>
    <col min="13" max="13" width="10.625" style="29" customWidth="1"/>
    <col min="14" max="14" width="17.625" style="29" customWidth="1"/>
    <col min="15" max="15" width="10.625" style="29" customWidth="1"/>
    <col min="16" max="16" width="19.75" style="29" bestFit="1" customWidth="1"/>
    <col min="17" max="17" width="10.125" style="29" bestFit="1" customWidth="1"/>
    <col min="18" max="16384" width="9" style="29"/>
  </cols>
  <sheetData>
    <row r="1" spans="2:17" ht="9.9499999999999993" customHeight="1" x14ac:dyDescent="0.15"/>
    <row r="2" spans="2:17" ht="24.95" customHeight="1" thickBot="1" x14ac:dyDescent="0.2">
      <c r="B2" s="4" t="s">
        <v>212</v>
      </c>
      <c r="C2" s="4"/>
      <c r="D2" s="4"/>
      <c r="E2" s="31"/>
      <c r="F2" s="799"/>
      <c r="G2" s="800"/>
      <c r="H2" s="243" t="s">
        <v>192</v>
      </c>
      <c r="I2" s="220" t="s">
        <v>459</v>
      </c>
      <c r="J2" s="220"/>
      <c r="K2" s="243" t="s">
        <v>193</v>
      </c>
      <c r="L2" s="220"/>
      <c r="M2" s="32"/>
      <c r="P2" s="241"/>
    </row>
    <row r="3" spans="2:17" ht="20.100000000000001" customHeight="1" x14ac:dyDescent="0.15">
      <c r="B3" s="801" t="s">
        <v>70</v>
      </c>
      <c r="C3" s="794" t="s">
        <v>34</v>
      </c>
      <c r="D3" s="794" t="s">
        <v>102</v>
      </c>
      <c r="E3" s="803" t="s">
        <v>35</v>
      </c>
      <c r="F3" s="804"/>
      <c r="G3" s="242" t="s">
        <v>36</v>
      </c>
      <c r="H3" s="242" t="s">
        <v>104</v>
      </c>
      <c r="I3" s="242" t="s">
        <v>103</v>
      </c>
      <c r="J3" s="794" t="s">
        <v>76</v>
      </c>
      <c r="K3" s="33" t="s">
        <v>213</v>
      </c>
      <c r="L3" s="242" t="s">
        <v>37</v>
      </c>
      <c r="M3" s="242" t="s">
        <v>105</v>
      </c>
      <c r="N3" s="242" t="s">
        <v>38</v>
      </c>
      <c r="O3" s="242" t="s">
        <v>39</v>
      </c>
      <c r="P3" s="291" t="s">
        <v>40</v>
      </c>
    </row>
    <row r="4" spans="2:17" ht="20.100000000000001" customHeight="1" x14ac:dyDescent="0.15">
      <c r="B4" s="802"/>
      <c r="C4" s="795"/>
      <c r="D4" s="795"/>
      <c r="E4" s="6" t="s">
        <v>77</v>
      </c>
      <c r="F4" s="6" t="s">
        <v>7</v>
      </c>
      <c r="G4" s="7" t="s">
        <v>214</v>
      </c>
      <c r="H4" s="7" t="s">
        <v>215</v>
      </c>
      <c r="I4" s="7" t="s">
        <v>107</v>
      </c>
      <c r="J4" s="795"/>
      <c r="K4" s="8" t="s">
        <v>216</v>
      </c>
      <c r="L4" s="7" t="s">
        <v>570</v>
      </c>
      <c r="M4" s="7" t="s">
        <v>217</v>
      </c>
      <c r="N4" s="7" t="s">
        <v>616</v>
      </c>
      <c r="O4" s="7" t="s">
        <v>218</v>
      </c>
      <c r="P4" s="292" t="s">
        <v>569</v>
      </c>
    </row>
    <row r="5" spans="2:17" ht="20.100000000000001" customHeight="1" x14ac:dyDescent="0.15">
      <c r="B5" s="797" t="s">
        <v>613</v>
      </c>
      <c r="C5" s="244" t="s">
        <v>435</v>
      </c>
      <c r="D5" s="244" t="s">
        <v>439</v>
      </c>
      <c r="E5" s="244">
        <v>60</v>
      </c>
      <c r="F5" s="34" t="s">
        <v>440</v>
      </c>
      <c r="G5" s="141">
        <f>Q5*E5/10</f>
        <v>9600000</v>
      </c>
      <c r="H5" s="524">
        <v>0</v>
      </c>
      <c r="I5" s="141">
        <f t="shared" ref="I5:I7" si="0">G5*(1-H5)</f>
        <v>9600000</v>
      </c>
      <c r="J5" s="141">
        <v>60</v>
      </c>
      <c r="K5" s="525">
        <f>10/60</f>
        <v>0.16666666666666666</v>
      </c>
      <c r="L5" s="141">
        <f t="shared" ref="L5:L7" si="1">I5*K5</f>
        <v>1600000</v>
      </c>
      <c r="M5" s="526">
        <v>0</v>
      </c>
      <c r="N5" s="263">
        <v>0</v>
      </c>
      <c r="O5" s="263">
        <v>14</v>
      </c>
      <c r="P5" s="134">
        <f t="shared" ref="P5:P7" si="2">IF(O5="","",(L5-N5)/O5)</f>
        <v>114285.71428571429</v>
      </c>
      <c r="Q5" s="573">
        <v>1600000</v>
      </c>
    </row>
    <row r="6" spans="2:17" ht="20.100000000000001" customHeight="1" x14ac:dyDescent="0.15">
      <c r="B6" s="797"/>
      <c r="C6" s="244" t="s">
        <v>460</v>
      </c>
      <c r="D6" s="9"/>
      <c r="E6" s="244">
        <v>60</v>
      </c>
      <c r="F6" s="34" t="s">
        <v>440</v>
      </c>
      <c r="G6" s="141">
        <f>Q6*E6/10</f>
        <v>2400000</v>
      </c>
      <c r="H6" s="524">
        <v>0</v>
      </c>
      <c r="I6" s="141">
        <f t="shared" si="0"/>
        <v>2400000</v>
      </c>
      <c r="J6" s="141">
        <v>60</v>
      </c>
      <c r="K6" s="525">
        <f t="shared" ref="K6:K7" si="3">10/60</f>
        <v>0.16666666666666666</v>
      </c>
      <c r="L6" s="141">
        <f t="shared" si="1"/>
        <v>400000</v>
      </c>
      <c r="M6" s="526">
        <v>0</v>
      </c>
      <c r="N6" s="263">
        <v>0</v>
      </c>
      <c r="O6" s="263">
        <v>10</v>
      </c>
      <c r="P6" s="134">
        <f t="shared" si="2"/>
        <v>40000</v>
      </c>
      <c r="Q6" s="573">
        <v>400000</v>
      </c>
    </row>
    <row r="7" spans="2:17" ht="20.100000000000001" customHeight="1" x14ac:dyDescent="0.15">
      <c r="B7" s="797"/>
      <c r="C7" s="244" t="s">
        <v>436</v>
      </c>
      <c r="D7" s="244"/>
      <c r="E7" s="247">
        <v>60</v>
      </c>
      <c r="F7" s="34" t="s">
        <v>440</v>
      </c>
      <c r="G7" s="141">
        <f>Q7*E7/10</f>
        <v>3750000</v>
      </c>
      <c r="H7" s="524">
        <v>0</v>
      </c>
      <c r="I7" s="141">
        <f t="shared" si="0"/>
        <v>3750000</v>
      </c>
      <c r="J7" s="141">
        <v>60</v>
      </c>
      <c r="K7" s="525">
        <f t="shared" si="3"/>
        <v>0.16666666666666666</v>
      </c>
      <c r="L7" s="141">
        <f t="shared" si="1"/>
        <v>625000</v>
      </c>
      <c r="M7" s="526">
        <v>0</v>
      </c>
      <c r="N7" s="263">
        <v>0</v>
      </c>
      <c r="O7" s="263">
        <v>8</v>
      </c>
      <c r="P7" s="134">
        <f t="shared" si="2"/>
        <v>78125</v>
      </c>
      <c r="Q7" s="573">
        <v>625000</v>
      </c>
    </row>
    <row r="8" spans="2:17" ht="20.100000000000001" customHeight="1" x14ac:dyDescent="0.15">
      <c r="B8" s="797"/>
      <c r="C8" s="244"/>
      <c r="D8" s="244"/>
      <c r="E8" s="247"/>
      <c r="F8" s="34"/>
      <c r="G8" s="244"/>
      <c r="H8" s="245"/>
      <c r="I8" s="244"/>
      <c r="J8" s="244"/>
      <c r="K8" s="246"/>
      <c r="L8" s="28"/>
      <c r="M8" s="37"/>
      <c r="N8" s="28"/>
      <c r="O8" s="28"/>
      <c r="P8" s="134" t="str">
        <f t="shared" ref="P8:P9" si="4">IF(O8="","",(L8-N8)/O8)</f>
        <v/>
      </c>
    </row>
    <row r="9" spans="2:17" ht="20.100000000000001" customHeight="1" x14ac:dyDescent="0.15">
      <c r="B9" s="797"/>
      <c r="C9" s="244"/>
      <c r="D9" s="244"/>
      <c r="E9" s="247"/>
      <c r="F9" s="34"/>
      <c r="G9" s="244"/>
      <c r="H9" s="245"/>
      <c r="I9" s="244"/>
      <c r="J9" s="244"/>
      <c r="K9" s="246"/>
      <c r="L9" s="28"/>
      <c r="M9" s="37"/>
      <c r="N9" s="28"/>
      <c r="O9" s="28"/>
      <c r="P9" s="134" t="str">
        <f t="shared" si="4"/>
        <v/>
      </c>
    </row>
    <row r="10" spans="2:17" ht="20.100000000000001" customHeight="1" x14ac:dyDescent="0.15">
      <c r="B10" s="797"/>
      <c r="C10" s="28"/>
      <c r="D10" s="28"/>
      <c r="E10" s="28"/>
      <c r="F10" s="35"/>
      <c r="G10" s="28"/>
      <c r="H10" s="37"/>
      <c r="I10" s="28"/>
      <c r="J10" s="28"/>
      <c r="K10" s="36"/>
      <c r="L10" s="28"/>
      <c r="M10" s="37"/>
      <c r="N10" s="28"/>
      <c r="O10" s="28"/>
      <c r="P10" s="134" t="str">
        <f t="shared" ref="P10" si="5">IF(O10="","",(L10-N10)/O10)</f>
        <v/>
      </c>
    </row>
    <row r="11" spans="2:17" ht="20.100000000000001" customHeight="1" x14ac:dyDescent="0.15">
      <c r="B11" s="798"/>
      <c r="C11" s="38" t="s">
        <v>41</v>
      </c>
      <c r="D11" s="39"/>
      <c r="E11" s="39"/>
      <c r="F11" s="40"/>
      <c r="G11" s="39">
        <f>SUM(G5:G10)</f>
        <v>15750000</v>
      </c>
      <c r="H11" s="39"/>
      <c r="I11" s="39">
        <f>SUM(I5:I10)</f>
        <v>15750000</v>
      </c>
      <c r="J11" s="39"/>
      <c r="K11" s="41"/>
      <c r="L11" s="39">
        <f>SUM(L5:L10)</f>
        <v>2625000</v>
      </c>
      <c r="M11" s="39"/>
      <c r="N11" s="39"/>
      <c r="O11" s="39"/>
      <c r="P11" s="293">
        <f>SUM(P5:P10)</f>
        <v>232410.71428571429</v>
      </c>
    </row>
    <row r="12" spans="2:17" ht="20.100000000000001" customHeight="1" x14ac:dyDescent="0.15">
      <c r="B12" s="796" t="s">
        <v>153</v>
      </c>
      <c r="C12" s="527" t="s">
        <v>561</v>
      </c>
      <c r="D12" s="527" t="s">
        <v>562</v>
      </c>
      <c r="E12" s="527">
        <v>1</v>
      </c>
      <c r="F12" s="528" t="s">
        <v>43</v>
      </c>
      <c r="G12" s="527">
        <v>0</v>
      </c>
      <c r="H12" s="529">
        <v>0</v>
      </c>
      <c r="I12" s="527">
        <f>G12*(1-H12)</f>
        <v>0</v>
      </c>
      <c r="J12" s="527" t="s">
        <v>469</v>
      </c>
      <c r="K12" s="530"/>
      <c r="L12" s="527">
        <f>I12*K12</f>
        <v>0</v>
      </c>
      <c r="M12" s="42">
        <v>0</v>
      </c>
      <c r="N12" s="531">
        <v>0</v>
      </c>
      <c r="O12" s="531">
        <v>7</v>
      </c>
      <c r="P12" s="532">
        <f t="shared" ref="P12:P19" si="6">IF(O12="","",(L12-N12)/O12)</f>
        <v>0</v>
      </c>
    </row>
    <row r="13" spans="2:17" ht="20.100000000000001" customHeight="1" x14ac:dyDescent="0.15">
      <c r="B13" s="797"/>
      <c r="C13" s="527" t="s">
        <v>437</v>
      </c>
      <c r="D13" s="527"/>
      <c r="E13" s="527">
        <v>1</v>
      </c>
      <c r="F13" s="528" t="s">
        <v>43</v>
      </c>
      <c r="G13" s="527">
        <v>0</v>
      </c>
      <c r="H13" s="529">
        <v>0</v>
      </c>
      <c r="I13" s="527">
        <f>G13*(1-H13)</f>
        <v>0</v>
      </c>
      <c r="J13" s="527" t="s">
        <v>469</v>
      </c>
      <c r="K13" s="530"/>
      <c r="L13" s="527">
        <f t="shared" ref="L13:L17" si="7">I13*K13</f>
        <v>0</v>
      </c>
      <c r="M13" s="42">
        <v>0</v>
      </c>
      <c r="N13" s="531">
        <v>0</v>
      </c>
      <c r="O13" s="531">
        <v>7</v>
      </c>
      <c r="P13" s="532">
        <f t="shared" si="6"/>
        <v>0</v>
      </c>
    </row>
    <row r="14" spans="2:17" ht="20.100000000000001" customHeight="1" x14ac:dyDescent="0.15">
      <c r="B14" s="797"/>
      <c r="C14" s="527" t="s">
        <v>210</v>
      </c>
      <c r="D14" s="527" t="s">
        <v>211</v>
      </c>
      <c r="E14" s="527">
        <v>1</v>
      </c>
      <c r="F14" s="528" t="s">
        <v>43</v>
      </c>
      <c r="G14" s="527">
        <v>920000</v>
      </c>
      <c r="H14" s="529">
        <v>0</v>
      </c>
      <c r="I14" s="527">
        <f t="shared" ref="I14:I15" si="8">G14*(1-H14)</f>
        <v>920000</v>
      </c>
      <c r="J14" s="527" t="s">
        <v>469</v>
      </c>
      <c r="K14" s="530">
        <f t="shared" ref="K14:K17" si="9">10/60</f>
        <v>0.16666666666666666</v>
      </c>
      <c r="L14" s="527">
        <f t="shared" si="7"/>
        <v>153333.33333333331</v>
      </c>
      <c r="M14" s="42">
        <v>0</v>
      </c>
      <c r="N14" s="531">
        <v>0</v>
      </c>
      <c r="O14" s="531">
        <v>4</v>
      </c>
      <c r="P14" s="532">
        <f t="shared" ref="P14:P15" si="10">IF(O14="","",(L14-N14)/O14)</f>
        <v>38333.333333333328</v>
      </c>
    </row>
    <row r="15" spans="2:17" ht="20.100000000000001" customHeight="1" x14ac:dyDescent="0.15">
      <c r="B15" s="797"/>
      <c r="C15" s="533" t="s">
        <v>438</v>
      </c>
      <c r="D15" s="533"/>
      <c r="E15" s="527">
        <v>1</v>
      </c>
      <c r="F15" s="534" t="s">
        <v>78</v>
      </c>
      <c r="G15" s="527">
        <v>0</v>
      </c>
      <c r="H15" s="529">
        <v>0</v>
      </c>
      <c r="I15" s="527">
        <f t="shared" si="8"/>
        <v>0</v>
      </c>
      <c r="J15" s="527" t="s">
        <v>469</v>
      </c>
      <c r="K15" s="530"/>
      <c r="L15" s="527">
        <f t="shared" si="7"/>
        <v>0</v>
      </c>
      <c r="M15" s="42">
        <v>0</v>
      </c>
      <c r="N15" s="531">
        <v>0</v>
      </c>
      <c r="O15" s="531">
        <v>7</v>
      </c>
      <c r="P15" s="532">
        <f t="shared" si="10"/>
        <v>0</v>
      </c>
    </row>
    <row r="16" spans="2:17" ht="20.100000000000001" customHeight="1" x14ac:dyDescent="0.15">
      <c r="B16" s="797"/>
      <c r="C16" s="527" t="s">
        <v>441</v>
      </c>
      <c r="D16" s="527" t="s">
        <v>442</v>
      </c>
      <c r="E16" s="527">
        <v>1</v>
      </c>
      <c r="F16" s="528" t="s">
        <v>78</v>
      </c>
      <c r="G16" s="527">
        <v>163170</v>
      </c>
      <c r="H16" s="529">
        <v>0</v>
      </c>
      <c r="I16" s="527">
        <f t="shared" ref="I16:I23" si="11">G16*(1-H16)</f>
        <v>163170</v>
      </c>
      <c r="J16" s="527" t="s">
        <v>469</v>
      </c>
      <c r="K16" s="530"/>
      <c r="L16" s="527">
        <f t="shared" si="7"/>
        <v>0</v>
      </c>
      <c r="M16" s="42">
        <v>0</v>
      </c>
      <c r="N16" s="531">
        <v>0</v>
      </c>
      <c r="O16" s="531">
        <v>7</v>
      </c>
      <c r="P16" s="532">
        <f t="shared" si="6"/>
        <v>0</v>
      </c>
    </row>
    <row r="17" spans="2:16" ht="20.100000000000001" customHeight="1" x14ac:dyDescent="0.15">
      <c r="B17" s="797"/>
      <c r="C17" s="244" t="s">
        <v>537</v>
      </c>
      <c r="D17" s="244" t="s">
        <v>538</v>
      </c>
      <c r="E17" s="244">
        <v>1</v>
      </c>
      <c r="F17" s="34" t="s">
        <v>78</v>
      </c>
      <c r="G17" s="244">
        <v>248000</v>
      </c>
      <c r="H17" s="245"/>
      <c r="I17" s="244">
        <f t="shared" ref="I17" si="12">G17*(1-H17)</f>
        <v>248000</v>
      </c>
      <c r="J17" s="244" t="s">
        <v>539</v>
      </c>
      <c r="K17" s="246">
        <f t="shared" si="9"/>
        <v>0.16666666666666666</v>
      </c>
      <c r="L17" s="244">
        <f t="shared" si="7"/>
        <v>41333.333333333328</v>
      </c>
      <c r="M17" s="37">
        <v>0</v>
      </c>
      <c r="N17" s="28">
        <v>0</v>
      </c>
      <c r="O17" s="28">
        <v>7</v>
      </c>
      <c r="P17" s="134">
        <f t="shared" si="6"/>
        <v>5904.7619047619037</v>
      </c>
    </row>
    <row r="18" spans="2:16" ht="20.100000000000001" customHeight="1" x14ac:dyDescent="0.15">
      <c r="B18" s="797"/>
      <c r="C18" s="244"/>
      <c r="D18" s="244"/>
      <c r="E18" s="244"/>
      <c r="F18" s="34"/>
      <c r="G18" s="244"/>
      <c r="H18" s="245"/>
      <c r="I18" s="244"/>
      <c r="J18" s="244"/>
      <c r="K18" s="246"/>
      <c r="L18" s="244"/>
      <c r="M18" s="37"/>
      <c r="N18" s="28"/>
      <c r="O18" s="28"/>
      <c r="P18" s="134" t="str">
        <f t="shared" si="6"/>
        <v/>
      </c>
    </row>
    <row r="19" spans="2:16" ht="20.100000000000001" customHeight="1" x14ac:dyDescent="0.15">
      <c r="B19" s="797"/>
      <c r="C19" s="244"/>
      <c r="D19" s="244"/>
      <c r="E19" s="244"/>
      <c r="F19" s="34"/>
      <c r="G19" s="244"/>
      <c r="H19" s="245"/>
      <c r="I19" s="244"/>
      <c r="J19" s="244"/>
      <c r="K19" s="246"/>
      <c r="L19" s="244"/>
      <c r="M19" s="37"/>
      <c r="N19" s="28"/>
      <c r="O19" s="28"/>
      <c r="P19" s="134" t="str">
        <f t="shared" si="6"/>
        <v/>
      </c>
    </row>
    <row r="20" spans="2:16" ht="20.100000000000001" customHeight="1" x14ac:dyDescent="0.15">
      <c r="B20" s="798"/>
      <c r="C20" s="248" t="s">
        <v>42</v>
      </c>
      <c r="D20" s="248"/>
      <c r="E20" s="248"/>
      <c r="F20" s="249"/>
      <c r="G20" s="248">
        <f>SUM(G12:G19)</f>
        <v>1331170</v>
      </c>
      <c r="H20" s="248"/>
      <c r="I20" s="248">
        <f>SUM(I12:I19)</f>
        <v>1331170</v>
      </c>
      <c r="J20" s="248"/>
      <c r="K20" s="250"/>
      <c r="L20" s="248">
        <f>SUM(L12:L19)</f>
        <v>194666.66666666663</v>
      </c>
      <c r="M20" s="39"/>
      <c r="N20" s="39"/>
      <c r="O20" s="39"/>
      <c r="P20" s="293">
        <f>SUM(P12:P19)</f>
        <v>44238.095238095229</v>
      </c>
    </row>
    <row r="21" spans="2:16" ht="20.100000000000001" customHeight="1" x14ac:dyDescent="0.15">
      <c r="B21" s="796" t="s">
        <v>106</v>
      </c>
      <c r="C21" s="244" t="s">
        <v>461</v>
      </c>
      <c r="D21" s="244" t="s">
        <v>449</v>
      </c>
      <c r="E21" s="244">
        <v>10</v>
      </c>
      <c r="F21" s="244" t="s">
        <v>440</v>
      </c>
      <c r="G21" s="244">
        <v>270427</v>
      </c>
      <c r="H21" s="251"/>
      <c r="I21" s="244">
        <f t="shared" si="11"/>
        <v>270427</v>
      </c>
      <c r="J21" s="244"/>
      <c r="K21" s="246">
        <v>1</v>
      </c>
      <c r="L21" s="244">
        <f>I21*K21</f>
        <v>270427</v>
      </c>
      <c r="M21" s="43"/>
      <c r="N21" s="28">
        <f>L21*M21</f>
        <v>0</v>
      </c>
      <c r="O21" s="28">
        <v>15</v>
      </c>
      <c r="P21" s="134">
        <f>IF(O21="","",(L21-N21)/O21)</f>
        <v>18028.466666666667</v>
      </c>
    </row>
    <row r="22" spans="2:16" ht="20.100000000000001" customHeight="1" x14ac:dyDescent="0.15">
      <c r="B22" s="797"/>
      <c r="C22" s="244" t="s">
        <v>462</v>
      </c>
      <c r="D22" s="244" t="s">
        <v>449</v>
      </c>
      <c r="E22" s="244">
        <v>10</v>
      </c>
      <c r="F22" s="244" t="s">
        <v>440</v>
      </c>
      <c r="G22" s="244">
        <v>372919</v>
      </c>
      <c r="H22" s="251"/>
      <c r="I22" s="244">
        <f t="shared" si="11"/>
        <v>372919</v>
      </c>
      <c r="J22" s="244"/>
      <c r="K22" s="246">
        <v>1</v>
      </c>
      <c r="L22" s="244">
        <f>I22*K22</f>
        <v>372919</v>
      </c>
      <c r="M22" s="43"/>
      <c r="N22" s="28">
        <f>L22*M22</f>
        <v>0</v>
      </c>
      <c r="O22" s="28">
        <v>15</v>
      </c>
      <c r="P22" s="134">
        <f>IF(O22="","",(L22-N22)/O22)</f>
        <v>24861.266666666666</v>
      </c>
    </row>
    <row r="23" spans="2:16" ht="20.100000000000001" customHeight="1" x14ac:dyDescent="0.15">
      <c r="B23" s="797"/>
      <c r="C23" s="28" t="s">
        <v>463</v>
      </c>
      <c r="D23" s="28" t="s">
        <v>449</v>
      </c>
      <c r="E23" s="28">
        <v>10</v>
      </c>
      <c r="F23" s="28" t="s">
        <v>440</v>
      </c>
      <c r="G23" s="28">
        <v>194855</v>
      </c>
      <c r="H23" s="43"/>
      <c r="I23" s="28">
        <f t="shared" si="11"/>
        <v>194855</v>
      </c>
      <c r="J23" s="28"/>
      <c r="K23" s="36">
        <v>1</v>
      </c>
      <c r="L23" s="28">
        <f>I23*K23</f>
        <v>194855</v>
      </c>
      <c r="M23" s="43"/>
      <c r="N23" s="28">
        <f>L23*M23</f>
        <v>0</v>
      </c>
      <c r="O23" s="28">
        <v>15</v>
      </c>
      <c r="P23" s="134">
        <f>IF(O23="","",(L23-N23)/O23)</f>
        <v>12990.333333333334</v>
      </c>
    </row>
    <row r="24" spans="2:16" ht="20.100000000000001" customHeight="1" x14ac:dyDescent="0.15">
      <c r="B24" s="797"/>
      <c r="C24" s="28"/>
      <c r="D24" s="28"/>
      <c r="E24" s="28"/>
      <c r="F24" s="28"/>
      <c r="G24" s="28"/>
      <c r="H24" s="43"/>
      <c r="I24" s="28"/>
      <c r="J24" s="28"/>
      <c r="K24" s="36"/>
      <c r="L24" s="28"/>
      <c r="M24" s="43"/>
      <c r="N24" s="28"/>
      <c r="O24" s="28"/>
      <c r="P24" s="134" t="str">
        <f>IF(O24="","",(L24-N24)/O24)</f>
        <v/>
      </c>
    </row>
    <row r="25" spans="2:16" ht="20.100000000000001" customHeight="1" x14ac:dyDescent="0.15">
      <c r="B25" s="798"/>
      <c r="C25" s="44" t="s">
        <v>42</v>
      </c>
      <c r="D25" s="39"/>
      <c r="E25" s="39"/>
      <c r="F25" s="40"/>
      <c r="G25" s="39">
        <f>SUM(G21:G24)</f>
        <v>838201</v>
      </c>
      <c r="H25" s="39"/>
      <c r="I25" s="39">
        <f>SUM(I21:I24)</f>
        <v>838201</v>
      </c>
      <c r="J25" s="39"/>
      <c r="K25" s="41"/>
      <c r="L25" s="39">
        <f>SUM(L21:L24)</f>
        <v>838201</v>
      </c>
      <c r="M25" s="39"/>
      <c r="N25" s="39"/>
      <c r="O25" s="39"/>
      <c r="P25" s="293">
        <f>SUM(P21:P24)</f>
        <v>55880.066666666673</v>
      </c>
    </row>
    <row r="26" spans="2:16" ht="20.100000000000001" customHeight="1" thickBot="1" x14ac:dyDescent="0.2">
      <c r="B26" s="45"/>
      <c r="C26" s="46" t="s">
        <v>219</v>
      </c>
      <c r="D26" s="47"/>
      <c r="E26" s="47"/>
      <c r="F26" s="48"/>
      <c r="G26" s="47">
        <f>G11+G20+G25</f>
        <v>17919371</v>
      </c>
      <c r="H26" s="47"/>
      <c r="I26" s="47">
        <f>I11+I20+I25</f>
        <v>17919371</v>
      </c>
      <c r="J26" s="47"/>
      <c r="K26" s="49"/>
      <c r="L26" s="47">
        <f>L11+L20+L25</f>
        <v>3657867.6666666665</v>
      </c>
      <c r="M26" s="47"/>
      <c r="N26" s="47"/>
      <c r="O26" s="47"/>
      <c r="P26" s="294">
        <f>P11+P20+P25</f>
        <v>332528.87619047618</v>
      </c>
    </row>
    <row r="27" spans="2:16" ht="11.25" customHeight="1" x14ac:dyDescent="0.15"/>
    <row r="29" spans="2:16" x14ac:dyDescent="0.15">
      <c r="C29" s="573" t="s">
        <v>450</v>
      </c>
      <c r="D29" s="573"/>
      <c r="E29" s="573"/>
      <c r="F29" s="573"/>
      <c r="G29" s="573"/>
      <c r="H29" s="573"/>
      <c r="I29" s="573"/>
      <c r="J29" s="573"/>
      <c r="K29" s="574"/>
      <c r="L29" s="573"/>
      <c r="M29" s="573"/>
      <c r="N29" s="573"/>
    </row>
    <row r="30" spans="2:16" x14ac:dyDescent="0.15">
      <c r="C30" s="573" t="s">
        <v>451</v>
      </c>
      <c r="D30" s="573">
        <v>182708</v>
      </c>
      <c r="E30" s="573"/>
      <c r="F30" s="573"/>
      <c r="G30" s="573"/>
      <c r="H30" s="573"/>
      <c r="I30" s="573"/>
      <c r="J30" s="573"/>
      <c r="K30" s="574"/>
      <c r="L30" s="573"/>
      <c r="M30" s="573"/>
      <c r="N30" s="573"/>
    </row>
    <row r="31" spans="2:16" x14ac:dyDescent="0.15">
      <c r="C31" s="573" t="s">
        <v>452</v>
      </c>
      <c r="D31" s="573">
        <v>83509</v>
      </c>
      <c r="E31" s="573" t="s">
        <v>453</v>
      </c>
      <c r="F31" s="573"/>
      <c r="G31" s="573"/>
      <c r="H31" s="573"/>
      <c r="I31" s="573"/>
      <c r="J31" s="573"/>
      <c r="K31" s="574"/>
      <c r="L31" s="573"/>
      <c r="M31" s="573"/>
      <c r="N31" s="573"/>
    </row>
    <row r="32" spans="2:16" x14ac:dyDescent="0.15">
      <c r="C32" s="573" t="s">
        <v>454</v>
      </c>
      <c r="D32" s="573">
        <v>4210</v>
      </c>
      <c r="E32" s="573" t="s">
        <v>455</v>
      </c>
      <c r="F32" s="573"/>
      <c r="G32" s="573"/>
      <c r="H32" s="573"/>
      <c r="I32" s="573"/>
      <c r="J32" s="573"/>
      <c r="K32" s="574"/>
      <c r="L32" s="573"/>
      <c r="M32" s="573"/>
      <c r="N32" s="573"/>
    </row>
    <row r="33" spans="3:14" x14ac:dyDescent="0.15">
      <c r="C33" s="573" t="s">
        <v>456</v>
      </c>
      <c r="D33" s="573">
        <v>270427</v>
      </c>
      <c r="E33" s="573"/>
      <c r="F33" s="573"/>
      <c r="G33" s="573"/>
      <c r="H33" s="573"/>
      <c r="I33" s="573"/>
      <c r="J33" s="573"/>
      <c r="K33" s="574"/>
      <c r="L33" s="573"/>
      <c r="M33" s="573"/>
      <c r="N33" s="573"/>
    </row>
    <row r="34" spans="3:14" x14ac:dyDescent="0.15">
      <c r="C34" s="573"/>
      <c r="D34" s="573"/>
      <c r="E34" s="573"/>
      <c r="F34" s="573"/>
      <c r="G34" s="573"/>
      <c r="H34" s="573"/>
      <c r="I34" s="573"/>
      <c r="J34" s="573"/>
      <c r="K34" s="574"/>
      <c r="L34" s="573"/>
      <c r="M34" s="573"/>
      <c r="N34" s="573"/>
    </row>
    <row r="35" spans="3:14" x14ac:dyDescent="0.15">
      <c r="C35" s="573" t="s">
        <v>457</v>
      </c>
      <c r="D35" s="573"/>
      <c r="E35" s="573"/>
      <c r="F35" s="573"/>
      <c r="G35" s="573"/>
      <c r="H35" s="573"/>
      <c r="I35" s="573"/>
      <c r="J35" s="573"/>
      <c r="K35" s="574"/>
      <c r="L35" s="573"/>
      <c r="M35" s="573"/>
      <c r="N35" s="573"/>
    </row>
    <row r="36" spans="3:14" x14ac:dyDescent="0.15">
      <c r="C36" s="573" t="s">
        <v>451</v>
      </c>
      <c r="D36" s="573">
        <v>285200</v>
      </c>
      <c r="E36" s="573"/>
      <c r="F36" s="573"/>
      <c r="G36" s="573"/>
      <c r="H36" s="573"/>
      <c r="I36" s="573"/>
      <c r="J36" s="573"/>
      <c r="K36" s="574"/>
      <c r="L36" s="573"/>
      <c r="M36" s="573"/>
      <c r="N36" s="573"/>
    </row>
    <row r="37" spans="3:14" x14ac:dyDescent="0.15">
      <c r="C37" s="573" t="s">
        <v>452</v>
      </c>
      <c r="D37" s="573">
        <v>83509</v>
      </c>
      <c r="E37" s="573" t="s">
        <v>453</v>
      </c>
      <c r="F37" s="573"/>
      <c r="G37" s="573"/>
      <c r="H37" s="573"/>
      <c r="I37" s="573"/>
      <c r="J37" s="573"/>
      <c r="K37" s="574"/>
      <c r="L37" s="573"/>
      <c r="M37" s="573"/>
      <c r="N37" s="573"/>
    </row>
    <row r="38" spans="3:14" x14ac:dyDescent="0.15">
      <c r="C38" s="573" t="s">
        <v>454</v>
      </c>
      <c r="D38" s="573">
        <v>4210</v>
      </c>
      <c r="E38" s="573" t="s">
        <v>455</v>
      </c>
      <c r="F38" s="573"/>
      <c r="G38" s="573"/>
      <c r="H38" s="573"/>
      <c r="I38" s="573"/>
      <c r="J38" s="573"/>
      <c r="K38" s="574"/>
      <c r="L38" s="573"/>
      <c r="M38" s="573"/>
      <c r="N38" s="573"/>
    </row>
    <row r="39" spans="3:14" x14ac:dyDescent="0.15">
      <c r="C39" s="573" t="s">
        <v>456</v>
      </c>
      <c r="D39" s="573">
        <v>372919</v>
      </c>
      <c r="E39" s="573"/>
      <c r="F39" s="573"/>
      <c r="G39" s="573"/>
      <c r="H39" s="573"/>
      <c r="I39" s="573"/>
      <c r="J39" s="573"/>
      <c r="K39" s="574"/>
      <c r="L39" s="573"/>
      <c r="M39" s="573"/>
      <c r="N39" s="573"/>
    </row>
    <row r="40" spans="3:14" x14ac:dyDescent="0.15">
      <c r="C40" s="573"/>
      <c r="D40" s="573"/>
      <c r="E40" s="573"/>
      <c r="F40" s="573"/>
      <c r="G40" s="573"/>
      <c r="H40" s="573"/>
      <c r="I40" s="573"/>
      <c r="J40" s="573"/>
      <c r="K40" s="574"/>
      <c r="L40" s="573"/>
      <c r="M40" s="573"/>
      <c r="N40" s="573"/>
    </row>
    <row r="41" spans="3:14" x14ac:dyDescent="0.15">
      <c r="C41" s="573" t="s">
        <v>458</v>
      </c>
      <c r="D41" s="573"/>
      <c r="E41" s="573"/>
      <c r="F41" s="573"/>
      <c r="G41" s="573"/>
      <c r="H41" s="573"/>
      <c r="I41" s="573"/>
      <c r="J41" s="573"/>
      <c r="K41" s="574"/>
      <c r="L41" s="573"/>
      <c r="M41" s="573"/>
      <c r="N41" s="573"/>
    </row>
    <row r="42" spans="3:14" x14ac:dyDescent="0.15">
      <c r="C42" s="573" t="s">
        <v>443</v>
      </c>
      <c r="D42" s="573">
        <f>+'７－３　ベリーＡトンネル部門収支'!P13</f>
        <v>0</v>
      </c>
      <c r="E42" s="573"/>
      <c r="F42" s="573"/>
      <c r="G42" s="573"/>
      <c r="H42" s="573"/>
      <c r="I42" s="573"/>
      <c r="J42" s="573"/>
      <c r="K42" s="574"/>
      <c r="L42" s="573"/>
      <c r="M42" s="573"/>
      <c r="N42" s="573"/>
    </row>
    <row r="43" spans="3:14" x14ac:dyDescent="0.15">
      <c r="C43" s="573" t="s">
        <v>444</v>
      </c>
      <c r="D43" s="573">
        <v>83509</v>
      </c>
      <c r="E43" s="573" t="s">
        <v>445</v>
      </c>
      <c r="F43" s="573"/>
      <c r="G43" s="573"/>
      <c r="H43" s="573"/>
      <c r="I43" s="573"/>
      <c r="J43" s="573"/>
      <c r="K43" s="574"/>
      <c r="L43" s="573"/>
      <c r="M43" s="573"/>
      <c r="N43" s="573"/>
    </row>
    <row r="44" spans="3:14" x14ac:dyDescent="0.15">
      <c r="C44" s="573" t="s">
        <v>446</v>
      </c>
      <c r="D44" s="573">
        <v>4210</v>
      </c>
      <c r="E44" s="573" t="s">
        <v>447</v>
      </c>
      <c r="F44" s="573"/>
      <c r="G44" s="573"/>
      <c r="H44" s="573"/>
      <c r="I44" s="573"/>
      <c r="J44" s="573"/>
      <c r="K44" s="574"/>
      <c r="L44" s="573"/>
      <c r="M44" s="573"/>
      <c r="N44" s="573"/>
    </row>
    <row r="45" spans="3:14" x14ac:dyDescent="0.15">
      <c r="C45" s="573" t="s">
        <v>448</v>
      </c>
      <c r="D45" s="573">
        <f>+SUM(D42:D44)</f>
        <v>87719</v>
      </c>
      <c r="E45" s="573"/>
      <c r="F45" s="573"/>
      <c r="G45" s="573"/>
      <c r="H45" s="573"/>
      <c r="I45" s="573"/>
      <c r="J45" s="573"/>
      <c r="K45" s="574"/>
      <c r="L45" s="573"/>
      <c r="M45" s="573"/>
      <c r="N45" s="573"/>
    </row>
  </sheetData>
  <mergeCells count="9">
    <mergeCell ref="J3:J4"/>
    <mergeCell ref="B21:B25"/>
    <mergeCell ref="B12:B20"/>
    <mergeCell ref="B5:B11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showZeros="0" zoomScale="75" zoomScaleNormal="75" zoomScaleSheetLayoutView="72" workbookViewId="0"/>
  </sheetViews>
  <sheetFormatPr defaultColWidth="10.875" defaultRowHeight="13.5" x14ac:dyDescent="0.15"/>
  <cols>
    <col min="1" max="1" width="1.625" style="99" customWidth="1"/>
    <col min="2" max="2" width="5.875" style="99" customWidth="1"/>
    <col min="3" max="3" width="10.625" style="99" customWidth="1"/>
    <col min="4" max="4" width="12.375" style="99" customWidth="1"/>
    <col min="5" max="5" width="14.625" style="99" customWidth="1"/>
    <col min="6" max="7" width="15.875" style="99" customWidth="1"/>
    <col min="8" max="8" width="10.875" style="99"/>
    <col min="9" max="9" width="11.375" style="99" bestFit="1" customWidth="1"/>
    <col min="10" max="10" width="13.375" style="99" customWidth="1"/>
    <col min="11" max="11" width="7.125" style="99" customWidth="1"/>
    <col min="12" max="12" width="15.375" style="99" customWidth="1"/>
    <col min="13" max="13" width="9.375" style="99" bestFit="1" customWidth="1"/>
    <col min="14" max="14" width="10.875" style="99"/>
    <col min="15" max="15" width="7.25" style="99" customWidth="1"/>
    <col min="16" max="16" width="9.625" style="99" customWidth="1"/>
    <col min="17" max="17" width="10.875" style="99" customWidth="1"/>
    <col min="18" max="18" width="7.5" style="99" customWidth="1"/>
    <col min="19" max="19" width="3.75" style="99" customWidth="1"/>
    <col min="20" max="16384" width="10.875" style="99"/>
  </cols>
  <sheetData>
    <row r="1" spans="2:19" s="100" customFormat="1" ht="9.9499999999999993" customHeight="1" x14ac:dyDescent="0.15"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2:19" s="100" customFormat="1" ht="24.95" customHeight="1" thickBot="1" x14ac:dyDescent="0.2">
      <c r="B2" s="2" t="s">
        <v>403</v>
      </c>
      <c r="H2" s="101" t="s">
        <v>192</v>
      </c>
      <c r="I2" s="2" t="s">
        <v>404</v>
      </c>
      <c r="K2" s="101" t="s">
        <v>193</v>
      </c>
      <c r="L2" s="2" t="s">
        <v>408</v>
      </c>
      <c r="N2" s="99"/>
      <c r="O2" s="99"/>
      <c r="Q2" s="3"/>
      <c r="R2" s="3"/>
    </row>
    <row r="3" spans="2:19" s="100" customFormat="1" ht="18" customHeight="1" x14ac:dyDescent="0.15">
      <c r="B3" s="836" t="s">
        <v>17</v>
      </c>
      <c r="C3" s="837"/>
      <c r="D3" s="837"/>
      <c r="E3" s="838"/>
      <c r="F3" s="306" t="s">
        <v>18</v>
      </c>
      <c r="G3" s="103"/>
      <c r="H3" s="104" t="s">
        <v>19</v>
      </c>
      <c r="I3" s="102"/>
      <c r="J3" s="102"/>
      <c r="K3" s="839" t="s">
        <v>168</v>
      </c>
      <c r="L3" s="840"/>
      <c r="M3" s="840"/>
      <c r="N3" s="840"/>
      <c r="O3" s="840"/>
      <c r="P3" s="840"/>
      <c r="Q3" s="840"/>
      <c r="R3" s="840"/>
      <c r="S3" s="841"/>
    </row>
    <row r="4" spans="2:19" s="100" customFormat="1" ht="18" customHeight="1" x14ac:dyDescent="0.15">
      <c r="B4" s="842" t="s">
        <v>20</v>
      </c>
      <c r="C4" s="843"/>
      <c r="D4" s="172" t="s">
        <v>163</v>
      </c>
      <c r="E4" s="181"/>
      <c r="F4" s="175">
        <f>R11</f>
        <v>1313160</v>
      </c>
      <c r="G4" s="172" t="s">
        <v>589</v>
      </c>
      <c r="H4" s="297"/>
      <c r="I4" s="297"/>
      <c r="J4" s="297"/>
      <c r="K4" s="253" t="s">
        <v>220</v>
      </c>
      <c r="L4" s="254" t="s">
        <v>221</v>
      </c>
      <c r="M4" s="305" t="s">
        <v>21</v>
      </c>
      <c r="N4" s="305" t="s">
        <v>20</v>
      </c>
      <c r="O4" s="254" t="s">
        <v>220</v>
      </c>
      <c r="P4" s="254" t="s">
        <v>221</v>
      </c>
      <c r="Q4" s="305" t="s">
        <v>21</v>
      </c>
      <c r="R4" s="844" t="s">
        <v>20</v>
      </c>
      <c r="S4" s="845"/>
    </row>
    <row r="5" spans="2:19" s="100" customFormat="1" ht="18" customHeight="1" x14ac:dyDescent="0.15">
      <c r="B5" s="842"/>
      <c r="C5" s="843"/>
      <c r="D5" s="172" t="s">
        <v>71</v>
      </c>
      <c r="E5" s="181"/>
      <c r="F5" s="175"/>
      <c r="G5" s="148"/>
      <c r="H5" s="182"/>
      <c r="I5" s="182"/>
      <c r="J5" s="182"/>
      <c r="K5" s="584">
        <v>8</v>
      </c>
      <c r="L5" s="585">
        <v>360</v>
      </c>
      <c r="M5" s="585">
        <f>+'[1]９－１　ピオーネ単価算出基礎'!K20</f>
        <v>911.66666666666663</v>
      </c>
      <c r="N5" s="175">
        <f>L5*M5</f>
        <v>328200</v>
      </c>
      <c r="O5" s="175"/>
      <c r="P5" s="175"/>
      <c r="Q5" s="175"/>
      <c r="R5" s="846">
        <f>P5*Q5</f>
        <v>0</v>
      </c>
      <c r="S5" s="847"/>
    </row>
    <row r="6" spans="2:19" s="100" customFormat="1" ht="18" customHeight="1" x14ac:dyDescent="0.15">
      <c r="B6" s="848" t="s">
        <v>166</v>
      </c>
      <c r="C6" s="851" t="s">
        <v>243</v>
      </c>
      <c r="D6" s="175" t="s">
        <v>45</v>
      </c>
      <c r="E6" s="183"/>
      <c r="F6" s="175">
        <f>+P13</f>
        <v>0</v>
      </c>
      <c r="G6" s="148" t="s">
        <v>154</v>
      </c>
      <c r="H6" s="182"/>
      <c r="I6" s="182"/>
      <c r="J6" s="182"/>
      <c r="K6" s="180">
        <v>9</v>
      </c>
      <c r="L6" s="177">
        <v>1080</v>
      </c>
      <c r="M6" s="585">
        <v>912</v>
      </c>
      <c r="N6" s="175">
        <f>L6*M6</f>
        <v>984960</v>
      </c>
      <c r="O6" s="175"/>
      <c r="P6" s="175"/>
      <c r="Q6" s="175"/>
      <c r="R6" s="846">
        <f t="shared" ref="R6:R9" si="0">P6*Q6</f>
        <v>0</v>
      </c>
      <c r="S6" s="847"/>
    </row>
    <row r="7" spans="2:19" s="100" customFormat="1" ht="18" customHeight="1" x14ac:dyDescent="0.15">
      <c r="B7" s="849"/>
      <c r="C7" s="852"/>
      <c r="D7" s="175" t="s">
        <v>46</v>
      </c>
      <c r="E7" s="183"/>
      <c r="F7" s="175">
        <f>P22</f>
        <v>97075</v>
      </c>
      <c r="G7" s="172" t="s">
        <v>626</v>
      </c>
      <c r="H7" s="297"/>
      <c r="I7" s="297"/>
      <c r="J7" s="298"/>
      <c r="K7" s="178"/>
      <c r="L7" s="179"/>
      <c r="M7" s="175"/>
      <c r="N7" s="175">
        <f t="shared" ref="N7:N11" si="1">L7*M7</f>
        <v>0</v>
      </c>
      <c r="O7" s="175"/>
      <c r="P7" s="175"/>
      <c r="Q7" s="175"/>
      <c r="R7" s="846">
        <f t="shared" si="0"/>
        <v>0</v>
      </c>
      <c r="S7" s="847"/>
    </row>
    <row r="8" spans="2:19" s="100" customFormat="1" ht="18" customHeight="1" x14ac:dyDescent="0.15">
      <c r="B8" s="849"/>
      <c r="C8" s="852"/>
      <c r="D8" s="175" t="s">
        <v>47</v>
      </c>
      <c r="E8" s="183"/>
      <c r="F8" s="175">
        <f>P28</f>
        <v>48189.126262626261</v>
      </c>
      <c r="G8" s="150" t="s">
        <v>627</v>
      </c>
      <c r="H8" s="163"/>
      <c r="I8" s="163"/>
      <c r="J8" s="184"/>
      <c r="K8" s="176"/>
      <c r="L8" s="175"/>
      <c r="M8" s="175"/>
      <c r="N8" s="175">
        <f t="shared" si="1"/>
        <v>0</v>
      </c>
      <c r="O8" s="175"/>
      <c r="P8" s="175"/>
      <c r="Q8" s="175"/>
      <c r="R8" s="846">
        <f t="shared" si="0"/>
        <v>0</v>
      </c>
      <c r="S8" s="847"/>
    </row>
    <row r="9" spans="2:19" s="100" customFormat="1" ht="18" customHeight="1" x14ac:dyDescent="0.15">
      <c r="B9" s="849"/>
      <c r="C9" s="852"/>
      <c r="D9" s="175" t="s">
        <v>72</v>
      </c>
      <c r="E9" s="183"/>
      <c r="F9" s="175">
        <f>P37</f>
        <v>25340.15</v>
      </c>
      <c r="G9" s="150" t="s">
        <v>628</v>
      </c>
      <c r="H9" s="163"/>
      <c r="I9" s="163"/>
      <c r="J9" s="184"/>
      <c r="K9" s="176"/>
      <c r="L9" s="175"/>
      <c r="M9" s="175"/>
      <c r="N9" s="175">
        <f t="shared" si="1"/>
        <v>0</v>
      </c>
      <c r="O9" s="175"/>
      <c r="P9" s="175"/>
      <c r="Q9" s="175"/>
      <c r="R9" s="846">
        <f t="shared" si="0"/>
        <v>0</v>
      </c>
      <c r="S9" s="847"/>
    </row>
    <row r="10" spans="2:19" s="100" customFormat="1" ht="18" customHeight="1" x14ac:dyDescent="0.15">
      <c r="B10" s="849"/>
      <c r="C10" s="852"/>
      <c r="D10" s="175" t="s">
        <v>48</v>
      </c>
      <c r="E10" s="183"/>
      <c r="F10" s="175">
        <f>+'８－１　ピオーネトンネル算出基礎'!V21</f>
        <v>37330.400000000001</v>
      </c>
      <c r="G10" s="855"/>
      <c r="H10" s="856"/>
      <c r="I10" s="856"/>
      <c r="J10" s="847"/>
      <c r="K10" s="176"/>
      <c r="L10" s="175"/>
      <c r="M10" s="175"/>
      <c r="N10" s="175">
        <f t="shared" si="1"/>
        <v>0</v>
      </c>
      <c r="O10" s="175"/>
      <c r="P10" s="175"/>
      <c r="Q10" s="175"/>
      <c r="R10" s="846"/>
      <c r="S10" s="847"/>
    </row>
    <row r="11" spans="2:19" s="100" customFormat="1" ht="18" customHeight="1" thickBot="1" x14ac:dyDescent="0.2">
      <c r="B11" s="849"/>
      <c r="C11" s="852"/>
      <c r="D11" s="175" t="s">
        <v>4</v>
      </c>
      <c r="E11" s="183"/>
      <c r="F11" s="175">
        <f>+'８－１　ピオーネトンネル算出基礎'!V38</f>
        <v>6771.971428571429</v>
      </c>
      <c r="G11" s="855"/>
      <c r="H11" s="856"/>
      <c r="I11" s="856"/>
      <c r="J11" s="847"/>
      <c r="K11" s="118"/>
      <c r="L11" s="106"/>
      <c r="M11" s="106"/>
      <c r="N11" s="105">
        <f t="shared" si="1"/>
        <v>0</v>
      </c>
      <c r="O11" s="107" t="s">
        <v>22</v>
      </c>
      <c r="P11" s="108">
        <f>SUM(L5:L11,P5:Q10)</f>
        <v>1440</v>
      </c>
      <c r="Q11" s="109">
        <f>R11/P11</f>
        <v>911.91666666666663</v>
      </c>
      <c r="R11" s="857">
        <f>SUM(N5:N11,R5:S10)</f>
        <v>1313160</v>
      </c>
      <c r="S11" s="858"/>
    </row>
    <row r="12" spans="2:19" s="100" customFormat="1" ht="18" customHeight="1" thickTop="1" x14ac:dyDescent="0.15">
      <c r="B12" s="849"/>
      <c r="C12" s="852"/>
      <c r="D12" s="175" t="s">
        <v>5</v>
      </c>
      <c r="E12" s="183"/>
      <c r="F12" s="175">
        <v>10000</v>
      </c>
      <c r="G12" s="150" t="s">
        <v>614</v>
      </c>
      <c r="H12" s="163"/>
      <c r="I12" s="163"/>
      <c r="J12" s="184"/>
      <c r="K12" s="859" t="s">
        <v>167</v>
      </c>
      <c r="L12" s="174" t="s">
        <v>128</v>
      </c>
      <c r="M12" s="304" t="s">
        <v>7</v>
      </c>
      <c r="N12" s="256" t="s">
        <v>223</v>
      </c>
      <c r="O12" s="303" t="s">
        <v>21</v>
      </c>
      <c r="P12" s="303" t="s">
        <v>24</v>
      </c>
      <c r="Q12" s="862" t="s">
        <v>25</v>
      </c>
      <c r="R12" s="863"/>
      <c r="S12" s="864"/>
    </row>
    <row r="13" spans="2:19" s="100" customFormat="1" ht="18" customHeight="1" x14ac:dyDescent="0.15">
      <c r="B13" s="849"/>
      <c r="C13" s="852"/>
      <c r="D13" s="827" t="s">
        <v>49</v>
      </c>
      <c r="E13" s="185" t="s">
        <v>152</v>
      </c>
      <c r="F13" s="175">
        <f>+'６　固定資本装備と減価償却費'!P11*H13</f>
        <v>2324.1071428571431</v>
      </c>
      <c r="G13" s="150" t="s">
        <v>156</v>
      </c>
      <c r="H13" s="575">
        <v>0.01</v>
      </c>
      <c r="I13" s="829" t="s">
        <v>158</v>
      </c>
      <c r="J13" s="830"/>
      <c r="K13" s="860"/>
      <c r="L13" s="295" t="s">
        <v>430</v>
      </c>
      <c r="M13" s="255" t="s">
        <v>224</v>
      </c>
      <c r="N13" s="131"/>
      <c r="O13" s="131"/>
      <c r="P13" s="131">
        <f>N13*O13</f>
        <v>0</v>
      </c>
      <c r="Q13" s="831"/>
      <c r="R13" s="832"/>
      <c r="S13" s="833"/>
    </row>
    <row r="14" spans="2:19" s="100" customFormat="1" ht="18" customHeight="1" x14ac:dyDescent="0.15">
      <c r="B14" s="849"/>
      <c r="C14" s="852"/>
      <c r="D14" s="828"/>
      <c r="E14" s="185" t="s">
        <v>153</v>
      </c>
      <c r="F14" s="175">
        <f>+'６　固定資本装備と減価償却費'!P20*H14</f>
        <v>2211.9047619047615</v>
      </c>
      <c r="G14" s="150" t="s">
        <v>156</v>
      </c>
      <c r="H14" s="575">
        <v>0.05</v>
      </c>
      <c r="I14" s="829" t="s">
        <v>158</v>
      </c>
      <c r="J14" s="830"/>
      <c r="K14" s="860"/>
      <c r="L14" s="299"/>
      <c r="M14" s="173"/>
      <c r="N14" s="131"/>
      <c r="O14" s="131"/>
      <c r="P14" s="131">
        <f>N14*O14</f>
        <v>0</v>
      </c>
      <c r="Q14" s="831"/>
      <c r="R14" s="832"/>
      <c r="S14" s="833"/>
    </row>
    <row r="15" spans="2:19" s="100" customFormat="1" ht="18" customHeight="1" thickBot="1" x14ac:dyDescent="0.2">
      <c r="B15" s="849"/>
      <c r="C15" s="852"/>
      <c r="D15" s="827" t="s">
        <v>73</v>
      </c>
      <c r="E15" s="185" t="s">
        <v>152</v>
      </c>
      <c r="F15" s="175">
        <f>+'６　固定資本装備と減価償却費'!P11</f>
        <v>232410.71428571429</v>
      </c>
      <c r="G15" s="150" t="s">
        <v>158</v>
      </c>
      <c r="H15" s="156"/>
      <c r="I15" s="156"/>
      <c r="J15" s="157"/>
      <c r="K15" s="860"/>
      <c r="L15" s="113" t="s">
        <v>26</v>
      </c>
      <c r="M15" s="112"/>
      <c r="N15" s="113"/>
      <c r="O15" s="113"/>
      <c r="P15" s="113">
        <f>SUM(P13:P14)</f>
        <v>0</v>
      </c>
      <c r="Q15" s="811"/>
      <c r="R15" s="812"/>
      <c r="S15" s="813"/>
    </row>
    <row r="16" spans="2:19" s="100" customFormat="1" ht="18" customHeight="1" thickTop="1" x14ac:dyDescent="0.15">
      <c r="B16" s="849"/>
      <c r="C16" s="852"/>
      <c r="D16" s="854"/>
      <c r="E16" s="185" t="s">
        <v>153</v>
      </c>
      <c r="F16" s="175">
        <f>+'６　固定資本装備と減価償却費'!P20</f>
        <v>44238.095238095229</v>
      </c>
      <c r="G16" s="150" t="s">
        <v>158</v>
      </c>
      <c r="H16" s="156"/>
      <c r="I16" s="156"/>
      <c r="J16" s="157"/>
      <c r="K16" s="860"/>
      <c r="L16" s="169" t="s">
        <v>129</v>
      </c>
      <c r="M16" s="170"/>
      <c r="N16" s="257" t="s">
        <v>223</v>
      </c>
      <c r="O16" s="302" t="s">
        <v>21</v>
      </c>
      <c r="P16" s="171" t="s">
        <v>24</v>
      </c>
      <c r="Q16" s="814" t="s">
        <v>25</v>
      </c>
      <c r="R16" s="815"/>
      <c r="S16" s="816"/>
    </row>
    <row r="17" spans="1:19" s="100" customFormat="1" ht="18" customHeight="1" x14ac:dyDescent="0.15">
      <c r="B17" s="849"/>
      <c r="C17" s="852"/>
      <c r="D17" s="828"/>
      <c r="E17" s="175" t="s">
        <v>50</v>
      </c>
      <c r="F17" s="175">
        <f>+'６　固定資本装備と減価償却費'!P21</f>
        <v>18028.466666666667</v>
      </c>
      <c r="G17" s="150" t="s">
        <v>158</v>
      </c>
      <c r="H17" s="156"/>
      <c r="I17" s="156"/>
      <c r="J17" s="157"/>
      <c r="K17" s="860"/>
      <c r="L17" s="172" t="s">
        <v>135</v>
      </c>
      <c r="M17" s="173"/>
      <c r="N17" s="150" t="s">
        <v>409</v>
      </c>
      <c r="O17" s="167"/>
      <c r="P17" s="165">
        <f>+'８－１　ピオーネトンネル算出基礎'!G7</f>
        <v>66480</v>
      </c>
      <c r="Q17" s="805"/>
      <c r="R17" s="806"/>
      <c r="S17" s="807"/>
    </row>
    <row r="18" spans="1:19" s="100" customFormat="1" ht="18" customHeight="1" x14ac:dyDescent="0.15">
      <c r="A18" s="99"/>
      <c r="B18" s="849"/>
      <c r="C18" s="852"/>
      <c r="D18" s="175" t="s">
        <v>51</v>
      </c>
      <c r="E18" s="183"/>
      <c r="F18" s="175">
        <v>50000</v>
      </c>
      <c r="G18" s="150" t="s">
        <v>615</v>
      </c>
      <c r="H18" s="156"/>
      <c r="I18" s="576"/>
      <c r="J18" s="157"/>
      <c r="K18" s="860"/>
      <c r="L18" s="172" t="s">
        <v>133</v>
      </c>
      <c r="M18" s="173"/>
      <c r="N18" s="150" t="s">
        <v>410</v>
      </c>
      <c r="O18" s="167"/>
      <c r="P18" s="165">
        <f>+'８－１　ピオーネトンネル算出基礎'!G12</f>
        <v>20785</v>
      </c>
      <c r="Q18" s="805"/>
      <c r="R18" s="806"/>
      <c r="S18" s="807"/>
    </row>
    <row r="19" spans="1:19" s="100" customFormat="1" ht="18" customHeight="1" x14ac:dyDescent="0.15">
      <c r="A19" s="99"/>
      <c r="B19" s="849"/>
      <c r="C19" s="852"/>
      <c r="D19" s="175" t="s">
        <v>132</v>
      </c>
      <c r="E19" s="183"/>
      <c r="F19" s="175">
        <f>SUM(F6:F18)/99</f>
        <v>5797.1710685498574</v>
      </c>
      <c r="G19" s="186" t="s">
        <v>169</v>
      </c>
      <c r="H19" s="196">
        <v>0.01</v>
      </c>
      <c r="I19" s="300"/>
      <c r="J19" s="5"/>
      <c r="K19" s="860"/>
      <c r="L19" s="150" t="s">
        <v>134</v>
      </c>
      <c r="M19" s="163"/>
      <c r="N19" s="150" t="s">
        <v>411</v>
      </c>
      <c r="O19" s="167"/>
      <c r="P19" s="165">
        <f>+'８－１　ピオーネトンネル算出基礎'!G17</f>
        <v>8160</v>
      </c>
      <c r="Q19" s="805"/>
      <c r="R19" s="806"/>
      <c r="S19" s="807"/>
    </row>
    <row r="20" spans="1:19" s="100" customFormat="1" ht="18" customHeight="1" x14ac:dyDescent="0.15">
      <c r="A20" s="99"/>
      <c r="B20" s="849"/>
      <c r="C20" s="853"/>
      <c r="D20" s="834" t="s">
        <v>162</v>
      </c>
      <c r="E20" s="835"/>
      <c r="F20" s="129">
        <f>SUM(F6:F19)</f>
        <v>579717.1068549857</v>
      </c>
      <c r="G20" s="159"/>
      <c r="H20" s="300"/>
      <c r="I20" s="300"/>
      <c r="J20" s="301"/>
      <c r="K20" s="860"/>
      <c r="L20" s="150" t="s">
        <v>136</v>
      </c>
      <c r="M20" s="163"/>
      <c r="N20" s="150" t="s">
        <v>409</v>
      </c>
      <c r="O20" s="167"/>
      <c r="P20" s="165">
        <f>+'８－１　ピオーネトンネル算出基礎'!G21</f>
        <v>1649.9999999999998</v>
      </c>
      <c r="Q20" s="805"/>
      <c r="R20" s="806"/>
      <c r="S20" s="807"/>
    </row>
    <row r="21" spans="1:19" s="100" customFormat="1" ht="18" customHeight="1" x14ac:dyDescent="0.15">
      <c r="A21" s="99"/>
      <c r="B21" s="849"/>
      <c r="C21" s="820" t="s">
        <v>157</v>
      </c>
      <c r="D21" s="823" t="s">
        <v>52</v>
      </c>
      <c r="E21" s="18" t="s">
        <v>1</v>
      </c>
      <c r="F21" s="105">
        <f>+P11*80</f>
        <v>115200</v>
      </c>
      <c r="G21" s="172" t="s">
        <v>484</v>
      </c>
      <c r="H21" s="163"/>
      <c r="I21" s="110"/>
      <c r="J21" s="184"/>
      <c r="K21" s="860"/>
      <c r="L21" s="150" t="s">
        <v>137</v>
      </c>
      <c r="M21" s="163"/>
      <c r="N21" s="150"/>
      <c r="O21" s="165"/>
      <c r="P21" s="165"/>
      <c r="Q21" s="805"/>
      <c r="R21" s="806"/>
      <c r="S21" s="807"/>
    </row>
    <row r="22" spans="1:19" s="100" customFormat="1" ht="18" customHeight="1" thickBot="1" x14ac:dyDescent="0.2">
      <c r="A22" s="99"/>
      <c r="B22" s="849"/>
      <c r="C22" s="821"/>
      <c r="D22" s="717"/>
      <c r="E22" s="18" t="s">
        <v>2</v>
      </c>
      <c r="F22" s="130">
        <f>+P11*18</f>
        <v>25920</v>
      </c>
      <c r="G22" s="172" t="s">
        <v>485</v>
      </c>
      <c r="H22" s="187"/>
      <c r="I22" s="187"/>
      <c r="J22" s="188"/>
      <c r="K22" s="860"/>
      <c r="L22" s="113" t="s">
        <v>26</v>
      </c>
      <c r="M22" s="112"/>
      <c r="N22" s="113"/>
      <c r="O22" s="113"/>
      <c r="P22" s="113">
        <f>SUM(P17:P21)</f>
        <v>97075</v>
      </c>
      <c r="Q22" s="811"/>
      <c r="R22" s="812"/>
      <c r="S22" s="813"/>
    </row>
    <row r="23" spans="1:19" s="100" customFormat="1" ht="18" customHeight="1" thickTop="1" x14ac:dyDescent="0.15">
      <c r="A23" s="99"/>
      <c r="B23" s="849"/>
      <c r="C23" s="821"/>
      <c r="D23" s="824"/>
      <c r="E23" s="18" t="s">
        <v>6</v>
      </c>
      <c r="F23" s="105">
        <f>+R11*0.11</f>
        <v>144447.6</v>
      </c>
      <c r="G23" s="172" t="s">
        <v>486</v>
      </c>
      <c r="H23" s="297"/>
      <c r="I23" s="187"/>
      <c r="J23" s="298"/>
      <c r="K23" s="860"/>
      <c r="L23" s="150" t="s">
        <v>130</v>
      </c>
      <c r="M23" s="163"/>
      <c r="N23" s="164" t="s">
        <v>23</v>
      </c>
      <c r="O23" s="164" t="s">
        <v>21</v>
      </c>
      <c r="P23" s="164" t="s">
        <v>24</v>
      </c>
      <c r="Q23" s="814" t="s">
        <v>25</v>
      </c>
      <c r="R23" s="815"/>
      <c r="S23" s="816"/>
    </row>
    <row r="24" spans="1:19" s="100" customFormat="1" ht="18" customHeight="1" x14ac:dyDescent="0.15">
      <c r="A24" s="99"/>
      <c r="B24" s="849"/>
      <c r="C24" s="821"/>
      <c r="D24" s="18" t="s">
        <v>226</v>
      </c>
      <c r="E24" s="25"/>
      <c r="F24" s="130"/>
      <c r="G24" s="172"/>
      <c r="H24" s="190"/>
      <c r="I24" s="191"/>
      <c r="J24" s="189"/>
      <c r="K24" s="860"/>
      <c r="L24" s="165" t="s">
        <v>27</v>
      </c>
      <c r="M24" s="163"/>
      <c r="N24" s="150" t="s">
        <v>412</v>
      </c>
      <c r="O24" s="165"/>
      <c r="P24" s="165">
        <f>+'８－１　ピオーネトンネル算出基礎'!G42</f>
        <v>19340</v>
      </c>
      <c r="Q24" s="805"/>
      <c r="R24" s="806"/>
      <c r="S24" s="807"/>
    </row>
    <row r="25" spans="1:19" s="100" customFormat="1" ht="18" customHeight="1" x14ac:dyDescent="0.15">
      <c r="A25" s="99"/>
      <c r="B25" s="849"/>
      <c r="C25" s="821"/>
      <c r="D25" s="18" t="s">
        <v>74</v>
      </c>
      <c r="E25" s="25"/>
      <c r="F25" s="130"/>
      <c r="G25" s="172"/>
      <c r="H25" s="192"/>
      <c r="I25" s="193"/>
      <c r="J25" s="194"/>
      <c r="K25" s="860"/>
      <c r="L25" s="165" t="s">
        <v>28</v>
      </c>
      <c r="M25" s="163"/>
      <c r="N25" s="150" t="s">
        <v>413</v>
      </c>
      <c r="O25" s="165"/>
      <c r="P25" s="165">
        <f>+'８－１　ピオーネトンネル算出基礎'!G53</f>
        <v>11783.444444444443</v>
      </c>
      <c r="Q25" s="805"/>
      <c r="R25" s="806"/>
      <c r="S25" s="807"/>
    </row>
    <row r="26" spans="1:19" s="100" customFormat="1" ht="18" customHeight="1" x14ac:dyDescent="0.15">
      <c r="A26" s="99"/>
      <c r="B26" s="849"/>
      <c r="C26" s="821"/>
      <c r="D26" s="18" t="s">
        <v>97</v>
      </c>
      <c r="E26" s="19"/>
      <c r="F26" s="130">
        <f>+'８－１　ピオーネトンネル算出基礎'!V61</f>
        <v>13181.666666666668</v>
      </c>
      <c r="G26" s="219"/>
      <c r="H26" s="217"/>
      <c r="I26" s="217"/>
      <c r="J26" s="218"/>
      <c r="K26" s="860"/>
      <c r="L26" s="165" t="s">
        <v>29</v>
      </c>
      <c r="M26" s="163"/>
      <c r="N26" s="150" t="s">
        <v>409</v>
      </c>
      <c r="O26" s="165"/>
      <c r="P26" s="165">
        <f>+'８－１　ピオーネトンネル算出基礎'!G57</f>
        <v>4158.181818181818</v>
      </c>
      <c r="Q26" s="805"/>
      <c r="R26" s="806"/>
      <c r="S26" s="807"/>
    </row>
    <row r="27" spans="1:19" s="100" customFormat="1" ht="18" customHeight="1" x14ac:dyDescent="0.15">
      <c r="A27" s="99"/>
      <c r="B27" s="849"/>
      <c r="C27" s="821"/>
      <c r="D27" s="26" t="s">
        <v>75</v>
      </c>
      <c r="E27" s="27"/>
      <c r="F27" s="195"/>
      <c r="G27" s="150"/>
      <c r="H27" s="192"/>
      <c r="I27" s="193"/>
      <c r="J27" s="189"/>
      <c r="K27" s="860"/>
      <c r="L27" s="165" t="s">
        <v>108</v>
      </c>
      <c r="M27" s="163"/>
      <c r="N27" s="150" t="s">
        <v>414</v>
      </c>
      <c r="O27" s="165"/>
      <c r="P27" s="165">
        <f>+'８－１　ピオーネトンネル算出基礎'!G61</f>
        <v>12907.5</v>
      </c>
      <c r="Q27" s="805"/>
      <c r="R27" s="806"/>
      <c r="S27" s="807"/>
    </row>
    <row r="28" spans="1:19" s="100" customFormat="1" ht="18" customHeight="1" thickBot="1" x14ac:dyDescent="0.2">
      <c r="A28" s="99"/>
      <c r="B28" s="849"/>
      <c r="C28" s="821"/>
      <c r="D28" s="18" t="s">
        <v>53</v>
      </c>
      <c r="E28" s="19"/>
      <c r="F28" s="130">
        <f>+'８－１　ピオーネトンネル算出基礎'!N61</f>
        <v>1516.6666666666665</v>
      </c>
      <c r="G28" s="219"/>
      <c r="H28" s="217"/>
      <c r="I28" s="217"/>
      <c r="J28" s="218"/>
      <c r="K28" s="860"/>
      <c r="L28" s="113" t="s">
        <v>26</v>
      </c>
      <c r="M28" s="112"/>
      <c r="N28" s="113"/>
      <c r="O28" s="113"/>
      <c r="P28" s="113">
        <f>SUM(P24:P27)</f>
        <v>48189.126262626261</v>
      </c>
      <c r="Q28" s="811"/>
      <c r="R28" s="812"/>
      <c r="S28" s="813"/>
    </row>
    <row r="29" spans="1:19" s="100" customFormat="1" ht="18" customHeight="1" thickTop="1" x14ac:dyDescent="0.15">
      <c r="A29" s="99"/>
      <c r="B29" s="849"/>
      <c r="C29" s="821"/>
      <c r="D29" s="18" t="s">
        <v>227</v>
      </c>
      <c r="E29" s="25"/>
      <c r="F29" s="130">
        <f>SUM(F21:F28)/99</f>
        <v>3032.989225589226</v>
      </c>
      <c r="G29" s="284" t="s">
        <v>244</v>
      </c>
      <c r="H29" s="196">
        <v>0.01</v>
      </c>
      <c r="I29" s="161"/>
      <c r="J29" s="160"/>
      <c r="K29" s="860"/>
      <c r="L29" s="150" t="s">
        <v>131</v>
      </c>
      <c r="M29" s="163"/>
      <c r="N29" s="164" t="s">
        <v>23</v>
      </c>
      <c r="O29" s="164" t="s">
        <v>21</v>
      </c>
      <c r="P29" s="164" t="s">
        <v>24</v>
      </c>
      <c r="Q29" s="814" t="s">
        <v>25</v>
      </c>
      <c r="R29" s="815"/>
      <c r="S29" s="816"/>
    </row>
    <row r="30" spans="1:19" s="100" customFormat="1" ht="18" customHeight="1" thickBot="1" x14ac:dyDescent="0.2">
      <c r="A30" s="99"/>
      <c r="B30" s="850"/>
      <c r="C30" s="822"/>
      <c r="D30" s="825" t="s">
        <v>161</v>
      </c>
      <c r="E30" s="826"/>
      <c r="F30" s="151">
        <f>SUM(F21:F29)</f>
        <v>303298.92255892255</v>
      </c>
      <c r="G30" s="152"/>
      <c r="H30" s="153"/>
      <c r="I30" s="154"/>
      <c r="J30" s="155"/>
      <c r="K30" s="860"/>
      <c r="L30" s="165" t="s">
        <v>121</v>
      </c>
      <c r="M30" s="166"/>
      <c r="N30" s="150" t="s">
        <v>415</v>
      </c>
      <c r="O30" s="167"/>
      <c r="P30" s="165">
        <f>+'８－１　ピオーネトンネル算出基礎'!N11</f>
        <v>3811.5</v>
      </c>
      <c r="Q30" s="817"/>
      <c r="R30" s="818"/>
      <c r="S30" s="819"/>
    </row>
    <row r="31" spans="1:19" s="100" customFormat="1" ht="18" customHeight="1" x14ac:dyDescent="0.15">
      <c r="A31" s="99"/>
      <c r="B31" s="120"/>
      <c r="C31" s="116"/>
      <c r="D31" s="116"/>
      <c r="E31" s="116"/>
      <c r="F31" s="116"/>
      <c r="G31" s="116"/>
      <c r="H31" s="116"/>
      <c r="I31" s="116"/>
      <c r="J31" s="116"/>
      <c r="K31" s="860"/>
      <c r="L31" s="165" t="s">
        <v>122</v>
      </c>
      <c r="M31" s="166"/>
      <c r="N31" s="150" t="s">
        <v>416</v>
      </c>
      <c r="O31" s="167"/>
      <c r="P31" s="165">
        <f>+'８－１　ピオーネトンネル算出基礎'!N16</f>
        <v>14256</v>
      </c>
      <c r="Q31" s="817"/>
      <c r="R31" s="818"/>
      <c r="S31" s="819"/>
    </row>
    <row r="32" spans="1:19" s="100" customFormat="1" ht="18" customHeight="1" x14ac:dyDescent="0.15">
      <c r="A32" s="99"/>
      <c r="B32" s="111"/>
      <c r="C32" s="125"/>
      <c r="D32" s="111"/>
      <c r="E32" s="111"/>
      <c r="F32" s="123"/>
      <c r="G32" s="123"/>
      <c r="H32" s="124"/>
      <c r="I32" s="116"/>
      <c r="J32" s="116"/>
      <c r="K32" s="860"/>
      <c r="L32" s="165" t="s">
        <v>124</v>
      </c>
      <c r="M32" s="163"/>
      <c r="N32" s="167"/>
      <c r="O32" s="167"/>
      <c r="P32" s="165">
        <f>SUM(P30:P31)*R32</f>
        <v>5420.25</v>
      </c>
      <c r="Q32" s="296" t="s">
        <v>123</v>
      </c>
      <c r="R32" s="168">
        <v>0.3</v>
      </c>
      <c r="S32" s="114"/>
    </row>
    <row r="33" spans="1:23" ht="18" customHeight="1" x14ac:dyDescent="0.15">
      <c r="K33" s="860"/>
      <c r="L33" s="165" t="s">
        <v>125</v>
      </c>
      <c r="M33" s="166"/>
      <c r="N33" s="150" t="s">
        <v>417</v>
      </c>
      <c r="O33" s="167"/>
      <c r="P33" s="165">
        <f>+'８－１　ピオーネトンネル算出基礎'!N20</f>
        <v>1852.4</v>
      </c>
      <c r="Q33" s="805"/>
      <c r="R33" s="806"/>
      <c r="S33" s="807"/>
    </row>
    <row r="34" spans="1:23" ht="18" customHeight="1" x14ac:dyDescent="0.15">
      <c r="K34" s="860"/>
      <c r="L34" s="165" t="s">
        <v>126</v>
      </c>
      <c r="M34" s="166"/>
      <c r="N34" s="150"/>
      <c r="O34" s="167"/>
      <c r="P34" s="165"/>
      <c r="Q34" s="805"/>
      <c r="R34" s="806"/>
      <c r="S34" s="807"/>
    </row>
    <row r="35" spans="1:23" ht="18" customHeight="1" x14ac:dyDescent="0.15">
      <c r="K35" s="860"/>
      <c r="L35" s="165" t="s">
        <v>225</v>
      </c>
      <c r="M35" s="166"/>
      <c r="N35" s="150"/>
      <c r="O35" s="167"/>
      <c r="P35" s="165"/>
      <c r="Q35" s="260"/>
      <c r="R35" s="261"/>
      <c r="S35" s="262"/>
    </row>
    <row r="36" spans="1:23" ht="18" customHeight="1" x14ac:dyDescent="0.15">
      <c r="K36" s="860"/>
      <c r="L36" s="165" t="s">
        <v>127</v>
      </c>
      <c r="M36" s="163"/>
      <c r="N36" s="150"/>
      <c r="O36" s="167"/>
      <c r="P36" s="165"/>
      <c r="Q36" s="805"/>
      <c r="R36" s="806"/>
      <c r="S36" s="807"/>
    </row>
    <row r="37" spans="1:23" ht="18" customHeight="1" thickBot="1" x14ac:dyDescent="0.2">
      <c r="K37" s="861"/>
      <c r="L37" s="122" t="s">
        <v>26</v>
      </c>
      <c r="M37" s="121"/>
      <c r="N37" s="122"/>
      <c r="O37" s="122"/>
      <c r="P37" s="122">
        <f>SUM(P30:P36)</f>
        <v>25340.15</v>
      </c>
      <c r="Q37" s="808"/>
      <c r="R37" s="809"/>
      <c r="S37" s="810"/>
    </row>
    <row r="38" spans="1:23" s="115" customFormat="1" ht="18" customHeight="1" x14ac:dyDescent="0.15">
      <c r="A38" s="99"/>
      <c r="B38" s="99"/>
      <c r="C38" s="99"/>
      <c r="D38" s="99"/>
      <c r="E38" s="99"/>
      <c r="F38" s="99"/>
      <c r="G38" s="99"/>
      <c r="H38" s="99"/>
      <c r="I38" s="99"/>
      <c r="J38" s="99"/>
    </row>
    <row r="39" spans="1:23" s="115" customFormat="1" ht="18" customHeight="1" x14ac:dyDescent="0.15">
      <c r="A39" s="99"/>
      <c r="B39" s="99"/>
      <c r="C39" s="99"/>
      <c r="D39" s="99"/>
      <c r="E39" s="99"/>
      <c r="F39" s="99"/>
      <c r="G39" s="99"/>
      <c r="H39" s="99"/>
      <c r="I39" s="99"/>
      <c r="J39" s="99"/>
      <c r="T39" s="116"/>
    </row>
    <row r="40" spans="1:23" s="115" customFormat="1" ht="18" customHeight="1" x14ac:dyDescent="0.15">
      <c r="A40" s="99"/>
      <c r="B40" s="99"/>
      <c r="C40" s="99"/>
      <c r="D40" s="99"/>
      <c r="E40" s="99"/>
      <c r="F40" s="99"/>
      <c r="G40" s="99"/>
      <c r="H40" s="99"/>
      <c r="I40" s="99"/>
      <c r="J40" s="99"/>
      <c r="T40" s="100"/>
      <c r="U40" s="100"/>
      <c r="V40" s="100"/>
      <c r="W40" s="100"/>
    </row>
    <row r="41" spans="1:23" s="115" customFormat="1" ht="18" customHeight="1" x14ac:dyDescent="0.15">
      <c r="A41" s="99"/>
      <c r="B41" s="99"/>
      <c r="C41" s="99"/>
      <c r="D41" s="99"/>
      <c r="E41" s="99"/>
      <c r="F41" s="99"/>
      <c r="G41" s="99"/>
      <c r="H41" s="99"/>
      <c r="I41" s="99"/>
      <c r="J41" s="99"/>
      <c r="T41" s="117"/>
      <c r="U41" s="118"/>
      <c r="V41" s="119"/>
      <c r="W41" s="117"/>
    </row>
    <row r="42" spans="1:23" s="115" customFormat="1" ht="18" customHeight="1" x14ac:dyDescent="0.15">
      <c r="A42" s="99"/>
      <c r="B42" s="99"/>
      <c r="C42" s="99"/>
      <c r="D42" s="99"/>
      <c r="E42" s="99"/>
      <c r="F42" s="99"/>
      <c r="G42" s="99"/>
      <c r="H42" s="99"/>
      <c r="I42" s="99"/>
      <c r="J42" s="99"/>
      <c r="T42" s="100"/>
      <c r="U42" s="100"/>
      <c r="V42" s="100"/>
      <c r="W42" s="100"/>
    </row>
    <row r="43" spans="1:23" s="115" customFormat="1" ht="18" customHeight="1" x14ac:dyDescent="0.15">
      <c r="B43" s="99"/>
      <c r="C43" s="99"/>
      <c r="D43" s="99"/>
      <c r="E43" s="99"/>
      <c r="F43" s="99"/>
      <c r="G43" s="99"/>
      <c r="H43" s="99"/>
      <c r="I43" s="99"/>
      <c r="J43" s="99"/>
      <c r="T43" s="101"/>
      <c r="U43" s="116"/>
      <c r="V43" s="100"/>
      <c r="W43" s="117"/>
    </row>
    <row r="44" spans="1:23" s="115" customFormat="1" ht="18" customHeight="1" x14ac:dyDescent="0.15">
      <c r="B44" s="99"/>
      <c r="C44" s="99"/>
      <c r="D44" s="99"/>
      <c r="E44" s="99"/>
      <c r="F44" s="99"/>
      <c r="G44" s="99"/>
      <c r="H44" s="99"/>
      <c r="I44" s="99"/>
      <c r="J44" s="99"/>
      <c r="T44" s="101"/>
      <c r="U44" s="116"/>
      <c r="V44" s="100"/>
      <c r="W44" s="117"/>
    </row>
    <row r="45" spans="1:23" s="115" customFormat="1" ht="18" customHeight="1" x14ac:dyDescent="0.15">
      <c r="B45" s="99"/>
      <c r="C45" s="99"/>
      <c r="D45" s="99"/>
      <c r="E45" s="99"/>
      <c r="F45" s="99"/>
      <c r="G45" s="99"/>
      <c r="H45" s="99"/>
      <c r="I45" s="99"/>
      <c r="J45" s="99"/>
      <c r="T45" s="100"/>
      <c r="U45" s="100"/>
      <c r="V45" s="118"/>
      <c r="W45" s="100"/>
    </row>
    <row r="46" spans="1:23" s="115" customFormat="1" x14ac:dyDescent="0.15">
      <c r="B46" s="99"/>
      <c r="C46" s="99"/>
      <c r="D46" s="99"/>
      <c r="E46" s="99"/>
      <c r="F46" s="99"/>
      <c r="G46" s="99"/>
      <c r="H46" s="99"/>
      <c r="I46" s="99"/>
      <c r="J46" s="99"/>
      <c r="T46" s="101"/>
      <c r="U46" s="100"/>
      <c r="V46" s="100"/>
      <c r="W46" s="117"/>
    </row>
    <row r="47" spans="1:23" s="115" customFormat="1" x14ac:dyDescent="0.15">
      <c r="B47" s="99"/>
      <c r="C47" s="99"/>
      <c r="D47" s="99"/>
      <c r="E47" s="99"/>
      <c r="F47" s="99"/>
      <c r="G47" s="99"/>
      <c r="H47" s="99"/>
      <c r="I47" s="99"/>
      <c r="J47" s="99"/>
      <c r="T47" s="101"/>
      <c r="U47" s="100"/>
      <c r="V47" s="100"/>
      <c r="W47" s="117"/>
    </row>
    <row r="48" spans="1:23" s="115" customFormat="1" x14ac:dyDescent="0.15">
      <c r="B48" s="99"/>
      <c r="C48" s="99"/>
      <c r="D48" s="99"/>
      <c r="E48" s="99"/>
      <c r="F48" s="99"/>
      <c r="G48" s="99"/>
      <c r="H48" s="99"/>
      <c r="I48" s="99"/>
      <c r="J48" s="99"/>
      <c r="T48" s="101"/>
      <c r="U48" s="100"/>
      <c r="V48" s="100"/>
      <c r="W48" s="117"/>
    </row>
    <row r="49" spans="2:23" s="115" customFormat="1" x14ac:dyDescent="0.15">
      <c r="B49" s="99"/>
      <c r="C49" s="99"/>
      <c r="D49" s="99"/>
      <c r="E49" s="99"/>
      <c r="F49" s="99"/>
      <c r="G49" s="99"/>
      <c r="H49" s="99"/>
      <c r="I49" s="99"/>
      <c r="J49" s="99"/>
      <c r="T49" s="101"/>
      <c r="U49" s="100"/>
      <c r="V49" s="100"/>
      <c r="W49" s="117"/>
    </row>
    <row r="50" spans="2:23" s="115" customFormat="1" x14ac:dyDescent="0.15">
      <c r="B50" s="99"/>
      <c r="C50" s="99"/>
      <c r="D50" s="99"/>
      <c r="E50" s="99"/>
      <c r="F50" s="99"/>
      <c r="G50" s="99"/>
      <c r="H50" s="99"/>
      <c r="I50" s="99"/>
      <c r="J50" s="99"/>
      <c r="T50" s="101"/>
      <c r="U50" s="101"/>
      <c r="V50" s="101"/>
      <c r="W50" s="100"/>
    </row>
    <row r="51" spans="2:23" s="115" customFormat="1" ht="13.5" customHeight="1" x14ac:dyDescent="0.15">
      <c r="B51" s="99"/>
      <c r="C51" s="99"/>
      <c r="D51" s="99"/>
      <c r="E51" s="99"/>
      <c r="F51" s="99"/>
      <c r="G51" s="99"/>
      <c r="H51" s="99"/>
      <c r="I51" s="99"/>
      <c r="J51" s="99"/>
      <c r="T51" s="100"/>
      <c r="U51" s="100"/>
      <c r="V51" s="100"/>
      <c r="W51" s="118"/>
    </row>
    <row r="52" spans="2:23" s="115" customFormat="1" x14ac:dyDescent="0.15">
      <c r="B52" s="99"/>
      <c r="C52" s="99"/>
      <c r="D52" s="99"/>
      <c r="E52" s="99"/>
      <c r="F52" s="99"/>
      <c r="G52" s="99"/>
      <c r="H52" s="99"/>
      <c r="I52" s="99"/>
      <c r="J52" s="99"/>
      <c r="T52" s="117"/>
      <c r="U52" s="100"/>
      <c r="V52" s="118"/>
      <c r="W52" s="117"/>
    </row>
    <row r="53" spans="2:23" s="115" customFormat="1" x14ac:dyDescent="0.15">
      <c r="B53" s="99"/>
      <c r="C53" s="99"/>
      <c r="D53" s="99"/>
      <c r="E53" s="99"/>
      <c r="F53" s="99"/>
      <c r="G53" s="99"/>
      <c r="H53" s="99"/>
      <c r="I53" s="99"/>
      <c r="J53" s="99"/>
      <c r="T53" s="100"/>
      <c r="U53" s="100"/>
      <c r="V53" s="100"/>
      <c r="W53" s="100"/>
    </row>
    <row r="54" spans="2:23" s="115" customFormat="1" ht="13.5" customHeight="1" x14ac:dyDescent="0.15">
      <c r="B54" s="99"/>
      <c r="C54" s="99"/>
      <c r="D54" s="99"/>
      <c r="E54" s="99"/>
      <c r="F54" s="99"/>
      <c r="G54" s="99"/>
      <c r="H54" s="99"/>
      <c r="I54" s="99"/>
      <c r="J54" s="99"/>
      <c r="T54" s="101"/>
      <c r="U54" s="100"/>
      <c r="V54" s="101"/>
      <c r="W54" s="117"/>
    </row>
    <row r="55" spans="2:23" s="115" customFormat="1" x14ac:dyDescent="0.15">
      <c r="B55" s="99"/>
      <c r="C55" s="99"/>
      <c r="D55" s="99"/>
      <c r="E55" s="99"/>
      <c r="F55" s="99"/>
      <c r="G55" s="99"/>
      <c r="H55" s="99"/>
      <c r="I55" s="99"/>
      <c r="J55" s="99"/>
      <c r="T55" s="126"/>
      <c r="U55" s="100"/>
      <c r="V55" s="100"/>
      <c r="W55" s="117"/>
    </row>
    <row r="56" spans="2:23" s="115" customFormat="1" x14ac:dyDescent="0.15"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100"/>
      <c r="U56" s="101"/>
      <c r="V56" s="100"/>
      <c r="W56" s="100"/>
    </row>
    <row r="57" spans="2:23" s="115" customFormat="1" x14ac:dyDescent="0.15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116"/>
      <c r="U57" s="116"/>
      <c r="V57" s="116"/>
      <c r="W57" s="116"/>
    </row>
    <row r="58" spans="2:23" s="115" customFormat="1" x14ac:dyDescent="0.15"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116"/>
    </row>
    <row r="59" spans="2:23" s="115" customFormat="1" x14ac:dyDescent="0.15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116"/>
    </row>
    <row r="60" spans="2:23" s="115" customFormat="1" x14ac:dyDescent="0.15"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116"/>
    </row>
    <row r="61" spans="2:23" s="115" customFormat="1" x14ac:dyDescent="0.15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</row>
    <row r="62" spans="2:23" s="115" customFormat="1" x14ac:dyDescent="0.15"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2:23" s="115" customFormat="1" ht="13.5" customHeight="1" x14ac:dyDescent="0.15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</row>
    <row r="64" spans="2:23" s="115" customFormat="1" ht="13.5" customHeight="1" x14ac:dyDescent="0.15"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</row>
    <row r="65" spans="2:19" s="115" customFormat="1" x14ac:dyDescent="0.15"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</row>
    <row r="66" spans="2:19" s="115" customFormat="1" x14ac:dyDescent="0.15"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</row>
    <row r="67" spans="2:19" s="115" customFormat="1" x14ac:dyDescent="0.15"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</row>
    <row r="68" spans="2:19" s="115" customFormat="1" ht="13.5" customHeight="1" x14ac:dyDescent="0.15"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</row>
    <row r="69" spans="2:19" s="115" customFormat="1" x14ac:dyDescent="0.15"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</row>
    <row r="70" spans="2:19" s="115" customFormat="1" x14ac:dyDescent="0.15"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</row>
    <row r="71" spans="2:19" s="115" customFormat="1" x14ac:dyDescent="0.15"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</row>
    <row r="72" spans="2:19" s="115" customFormat="1" x14ac:dyDescent="0.15"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</row>
    <row r="73" spans="2:19" s="115" customFormat="1" x14ac:dyDescent="0.15"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</row>
    <row r="74" spans="2:19" s="115" customFormat="1" ht="13.5" customHeight="1" x14ac:dyDescent="0.15"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</row>
    <row r="75" spans="2:19" s="115" customFormat="1" x14ac:dyDescent="0.15"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</row>
    <row r="76" spans="2:19" s="115" customFormat="1" x14ac:dyDescent="0.15"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</row>
    <row r="77" spans="2:19" s="115" customFormat="1" x14ac:dyDescent="0.15"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</row>
    <row r="78" spans="2:19" s="115" customFormat="1" x14ac:dyDescent="0.15"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</row>
    <row r="79" spans="2:19" s="115" customFormat="1" x14ac:dyDescent="0.15"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</row>
    <row r="80" spans="2:19" s="115" customFormat="1" x14ac:dyDescent="0.15"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</row>
    <row r="81" spans="1:19" s="115" customFormat="1" x14ac:dyDescent="0.15"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</row>
    <row r="82" spans="1:19" s="115" customFormat="1" x14ac:dyDescent="0.15"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</row>
    <row r="83" spans="1:19" s="115" customFormat="1" x14ac:dyDescent="0.15"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</row>
    <row r="84" spans="1:19" s="115" customFormat="1" x14ac:dyDescent="0.15"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</row>
    <row r="85" spans="1:19" s="115" customFormat="1" x14ac:dyDescent="0.15"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</row>
    <row r="86" spans="1:19" s="115" customFormat="1" ht="13.5" customHeight="1" x14ac:dyDescent="0.15"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</row>
    <row r="87" spans="1:19" s="115" customFormat="1" x14ac:dyDescent="0.15"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</row>
    <row r="88" spans="1:19" s="115" customFormat="1" x14ac:dyDescent="0.15"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</row>
    <row r="89" spans="1:19" s="115" customFormat="1" ht="13.5" customHeight="1" x14ac:dyDescent="0.15"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</row>
    <row r="90" spans="1:19" s="115" customFormat="1" x14ac:dyDescent="0.15"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</row>
    <row r="91" spans="1:19" s="115" customFormat="1" x14ac:dyDescent="0.15"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</row>
    <row r="92" spans="1:19" s="115" customFormat="1" x14ac:dyDescent="0.15"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</row>
    <row r="93" spans="1:19" s="115" customFormat="1" x14ac:dyDescent="0.15"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</row>
    <row r="94" spans="1:19" s="115" customFormat="1" x14ac:dyDescent="0.15"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</row>
    <row r="95" spans="1:19" x14ac:dyDescent="0.15">
      <c r="A95" s="115"/>
    </row>
    <row r="96" spans="1:19" x14ac:dyDescent="0.15">
      <c r="A96" s="115"/>
    </row>
    <row r="97" spans="1:1" x14ac:dyDescent="0.15">
      <c r="A97" s="115"/>
    </row>
    <row r="98" spans="1:1" x14ac:dyDescent="0.15">
      <c r="A98" s="115"/>
    </row>
    <row r="99" spans="1:1" x14ac:dyDescent="0.15">
      <c r="A99" s="115"/>
    </row>
  </sheetData>
  <mergeCells count="48">
    <mergeCell ref="B6:B30"/>
    <mergeCell ref="C6:C20"/>
    <mergeCell ref="R6:S6"/>
    <mergeCell ref="R7:S7"/>
    <mergeCell ref="R8:S8"/>
    <mergeCell ref="D15:D17"/>
    <mergeCell ref="Q15:S15"/>
    <mergeCell ref="Q16:S16"/>
    <mergeCell ref="Q17:S17"/>
    <mergeCell ref="R9:S9"/>
    <mergeCell ref="G10:J10"/>
    <mergeCell ref="R10:S10"/>
    <mergeCell ref="G11:J11"/>
    <mergeCell ref="R11:S11"/>
    <mergeCell ref="K12:K37"/>
    <mergeCell ref="Q12:S12"/>
    <mergeCell ref="B3:E3"/>
    <mergeCell ref="K3:S3"/>
    <mergeCell ref="B4:C5"/>
    <mergeCell ref="R4:S4"/>
    <mergeCell ref="R5:S5"/>
    <mergeCell ref="Q18:S18"/>
    <mergeCell ref="Q19:S19"/>
    <mergeCell ref="Q27:S27"/>
    <mergeCell ref="D13:D14"/>
    <mergeCell ref="I13:J13"/>
    <mergeCell ref="Q13:S13"/>
    <mergeCell ref="I14:J14"/>
    <mergeCell ref="Q14:S14"/>
    <mergeCell ref="D20:E20"/>
    <mergeCell ref="Q20:S20"/>
    <mergeCell ref="C21:C30"/>
    <mergeCell ref="D21:D23"/>
    <mergeCell ref="Q21:S21"/>
    <mergeCell ref="Q22:S22"/>
    <mergeCell ref="Q23:S23"/>
    <mergeCell ref="Q24:S24"/>
    <mergeCell ref="Q25:S25"/>
    <mergeCell ref="Q26:S26"/>
    <mergeCell ref="D30:E30"/>
    <mergeCell ref="Q30:S30"/>
    <mergeCell ref="Q36:S36"/>
    <mergeCell ref="Q37:S37"/>
    <mergeCell ref="Q28:S28"/>
    <mergeCell ref="Q29:S29"/>
    <mergeCell ref="Q31:S31"/>
    <mergeCell ref="Q33:S33"/>
    <mergeCell ref="Q34:S34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showZeros="0" zoomScale="75" zoomScaleNormal="75" zoomScaleSheetLayoutView="72" workbookViewId="0"/>
  </sheetViews>
  <sheetFormatPr defaultColWidth="10.875" defaultRowHeight="13.5" x14ac:dyDescent="0.15"/>
  <cols>
    <col min="1" max="1" width="1.625" style="99" customWidth="1"/>
    <col min="2" max="2" width="5.875" style="99" customWidth="1"/>
    <col min="3" max="3" width="10.625" style="99" customWidth="1"/>
    <col min="4" max="4" width="12.375" style="99" customWidth="1"/>
    <col min="5" max="5" width="14.625" style="99" customWidth="1"/>
    <col min="6" max="7" width="15.875" style="99" customWidth="1"/>
    <col min="8" max="8" width="10.875" style="99"/>
    <col min="9" max="9" width="11.375" style="99" bestFit="1" customWidth="1"/>
    <col min="10" max="10" width="13.375" style="99" customWidth="1"/>
    <col min="11" max="11" width="7.125" style="99" customWidth="1"/>
    <col min="12" max="12" width="15.375" style="99" customWidth="1"/>
    <col min="13" max="13" width="9.375" style="99" bestFit="1" customWidth="1"/>
    <col min="14" max="14" width="10.875" style="99"/>
    <col min="15" max="15" width="7.25" style="99" customWidth="1"/>
    <col min="16" max="16" width="9.625" style="99" customWidth="1"/>
    <col min="17" max="17" width="10.875" style="99" customWidth="1"/>
    <col min="18" max="18" width="7.5" style="99" customWidth="1"/>
    <col min="19" max="19" width="3.75" style="99" customWidth="1"/>
    <col min="20" max="16384" width="10.875" style="99"/>
  </cols>
  <sheetData>
    <row r="1" spans="2:19" s="100" customFormat="1" ht="9.9499999999999993" customHeight="1" x14ac:dyDescent="0.15"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2:19" s="100" customFormat="1" ht="24.95" customHeight="1" thickBot="1" x14ac:dyDescent="0.2">
      <c r="B2" s="2" t="s">
        <v>464</v>
      </c>
      <c r="H2" s="101" t="s">
        <v>192</v>
      </c>
      <c r="I2" s="2" t="s">
        <v>418</v>
      </c>
      <c r="K2" s="101" t="s">
        <v>193</v>
      </c>
      <c r="L2" s="2" t="s">
        <v>422</v>
      </c>
      <c r="N2" s="99"/>
      <c r="O2" s="99"/>
      <c r="Q2" s="3"/>
      <c r="R2" s="3"/>
    </row>
    <row r="3" spans="2:19" s="100" customFormat="1" ht="18" customHeight="1" x14ac:dyDescent="0.15">
      <c r="B3" s="836" t="s">
        <v>17</v>
      </c>
      <c r="C3" s="837"/>
      <c r="D3" s="837"/>
      <c r="E3" s="838"/>
      <c r="F3" s="306" t="s">
        <v>18</v>
      </c>
      <c r="G3" s="103"/>
      <c r="H3" s="104" t="s">
        <v>19</v>
      </c>
      <c r="I3" s="102"/>
      <c r="J3" s="102"/>
      <c r="K3" s="839" t="s">
        <v>168</v>
      </c>
      <c r="L3" s="840"/>
      <c r="M3" s="840"/>
      <c r="N3" s="840"/>
      <c r="O3" s="840"/>
      <c r="P3" s="840"/>
      <c r="Q3" s="840"/>
      <c r="R3" s="840"/>
      <c r="S3" s="841"/>
    </row>
    <row r="4" spans="2:19" s="100" customFormat="1" ht="18" customHeight="1" x14ac:dyDescent="0.15">
      <c r="B4" s="842" t="s">
        <v>20</v>
      </c>
      <c r="C4" s="843"/>
      <c r="D4" s="172" t="s">
        <v>163</v>
      </c>
      <c r="E4" s="181"/>
      <c r="F4" s="175">
        <f>R11</f>
        <v>1533060</v>
      </c>
      <c r="G4" s="172" t="s">
        <v>590</v>
      </c>
      <c r="H4" s="297"/>
      <c r="I4" s="297"/>
      <c r="J4" s="297"/>
      <c r="K4" s="253" t="s">
        <v>220</v>
      </c>
      <c r="L4" s="254" t="s">
        <v>221</v>
      </c>
      <c r="M4" s="305" t="s">
        <v>21</v>
      </c>
      <c r="N4" s="305" t="s">
        <v>20</v>
      </c>
      <c r="O4" s="254" t="s">
        <v>220</v>
      </c>
      <c r="P4" s="254" t="s">
        <v>221</v>
      </c>
      <c r="Q4" s="305" t="s">
        <v>21</v>
      </c>
      <c r="R4" s="844" t="s">
        <v>20</v>
      </c>
      <c r="S4" s="845"/>
    </row>
    <row r="5" spans="2:19" s="100" customFormat="1" ht="18" customHeight="1" x14ac:dyDescent="0.15">
      <c r="B5" s="842"/>
      <c r="C5" s="843"/>
      <c r="D5" s="172" t="s">
        <v>71</v>
      </c>
      <c r="E5" s="181"/>
      <c r="F5" s="175"/>
      <c r="G5" s="148"/>
      <c r="H5" s="182"/>
      <c r="I5" s="182"/>
      <c r="J5" s="182"/>
      <c r="K5" s="584">
        <v>7</v>
      </c>
      <c r="L5" s="585">
        <v>540</v>
      </c>
      <c r="M5" s="585">
        <v>934</v>
      </c>
      <c r="N5" s="175">
        <f>L5*M5</f>
        <v>504360</v>
      </c>
      <c r="O5" s="175"/>
      <c r="P5" s="175"/>
      <c r="Q5" s="175"/>
      <c r="R5" s="846">
        <f>P5*Q5</f>
        <v>0</v>
      </c>
      <c r="S5" s="847"/>
    </row>
    <row r="6" spans="2:19" s="100" customFormat="1" ht="18" customHeight="1" x14ac:dyDescent="0.15">
      <c r="B6" s="848" t="s">
        <v>166</v>
      </c>
      <c r="C6" s="851" t="s">
        <v>243</v>
      </c>
      <c r="D6" s="175" t="s">
        <v>45</v>
      </c>
      <c r="E6" s="183"/>
      <c r="F6" s="175">
        <f>+P13</f>
        <v>0</v>
      </c>
      <c r="G6" s="148" t="s">
        <v>154</v>
      </c>
      <c r="H6" s="182"/>
      <c r="I6" s="182"/>
      <c r="J6" s="182"/>
      <c r="K6" s="180">
        <v>8</v>
      </c>
      <c r="L6" s="177">
        <v>1620</v>
      </c>
      <c r="M6" s="585">
        <v>635</v>
      </c>
      <c r="N6" s="175">
        <f>L6*M6</f>
        <v>1028700</v>
      </c>
      <c r="O6" s="175"/>
      <c r="P6" s="175"/>
      <c r="Q6" s="175"/>
      <c r="R6" s="846">
        <f t="shared" ref="R6:R9" si="0">P6*Q6</f>
        <v>0</v>
      </c>
      <c r="S6" s="847"/>
    </row>
    <row r="7" spans="2:19" s="100" customFormat="1" ht="18" customHeight="1" x14ac:dyDescent="0.15">
      <c r="B7" s="849"/>
      <c r="C7" s="852"/>
      <c r="D7" s="175" t="s">
        <v>46</v>
      </c>
      <c r="E7" s="183"/>
      <c r="F7" s="175">
        <f>P22</f>
        <v>97075</v>
      </c>
      <c r="G7" s="172" t="s">
        <v>629</v>
      </c>
      <c r="H7" s="297"/>
      <c r="I7" s="297"/>
      <c r="J7" s="298"/>
      <c r="K7" s="178"/>
      <c r="L7" s="179"/>
      <c r="M7" s="175"/>
      <c r="N7" s="175">
        <f t="shared" ref="N7:N11" si="1">L7*M7</f>
        <v>0</v>
      </c>
      <c r="O7" s="175"/>
      <c r="P7" s="175"/>
      <c r="Q7" s="175"/>
      <c r="R7" s="846">
        <f t="shared" si="0"/>
        <v>0</v>
      </c>
      <c r="S7" s="847"/>
    </row>
    <row r="8" spans="2:19" s="100" customFormat="1" ht="18" customHeight="1" x14ac:dyDescent="0.15">
      <c r="B8" s="849"/>
      <c r="C8" s="852"/>
      <c r="D8" s="175" t="s">
        <v>47</v>
      </c>
      <c r="E8" s="183"/>
      <c r="F8" s="175">
        <f>P28</f>
        <v>40321.626262626261</v>
      </c>
      <c r="G8" s="150" t="s">
        <v>627</v>
      </c>
      <c r="H8" s="163"/>
      <c r="I8" s="163"/>
      <c r="J8" s="184"/>
      <c r="K8" s="176"/>
      <c r="L8" s="175"/>
      <c r="M8" s="175"/>
      <c r="N8" s="175">
        <f t="shared" si="1"/>
        <v>0</v>
      </c>
      <c r="O8" s="175"/>
      <c r="P8" s="175"/>
      <c r="Q8" s="175"/>
      <c r="R8" s="846">
        <f t="shared" si="0"/>
        <v>0</v>
      </c>
      <c r="S8" s="847"/>
    </row>
    <row r="9" spans="2:19" s="100" customFormat="1" ht="18" customHeight="1" x14ac:dyDescent="0.15">
      <c r="B9" s="849"/>
      <c r="C9" s="852"/>
      <c r="D9" s="175" t="s">
        <v>72</v>
      </c>
      <c r="E9" s="183"/>
      <c r="F9" s="175">
        <f>P37</f>
        <v>27218</v>
      </c>
      <c r="G9" s="150" t="s">
        <v>628</v>
      </c>
      <c r="H9" s="163"/>
      <c r="I9" s="163"/>
      <c r="J9" s="184"/>
      <c r="K9" s="176"/>
      <c r="L9" s="175"/>
      <c r="M9" s="175"/>
      <c r="N9" s="175">
        <f t="shared" si="1"/>
        <v>0</v>
      </c>
      <c r="O9" s="175"/>
      <c r="P9" s="175"/>
      <c r="Q9" s="175"/>
      <c r="R9" s="846">
        <f t="shared" si="0"/>
        <v>0</v>
      </c>
      <c r="S9" s="847"/>
    </row>
    <row r="10" spans="2:19" s="100" customFormat="1" ht="18" customHeight="1" x14ac:dyDescent="0.15">
      <c r="B10" s="849"/>
      <c r="C10" s="852"/>
      <c r="D10" s="175" t="s">
        <v>48</v>
      </c>
      <c r="E10" s="183"/>
      <c r="F10" s="175">
        <f>+'８－２　ベリーＡ保温メッシュ算出基礎'!V21</f>
        <v>66850.399999999994</v>
      </c>
      <c r="G10" s="855"/>
      <c r="H10" s="856"/>
      <c r="I10" s="856"/>
      <c r="J10" s="847"/>
      <c r="K10" s="176"/>
      <c r="L10" s="175"/>
      <c r="M10" s="175"/>
      <c r="N10" s="175">
        <f t="shared" si="1"/>
        <v>0</v>
      </c>
      <c r="O10" s="175"/>
      <c r="P10" s="175"/>
      <c r="Q10" s="175"/>
      <c r="R10" s="846"/>
      <c r="S10" s="847"/>
    </row>
    <row r="11" spans="2:19" s="100" customFormat="1" ht="18" customHeight="1" thickBot="1" x14ac:dyDescent="0.2">
      <c r="B11" s="849"/>
      <c r="C11" s="852"/>
      <c r="D11" s="175" t="s">
        <v>4</v>
      </c>
      <c r="E11" s="183"/>
      <c r="F11" s="175">
        <f>+'８－２　ベリーＡ保温メッシュ算出基礎'!V38</f>
        <v>58279.714285714283</v>
      </c>
      <c r="G11" s="855"/>
      <c r="H11" s="856"/>
      <c r="I11" s="856"/>
      <c r="J11" s="847"/>
      <c r="K11" s="118"/>
      <c r="L11" s="106"/>
      <c r="M11" s="106"/>
      <c r="N11" s="105">
        <f t="shared" si="1"/>
        <v>0</v>
      </c>
      <c r="O11" s="107" t="s">
        <v>22</v>
      </c>
      <c r="P11" s="108">
        <f>SUM(L5:L11,P5:Q10)</f>
        <v>2160</v>
      </c>
      <c r="Q11" s="109">
        <f>R11/P11</f>
        <v>709.75</v>
      </c>
      <c r="R11" s="857">
        <f>SUM(N5:N11,R5:S10)</f>
        <v>1533060</v>
      </c>
      <c r="S11" s="858"/>
    </row>
    <row r="12" spans="2:19" s="100" customFormat="1" ht="18" customHeight="1" thickTop="1" x14ac:dyDescent="0.15">
      <c r="B12" s="849"/>
      <c r="C12" s="852"/>
      <c r="D12" s="175" t="s">
        <v>5</v>
      </c>
      <c r="E12" s="183"/>
      <c r="F12" s="175">
        <v>10000</v>
      </c>
      <c r="G12" s="150" t="s">
        <v>614</v>
      </c>
      <c r="H12" s="163"/>
      <c r="I12" s="163"/>
      <c r="J12" s="184"/>
      <c r="K12" s="859" t="s">
        <v>167</v>
      </c>
      <c r="L12" s="174" t="s">
        <v>128</v>
      </c>
      <c r="M12" s="304" t="s">
        <v>7</v>
      </c>
      <c r="N12" s="256" t="s">
        <v>223</v>
      </c>
      <c r="O12" s="303" t="s">
        <v>21</v>
      </c>
      <c r="P12" s="303" t="s">
        <v>24</v>
      </c>
      <c r="Q12" s="862" t="s">
        <v>25</v>
      </c>
      <c r="R12" s="863"/>
      <c r="S12" s="864"/>
    </row>
    <row r="13" spans="2:19" s="100" customFormat="1" ht="18" customHeight="1" x14ac:dyDescent="0.15">
      <c r="B13" s="849"/>
      <c r="C13" s="852"/>
      <c r="D13" s="827" t="s">
        <v>49</v>
      </c>
      <c r="E13" s="185" t="s">
        <v>152</v>
      </c>
      <c r="F13" s="175">
        <f>+'６　固定資本装備と減価償却費'!P11*H13</f>
        <v>2324.1071428571431</v>
      </c>
      <c r="G13" s="150" t="s">
        <v>156</v>
      </c>
      <c r="H13" s="575">
        <v>0.01</v>
      </c>
      <c r="I13" s="829" t="s">
        <v>158</v>
      </c>
      <c r="J13" s="830"/>
      <c r="K13" s="860"/>
      <c r="L13" s="295"/>
      <c r="M13" s="255" t="s">
        <v>224</v>
      </c>
      <c r="N13" s="131"/>
      <c r="O13" s="131"/>
      <c r="P13" s="131">
        <f>N13*O13</f>
        <v>0</v>
      </c>
      <c r="Q13" s="831"/>
      <c r="R13" s="832"/>
      <c r="S13" s="833"/>
    </row>
    <row r="14" spans="2:19" s="100" customFormat="1" ht="18" customHeight="1" x14ac:dyDescent="0.15">
      <c r="B14" s="849"/>
      <c r="C14" s="852"/>
      <c r="D14" s="828"/>
      <c r="E14" s="185" t="s">
        <v>153</v>
      </c>
      <c r="F14" s="175">
        <f>+'６　固定資本装備と減価償却費'!P20*H14</f>
        <v>2211.9047619047615</v>
      </c>
      <c r="G14" s="150" t="s">
        <v>156</v>
      </c>
      <c r="H14" s="575">
        <v>0.05</v>
      </c>
      <c r="I14" s="829" t="s">
        <v>158</v>
      </c>
      <c r="J14" s="830"/>
      <c r="K14" s="860"/>
      <c r="L14" s="299"/>
      <c r="M14" s="173"/>
      <c r="N14" s="131"/>
      <c r="O14" s="131"/>
      <c r="P14" s="131">
        <f>N14*O14</f>
        <v>0</v>
      </c>
      <c r="Q14" s="831"/>
      <c r="R14" s="832"/>
      <c r="S14" s="833"/>
    </row>
    <row r="15" spans="2:19" s="100" customFormat="1" ht="18" customHeight="1" thickBot="1" x14ac:dyDescent="0.2">
      <c r="B15" s="849"/>
      <c r="C15" s="852"/>
      <c r="D15" s="827" t="s">
        <v>73</v>
      </c>
      <c r="E15" s="185" t="s">
        <v>152</v>
      </c>
      <c r="F15" s="175">
        <f>+'６　固定資本装備と減価償却費'!P11</f>
        <v>232410.71428571429</v>
      </c>
      <c r="G15" s="150" t="s">
        <v>158</v>
      </c>
      <c r="H15" s="156"/>
      <c r="I15" s="156"/>
      <c r="J15" s="157"/>
      <c r="K15" s="860"/>
      <c r="L15" s="113" t="s">
        <v>26</v>
      </c>
      <c r="M15" s="112"/>
      <c r="N15" s="113"/>
      <c r="O15" s="113"/>
      <c r="P15" s="113">
        <f>SUM(P13:P14)</f>
        <v>0</v>
      </c>
      <c r="Q15" s="811"/>
      <c r="R15" s="812"/>
      <c r="S15" s="813"/>
    </row>
    <row r="16" spans="2:19" s="100" customFormat="1" ht="18" customHeight="1" thickTop="1" x14ac:dyDescent="0.15">
      <c r="B16" s="849"/>
      <c r="C16" s="852"/>
      <c r="D16" s="854"/>
      <c r="E16" s="185" t="s">
        <v>153</v>
      </c>
      <c r="F16" s="175">
        <f>+'６　固定資本装備と減価償却費'!P20</f>
        <v>44238.095238095229</v>
      </c>
      <c r="G16" s="150" t="s">
        <v>158</v>
      </c>
      <c r="H16" s="156"/>
      <c r="I16" s="156"/>
      <c r="J16" s="157"/>
      <c r="K16" s="860"/>
      <c r="L16" s="169" t="s">
        <v>129</v>
      </c>
      <c r="M16" s="170"/>
      <c r="N16" s="257" t="s">
        <v>223</v>
      </c>
      <c r="O16" s="302" t="s">
        <v>21</v>
      </c>
      <c r="P16" s="171" t="s">
        <v>24</v>
      </c>
      <c r="Q16" s="814" t="s">
        <v>25</v>
      </c>
      <c r="R16" s="815"/>
      <c r="S16" s="816"/>
    </row>
    <row r="17" spans="1:19" s="100" customFormat="1" ht="18" customHeight="1" x14ac:dyDescent="0.15">
      <c r="B17" s="849"/>
      <c r="C17" s="852"/>
      <c r="D17" s="828"/>
      <c r="E17" s="175" t="s">
        <v>50</v>
      </c>
      <c r="F17" s="175">
        <f>+'６　固定資本装備と減価償却費'!P23</f>
        <v>12990.333333333334</v>
      </c>
      <c r="G17" s="150" t="s">
        <v>158</v>
      </c>
      <c r="H17" s="156"/>
      <c r="I17" s="156"/>
      <c r="J17" s="157"/>
      <c r="K17" s="860"/>
      <c r="L17" s="172" t="s">
        <v>135</v>
      </c>
      <c r="M17" s="173"/>
      <c r="N17" s="150" t="s">
        <v>419</v>
      </c>
      <c r="O17" s="167"/>
      <c r="P17" s="165">
        <f>+'８－２　ベリーＡ保温メッシュ算出基礎'!G7</f>
        <v>66480</v>
      </c>
      <c r="Q17" s="805"/>
      <c r="R17" s="806"/>
      <c r="S17" s="807"/>
    </row>
    <row r="18" spans="1:19" s="100" customFormat="1" ht="18" customHeight="1" x14ac:dyDescent="0.15">
      <c r="A18" s="99"/>
      <c r="B18" s="849"/>
      <c r="C18" s="852"/>
      <c r="D18" s="175" t="s">
        <v>51</v>
      </c>
      <c r="E18" s="183"/>
      <c r="F18" s="175">
        <v>50000</v>
      </c>
      <c r="G18" s="150" t="s">
        <v>615</v>
      </c>
      <c r="H18" s="156"/>
      <c r="I18" s="576"/>
      <c r="J18" s="157"/>
      <c r="K18" s="860"/>
      <c r="L18" s="172" t="s">
        <v>133</v>
      </c>
      <c r="M18" s="173"/>
      <c r="N18" s="150" t="s">
        <v>410</v>
      </c>
      <c r="O18" s="167"/>
      <c r="P18" s="165">
        <f>+'８－２　ベリーＡ保温メッシュ算出基礎'!G12</f>
        <v>20785</v>
      </c>
      <c r="Q18" s="805"/>
      <c r="R18" s="806"/>
      <c r="S18" s="807"/>
    </row>
    <row r="19" spans="1:19" s="100" customFormat="1" ht="18" customHeight="1" x14ac:dyDescent="0.15">
      <c r="A19" s="99"/>
      <c r="B19" s="849"/>
      <c r="C19" s="852"/>
      <c r="D19" s="175" t="s">
        <v>132</v>
      </c>
      <c r="E19" s="183"/>
      <c r="F19" s="175">
        <f>SUM(F6:F18)/99</f>
        <v>6504.2413667701549</v>
      </c>
      <c r="G19" s="186" t="s">
        <v>169</v>
      </c>
      <c r="H19" s="196">
        <v>0.01</v>
      </c>
      <c r="I19" s="300"/>
      <c r="J19" s="5"/>
      <c r="K19" s="860"/>
      <c r="L19" s="150" t="s">
        <v>134</v>
      </c>
      <c r="M19" s="163"/>
      <c r="N19" s="150" t="s">
        <v>411</v>
      </c>
      <c r="O19" s="167"/>
      <c r="P19" s="165">
        <f>+'８－２　ベリーＡ保温メッシュ算出基礎'!G17</f>
        <v>8160</v>
      </c>
      <c r="Q19" s="805"/>
      <c r="R19" s="806"/>
      <c r="S19" s="807"/>
    </row>
    <row r="20" spans="1:19" s="100" customFormat="1" ht="18" customHeight="1" x14ac:dyDescent="0.15">
      <c r="A20" s="99"/>
      <c r="B20" s="849"/>
      <c r="C20" s="853"/>
      <c r="D20" s="834" t="s">
        <v>162</v>
      </c>
      <c r="E20" s="835"/>
      <c r="F20" s="129">
        <f>SUM(F6:F19)</f>
        <v>650424.13667701546</v>
      </c>
      <c r="G20" s="159"/>
      <c r="H20" s="300"/>
      <c r="I20" s="300"/>
      <c r="J20" s="301"/>
      <c r="K20" s="860"/>
      <c r="L20" s="150" t="s">
        <v>136</v>
      </c>
      <c r="M20" s="163"/>
      <c r="N20" s="150" t="s">
        <v>419</v>
      </c>
      <c r="O20" s="167"/>
      <c r="P20" s="165">
        <f>+'８－２　ベリーＡ保温メッシュ算出基礎'!G21</f>
        <v>1649.9999999999998</v>
      </c>
      <c r="Q20" s="805"/>
      <c r="R20" s="806"/>
      <c r="S20" s="807"/>
    </row>
    <row r="21" spans="1:19" s="100" customFormat="1" ht="18" customHeight="1" x14ac:dyDescent="0.15">
      <c r="A21" s="99"/>
      <c r="B21" s="849"/>
      <c r="C21" s="820" t="s">
        <v>157</v>
      </c>
      <c r="D21" s="823" t="s">
        <v>52</v>
      </c>
      <c r="E21" s="18" t="s">
        <v>1</v>
      </c>
      <c r="F21" s="105">
        <f>+P11*80</f>
        <v>172800</v>
      </c>
      <c r="G21" s="172" t="s">
        <v>484</v>
      </c>
      <c r="H21" s="163"/>
      <c r="I21" s="110"/>
      <c r="J21" s="184"/>
      <c r="K21" s="860"/>
      <c r="L21" s="150" t="s">
        <v>137</v>
      </c>
      <c r="M21" s="163"/>
      <c r="N21" s="150"/>
      <c r="O21" s="165"/>
      <c r="P21" s="165"/>
      <c r="Q21" s="805"/>
      <c r="R21" s="806"/>
      <c r="S21" s="807"/>
    </row>
    <row r="22" spans="1:19" s="100" customFormat="1" ht="18" customHeight="1" thickBot="1" x14ac:dyDescent="0.2">
      <c r="A22" s="99"/>
      <c r="B22" s="849"/>
      <c r="C22" s="821"/>
      <c r="D22" s="717"/>
      <c r="E22" s="18" t="s">
        <v>2</v>
      </c>
      <c r="F22" s="130">
        <f>+P11*18</f>
        <v>38880</v>
      </c>
      <c r="G22" s="172" t="s">
        <v>485</v>
      </c>
      <c r="H22" s="187"/>
      <c r="I22" s="187"/>
      <c r="J22" s="188"/>
      <c r="K22" s="860"/>
      <c r="L22" s="113" t="s">
        <v>26</v>
      </c>
      <c r="M22" s="112"/>
      <c r="N22" s="113"/>
      <c r="O22" s="113"/>
      <c r="P22" s="113">
        <f>SUM(P17:P21)</f>
        <v>97075</v>
      </c>
      <c r="Q22" s="811"/>
      <c r="R22" s="812"/>
      <c r="S22" s="813"/>
    </row>
    <row r="23" spans="1:19" s="100" customFormat="1" ht="18" customHeight="1" thickTop="1" x14ac:dyDescent="0.15">
      <c r="A23" s="99"/>
      <c r="B23" s="849"/>
      <c r="C23" s="821"/>
      <c r="D23" s="824"/>
      <c r="E23" s="18" t="s">
        <v>6</v>
      </c>
      <c r="F23" s="105">
        <f>+R11*0.11</f>
        <v>168636.6</v>
      </c>
      <c r="G23" s="172" t="s">
        <v>486</v>
      </c>
      <c r="H23" s="297"/>
      <c r="I23" s="187"/>
      <c r="J23" s="298"/>
      <c r="K23" s="860"/>
      <c r="L23" s="150" t="s">
        <v>130</v>
      </c>
      <c r="M23" s="163"/>
      <c r="N23" s="164" t="s">
        <v>23</v>
      </c>
      <c r="O23" s="164" t="s">
        <v>21</v>
      </c>
      <c r="P23" s="164" t="s">
        <v>24</v>
      </c>
      <c r="Q23" s="814" t="s">
        <v>25</v>
      </c>
      <c r="R23" s="815"/>
      <c r="S23" s="816"/>
    </row>
    <row r="24" spans="1:19" s="100" customFormat="1" ht="18" customHeight="1" x14ac:dyDescent="0.15">
      <c r="A24" s="99"/>
      <c r="B24" s="849"/>
      <c r="C24" s="821"/>
      <c r="D24" s="18" t="s">
        <v>226</v>
      </c>
      <c r="E24" s="25"/>
      <c r="F24" s="130"/>
      <c r="G24" s="172"/>
      <c r="H24" s="190"/>
      <c r="I24" s="191"/>
      <c r="J24" s="189"/>
      <c r="K24" s="860"/>
      <c r="L24" s="165" t="s">
        <v>27</v>
      </c>
      <c r="M24" s="163"/>
      <c r="N24" s="150" t="s">
        <v>420</v>
      </c>
      <c r="O24" s="165"/>
      <c r="P24" s="165">
        <f>+'８－２　ベリーＡ保温メッシュ算出基礎'!G42</f>
        <v>19340</v>
      </c>
      <c r="Q24" s="805"/>
      <c r="R24" s="806"/>
      <c r="S24" s="807"/>
    </row>
    <row r="25" spans="1:19" s="100" customFormat="1" ht="18" customHeight="1" x14ac:dyDescent="0.15">
      <c r="A25" s="99"/>
      <c r="B25" s="849"/>
      <c r="C25" s="821"/>
      <c r="D25" s="18" t="s">
        <v>74</v>
      </c>
      <c r="E25" s="25"/>
      <c r="F25" s="130"/>
      <c r="G25" s="172"/>
      <c r="H25" s="192"/>
      <c r="I25" s="193"/>
      <c r="J25" s="194"/>
      <c r="K25" s="860"/>
      <c r="L25" s="165" t="s">
        <v>28</v>
      </c>
      <c r="M25" s="163"/>
      <c r="N25" s="150" t="s">
        <v>421</v>
      </c>
      <c r="O25" s="165"/>
      <c r="P25" s="165">
        <f>+'８－２　ベリーＡ保温メッシュ算出基礎'!G53</f>
        <v>11783.444444444443</v>
      </c>
      <c r="Q25" s="805"/>
      <c r="R25" s="806"/>
      <c r="S25" s="807"/>
    </row>
    <row r="26" spans="1:19" s="100" customFormat="1" ht="18" customHeight="1" x14ac:dyDescent="0.15">
      <c r="A26" s="99"/>
      <c r="B26" s="849"/>
      <c r="C26" s="821"/>
      <c r="D26" s="18" t="s">
        <v>97</v>
      </c>
      <c r="E26" s="19"/>
      <c r="F26" s="130">
        <f>+'８－２　ベリーＡ保温メッシュ算出基礎'!V62</f>
        <v>13181.666666666668</v>
      </c>
      <c r="G26" s="219"/>
      <c r="H26" s="217"/>
      <c r="I26" s="217"/>
      <c r="J26" s="218"/>
      <c r="K26" s="860"/>
      <c r="L26" s="165" t="s">
        <v>29</v>
      </c>
      <c r="M26" s="163"/>
      <c r="N26" s="150" t="s">
        <v>419</v>
      </c>
      <c r="O26" s="165"/>
      <c r="P26" s="165">
        <f>+'８－２　ベリーＡ保温メッシュ算出基礎'!G57</f>
        <v>4158.181818181818</v>
      </c>
      <c r="Q26" s="805"/>
      <c r="R26" s="806"/>
      <c r="S26" s="807"/>
    </row>
    <row r="27" spans="1:19" s="100" customFormat="1" ht="18" customHeight="1" x14ac:dyDescent="0.15">
      <c r="A27" s="99"/>
      <c r="B27" s="849"/>
      <c r="C27" s="821"/>
      <c r="D27" s="26" t="s">
        <v>75</v>
      </c>
      <c r="E27" s="27"/>
      <c r="F27" s="195"/>
      <c r="G27" s="150"/>
      <c r="H27" s="192"/>
      <c r="I27" s="193"/>
      <c r="J27" s="189"/>
      <c r="K27" s="860"/>
      <c r="L27" s="165" t="s">
        <v>108</v>
      </c>
      <c r="M27" s="163"/>
      <c r="N27" s="150" t="s">
        <v>410</v>
      </c>
      <c r="O27" s="165"/>
      <c r="P27" s="165">
        <f>+'８－２　ベリーＡ保温メッシュ算出基礎'!G62</f>
        <v>5040</v>
      </c>
      <c r="Q27" s="805"/>
      <c r="R27" s="806"/>
      <c r="S27" s="807"/>
    </row>
    <row r="28" spans="1:19" s="100" customFormat="1" ht="18" customHeight="1" thickBot="1" x14ac:dyDescent="0.2">
      <c r="A28" s="99"/>
      <c r="B28" s="849"/>
      <c r="C28" s="821"/>
      <c r="D28" s="18" t="s">
        <v>53</v>
      </c>
      <c r="E28" s="19"/>
      <c r="F28" s="130">
        <f>+'８－２　ベリーＡ保温メッシュ算出基礎'!N62</f>
        <v>1516.6666666666665</v>
      </c>
      <c r="G28" s="219"/>
      <c r="H28" s="217"/>
      <c r="I28" s="217"/>
      <c r="J28" s="218"/>
      <c r="K28" s="860"/>
      <c r="L28" s="113" t="s">
        <v>26</v>
      </c>
      <c r="M28" s="112"/>
      <c r="N28" s="113"/>
      <c r="O28" s="113"/>
      <c r="P28" s="113">
        <f>SUM(P24:P27)</f>
        <v>40321.626262626261</v>
      </c>
      <c r="Q28" s="811"/>
      <c r="R28" s="812"/>
      <c r="S28" s="813"/>
    </row>
    <row r="29" spans="1:19" s="100" customFormat="1" ht="18" customHeight="1" thickTop="1" x14ac:dyDescent="0.15">
      <c r="A29" s="99"/>
      <c r="B29" s="849"/>
      <c r="C29" s="821"/>
      <c r="D29" s="18" t="s">
        <v>227</v>
      </c>
      <c r="E29" s="25"/>
      <c r="F29" s="130">
        <f>SUM(F21:F28)/99</f>
        <v>3990.049831649832</v>
      </c>
      <c r="G29" s="284" t="s">
        <v>244</v>
      </c>
      <c r="H29" s="196">
        <v>0.01</v>
      </c>
      <c r="I29" s="161"/>
      <c r="J29" s="160"/>
      <c r="K29" s="860"/>
      <c r="L29" s="150" t="s">
        <v>131</v>
      </c>
      <c r="M29" s="163"/>
      <c r="N29" s="164" t="s">
        <v>23</v>
      </c>
      <c r="O29" s="164" t="s">
        <v>21</v>
      </c>
      <c r="P29" s="164" t="s">
        <v>24</v>
      </c>
      <c r="Q29" s="814" t="s">
        <v>25</v>
      </c>
      <c r="R29" s="815"/>
      <c r="S29" s="816"/>
    </row>
    <row r="30" spans="1:19" s="100" customFormat="1" ht="18" customHeight="1" thickBot="1" x14ac:dyDescent="0.2">
      <c r="A30" s="99"/>
      <c r="B30" s="850"/>
      <c r="C30" s="822"/>
      <c r="D30" s="825" t="s">
        <v>161</v>
      </c>
      <c r="E30" s="826"/>
      <c r="F30" s="151">
        <f>SUM(F21:F29)</f>
        <v>399004.98316498316</v>
      </c>
      <c r="G30" s="152"/>
      <c r="H30" s="153"/>
      <c r="I30" s="154"/>
      <c r="J30" s="155"/>
      <c r="K30" s="860"/>
      <c r="L30" s="165" t="s">
        <v>121</v>
      </c>
      <c r="M30" s="166"/>
      <c r="N30" s="150" t="s">
        <v>415</v>
      </c>
      <c r="O30" s="167"/>
      <c r="P30" s="165">
        <f>+'８－２　ベリーＡ保温メッシュ算出基礎'!N11</f>
        <v>5256</v>
      </c>
      <c r="Q30" s="817"/>
      <c r="R30" s="818"/>
      <c r="S30" s="819"/>
    </row>
    <row r="31" spans="1:19" s="100" customFormat="1" ht="18" customHeight="1" x14ac:dyDescent="0.15">
      <c r="A31" s="99"/>
      <c r="B31" s="120"/>
      <c r="C31" s="116"/>
      <c r="D31" s="116"/>
      <c r="E31" s="116"/>
      <c r="F31" s="116"/>
      <c r="G31" s="116"/>
      <c r="H31" s="116"/>
      <c r="I31" s="116"/>
      <c r="J31" s="116"/>
      <c r="K31" s="860"/>
      <c r="L31" s="165" t="s">
        <v>122</v>
      </c>
      <c r="M31" s="166"/>
      <c r="N31" s="150" t="s">
        <v>416</v>
      </c>
      <c r="O31" s="167"/>
      <c r="P31" s="165">
        <f>+'８－２　ベリーＡ保温メッシュ算出基礎'!N16</f>
        <v>14256</v>
      </c>
      <c r="Q31" s="817"/>
      <c r="R31" s="818"/>
      <c r="S31" s="819"/>
    </row>
    <row r="32" spans="1:19" s="100" customFormat="1" ht="18" customHeight="1" x14ac:dyDescent="0.15">
      <c r="A32" s="99"/>
      <c r="B32" s="111"/>
      <c r="C32" s="125"/>
      <c r="D32" s="111"/>
      <c r="E32" s="111"/>
      <c r="F32" s="123"/>
      <c r="G32" s="123"/>
      <c r="H32" s="124"/>
      <c r="I32" s="116"/>
      <c r="J32" s="116"/>
      <c r="K32" s="860"/>
      <c r="L32" s="165" t="s">
        <v>124</v>
      </c>
      <c r="M32" s="163"/>
      <c r="N32" s="167"/>
      <c r="O32" s="167"/>
      <c r="P32" s="165">
        <f>SUM(P30:P31)*R32</f>
        <v>5853.5999999999995</v>
      </c>
      <c r="Q32" s="296" t="s">
        <v>123</v>
      </c>
      <c r="R32" s="168">
        <v>0.3</v>
      </c>
      <c r="S32" s="114"/>
    </row>
    <row r="33" spans="1:23" ht="18" customHeight="1" x14ac:dyDescent="0.15">
      <c r="K33" s="860"/>
      <c r="L33" s="165" t="s">
        <v>125</v>
      </c>
      <c r="M33" s="166"/>
      <c r="N33" s="150" t="s">
        <v>417</v>
      </c>
      <c r="O33" s="167"/>
      <c r="P33" s="165">
        <f>+'８－２　ベリーＡ保温メッシュ算出基礎'!N20</f>
        <v>1852.4</v>
      </c>
      <c r="Q33" s="805"/>
      <c r="R33" s="806"/>
      <c r="S33" s="807"/>
    </row>
    <row r="34" spans="1:23" ht="18" customHeight="1" x14ac:dyDescent="0.15">
      <c r="K34" s="860"/>
      <c r="L34" s="165" t="s">
        <v>126</v>
      </c>
      <c r="M34" s="166"/>
      <c r="N34" s="150"/>
      <c r="O34" s="167"/>
      <c r="P34" s="165"/>
      <c r="Q34" s="805"/>
      <c r="R34" s="806"/>
      <c r="S34" s="807"/>
    </row>
    <row r="35" spans="1:23" ht="18" customHeight="1" x14ac:dyDescent="0.15">
      <c r="K35" s="860"/>
      <c r="L35" s="165" t="s">
        <v>225</v>
      </c>
      <c r="M35" s="166"/>
      <c r="N35" s="150"/>
      <c r="O35" s="167"/>
      <c r="P35" s="165"/>
      <c r="Q35" s="260"/>
      <c r="R35" s="261"/>
      <c r="S35" s="262"/>
    </row>
    <row r="36" spans="1:23" ht="18" customHeight="1" x14ac:dyDescent="0.15">
      <c r="K36" s="860"/>
      <c r="L36" s="165" t="s">
        <v>127</v>
      </c>
      <c r="M36" s="163"/>
      <c r="N36" s="150"/>
      <c r="O36" s="167"/>
      <c r="P36" s="165"/>
      <c r="Q36" s="805"/>
      <c r="R36" s="806"/>
      <c r="S36" s="807"/>
    </row>
    <row r="37" spans="1:23" ht="18" customHeight="1" thickBot="1" x14ac:dyDescent="0.2">
      <c r="K37" s="861"/>
      <c r="L37" s="122" t="s">
        <v>26</v>
      </c>
      <c r="M37" s="121"/>
      <c r="N37" s="122"/>
      <c r="O37" s="122"/>
      <c r="P37" s="122">
        <f>SUM(P30:P36)</f>
        <v>27218</v>
      </c>
      <c r="Q37" s="808"/>
      <c r="R37" s="809"/>
      <c r="S37" s="810"/>
    </row>
    <row r="38" spans="1:23" s="115" customFormat="1" ht="18" customHeight="1" x14ac:dyDescent="0.15">
      <c r="A38" s="99"/>
      <c r="B38" s="99"/>
      <c r="C38" s="99"/>
      <c r="D38" s="99"/>
      <c r="E38" s="99"/>
      <c r="F38" s="99"/>
      <c r="G38" s="99"/>
      <c r="H38" s="99"/>
      <c r="I38" s="99"/>
      <c r="J38" s="99"/>
    </row>
    <row r="39" spans="1:23" s="115" customFormat="1" ht="18" customHeight="1" x14ac:dyDescent="0.15">
      <c r="A39" s="99"/>
      <c r="B39" s="99"/>
      <c r="C39" s="99"/>
      <c r="D39" s="99"/>
      <c r="E39" s="99"/>
      <c r="F39" s="99"/>
      <c r="G39" s="99"/>
      <c r="H39" s="99"/>
      <c r="I39" s="99"/>
      <c r="J39" s="99"/>
      <c r="T39" s="116"/>
    </row>
    <row r="40" spans="1:23" s="115" customFormat="1" ht="18" customHeight="1" x14ac:dyDescent="0.15">
      <c r="A40" s="99"/>
      <c r="B40" s="99"/>
      <c r="C40" s="99"/>
      <c r="D40" s="99"/>
      <c r="E40" s="99"/>
      <c r="F40" s="99"/>
      <c r="G40" s="99"/>
      <c r="H40" s="99"/>
      <c r="I40" s="99"/>
      <c r="J40" s="99"/>
      <c r="T40" s="100"/>
      <c r="U40" s="100"/>
      <c r="V40" s="100"/>
      <c r="W40" s="100"/>
    </row>
    <row r="41" spans="1:23" s="115" customFormat="1" ht="18" customHeight="1" x14ac:dyDescent="0.15">
      <c r="A41" s="99"/>
      <c r="B41" s="99"/>
      <c r="C41" s="99"/>
      <c r="D41" s="99"/>
      <c r="E41" s="99"/>
      <c r="F41" s="99"/>
      <c r="G41" s="99"/>
      <c r="H41" s="99"/>
      <c r="I41" s="99"/>
      <c r="J41" s="99"/>
      <c r="T41" s="117"/>
      <c r="U41" s="118"/>
      <c r="V41" s="119"/>
      <c r="W41" s="117"/>
    </row>
    <row r="42" spans="1:23" s="115" customFormat="1" ht="18" customHeight="1" x14ac:dyDescent="0.15">
      <c r="A42" s="99"/>
      <c r="B42" s="99"/>
      <c r="C42" s="99"/>
      <c r="D42" s="99"/>
      <c r="E42" s="99"/>
      <c r="F42" s="99"/>
      <c r="G42" s="99"/>
      <c r="H42" s="99"/>
      <c r="I42" s="99"/>
      <c r="J42" s="99"/>
      <c r="T42" s="100"/>
      <c r="U42" s="100"/>
      <c r="V42" s="100"/>
      <c r="W42" s="100"/>
    </row>
    <row r="43" spans="1:23" s="115" customFormat="1" ht="18" customHeight="1" x14ac:dyDescent="0.15">
      <c r="B43" s="99"/>
      <c r="C43" s="99"/>
      <c r="D43" s="99"/>
      <c r="E43" s="99"/>
      <c r="F43" s="99"/>
      <c r="G43" s="99"/>
      <c r="H43" s="99"/>
      <c r="I43" s="99"/>
      <c r="J43" s="99"/>
      <c r="T43" s="101"/>
      <c r="U43" s="116"/>
      <c r="V43" s="100"/>
      <c r="W43" s="117"/>
    </row>
    <row r="44" spans="1:23" s="115" customFormat="1" ht="18" customHeight="1" x14ac:dyDescent="0.15">
      <c r="B44" s="99"/>
      <c r="C44" s="99"/>
      <c r="D44" s="99"/>
      <c r="E44" s="99"/>
      <c r="F44" s="99"/>
      <c r="G44" s="99"/>
      <c r="H44" s="99"/>
      <c r="I44" s="99"/>
      <c r="J44" s="99"/>
      <c r="T44" s="101"/>
      <c r="U44" s="116"/>
      <c r="V44" s="100"/>
      <c r="W44" s="117"/>
    </row>
    <row r="45" spans="1:23" s="115" customFormat="1" ht="18" customHeight="1" x14ac:dyDescent="0.15">
      <c r="B45" s="99"/>
      <c r="C45" s="99"/>
      <c r="D45" s="99"/>
      <c r="E45" s="99"/>
      <c r="F45" s="99"/>
      <c r="G45" s="99"/>
      <c r="H45" s="99"/>
      <c r="I45" s="99"/>
      <c r="J45" s="99"/>
      <c r="T45" s="100"/>
      <c r="U45" s="100"/>
      <c r="V45" s="118"/>
      <c r="W45" s="100"/>
    </row>
    <row r="46" spans="1:23" s="115" customFormat="1" x14ac:dyDescent="0.15">
      <c r="B46" s="99"/>
      <c r="C46" s="99"/>
      <c r="D46" s="99"/>
      <c r="E46" s="99"/>
      <c r="F46" s="99"/>
      <c r="G46" s="99"/>
      <c r="H46" s="99"/>
      <c r="I46" s="99"/>
      <c r="J46" s="99"/>
      <c r="T46" s="101"/>
      <c r="U46" s="100"/>
      <c r="V46" s="100"/>
      <c r="W46" s="117"/>
    </row>
    <row r="47" spans="1:23" s="115" customFormat="1" x14ac:dyDescent="0.15">
      <c r="B47" s="99"/>
      <c r="C47" s="99"/>
      <c r="D47" s="99"/>
      <c r="E47" s="99"/>
      <c r="F47" s="99"/>
      <c r="G47" s="99"/>
      <c r="H47" s="99"/>
      <c r="I47" s="99"/>
      <c r="J47" s="99"/>
      <c r="T47" s="101"/>
      <c r="U47" s="100"/>
      <c r="V47" s="100"/>
      <c r="W47" s="117"/>
    </row>
    <row r="48" spans="1:23" s="115" customFormat="1" x14ac:dyDescent="0.15">
      <c r="B48" s="99"/>
      <c r="C48" s="99"/>
      <c r="D48" s="99"/>
      <c r="E48" s="99"/>
      <c r="F48" s="99"/>
      <c r="G48" s="99"/>
      <c r="H48" s="99"/>
      <c r="I48" s="99"/>
      <c r="J48" s="99"/>
      <c r="T48" s="101"/>
      <c r="U48" s="100"/>
      <c r="V48" s="100"/>
      <c r="W48" s="117"/>
    </row>
    <row r="49" spans="2:23" s="115" customFormat="1" x14ac:dyDescent="0.15">
      <c r="B49" s="99"/>
      <c r="C49" s="99"/>
      <c r="D49" s="99"/>
      <c r="E49" s="99"/>
      <c r="F49" s="99"/>
      <c r="G49" s="99"/>
      <c r="H49" s="99"/>
      <c r="I49" s="99"/>
      <c r="J49" s="99"/>
      <c r="T49" s="101"/>
      <c r="U49" s="100"/>
      <c r="V49" s="100"/>
      <c r="W49" s="117"/>
    </row>
    <row r="50" spans="2:23" s="115" customFormat="1" x14ac:dyDescent="0.15">
      <c r="B50" s="99"/>
      <c r="C50" s="99"/>
      <c r="D50" s="99"/>
      <c r="E50" s="99"/>
      <c r="F50" s="99"/>
      <c r="G50" s="99"/>
      <c r="H50" s="99"/>
      <c r="I50" s="99"/>
      <c r="J50" s="99"/>
      <c r="T50" s="101"/>
      <c r="U50" s="101"/>
      <c r="V50" s="101"/>
      <c r="W50" s="100"/>
    </row>
    <row r="51" spans="2:23" s="115" customFormat="1" ht="13.5" customHeight="1" x14ac:dyDescent="0.15">
      <c r="B51" s="99"/>
      <c r="C51" s="99"/>
      <c r="D51" s="99"/>
      <c r="E51" s="99"/>
      <c r="F51" s="99"/>
      <c r="G51" s="99"/>
      <c r="H51" s="99"/>
      <c r="I51" s="99"/>
      <c r="J51" s="99"/>
      <c r="T51" s="100"/>
      <c r="U51" s="100"/>
      <c r="V51" s="100"/>
      <c r="W51" s="118"/>
    </row>
    <row r="52" spans="2:23" s="115" customFormat="1" x14ac:dyDescent="0.15">
      <c r="B52" s="99"/>
      <c r="C52" s="99"/>
      <c r="D52" s="99"/>
      <c r="E52" s="99"/>
      <c r="F52" s="99"/>
      <c r="G52" s="99"/>
      <c r="H52" s="99"/>
      <c r="I52" s="99"/>
      <c r="J52" s="99"/>
      <c r="T52" s="117"/>
      <c r="U52" s="100"/>
      <c r="V52" s="118"/>
      <c r="W52" s="117"/>
    </row>
    <row r="53" spans="2:23" s="115" customFormat="1" x14ac:dyDescent="0.15">
      <c r="B53" s="99"/>
      <c r="C53" s="99"/>
      <c r="D53" s="99"/>
      <c r="E53" s="99"/>
      <c r="F53" s="99"/>
      <c r="G53" s="99"/>
      <c r="H53" s="99"/>
      <c r="I53" s="99"/>
      <c r="J53" s="99"/>
      <c r="T53" s="100"/>
      <c r="U53" s="100"/>
      <c r="V53" s="100"/>
      <c r="W53" s="100"/>
    </row>
    <row r="54" spans="2:23" s="115" customFormat="1" ht="13.5" customHeight="1" x14ac:dyDescent="0.15">
      <c r="B54" s="99"/>
      <c r="C54" s="99"/>
      <c r="D54" s="99"/>
      <c r="E54" s="99"/>
      <c r="F54" s="99"/>
      <c r="G54" s="99"/>
      <c r="H54" s="99"/>
      <c r="I54" s="99"/>
      <c r="J54" s="99"/>
      <c r="T54" s="101"/>
      <c r="U54" s="100"/>
      <c r="V54" s="101"/>
      <c r="W54" s="117"/>
    </row>
    <row r="55" spans="2:23" s="115" customFormat="1" x14ac:dyDescent="0.15">
      <c r="B55" s="99"/>
      <c r="C55" s="99"/>
      <c r="D55" s="99"/>
      <c r="E55" s="99"/>
      <c r="F55" s="99"/>
      <c r="G55" s="99"/>
      <c r="H55" s="99"/>
      <c r="I55" s="99"/>
      <c r="J55" s="99"/>
      <c r="T55" s="126"/>
      <c r="U55" s="100"/>
      <c r="V55" s="100"/>
      <c r="W55" s="117"/>
    </row>
    <row r="56" spans="2:23" s="115" customFormat="1" x14ac:dyDescent="0.15"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100"/>
      <c r="U56" s="101"/>
      <c r="V56" s="100"/>
      <c r="W56" s="100"/>
    </row>
    <row r="57" spans="2:23" s="115" customFormat="1" x14ac:dyDescent="0.15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116"/>
      <c r="U57" s="116"/>
      <c r="V57" s="116"/>
      <c r="W57" s="116"/>
    </row>
    <row r="58" spans="2:23" s="115" customFormat="1" x14ac:dyDescent="0.15"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116"/>
    </row>
    <row r="59" spans="2:23" s="115" customFormat="1" x14ac:dyDescent="0.15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116"/>
    </row>
    <row r="60" spans="2:23" s="115" customFormat="1" x14ac:dyDescent="0.15"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116"/>
    </row>
    <row r="61" spans="2:23" s="115" customFormat="1" x14ac:dyDescent="0.15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</row>
    <row r="62" spans="2:23" s="115" customFormat="1" x14ac:dyDescent="0.15"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2:23" s="115" customFormat="1" ht="13.5" customHeight="1" x14ac:dyDescent="0.15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</row>
    <row r="64" spans="2:23" s="115" customFormat="1" ht="13.5" customHeight="1" x14ac:dyDescent="0.15"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</row>
    <row r="65" spans="2:19" s="115" customFormat="1" x14ac:dyDescent="0.15"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</row>
    <row r="66" spans="2:19" s="115" customFormat="1" x14ac:dyDescent="0.15"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</row>
    <row r="67" spans="2:19" s="115" customFormat="1" x14ac:dyDescent="0.15"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</row>
    <row r="68" spans="2:19" s="115" customFormat="1" ht="13.5" customHeight="1" x14ac:dyDescent="0.15"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</row>
    <row r="69" spans="2:19" s="115" customFormat="1" x14ac:dyDescent="0.15"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</row>
    <row r="70" spans="2:19" s="115" customFormat="1" x14ac:dyDescent="0.15"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</row>
    <row r="71" spans="2:19" s="115" customFormat="1" x14ac:dyDescent="0.15"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</row>
    <row r="72" spans="2:19" s="115" customFormat="1" x14ac:dyDescent="0.15"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</row>
    <row r="73" spans="2:19" s="115" customFormat="1" x14ac:dyDescent="0.15"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</row>
    <row r="74" spans="2:19" s="115" customFormat="1" ht="13.5" customHeight="1" x14ac:dyDescent="0.15"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</row>
    <row r="75" spans="2:19" s="115" customFormat="1" x14ac:dyDescent="0.15"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</row>
    <row r="76" spans="2:19" s="115" customFormat="1" x14ac:dyDescent="0.15"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</row>
    <row r="77" spans="2:19" s="115" customFormat="1" x14ac:dyDescent="0.15"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</row>
    <row r="78" spans="2:19" s="115" customFormat="1" x14ac:dyDescent="0.15"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</row>
    <row r="79" spans="2:19" s="115" customFormat="1" x14ac:dyDescent="0.15"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</row>
    <row r="80" spans="2:19" s="115" customFormat="1" x14ac:dyDescent="0.15"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</row>
    <row r="81" spans="1:19" s="115" customFormat="1" x14ac:dyDescent="0.15"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</row>
    <row r="82" spans="1:19" s="115" customFormat="1" x14ac:dyDescent="0.15"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</row>
    <row r="83" spans="1:19" s="115" customFormat="1" x14ac:dyDescent="0.15"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</row>
    <row r="84" spans="1:19" s="115" customFormat="1" x14ac:dyDescent="0.15"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</row>
    <row r="85" spans="1:19" s="115" customFormat="1" x14ac:dyDescent="0.15"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</row>
    <row r="86" spans="1:19" s="115" customFormat="1" ht="13.5" customHeight="1" x14ac:dyDescent="0.15"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</row>
    <row r="87" spans="1:19" s="115" customFormat="1" x14ac:dyDescent="0.15"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</row>
    <row r="88" spans="1:19" s="115" customFormat="1" x14ac:dyDescent="0.15"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</row>
    <row r="89" spans="1:19" s="115" customFormat="1" ht="13.5" customHeight="1" x14ac:dyDescent="0.15"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</row>
    <row r="90" spans="1:19" s="115" customFormat="1" x14ac:dyDescent="0.15"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</row>
    <row r="91" spans="1:19" s="115" customFormat="1" x14ac:dyDescent="0.15"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</row>
    <row r="92" spans="1:19" s="115" customFormat="1" x14ac:dyDescent="0.15"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</row>
    <row r="93" spans="1:19" s="115" customFormat="1" x14ac:dyDescent="0.15"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</row>
    <row r="94" spans="1:19" s="115" customFormat="1" x14ac:dyDescent="0.15"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</row>
    <row r="95" spans="1:19" x14ac:dyDescent="0.15">
      <c r="A95" s="115"/>
    </row>
    <row r="96" spans="1:19" x14ac:dyDescent="0.15">
      <c r="A96" s="115"/>
    </row>
    <row r="97" spans="1:1" x14ac:dyDescent="0.15">
      <c r="A97" s="115"/>
    </row>
    <row r="98" spans="1:1" x14ac:dyDescent="0.15">
      <c r="A98" s="115"/>
    </row>
    <row r="99" spans="1:1" x14ac:dyDescent="0.15">
      <c r="A99" s="115"/>
    </row>
  </sheetData>
  <mergeCells count="48">
    <mergeCell ref="B6:B30"/>
    <mergeCell ref="C6:C20"/>
    <mergeCell ref="R6:S6"/>
    <mergeCell ref="R7:S7"/>
    <mergeCell ref="R8:S8"/>
    <mergeCell ref="D15:D17"/>
    <mergeCell ref="Q15:S15"/>
    <mergeCell ref="Q16:S16"/>
    <mergeCell ref="Q17:S17"/>
    <mergeCell ref="R9:S9"/>
    <mergeCell ref="G10:J10"/>
    <mergeCell ref="R10:S10"/>
    <mergeCell ref="G11:J11"/>
    <mergeCell ref="R11:S11"/>
    <mergeCell ref="K12:K37"/>
    <mergeCell ref="Q12:S12"/>
    <mergeCell ref="B3:E3"/>
    <mergeCell ref="K3:S3"/>
    <mergeCell ref="B4:C5"/>
    <mergeCell ref="R4:S4"/>
    <mergeCell ref="R5:S5"/>
    <mergeCell ref="Q18:S18"/>
    <mergeCell ref="Q19:S19"/>
    <mergeCell ref="Q27:S27"/>
    <mergeCell ref="D13:D14"/>
    <mergeCell ref="I13:J13"/>
    <mergeCell ref="Q13:S13"/>
    <mergeCell ref="I14:J14"/>
    <mergeCell ref="Q14:S14"/>
    <mergeCell ref="D20:E20"/>
    <mergeCell ref="Q20:S20"/>
    <mergeCell ref="C21:C30"/>
    <mergeCell ref="D21:D23"/>
    <mergeCell ref="Q21:S21"/>
    <mergeCell ref="Q22:S22"/>
    <mergeCell ref="Q23:S23"/>
    <mergeCell ref="Q24:S24"/>
    <mergeCell ref="Q25:S25"/>
    <mergeCell ref="Q26:S26"/>
    <mergeCell ref="D30:E30"/>
    <mergeCell ref="Q30:S30"/>
    <mergeCell ref="Q36:S36"/>
    <mergeCell ref="Q37:S37"/>
    <mergeCell ref="Q28:S28"/>
    <mergeCell ref="Q29:S29"/>
    <mergeCell ref="Q31:S31"/>
    <mergeCell ref="Q33:S33"/>
    <mergeCell ref="Q34:S34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view="pageBreakPreview" zoomScale="72" zoomScaleNormal="100" zoomScaleSheetLayoutView="72" workbookViewId="0">
      <selection activeCell="AR26" sqref="AR26"/>
    </sheetView>
  </sheetViews>
  <sheetFormatPr defaultColWidth="10.875" defaultRowHeight="13.5" x14ac:dyDescent="0.15"/>
  <cols>
    <col min="1" max="1" width="1.625" style="99" customWidth="1"/>
    <col min="2" max="2" width="5.875" style="99" customWidth="1"/>
    <col min="3" max="3" width="10.625" style="99" customWidth="1"/>
    <col min="4" max="4" width="12.375" style="99" customWidth="1"/>
    <col min="5" max="5" width="14.625" style="99" customWidth="1"/>
    <col min="6" max="7" width="15.875" style="99" customWidth="1"/>
    <col min="8" max="8" width="10.875" style="99"/>
    <col min="9" max="9" width="11.375" style="99" bestFit="1" customWidth="1"/>
    <col min="10" max="10" width="13.375" style="99" customWidth="1"/>
    <col min="11" max="11" width="7.125" style="99" customWidth="1"/>
    <col min="12" max="12" width="15.375" style="99" customWidth="1"/>
    <col min="13" max="13" width="9.375" style="99" bestFit="1" customWidth="1"/>
    <col min="14" max="14" width="10.875" style="99"/>
    <col min="15" max="15" width="7.25" style="99" customWidth="1"/>
    <col min="16" max="16" width="9.625" style="99" customWidth="1"/>
    <col min="17" max="17" width="10.875" style="99" customWidth="1"/>
    <col min="18" max="18" width="7.5" style="99" customWidth="1"/>
    <col min="19" max="19" width="3.75" style="99" customWidth="1"/>
    <col min="20" max="16384" width="10.875" style="99"/>
  </cols>
  <sheetData>
    <row r="1" spans="2:19" s="100" customFormat="1" ht="9.9499999999999993" customHeight="1" x14ac:dyDescent="0.15"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2:19" s="100" customFormat="1" ht="24.95" customHeight="1" thickBot="1" x14ac:dyDescent="0.2">
      <c r="B2" s="2" t="s">
        <v>465</v>
      </c>
      <c r="H2" s="101" t="s">
        <v>192</v>
      </c>
      <c r="I2" s="2" t="s">
        <v>418</v>
      </c>
      <c r="K2" s="101" t="s">
        <v>193</v>
      </c>
      <c r="L2" s="2" t="s">
        <v>423</v>
      </c>
      <c r="N2" s="99"/>
      <c r="O2" s="99"/>
      <c r="Q2" s="3"/>
      <c r="R2" s="3"/>
    </row>
    <row r="3" spans="2:19" s="100" customFormat="1" ht="18" customHeight="1" x14ac:dyDescent="0.15">
      <c r="B3" s="836" t="s">
        <v>17</v>
      </c>
      <c r="C3" s="837"/>
      <c r="D3" s="837"/>
      <c r="E3" s="838"/>
      <c r="F3" s="306" t="s">
        <v>18</v>
      </c>
      <c r="G3" s="103"/>
      <c r="H3" s="104" t="s">
        <v>19</v>
      </c>
      <c r="I3" s="102"/>
      <c r="J3" s="102"/>
      <c r="K3" s="839" t="s">
        <v>168</v>
      </c>
      <c r="L3" s="840"/>
      <c r="M3" s="840"/>
      <c r="N3" s="840"/>
      <c r="O3" s="840"/>
      <c r="P3" s="840"/>
      <c r="Q3" s="840"/>
      <c r="R3" s="840"/>
      <c r="S3" s="841"/>
    </row>
    <row r="4" spans="2:19" s="100" customFormat="1" ht="18" customHeight="1" x14ac:dyDescent="0.15">
      <c r="B4" s="842" t="s">
        <v>20</v>
      </c>
      <c r="C4" s="843"/>
      <c r="D4" s="172" t="s">
        <v>163</v>
      </c>
      <c r="E4" s="181"/>
      <c r="F4" s="175">
        <f>R11</f>
        <v>1162080</v>
      </c>
      <c r="G4" s="172" t="s">
        <v>590</v>
      </c>
      <c r="H4" s="297"/>
      <c r="I4" s="297"/>
      <c r="J4" s="297"/>
      <c r="K4" s="253" t="s">
        <v>220</v>
      </c>
      <c r="L4" s="254" t="s">
        <v>221</v>
      </c>
      <c r="M4" s="305" t="s">
        <v>21</v>
      </c>
      <c r="N4" s="305" t="s">
        <v>20</v>
      </c>
      <c r="O4" s="254" t="s">
        <v>220</v>
      </c>
      <c r="P4" s="254" t="s">
        <v>221</v>
      </c>
      <c r="Q4" s="305" t="s">
        <v>21</v>
      </c>
      <c r="R4" s="844" t="s">
        <v>20</v>
      </c>
      <c r="S4" s="845"/>
    </row>
    <row r="5" spans="2:19" s="100" customFormat="1" ht="18" customHeight="1" x14ac:dyDescent="0.15">
      <c r="B5" s="842"/>
      <c r="C5" s="843"/>
      <c r="D5" s="172" t="s">
        <v>71</v>
      </c>
      <c r="E5" s="181"/>
      <c r="F5" s="175"/>
      <c r="G5" s="148"/>
      <c r="H5" s="182"/>
      <c r="I5" s="182"/>
      <c r="J5" s="182"/>
      <c r="K5" s="252"/>
      <c r="L5" s="175">
        <v>2160</v>
      </c>
      <c r="M5" s="175">
        <f>+'９-２　ベリーＡ単価算出基礎'!K20</f>
        <v>538</v>
      </c>
      <c r="N5" s="175">
        <f>L5*M5</f>
        <v>1162080</v>
      </c>
      <c r="O5" s="175"/>
      <c r="P5" s="175"/>
      <c r="Q5" s="175"/>
      <c r="R5" s="846">
        <f>P5*Q5</f>
        <v>0</v>
      </c>
      <c r="S5" s="847"/>
    </row>
    <row r="6" spans="2:19" s="100" customFormat="1" ht="18" customHeight="1" x14ac:dyDescent="0.15">
      <c r="B6" s="848" t="s">
        <v>166</v>
      </c>
      <c r="C6" s="851" t="s">
        <v>243</v>
      </c>
      <c r="D6" s="175" t="s">
        <v>45</v>
      </c>
      <c r="E6" s="183"/>
      <c r="F6" s="175">
        <f>+P13</f>
        <v>0</v>
      </c>
      <c r="G6" s="148" t="s">
        <v>154</v>
      </c>
      <c r="H6" s="182"/>
      <c r="I6" s="182"/>
      <c r="J6" s="182"/>
      <c r="K6" s="180"/>
      <c r="L6" s="177"/>
      <c r="M6" s="175"/>
      <c r="N6" s="175">
        <f>L6*M6</f>
        <v>0</v>
      </c>
      <c r="O6" s="175"/>
      <c r="P6" s="175"/>
      <c r="Q6" s="175"/>
      <c r="R6" s="846">
        <f t="shared" ref="R6:R9" si="0">P6*Q6</f>
        <v>0</v>
      </c>
      <c r="S6" s="847"/>
    </row>
    <row r="7" spans="2:19" s="100" customFormat="1" ht="18" customHeight="1" x14ac:dyDescent="0.15">
      <c r="B7" s="849"/>
      <c r="C7" s="852"/>
      <c r="D7" s="175" t="s">
        <v>46</v>
      </c>
      <c r="E7" s="183"/>
      <c r="F7" s="175">
        <f>P22</f>
        <v>97075</v>
      </c>
      <c r="G7" s="172" t="s">
        <v>424</v>
      </c>
      <c r="H7" s="297"/>
      <c r="I7" s="297"/>
      <c r="J7" s="298"/>
      <c r="K7" s="178"/>
      <c r="L7" s="179"/>
      <c r="M7" s="175"/>
      <c r="N7" s="175">
        <f t="shared" ref="N7:N11" si="1">L7*M7</f>
        <v>0</v>
      </c>
      <c r="O7" s="175"/>
      <c r="P7" s="175"/>
      <c r="Q7" s="175"/>
      <c r="R7" s="846">
        <f t="shared" si="0"/>
        <v>0</v>
      </c>
      <c r="S7" s="847"/>
    </row>
    <row r="8" spans="2:19" s="100" customFormat="1" ht="18" customHeight="1" x14ac:dyDescent="0.15">
      <c r="B8" s="849"/>
      <c r="C8" s="852"/>
      <c r="D8" s="175" t="s">
        <v>47</v>
      </c>
      <c r="E8" s="183"/>
      <c r="F8" s="175">
        <f>P28</f>
        <v>40321.626262626261</v>
      </c>
      <c r="G8" s="150" t="s">
        <v>425</v>
      </c>
      <c r="H8" s="163"/>
      <c r="I8" s="163"/>
      <c r="J8" s="184"/>
      <c r="K8" s="176"/>
      <c r="L8" s="175"/>
      <c r="M8" s="175"/>
      <c r="N8" s="175">
        <f t="shared" si="1"/>
        <v>0</v>
      </c>
      <c r="O8" s="175"/>
      <c r="P8" s="175"/>
      <c r="Q8" s="175"/>
      <c r="R8" s="846">
        <f t="shared" si="0"/>
        <v>0</v>
      </c>
      <c r="S8" s="847"/>
    </row>
    <row r="9" spans="2:19" s="100" customFormat="1" ht="18" customHeight="1" x14ac:dyDescent="0.15">
      <c r="B9" s="849"/>
      <c r="C9" s="852"/>
      <c r="D9" s="175" t="s">
        <v>72</v>
      </c>
      <c r="E9" s="183"/>
      <c r="F9" s="175">
        <f>P37</f>
        <v>25340.15</v>
      </c>
      <c r="G9" s="150" t="s">
        <v>426</v>
      </c>
      <c r="H9" s="163"/>
      <c r="I9" s="163"/>
      <c r="J9" s="184"/>
      <c r="K9" s="176"/>
      <c r="L9" s="175"/>
      <c r="M9" s="175"/>
      <c r="N9" s="175">
        <f t="shared" si="1"/>
        <v>0</v>
      </c>
      <c r="O9" s="175"/>
      <c r="P9" s="175"/>
      <c r="Q9" s="175"/>
      <c r="R9" s="846">
        <f t="shared" si="0"/>
        <v>0</v>
      </c>
      <c r="S9" s="847"/>
    </row>
    <row r="10" spans="2:19" s="100" customFormat="1" ht="18" customHeight="1" x14ac:dyDescent="0.15">
      <c r="B10" s="849"/>
      <c r="C10" s="852"/>
      <c r="D10" s="175" t="s">
        <v>48</v>
      </c>
      <c r="E10" s="183"/>
      <c r="F10" s="175">
        <f>+'８－３　ベリーＡトンネル算出基礎'!V21</f>
        <v>44644.4</v>
      </c>
      <c r="G10" s="855" t="s">
        <v>427</v>
      </c>
      <c r="H10" s="856"/>
      <c r="I10" s="856"/>
      <c r="J10" s="847"/>
      <c r="K10" s="176"/>
      <c r="L10" s="175"/>
      <c r="M10" s="175"/>
      <c r="N10" s="175">
        <f t="shared" si="1"/>
        <v>0</v>
      </c>
      <c r="O10" s="175"/>
      <c r="P10" s="175"/>
      <c r="Q10" s="175"/>
      <c r="R10" s="846"/>
      <c r="S10" s="847"/>
    </row>
    <row r="11" spans="2:19" s="100" customFormat="1" ht="18" customHeight="1" thickBot="1" x14ac:dyDescent="0.2">
      <c r="B11" s="849"/>
      <c r="C11" s="852"/>
      <c r="D11" s="175" t="s">
        <v>4</v>
      </c>
      <c r="E11" s="183"/>
      <c r="F11" s="175">
        <f>+'８－３　ベリーＡトンネル算出基礎'!V38</f>
        <v>6771.971428571429</v>
      </c>
      <c r="G11" s="855" t="s">
        <v>427</v>
      </c>
      <c r="H11" s="856"/>
      <c r="I11" s="856"/>
      <c r="J11" s="847"/>
      <c r="K11" s="118"/>
      <c r="L11" s="106"/>
      <c r="M11" s="106"/>
      <c r="N11" s="105">
        <f t="shared" si="1"/>
        <v>0</v>
      </c>
      <c r="O11" s="107" t="s">
        <v>22</v>
      </c>
      <c r="P11" s="108">
        <f>SUM(L5:L11,P5:Q10)</f>
        <v>2160</v>
      </c>
      <c r="Q11" s="109">
        <f>R11/P11</f>
        <v>538</v>
      </c>
      <c r="R11" s="857">
        <f>SUM(N5:N11,R5:S10)</f>
        <v>1162080</v>
      </c>
      <c r="S11" s="858"/>
    </row>
    <row r="12" spans="2:19" s="100" customFormat="1" ht="18" customHeight="1" thickTop="1" x14ac:dyDescent="0.15">
      <c r="B12" s="849"/>
      <c r="C12" s="852"/>
      <c r="D12" s="175" t="s">
        <v>5</v>
      </c>
      <c r="E12" s="183"/>
      <c r="F12" s="175"/>
      <c r="G12" s="150" t="s">
        <v>155</v>
      </c>
      <c r="H12" s="163"/>
      <c r="I12" s="163"/>
      <c r="J12" s="184"/>
      <c r="K12" s="859" t="s">
        <v>167</v>
      </c>
      <c r="L12" s="174" t="s">
        <v>128</v>
      </c>
      <c r="M12" s="304" t="s">
        <v>7</v>
      </c>
      <c r="N12" s="256" t="s">
        <v>223</v>
      </c>
      <c r="O12" s="303" t="s">
        <v>21</v>
      </c>
      <c r="P12" s="303" t="s">
        <v>24</v>
      </c>
      <c r="Q12" s="862" t="s">
        <v>25</v>
      </c>
      <c r="R12" s="863"/>
      <c r="S12" s="864"/>
    </row>
    <row r="13" spans="2:19" s="100" customFormat="1" ht="18" customHeight="1" x14ac:dyDescent="0.15">
      <c r="B13" s="849"/>
      <c r="C13" s="852"/>
      <c r="D13" s="827" t="s">
        <v>49</v>
      </c>
      <c r="E13" s="185" t="s">
        <v>152</v>
      </c>
      <c r="F13" s="175">
        <f>+'６　固定資本装備と減価償却費'!P11*H13</f>
        <v>2324.1071428571431</v>
      </c>
      <c r="G13" s="150" t="s">
        <v>156</v>
      </c>
      <c r="H13" s="158">
        <v>0.01</v>
      </c>
      <c r="I13" s="829" t="s">
        <v>158</v>
      </c>
      <c r="J13" s="830"/>
      <c r="K13" s="860"/>
      <c r="L13" s="295" t="s">
        <v>483</v>
      </c>
      <c r="M13" s="255" t="s">
        <v>224</v>
      </c>
      <c r="N13" s="131"/>
      <c r="O13" s="131"/>
      <c r="P13" s="131">
        <f>N13*O13</f>
        <v>0</v>
      </c>
      <c r="Q13" s="831"/>
      <c r="R13" s="832"/>
      <c r="S13" s="833"/>
    </row>
    <row r="14" spans="2:19" s="100" customFormat="1" ht="18" customHeight="1" x14ac:dyDescent="0.15">
      <c r="B14" s="849"/>
      <c r="C14" s="852"/>
      <c r="D14" s="828"/>
      <c r="E14" s="185" t="s">
        <v>153</v>
      </c>
      <c r="F14" s="175">
        <f>+'６　固定資本装備と減価償却費'!P20*H14</f>
        <v>2211.9047619047615</v>
      </c>
      <c r="G14" s="150" t="s">
        <v>156</v>
      </c>
      <c r="H14" s="158">
        <v>0.05</v>
      </c>
      <c r="I14" s="829" t="s">
        <v>158</v>
      </c>
      <c r="J14" s="830"/>
      <c r="K14" s="860"/>
      <c r="L14" s="299"/>
      <c r="M14" s="173"/>
      <c r="N14" s="131"/>
      <c r="O14" s="131"/>
      <c r="P14" s="131">
        <f>N14*O14</f>
        <v>0</v>
      </c>
      <c r="Q14" s="831"/>
      <c r="R14" s="832"/>
      <c r="S14" s="833"/>
    </row>
    <row r="15" spans="2:19" s="100" customFormat="1" ht="18" customHeight="1" thickBot="1" x14ac:dyDescent="0.2">
      <c r="B15" s="849"/>
      <c r="C15" s="852"/>
      <c r="D15" s="827" t="s">
        <v>73</v>
      </c>
      <c r="E15" s="185" t="s">
        <v>152</v>
      </c>
      <c r="F15" s="175">
        <f>+'６　固定資本装備と減価償却費'!P11</f>
        <v>232410.71428571429</v>
      </c>
      <c r="G15" s="150" t="s">
        <v>158</v>
      </c>
      <c r="H15" s="156"/>
      <c r="I15" s="156"/>
      <c r="J15" s="157"/>
      <c r="K15" s="860"/>
      <c r="L15" s="113" t="s">
        <v>26</v>
      </c>
      <c r="M15" s="112"/>
      <c r="N15" s="113"/>
      <c r="O15" s="113"/>
      <c r="P15" s="113">
        <f>SUM(P10:P14)</f>
        <v>2160</v>
      </c>
      <c r="Q15" s="811"/>
      <c r="R15" s="812"/>
      <c r="S15" s="813"/>
    </row>
    <row r="16" spans="2:19" s="100" customFormat="1" ht="18" customHeight="1" thickTop="1" x14ac:dyDescent="0.15">
      <c r="B16" s="849"/>
      <c r="C16" s="852"/>
      <c r="D16" s="854"/>
      <c r="E16" s="185" t="s">
        <v>153</v>
      </c>
      <c r="F16" s="175">
        <f>+'６　固定資本装備と減価償却費'!P20</f>
        <v>44238.095238095229</v>
      </c>
      <c r="G16" s="150" t="s">
        <v>158</v>
      </c>
      <c r="H16" s="156"/>
      <c r="I16" s="156"/>
      <c r="J16" s="157"/>
      <c r="K16" s="860"/>
      <c r="L16" s="169" t="s">
        <v>129</v>
      </c>
      <c r="M16" s="170"/>
      <c r="N16" s="257" t="s">
        <v>223</v>
      </c>
      <c r="O16" s="302" t="s">
        <v>21</v>
      </c>
      <c r="P16" s="171" t="s">
        <v>24</v>
      </c>
      <c r="Q16" s="814" t="s">
        <v>25</v>
      </c>
      <c r="R16" s="815"/>
      <c r="S16" s="816"/>
    </row>
    <row r="17" spans="1:19" s="100" customFormat="1" ht="18" customHeight="1" x14ac:dyDescent="0.15">
      <c r="B17" s="849"/>
      <c r="C17" s="852"/>
      <c r="D17" s="828"/>
      <c r="E17" s="175" t="s">
        <v>50</v>
      </c>
      <c r="F17" s="175">
        <f>+'６　固定資本装備と減価償却費'!P23</f>
        <v>12990.333333333334</v>
      </c>
      <c r="G17" s="150" t="s">
        <v>158</v>
      </c>
      <c r="H17" s="156"/>
      <c r="I17" s="156"/>
      <c r="J17" s="157"/>
      <c r="K17" s="860"/>
      <c r="L17" s="172" t="s">
        <v>135</v>
      </c>
      <c r="M17" s="173"/>
      <c r="N17" s="150" t="s">
        <v>419</v>
      </c>
      <c r="O17" s="167"/>
      <c r="P17" s="165">
        <f>+'８－３　ベリーＡトンネル算出基礎'!G7</f>
        <v>66480</v>
      </c>
      <c r="Q17" s="805"/>
      <c r="R17" s="806"/>
      <c r="S17" s="807"/>
    </row>
    <row r="18" spans="1:19" s="100" customFormat="1" ht="18" customHeight="1" x14ac:dyDescent="0.15">
      <c r="A18" s="99"/>
      <c r="B18" s="849"/>
      <c r="C18" s="852"/>
      <c r="D18" s="175" t="s">
        <v>51</v>
      </c>
      <c r="E18" s="183"/>
      <c r="F18" s="175"/>
      <c r="G18" s="150"/>
      <c r="H18" s="156"/>
      <c r="I18" s="162" t="s">
        <v>588</v>
      </c>
      <c r="J18" s="157"/>
      <c r="K18" s="860"/>
      <c r="L18" s="172" t="s">
        <v>133</v>
      </c>
      <c r="M18" s="173"/>
      <c r="N18" s="150" t="s">
        <v>410</v>
      </c>
      <c r="O18" s="167"/>
      <c r="P18" s="165">
        <f>+'８－３　ベリーＡトンネル算出基礎'!G12</f>
        <v>20785</v>
      </c>
      <c r="Q18" s="805"/>
      <c r="R18" s="806"/>
      <c r="S18" s="807"/>
    </row>
    <row r="19" spans="1:19" s="100" customFormat="1" ht="18" customHeight="1" x14ac:dyDescent="0.15">
      <c r="A19" s="99"/>
      <c r="B19" s="849"/>
      <c r="C19" s="852"/>
      <c r="D19" s="175" t="s">
        <v>132</v>
      </c>
      <c r="E19" s="183"/>
      <c r="F19" s="175">
        <f>SUM(F6:F18)/99</f>
        <v>5134.6293177081052</v>
      </c>
      <c r="G19" s="186" t="s">
        <v>169</v>
      </c>
      <c r="H19" s="196">
        <v>0.01</v>
      </c>
      <c r="I19" s="300"/>
      <c r="J19" s="5"/>
      <c r="K19" s="860"/>
      <c r="L19" s="150" t="s">
        <v>134</v>
      </c>
      <c r="M19" s="163"/>
      <c r="N19" s="150" t="s">
        <v>411</v>
      </c>
      <c r="O19" s="167"/>
      <c r="P19" s="165">
        <f>+'８－３　ベリーＡトンネル算出基礎'!G17</f>
        <v>8160</v>
      </c>
      <c r="Q19" s="805"/>
      <c r="R19" s="806"/>
      <c r="S19" s="807"/>
    </row>
    <row r="20" spans="1:19" s="100" customFormat="1" ht="18" customHeight="1" x14ac:dyDescent="0.15">
      <c r="A20" s="99"/>
      <c r="B20" s="849"/>
      <c r="C20" s="853"/>
      <c r="D20" s="834" t="s">
        <v>162</v>
      </c>
      <c r="E20" s="835"/>
      <c r="F20" s="129">
        <f>SUM(F6:F19)</f>
        <v>513462.93177081051</v>
      </c>
      <c r="G20" s="159"/>
      <c r="H20" s="300"/>
      <c r="I20" s="300"/>
      <c r="J20" s="301"/>
      <c r="K20" s="860"/>
      <c r="L20" s="150" t="s">
        <v>136</v>
      </c>
      <c r="M20" s="163"/>
      <c r="N20" s="150" t="s">
        <v>419</v>
      </c>
      <c r="O20" s="167"/>
      <c r="P20" s="165">
        <f>+'８－３　ベリーＡトンネル算出基礎'!G21</f>
        <v>1649.9999999999998</v>
      </c>
      <c r="Q20" s="805"/>
      <c r="R20" s="806"/>
      <c r="S20" s="807"/>
    </row>
    <row r="21" spans="1:19" s="100" customFormat="1" ht="18" customHeight="1" x14ac:dyDescent="0.15">
      <c r="A21" s="99"/>
      <c r="B21" s="849"/>
      <c r="C21" s="820" t="s">
        <v>157</v>
      </c>
      <c r="D21" s="823" t="s">
        <v>52</v>
      </c>
      <c r="E21" s="18" t="s">
        <v>1</v>
      </c>
      <c r="F21" s="105">
        <f>+P11*80</f>
        <v>172800</v>
      </c>
      <c r="G21" s="172" t="s">
        <v>484</v>
      </c>
      <c r="H21" s="163"/>
      <c r="I21" s="110"/>
      <c r="J21" s="184"/>
      <c r="K21" s="860"/>
      <c r="L21" s="150" t="s">
        <v>137</v>
      </c>
      <c r="M21" s="163"/>
      <c r="N21" s="150"/>
      <c r="O21" s="165"/>
      <c r="P21" s="165"/>
      <c r="Q21" s="805"/>
      <c r="R21" s="806"/>
      <c r="S21" s="807"/>
    </row>
    <row r="22" spans="1:19" s="100" customFormat="1" ht="18" customHeight="1" thickBot="1" x14ac:dyDescent="0.2">
      <c r="A22" s="99"/>
      <c r="B22" s="849"/>
      <c r="C22" s="821"/>
      <c r="D22" s="717"/>
      <c r="E22" s="18" t="s">
        <v>2</v>
      </c>
      <c r="F22" s="130">
        <f>+P11*18</f>
        <v>38880</v>
      </c>
      <c r="G22" s="172" t="s">
        <v>485</v>
      </c>
      <c r="H22" s="187"/>
      <c r="I22" s="187"/>
      <c r="J22" s="188"/>
      <c r="K22" s="860"/>
      <c r="L22" s="113" t="s">
        <v>26</v>
      </c>
      <c r="M22" s="112"/>
      <c r="N22" s="113"/>
      <c r="O22" s="113"/>
      <c r="P22" s="113">
        <f>SUM(P17:P21)</f>
        <v>97075</v>
      </c>
      <c r="Q22" s="811"/>
      <c r="R22" s="812"/>
      <c r="S22" s="813"/>
    </row>
    <row r="23" spans="1:19" s="100" customFormat="1" ht="18" customHeight="1" thickTop="1" x14ac:dyDescent="0.15">
      <c r="A23" s="99"/>
      <c r="B23" s="849"/>
      <c r="C23" s="821"/>
      <c r="D23" s="824"/>
      <c r="E23" s="18" t="s">
        <v>6</v>
      </c>
      <c r="F23" s="105">
        <f>+R11*0.11</f>
        <v>127828.8</v>
      </c>
      <c r="G23" s="172" t="s">
        <v>486</v>
      </c>
      <c r="H23" s="297"/>
      <c r="I23" s="187"/>
      <c r="J23" s="298"/>
      <c r="K23" s="860"/>
      <c r="L23" s="150" t="s">
        <v>130</v>
      </c>
      <c r="M23" s="163"/>
      <c r="N23" s="164" t="s">
        <v>23</v>
      </c>
      <c r="O23" s="164" t="s">
        <v>21</v>
      </c>
      <c r="P23" s="164" t="s">
        <v>24</v>
      </c>
      <c r="Q23" s="814" t="s">
        <v>25</v>
      </c>
      <c r="R23" s="815"/>
      <c r="S23" s="816"/>
    </row>
    <row r="24" spans="1:19" s="100" customFormat="1" ht="18" customHeight="1" x14ac:dyDescent="0.15">
      <c r="A24" s="99"/>
      <c r="B24" s="849"/>
      <c r="C24" s="821"/>
      <c r="D24" s="18" t="s">
        <v>226</v>
      </c>
      <c r="E24" s="25"/>
      <c r="F24" s="130"/>
      <c r="G24" s="172"/>
      <c r="H24" s="190"/>
      <c r="I24" s="191"/>
      <c r="J24" s="189"/>
      <c r="K24" s="860"/>
      <c r="L24" s="165" t="s">
        <v>27</v>
      </c>
      <c r="M24" s="163"/>
      <c r="N24" s="150" t="s">
        <v>420</v>
      </c>
      <c r="O24" s="165"/>
      <c r="P24" s="165">
        <f>+'８－３　ベリーＡトンネル算出基礎'!G42</f>
        <v>19340</v>
      </c>
      <c r="Q24" s="805"/>
      <c r="R24" s="806"/>
      <c r="S24" s="807"/>
    </row>
    <row r="25" spans="1:19" s="100" customFormat="1" ht="18" customHeight="1" x14ac:dyDescent="0.15">
      <c r="A25" s="99"/>
      <c r="B25" s="849"/>
      <c r="C25" s="821"/>
      <c r="D25" s="18" t="s">
        <v>74</v>
      </c>
      <c r="E25" s="25"/>
      <c r="F25" s="130"/>
      <c r="G25" s="172"/>
      <c r="H25" s="192"/>
      <c r="I25" s="193"/>
      <c r="J25" s="194"/>
      <c r="K25" s="860"/>
      <c r="L25" s="165" t="s">
        <v>28</v>
      </c>
      <c r="M25" s="163"/>
      <c r="N25" s="150" t="s">
        <v>421</v>
      </c>
      <c r="O25" s="165"/>
      <c r="P25" s="165">
        <f>+'８－３　ベリーＡトンネル算出基礎'!G53</f>
        <v>11783.444444444443</v>
      </c>
      <c r="Q25" s="805"/>
      <c r="R25" s="806"/>
      <c r="S25" s="807"/>
    </row>
    <row r="26" spans="1:19" s="100" customFormat="1" ht="18" customHeight="1" x14ac:dyDescent="0.15">
      <c r="A26" s="99"/>
      <c r="B26" s="849"/>
      <c r="C26" s="821"/>
      <c r="D26" s="18" t="s">
        <v>97</v>
      </c>
      <c r="E26" s="19"/>
      <c r="F26" s="130">
        <f>+'８－３　ベリーＡトンネル算出基礎'!V62</f>
        <v>13181.666666666668</v>
      </c>
      <c r="G26" s="219" t="s">
        <v>427</v>
      </c>
      <c r="H26" s="217"/>
      <c r="I26" s="217"/>
      <c r="J26" s="218"/>
      <c r="K26" s="860"/>
      <c r="L26" s="165" t="s">
        <v>29</v>
      </c>
      <c r="M26" s="163"/>
      <c r="N26" s="150" t="s">
        <v>419</v>
      </c>
      <c r="O26" s="165"/>
      <c r="P26" s="165">
        <f>+'８－３　ベリーＡトンネル算出基礎'!G57</f>
        <v>4158.181818181818</v>
      </c>
      <c r="Q26" s="805"/>
      <c r="R26" s="806"/>
      <c r="S26" s="807"/>
    </row>
    <row r="27" spans="1:19" s="100" customFormat="1" ht="18" customHeight="1" x14ac:dyDescent="0.15">
      <c r="A27" s="99"/>
      <c r="B27" s="849"/>
      <c r="C27" s="821"/>
      <c r="D27" s="26" t="s">
        <v>75</v>
      </c>
      <c r="E27" s="27"/>
      <c r="F27" s="195"/>
      <c r="G27" s="150"/>
      <c r="H27" s="192"/>
      <c r="I27" s="193"/>
      <c r="J27" s="189"/>
      <c r="K27" s="860"/>
      <c r="L27" s="165" t="s">
        <v>108</v>
      </c>
      <c r="M27" s="163"/>
      <c r="N27" s="150" t="s">
        <v>410</v>
      </c>
      <c r="O27" s="165"/>
      <c r="P27" s="165">
        <f>+'８－３　ベリーＡトンネル算出基礎'!G62</f>
        <v>5040</v>
      </c>
      <c r="Q27" s="805"/>
      <c r="R27" s="806"/>
      <c r="S27" s="807"/>
    </row>
    <row r="28" spans="1:19" s="100" customFormat="1" ht="18" customHeight="1" thickBot="1" x14ac:dyDescent="0.2">
      <c r="A28" s="99"/>
      <c r="B28" s="849"/>
      <c r="C28" s="821"/>
      <c r="D28" s="18" t="s">
        <v>53</v>
      </c>
      <c r="E28" s="19"/>
      <c r="F28" s="130">
        <f>+'８－３　ベリーＡトンネル算出基礎'!N62</f>
        <v>1516.6666666666665</v>
      </c>
      <c r="G28" s="219" t="s">
        <v>427</v>
      </c>
      <c r="H28" s="217"/>
      <c r="I28" s="217"/>
      <c r="J28" s="218"/>
      <c r="K28" s="860"/>
      <c r="L28" s="113" t="s">
        <v>26</v>
      </c>
      <c r="M28" s="112"/>
      <c r="N28" s="113"/>
      <c r="O28" s="113"/>
      <c r="P28" s="113">
        <f>SUM(P24:P27)</f>
        <v>40321.626262626261</v>
      </c>
      <c r="Q28" s="811"/>
      <c r="R28" s="812"/>
      <c r="S28" s="813"/>
    </row>
    <row r="29" spans="1:19" s="100" customFormat="1" ht="18" customHeight="1" thickTop="1" x14ac:dyDescent="0.15">
      <c r="A29" s="99"/>
      <c r="B29" s="849"/>
      <c r="C29" s="821"/>
      <c r="D29" s="18" t="s">
        <v>227</v>
      </c>
      <c r="E29" s="25"/>
      <c r="F29" s="130">
        <f>SUM(F21:F28)/99</f>
        <v>3577.8498316498321</v>
      </c>
      <c r="G29" s="284" t="s">
        <v>244</v>
      </c>
      <c r="H29" s="196">
        <v>0.01</v>
      </c>
      <c r="I29" s="161"/>
      <c r="J29" s="160"/>
      <c r="K29" s="860"/>
      <c r="L29" s="150" t="s">
        <v>131</v>
      </c>
      <c r="M29" s="163"/>
      <c r="N29" s="164" t="s">
        <v>23</v>
      </c>
      <c r="O29" s="164" t="s">
        <v>21</v>
      </c>
      <c r="P29" s="164" t="s">
        <v>24</v>
      </c>
      <c r="Q29" s="814" t="s">
        <v>25</v>
      </c>
      <c r="R29" s="815"/>
      <c r="S29" s="816"/>
    </row>
    <row r="30" spans="1:19" s="100" customFormat="1" ht="18" customHeight="1" thickBot="1" x14ac:dyDescent="0.2">
      <c r="A30" s="99"/>
      <c r="B30" s="850"/>
      <c r="C30" s="822"/>
      <c r="D30" s="825" t="s">
        <v>161</v>
      </c>
      <c r="E30" s="826"/>
      <c r="F30" s="151">
        <f>SUM(F21:F29)</f>
        <v>357784.98316498322</v>
      </c>
      <c r="G30" s="152"/>
      <c r="H30" s="153"/>
      <c r="I30" s="154"/>
      <c r="J30" s="155"/>
      <c r="K30" s="860"/>
      <c r="L30" s="165" t="s">
        <v>121</v>
      </c>
      <c r="M30" s="166"/>
      <c r="N30" s="150" t="s">
        <v>415</v>
      </c>
      <c r="O30" s="167"/>
      <c r="P30" s="165">
        <f>+'８－３　ベリーＡトンネル算出基礎'!N11</f>
        <v>3811.5</v>
      </c>
      <c r="Q30" s="817"/>
      <c r="R30" s="818"/>
      <c r="S30" s="819"/>
    </row>
    <row r="31" spans="1:19" s="100" customFormat="1" ht="18" customHeight="1" x14ac:dyDescent="0.15">
      <c r="A31" s="99"/>
      <c r="B31" s="120"/>
      <c r="C31" s="116"/>
      <c r="D31" s="116"/>
      <c r="E31" s="116"/>
      <c r="F31" s="116"/>
      <c r="G31" s="116"/>
      <c r="H31" s="116"/>
      <c r="I31" s="116"/>
      <c r="J31" s="116"/>
      <c r="K31" s="860"/>
      <c r="L31" s="165" t="s">
        <v>122</v>
      </c>
      <c r="M31" s="166"/>
      <c r="N31" s="150" t="s">
        <v>416</v>
      </c>
      <c r="O31" s="167"/>
      <c r="P31" s="165">
        <f>+'８－３　ベリーＡトンネル算出基礎'!N16</f>
        <v>14256</v>
      </c>
      <c r="Q31" s="817"/>
      <c r="R31" s="818"/>
      <c r="S31" s="819"/>
    </row>
    <row r="32" spans="1:19" s="100" customFormat="1" ht="18" customHeight="1" x14ac:dyDescent="0.15">
      <c r="A32" s="99"/>
      <c r="B32" s="111"/>
      <c r="C32" s="125"/>
      <c r="D32" s="111"/>
      <c r="E32" s="111"/>
      <c r="F32" s="123"/>
      <c r="G32" s="123"/>
      <c r="H32" s="124"/>
      <c r="I32" s="116"/>
      <c r="J32" s="116"/>
      <c r="K32" s="860"/>
      <c r="L32" s="165" t="s">
        <v>124</v>
      </c>
      <c r="M32" s="163"/>
      <c r="N32" s="167"/>
      <c r="O32" s="167"/>
      <c r="P32" s="165">
        <f>SUM(P30:P31)*R32</f>
        <v>5420.25</v>
      </c>
      <c r="Q32" s="296" t="s">
        <v>123</v>
      </c>
      <c r="R32" s="168">
        <v>0.3</v>
      </c>
      <c r="S32" s="114"/>
    </row>
    <row r="33" spans="1:23" ht="18" customHeight="1" x14ac:dyDescent="0.15">
      <c r="K33" s="860"/>
      <c r="L33" s="165" t="s">
        <v>125</v>
      </c>
      <c r="M33" s="166"/>
      <c r="N33" s="150" t="s">
        <v>417</v>
      </c>
      <c r="O33" s="167"/>
      <c r="P33" s="165">
        <f>+'８－３　ベリーＡトンネル算出基礎'!N20</f>
        <v>1852.4</v>
      </c>
      <c r="Q33" s="805"/>
      <c r="R33" s="806"/>
      <c r="S33" s="807"/>
    </row>
    <row r="34" spans="1:23" ht="18" customHeight="1" x14ac:dyDescent="0.15">
      <c r="K34" s="860"/>
      <c r="L34" s="165" t="s">
        <v>126</v>
      </c>
      <c r="M34" s="166"/>
      <c r="N34" s="150"/>
      <c r="O34" s="167"/>
      <c r="P34" s="165"/>
      <c r="Q34" s="805"/>
      <c r="R34" s="806"/>
      <c r="S34" s="807"/>
    </row>
    <row r="35" spans="1:23" ht="18" customHeight="1" x14ac:dyDescent="0.15">
      <c r="K35" s="860"/>
      <c r="L35" s="165" t="s">
        <v>225</v>
      </c>
      <c r="M35" s="166"/>
      <c r="N35" s="150"/>
      <c r="O35" s="167"/>
      <c r="P35" s="165"/>
      <c r="Q35" s="260"/>
      <c r="R35" s="261"/>
      <c r="S35" s="262"/>
    </row>
    <row r="36" spans="1:23" ht="18" customHeight="1" x14ac:dyDescent="0.15">
      <c r="K36" s="860"/>
      <c r="L36" s="165" t="s">
        <v>127</v>
      </c>
      <c r="M36" s="163"/>
      <c r="N36" s="150"/>
      <c r="O36" s="167"/>
      <c r="P36" s="165"/>
      <c r="Q36" s="805"/>
      <c r="R36" s="806"/>
      <c r="S36" s="807"/>
    </row>
    <row r="37" spans="1:23" ht="18" customHeight="1" thickBot="1" x14ac:dyDescent="0.2">
      <c r="K37" s="861"/>
      <c r="L37" s="122" t="s">
        <v>26</v>
      </c>
      <c r="M37" s="121"/>
      <c r="N37" s="122"/>
      <c r="O37" s="122"/>
      <c r="P37" s="122">
        <f>SUM(P30:P36)</f>
        <v>25340.15</v>
      </c>
      <c r="Q37" s="808"/>
      <c r="R37" s="809"/>
      <c r="S37" s="810"/>
    </row>
    <row r="38" spans="1:23" s="115" customFormat="1" ht="18" customHeight="1" x14ac:dyDescent="0.15">
      <c r="A38" s="99"/>
      <c r="B38" s="99"/>
      <c r="C38" s="99"/>
      <c r="D38" s="99"/>
      <c r="E38" s="99"/>
      <c r="F38" s="99"/>
      <c r="G38" s="99"/>
      <c r="H38" s="99"/>
      <c r="I38" s="99"/>
      <c r="J38" s="99"/>
    </row>
    <row r="39" spans="1:23" s="115" customFormat="1" ht="18" customHeight="1" x14ac:dyDescent="0.15">
      <c r="A39" s="99"/>
      <c r="B39" s="99"/>
      <c r="C39" s="99"/>
      <c r="D39" s="99"/>
      <c r="E39" s="99"/>
      <c r="F39" s="99"/>
      <c r="G39" s="99"/>
      <c r="H39" s="99"/>
      <c r="I39" s="99"/>
      <c r="J39" s="99"/>
      <c r="T39" s="116"/>
    </row>
    <row r="40" spans="1:23" s="115" customFormat="1" ht="18" customHeight="1" x14ac:dyDescent="0.15">
      <c r="A40" s="99"/>
      <c r="B40" s="99"/>
      <c r="C40" s="99"/>
      <c r="D40" s="99"/>
      <c r="E40" s="99"/>
      <c r="F40" s="99"/>
      <c r="G40" s="99"/>
      <c r="H40" s="99"/>
      <c r="I40" s="99"/>
      <c r="J40" s="99"/>
      <c r="T40" s="100"/>
      <c r="U40" s="100"/>
      <c r="V40" s="100"/>
      <c r="W40" s="100"/>
    </row>
    <row r="41" spans="1:23" s="115" customFormat="1" ht="18" customHeight="1" x14ac:dyDescent="0.15">
      <c r="A41" s="99"/>
      <c r="B41" s="99"/>
      <c r="C41" s="99"/>
      <c r="D41" s="99"/>
      <c r="E41" s="99"/>
      <c r="F41" s="99"/>
      <c r="G41" s="99"/>
      <c r="H41" s="99"/>
      <c r="I41" s="99"/>
      <c r="J41" s="99"/>
      <c r="T41" s="117"/>
      <c r="U41" s="118"/>
      <c r="V41" s="119"/>
      <c r="W41" s="117"/>
    </row>
    <row r="42" spans="1:23" s="115" customFormat="1" ht="18" customHeight="1" x14ac:dyDescent="0.15">
      <c r="A42" s="99"/>
      <c r="B42" s="99"/>
      <c r="C42" s="99"/>
      <c r="D42" s="99"/>
      <c r="E42" s="99"/>
      <c r="F42" s="99"/>
      <c r="G42" s="99"/>
      <c r="H42" s="99"/>
      <c r="I42" s="99"/>
      <c r="J42" s="99"/>
      <c r="T42" s="100"/>
      <c r="U42" s="100"/>
      <c r="V42" s="100"/>
      <c r="W42" s="100"/>
    </row>
    <row r="43" spans="1:23" s="115" customFormat="1" ht="18" customHeight="1" x14ac:dyDescent="0.15">
      <c r="B43" s="99"/>
      <c r="C43" s="99"/>
      <c r="D43" s="99"/>
      <c r="E43" s="99"/>
      <c r="F43" s="99"/>
      <c r="G43" s="99"/>
      <c r="H43" s="99"/>
      <c r="I43" s="99"/>
      <c r="J43" s="99"/>
      <c r="T43" s="101"/>
      <c r="U43" s="116"/>
      <c r="V43" s="100"/>
      <c r="W43" s="117"/>
    </row>
    <row r="44" spans="1:23" s="115" customFormat="1" ht="18" customHeight="1" x14ac:dyDescent="0.15">
      <c r="B44" s="99"/>
      <c r="C44" s="99"/>
      <c r="D44" s="99"/>
      <c r="E44" s="99"/>
      <c r="F44" s="99"/>
      <c r="G44" s="99"/>
      <c r="H44" s="99"/>
      <c r="I44" s="99"/>
      <c r="J44" s="99"/>
      <c r="T44" s="101"/>
      <c r="U44" s="116"/>
      <c r="V44" s="100"/>
      <c r="W44" s="117"/>
    </row>
    <row r="45" spans="1:23" s="115" customFormat="1" ht="18" customHeight="1" x14ac:dyDescent="0.15">
      <c r="B45" s="99"/>
      <c r="C45" s="99"/>
      <c r="D45" s="99"/>
      <c r="E45" s="99"/>
      <c r="F45" s="99"/>
      <c r="G45" s="99"/>
      <c r="H45" s="99"/>
      <c r="I45" s="99"/>
      <c r="J45" s="99"/>
      <c r="T45" s="100"/>
      <c r="U45" s="100"/>
      <c r="V45" s="118"/>
      <c r="W45" s="100"/>
    </row>
    <row r="46" spans="1:23" s="115" customFormat="1" x14ac:dyDescent="0.15">
      <c r="B46" s="99"/>
      <c r="C46" s="99"/>
      <c r="D46" s="99"/>
      <c r="E46" s="99"/>
      <c r="F46" s="99"/>
      <c r="G46" s="99"/>
      <c r="H46" s="99"/>
      <c r="I46" s="99"/>
      <c r="J46" s="99"/>
      <c r="T46" s="101"/>
      <c r="U46" s="100"/>
      <c r="V46" s="100"/>
      <c r="W46" s="117"/>
    </row>
    <row r="47" spans="1:23" s="115" customFormat="1" x14ac:dyDescent="0.15">
      <c r="B47" s="99"/>
      <c r="C47" s="99"/>
      <c r="D47" s="99"/>
      <c r="E47" s="99"/>
      <c r="F47" s="99"/>
      <c r="G47" s="99"/>
      <c r="H47" s="99"/>
      <c r="I47" s="99"/>
      <c r="J47" s="99"/>
      <c r="T47" s="101"/>
      <c r="U47" s="100"/>
      <c r="V47" s="100"/>
      <c r="W47" s="117"/>
    </row>
    <row r="48" spans="1:23" s="115" customFormat="1" x14ac:dyDescent="0.15">
      <c r="B48" s="99"/>
      <c r="C48" s="99"/>
      <c r="D48" s="99"/>
      <c r="E48" s="99"/>
      <c r="F48" s="99"/>
      <c r="G48" s="99"/>
      <c r="H48" s="99"/>
      <c r="I48" s="99"/>
      <c r="J48" s="99"/>
      <c r="T48" s="101"/>
      <c r="U48" s="100"/>
      <c r="V48" s="100"/>
      <c r="W48" s="117"/>
    </row>
    <row r="49" spans="2:23" s="115" customFormat="1" x14ac:dyDescent="0.15">
      <c r="B49" s="99"/>
      <c r="C49" s="99"/>
      <c r="D49" s="99"/>
      <c r="E49" s="99"/>
      <c r="F49" s="99"/>
      <c r="G49" s="99"/>
      <c r="H49" s="99"/>
      <c r="I49" s="99"/>
      <c r="J49" s="99"/>
      <c r="T49" s="101"/>
      <c r="U49" s="100"/>
      <c r="V49" s="100"/>
      <c r="W49" s="117"/>
    </row>
    <row r="50" spans="2:23" s="115" customFormat="1" x14ac:dyDescent="0.15">
      <c r="B50" s="99"/>
      <c r="C50" s="99"/>
      <c r="D50" s="99"/>
      <c r="E50" s="99"/>
      <c r="F50" s="99"/>
      <c r="G50" s="99"/>
      <c r="H50" s="99"/>
      <c r="I50" s="99"/>
      <c r="J50" s="99"/>
      <c r="T50" s="101"/>
      <c r="U50" s="101"/>
      <c r="V50" s="101"/>
      <c r="W50" s="100"/>
    </row>
    <row r="51" spans="2:23" s="115" customFormat="1" ht="13.5" customHeight="1" x14ac:dyDescent="0.15">
      <c r="B51" s="99"/>
      <c r="C51" s="99"/>
      <c r="D51" s="99"/>
      <c r="E51" s="99"/>
      <c r="F51" s="99"/>
      <c r="G51" s="99"/>
      <c r="H51" s="99"/>
      <c r="I51" s="99"/>
      <c r="J51" s="99"/>
      <c r="T51" s="100"/>
      <c r="U51" s="100"/>
      <c r="V51" s="100"/>
      <c r="W51" s="118"/>
    </row>
    <row r="52" spans="2:23" s="115" customFormat="1" x14ac:dyDescent="0.15">
      <c r="B52" s="99"/>
      <c r="C52" s="99"/>
      <c r="D52" s="99"/>
      <c r="E52" s="99"/>
      <c r="F52" s="99"/>
      <c r="G52" s="99"/>
      <c r="H52" s="99"/>
      <c r="I52" s="99"/>
      <c r="J52" s="99"/>
      <c r="T52" s="117"/>
      <c r="U52" s="100"/>
      <c r="V52" s="118"/>
      <c r="W52" s="117"/>
    </row>
    <row r="53" spans="2:23" s="115" customFormat="1" x14ac:dyDescent="0.15">
      <c r="B53" s="99"/>
      <c r="C53" s="99"/>
      <c r="D53" s="99"/>
      <c r="E53" s="99"/>
      <c r="F53" s="99"/>
      <c r="G53" s="99"/>
      <c r="H53" s="99"/>
      <c r="I53" s="99"/>
      <c r="J53" s="99"/>
      <c r="T53" s="100"/>
      <c r="U53" s="100"/>
      <c r="V53" s="100"/>
      <c r="W53" s="100"/>
    </row>
    <row r="54" spans="2:23" s="115" customFormat="1" ht="13.5" customHeight="1" x14ac:dyDescent="0.15">
      <c r="B54" s="99"/>
      <c r="C54" s="99"/>
      <c r="D54" s="99"/>
      <c r="E54" s="99"/>
      <c r="F54" s="99"/>
      <c r="G54" s="99"/>
      <c r="H54" s="99"/>
      <c r="I54" s="99"/>
      <c r="J54" s="99"/>
      <c r="T54" s="101"/>
      <c r="U54" s="100"/>
      <c r="V54" s="101"/>
      <c r="W54" s="117"/>
    </row>
    <row r="55" spans="2:23" s="115" customFormat="1" x14ac:dyDescent="0.15">
      <c r="B55" s="99"/>
      <c r="C55" s="99"/>
      <c r="D55" s="99"/>
      <c r="E55" s="99"/>
      <c r="F55" s="99"/>
      <c r="G55" s="99"/>
      <c r="H55" s="99"/>
      <c r="I55" s="99"/>
      <c r="J55" s="99"/>
      <c r="T55" s="126"/>
      <c r="U55" s="100"/>
      <c r="V55" s="100"/>
      <c r="W55" s="117"/>
    </row>
    <row r="56" spans="2:23" s="115" customFormat="1" x14ac:dyDescent="0.15"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100"/>
      <c r="U56" s="101"/>
      <c r="V56" s="100"/>
      <c r="W56" s="100"/>
    </row>
    <row r="57" spans="2:23" s="115" customFormat="1" x14ac:dyDescent="0.15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116"/>
      <c r="U57" s="116"/>
      <c r="V57" s="116"/>
      <c r="W57" s="116"/>
    </row>
    <row r="58" spans="2:23" s="115" customFormat="1" x14ac:dyDescent="0.15"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116"/>
    </row>
    <row r="59" spans="2:23" s="115" customFormat="1" x14ac:dyDescent="0.15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116"/>
    </row>
    <row r="60" spans="2:23" s="115" customFormat="1" x14ac:dyDescent="0.15"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116"/>
    </row>
    <row r="61" spans="2:23" s="115" customFormat="1" x14ac:dyDescent="0.15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</row>
    <row r="62" spans="2:23" s="115" customFormat="1" x14ac:dyDescent="0.15"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2:23" s="115" customFormat="1" ht="13.5" customHeight="1" x14ac:dyDescent="0.15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</row>
    <row r="64" spans="2:23" s="115" customFormat="1" ht="13.5" customHeight="1" x14ac:dyDescent="0.15"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</row>
    <row r="65" spans="2:19" s="115" customFormat="1" x14ac:dyDescent="0.15"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</row>
    <row r="66" spans="2:19" s="115" customFormat="1" x14ac:dyDescent="0.15"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</row>
    <row r="67" spans="2:19" s="115" customFormat="1" x14ac:dyDescent="0.15"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</row>
    <row r="68" spans="2:19" s="115" customFormat="1" ht="13.5" customHeight="1" x14ac:dyDescent="0.15"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</row>
    <row r="69" spans="2:19" s="115" customFormat="1" x14ac:dyDescent="0.15"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</row>
    <row r="70" spans="2:19" s="115" customFormat="1" x14ac:dyDescent="0.15"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</row>
    <row r="71" spans="2:19" s="115" customFormat="1" x14ac:dyDescent="0.15"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</row>
    <row r="72" spans="2:19" s="115" customFormat="1" x14ac:dyDescent="0.15"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</row>
    <row r="73" spans="2:19" s="115" customFormat="1" x14ac:dyDescent="0.15"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</row>
    <row r="74" spans="2:19" s="115" customFormat="1" ht="13.5" customHeight="1" x14ac:dyDescent="0.15"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</row>
    <row r="75" spans="2:19" s="115" customFormat="1" x14ac:dyDescent="0.15"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</row>
    <row r="76" spans="2:19" s="115" customFormat="1" x14ac:dyDescent="0.15"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</row>
    <row r="77" spans="2:19" s="115" customFormat="1" x14ac:dyDescent="0.15"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</row>
    <row r="78" spans="2:19" s="115" customFormat="1" x14ac:dyDescent="0.15"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</row>
    <row r="79" spans="2:19" s="115" customFormat="1" x14ac:dyDescent="0.15"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</row>
    <row r="80" spans="2:19" s="115" customFormat="1" x14ac:dyDescent="0.15"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</row>
    <row r="81" spans="1:19" s="115" customFormat="1" x14ac:dyDescent="0.15"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</row>
    <row r="82" spans="1:19" s="115" customFormat="1" x14ac:dyDescent="0.15"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</row>
    <row r="83" spans="1:19" s="115" customFormat="1" x14ac:dyDescent="0.15"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</row>
    <row r="84" spans="1:19" s="115" customFormat="1" x14ac:dyDescent="0.15"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</row>
    <row r="85" spans="1:19" s="115" customFormat="1" x14ac:dyDescent="0.15"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</row>
    <row r="86" spans="1:19" s="115" customFormat="1" ht="13.5" customHeight="1" x14ac:dyDescent="0.15"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</row>
    <row r="87" spans="1:19" s="115" customFormat="1" x14ac:dyDescent="0.15"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</row>
    <row r="88" spans="1:19" s="115" customFormat="1" x14ac:dyDescent="0.15"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</row>
    <row r="89" spans="1:19" s="115" customFormat="1" ht="13.5" customHeight="1" x14ac:dyDescent="0.15"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</row>
    <row r="90" spans="1:19" s="115" customFormat="1" x14ac:dyDescent="0.15"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</row>
    <row r="91" spans="1:19" s="115" customFormat="1" x14ac:dyDescent="0.15"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</row>
    <row r="92" spans="1:19" s="115" customFormat="1" x14ac:dyDescent="0.15"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</row>
    <row r="93" spans="1:19" s="115" customFormat="1" x14ac:dyDescent="0.15"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</row>
    <row r="94" spans="1:19" s="115" customFormat="1" x14ac:dyDescent="0.15"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</row>
    <row r="95" spans="1:19" x14ac:dyDescent="0.15">
      <c r="A95" s="115"/>
    </row>
    <row r="96" spans="1:19" x14ac:dyDescent="0.15">
      <c r="A96" s="115"/>
    </row>
    <row r="97" spans="1:1" x14ac:dyDescent="0.15">
      <c r="A97" s="115"/>
    </row>
    <row r="98" spans="1:1" x14ac:dyDescent="0.15">
      <c r="A98" s="115"/>
    </row>
    <row r="99" spans="1:1" x14ac:dyDescent="0.15">
      <c r="A99" s="115"/>
    </row>
  </sheetData>
  <mergeCells count="48">
    <mergeCell ref="B6:B30"/>
    <mergeCell ref="C6:C20"/>
    <mergeCell ref="R6:S6"/>
    <mergeCell ref="R7:S7"/>
    <mergeCell ref="R8:S8"/>
    <mergeCell ref="D15:D17"/>
    <mergeCell ref="Q15:S15"/>
    <mergeCell ref="Q16:S16"/>
    <mergeCell ref="Q17:S17"/>
    <mergeCell ref="R9:S9"/>
    <mergeCell ref="G10:J10"/>
    <mergeCell ref="R10:S10"/>
    <mergeCell ref="G11:J11"/>
    <mergeCell ref="R11:S11"/>
    <mergeCell ref="K12:K37"/>
    <mergeCell ref="Q12:S12"/>
    <mergeCell ref="B3:E3"/>
    <mergeCell ref="K3:S3"/>
    <mergeCell ref="B4:C5"/>
    <mergeCell ref="R4:S4"/>
    <mergeCell ref="R5:S5"/>
    <mergeCell ref="Q18:S18"/>
    <mergeCell ref="Q19:S19"/>
    <mergeCell ref="Q27:S27"/>
    <mergeCell ref="D13:D14"/>
    <mergeCell ref="I13:J13"/>
    <mergeCell ref="Q13:S13"/>
    <mergeCell ref="I14:J14"/>
    <mergeCell ref="Q14:S14"/>
    <mergeCell ref="D20:E20"/>
    <mergeCell ref="Q20:S20"/>
    <mergeCell ref="C21:C30"/>
    <mergeCell ref="D21:D23"/>
    <mergeCell ref="Q21:S21"/>
    <mergeCell ref="Q22:S22"/>
    <mergeCell ref="Q23:S23"/>
    <mergeCell ref="Q24:S24"/>
    <mergeCell ref="Q25:S25"/>
    <mergeCell ref="Q26:S26"/>
    <mergeCell ref="D30:E30"/>
    <mergeCell ref="Q30:S30"/>
    <mergeCell ref="Q36:S36"/>
    <mergeCell ref="Q37:S37"/>
    <mergeCell ref="Q28:S28"/>
    <mergeCell ref="Q29:S29"/>
    <mergeCell ref="Q31:S31"/>
    <mergeCell ref="Q33:S33"/>
    <mergeCell ref="Q34:S34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showZeros="0" zoomScale="75" zoomScaleNormal="75" zoomScaleSheetLayoutView="72" workbookViewId="0"/>
  </sheetViews>
  <sheetFormatPr defaultColWidth="10.875" defaultRowHeight="13.5" x14ac:dyDescent="0.15"/>
  <cols>
    <col min="1" max="1" width="1.625" style="99" customWidth="1"/>
    <col min="2" max="2" width="5.875" style="99" customWidth="1"/>
    <col min="3" max="3" width="10.625" style="99" customWidth="1"/>
    <col min="4" max="4" width="12.375" style="99" customWidth="1"/>
    <col min="5" max="5" width="14.625" style="99" customWidth="1"/>
    <col min="6" max="7" width="15.875" style="99" customWidth="1"/>
    <col min="8" max="8" width="10.875" style="99"/>
    <col min="9" max="9" width="11.375" style="99" bestFit="1" customWidth="1"/>
    <col min="10" max="10" width="13.375" style="99" customWidth="1"/>
    <col min="11" max="11" width="7.125" style="99" customWidth="1"/>
    <col min="12" max="12" width="15.375" style="99" customWidth="1"/>
    <col min="13" max="13" width="9.375" style="99" bestFit="1" customWidth="1"/>
    <col min="14" max="14" width="10.875" style="99"/>
    <col min="15" max="15" width="7.25" style="99" customWidth="1"/>
    <col min="16" max="16" width="9.625" style="99" customWidth="1"/>
    <col min="17" max="17" width="10.875" style="99" customWidth="1"/>
    <col min="18" max="18" width="7.5" style="99" customWidth="1"/>
    <col min="19" max="19" width="3.75" style="99" customWidth="1"/>
    <col min="20" max="16384" width="10.875" style="99"/>
  </cols>
  <sheetData>
    <row r="1" spans="2:19" s="100" customFormat="1" ht="9.9499999999999993" customHeight="1" x14ac:dyDescent="0.15"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2:19" s="100" customFormat="1" ht="24.95" customHeight="1" thickBot="1" x14ac:dyDescent="0.2">
      <c r="B2" s="2" t="s">
        <v>630</v>
      </c>
      <c r="H2" s="101" t="s">
        <v>192</v>
      </c>
      <c r="I2" s="2" t="s">
        <v>428</v>
      </c>
      <c r="K2" s="101" t="s">
        <v>193</v>
      </c>
      <c r="L2" s="2" t="s">
        <v>408</v>
      </c>
      <c r="N2" s="99"/>
      <c r="O2" s="99"/>
      <c r="Q2" s="3"/>
      <c r="R2" s="3"/>
    </row>
    <row r="3" spans="2:19" s="100" customFormat="1" ht="18" customHeight="1" x14ac:dyDescent="0.15">
      <c r="B3" s="836" t="s">
        <v>17</v>
      </c>
      <c r="C3" s="837"/>
      <c r="D3" s="837"/>
      <c r="E3" s="838"/>
      <c r="F3" s="306" t="s">
        <v>18</v>
      </c>
      <c r="G3" s="103"/>
      <c r="H3" s="104" t="s">
        <v>19</v>
      </c>
      <c r="I3" s="102"/>
      <c r="J3" s="102"/>
      <c r="K3" s="839" t="s">
        <v>168</v>
      </c>
      <c r="L3" s="840"/>
      <c r="M3" s="840"/>
      <c r="N3" s="840"/>
      <c r="O3" s="840"/>
      <c r="P3" s="840"/>
      <c r="Q3" s="840"/>
      <c r="R3" s="840"/>
      <c r="S3" s="841"/>
    </row>
    <row r="4" spans="2:19" s="100" customFormat="1" ht="18" customHeight="1" x14ac:dyDescent="0.15">
      <c r="B4" s="842" t="s">
        <v>20</v>
      </c>
      <c r="C4" s="843"/>
      <c r="D4" s="172" t="s">
        <v>163</v>
      </c>
      <c r="E4" s="181"/>
      <c r="F4" s="175">
        <f>R11</f>
        <v>1759320</v>
      </c>
      <c r="G4" s="172" t="s">
        <v>591</v>
      </c>
      <c r="H4" s="297"/>
      <c r="I4" s="297"/>
      <c r="J4" s="297"/>
      <c r="K4" s="253" t="s">
        <v>220</v>
      </c>
      <c r="L4" s="254" t="s">
        <v>221</v>
      </c>
      <c r="M4" s="305" t="s">
        <v>21</v>
      </c>
      <c r="N4" s="305" t="s">
        <v>20</v>
      </c>
      <c r="O4" s="254" t="s">
        <v>220</v>
      </c>
      <c r="P4" s="254" t="s">
        <v>221</v>
      </c>
      <c r="Q4" s="305" t="s">
        <v>21</v>
      </c>
      <c r="R4" s="844" t="s">
        <v>20</v>
      </c>
      <c r="S4" s="845"/>
    </row>
    <row r="5" spans="2:19" s="100" customFormat="1" ht="18" customHeight="1" x14ac:dyDescent="0.15">
      <c r="B5" s="842"/>
      <c r="C5" s="843"/>
      <c r="D5" s="172" t="s">
        <v>71</v>
      </c>
      <c r="E5" s="181"/>
      <c r="F5" s="175"/>
      <c r="G5" s="148"/>
      <c r="H5" s="182"/>
      <c r="I5" s="182"/>
      <c r="J5" s="182"/>
      <c r="K5" s="252">
        <v>9</v>
      </c>
      <c r="L5" s="175">
        <v>1620</v>
      </c>
      <c r="M5" s="175">
        <v>1086</v>
      </c>
      <c r="N5" s="175">
        <f>L5*M5</f>
        <v>1759320</v>
      </c>
      <c r="O5" s="175"/>
      <c r="P5" s="175"/>
      <c r="Q5" s="175"/>
      <c r="R5" s="846">
        <f>P5*Q5</f>
        <v>0</v>
      </c>
      <c r="S5" s="847"/>
    </row>
    <row r="6" spans="2:19" s="100" customFormat="1" ht="18" customHeight="1" x14ac:dyDescent="0.15">
      <c r="B6" s="848" t="s">
        <v>166</v>
      </c>
      <c r="C6" s="851" t="s">
        <v>243</v>
      </c>
      <c r="D6" s="175" t="s">
        <v>45</v>
      </c>
      <c r="E6" s="183"/>
      <c r="F6" s="175">
        <f>+P13</f>
        <v>0</v>
      </c>
      <c r="G6" s="148" t="s">
        <v>154</v>
      </c>
      <c r="H6" s="182"/>
      <c r="I6" s="182"/>
      <c r="J6" s="182"/>
      <c r="K6" s="180"/>
      <c r="L6" s="177"/>
      <c r="M6" s="175"/>
      <c r="N6" s="175">
        <f>L6*M6</f>
        <v>0</v>
      </c>
      <c r="O6" s="175"/>
      <c r="P6" s="175"/>
      <c r="Q6" s="175"/>
      <c r="R6" s="846">
        <f t="shared" ref="R6:R9" si="0">P6*Q6</f>
        <v>0</v>
      </c>
      <c r="S6" s="847"/>
    </row>
    <row r="7" spans="2:19" s="100" customFormat="1" ht="18" customHeight="1" x14ac:dyDescent="0.15">
      <c r="B7" s="849"/>
      <c r="C7" s="852"/>
      <c r="D7" s="175" t="s">
        <v>46</v>
      </c>
      <c r="E7" s="183"/>
      <c r="F7" s="175">
        <f>P22</f>
        <v>97075</v>
      </c>
      <c r="G7" s="172" t="s">
        <v>629</v>
      </c>
      <c r="H7" s="297"/>
      <c r="I7" s="297"/>
      <c r="J7" s="298"/>
      <c r="K7" s="178"/>
      <c r="L7" s="179"/>
      <c r="M7" s="175"/>
      <c r="N7" s="175">
        <f t="shared" ref="N7:N11" si="1">L7*M7</f>
        <v>0</v>
      </c>
      <c r="O7" s="175"/>
      <c r="P7" s="175"/>
      <c r="Q7" s="175"/>
      <c r="R7" s="846">
        <f t="shared" si="0"/>
        <v>0</v>
      </c>
      <c r="S7" s="847"/>
    </row>
    <row r="8" spans="2:19" s="100" customFormat="1" ht="18" customHeight="1" x14ac:dyDescent="0.15">
      <c r="B8" s="849"/>
      <c r="C8" s="852"/>
      <c r="D8" s="175" t="s">
        <v>47</v>
      </c>
      <c r="E8" s="183"/>
      <c r="F8" s="175">
        <f>P28</f>
        <v>46111.626262626261</v>
      </c>
      <c r="G8" s="150" t="s">
        <v>627</v>
      </c>
      <c r="H8" s="163"/>
      <c r="I8" s="163"/>
      <c r="J8" s="184"/>
      <c r="K8" s="176"/>
      <c r="L8" s="175"/>
      <c r="M8" s="175"/>
      <c r="N8" s="175">
        <f t="shared" si="1"/>
        <v>0</v>
      </c>
      <c r="O8" s="175"/>
      <c r="P8" s="175"/>
      <c r="Q8" s="175"/>
      <c r="R8" s="846">
        <f t="shared" si="0"/>
        <v>0</v>
      </c>
      <c r="S8" s="847"/>
    </row>
    <row r="9" spans="2:19" s="100" customFormat="1" ht="18" customHeight="1" x14ac:dyDescent="0.15">
      <c r="B9" s="849"/>
      <c r="C9" s="852"/>
      <c r="D9" s="175" t="s">
        <v>72</v>
      </c>
      <c r="E9" s="183"/>
      <c r="F9" s="175">
        <f>P37</f>
        <v>25340.15</v>
      </c>
      <c r="G9" s="150" t="s">
        <v>628</v>
      </c>
      <c r="H9" s="163"/>
      <c r="I9" s="163"/>
      <c r="J9" s="184"/>
      <c r="K9" s="176"/>
      <c r="L9" s="175"/>
      <c r="M9" s="175"/>
      <c r="N9" s="175">
        <f t="shared" si="1"/>
        <v>0</v>
      </c>
      <c r="O9" s="175"/>
      <c r="P9" s="175"/>
      <c r="Q9" s="175"/>
      <c r="R9" s="846">
        <f t="shared" si="0"/>
        <v>0</v>
      </c>
      <c r="S9" s="847"/>
    </row>
    <row r="10" spans="2:19" s="100" customFormat="1" ht="18" customHeight="1" x14ac:dyDescent="0.15">
      <c r="B10" s="849"/>
      <c r="C10" s="852"/>
      <c r="D10" s="175" t="s">
        <v>48</v>
      </c>
      <c r="E10" s="183"/>
      <c r="F10" s="175">
        <f>+'８－３　シャイントンネル算出基礎 '!V21</f>
        <v>37614.400000000001</v>
      </c>
      <c r="G10" s="855"/>
      <c r="H10" s="856"/>
      <c r="I10" s="856"/>
      <c r="J10" s="847"/>
      <c r="K10" s="176"/>
      <c r="L10" s="175"/>
      <c r="M10" s="175"/>
      <c r="N10" s="175">
        <f t="shared" si="1"/>
        <v>0</v>
      </c>
      <c r="O10" s="175"/>
      <c r="P10" s="175"/>
      <c r="Q10" s="175"/>
      <c r="R10" s="846"/>
      <c r="S10" s="847"/>
    </row>
    <row r="11" spans="2:19" s="100" customFormat="1" ht="18" customHeight="1" thickBot="1" x14ac:dyDescent="0.2">
      <c r="B11" s="849"/>
      <c r="C11" s="852"/>
      <c r="D11" s="175" t="s">
        <v>4</v>
      </c>
      <c r="E11" s="183"/>
      <c r="F11" s="175">
        <f>+'８－３　シャイントンネル算出基礎 '!V38</f>
        <v>6771.971428571429</v>
      </c>
      <c r="G11" s="855"/>
      <c r="H11" s="856"/>
      <c r="I11" s="856"/>
      <c r="J11" s="847"/>
      <c r="K11" s="118"/>
      <c r="L11" s="106"/>
      <c r="M11" s="106"/>
      <c r="N11" s="105">
        <f t="shared" si="1"/>
        <v>0</v>
      </c>
      <c r="O11" s="107" t="s">
        <v>22</v>
      </c>
      <c r="P11" s="108">
        <f>SUM(L5:L11,P5:Q10)</f>
        <v>1620</v>
      </c>
      <c r="Q11" s="109">
        <f>R11/P11</f>
        <v>1086</v>
      </c>
      <c r="R11" s="857">
        <f>SUM(N5:N11,R5:S10)</f>
        <v>1759320</v>
      </c>
      <c r="S11" s="858"/>
    </row>
    <row r="12" spans="2:19" s="100" customFormat="1" ht="18" customHeight="1" thickTop="1" x14ac:dyDescent="0.15">
      <c r="B12" s="849"/>
      <c r="C12" s="852"/>
      <c r="D12" s="175" t="s">
        <v>5</v>
      </c>
      <c r="E12" s="183"/>
      <c r="F12" s="175">
        <v>10000</v>
      </c>
      <c r="G12" s="150" t="s">
        <v>614</v>
      </c>
      <c r="H12" s="163"/>
      <c r="I12" s="163"/>
      <c r="J12" s="184"/>
      <c r="K12" s="859" t="s">
        <v>167</v>
      </c>
      <c r="L12" s="174" t="s">
        <v>128</v>
      </c>
      <c r="M12" s="304" t="s">
        <v>7</v>
      </c>
      <c r="N12" s="256" t="s">
        <v>223</v>
      </c>
      <c r="O12" s="303" t="s">
        <v>21</v>
      </c>
      <c r="P12" s="303" t="s">
        <v>24</v>
      </c>
      <c r="Q12" s="862" t="s">
        <v>25</v>
      </c>
      <c r="R12" s="863"/>
      <c r="S12" s="864"/>
    </row>
    <row r="13" spans="2:19" s="100" customFormat="1" ht="18" customHeight="1" x14ac:dyDescent="0.15">
      <c r="B13" s="849"/>
      <c r="C13" s="852"/>
      <c r="D13" s="827" t="s">
        <v>49</v>
      </c>
      <c r="E13" s="185" t="s">
        <v>152</v>
      </c>
      <c r="F13" s="175">
        <f>+'６　固定資本装備と減価償却費'!P11*H13</f>
        <v>2324.1071428571431</v>
      </c>
      <c r="G13" s="150" t="s">
        <v>156</v>
      </c>
      <c r="H13" s="575">
        <v>0.01</v>
      </c>
      <c r="I13" s="829" t="s">
        <v>158</v>
      </c>
      <c r="J13" s="830"/>
      <c r="K13" s="860"/>
      <c r="L13" s="295"/>
      <c r="M13" s="255" t="s">
        <v>224</v>
      </c>
      <c r="N13" s="131"/>
      <c r="O13" s="131"/>
      <c r="P13" s="131">
        <f>N13*O13</f>
        <v>0</v>
      </c>
      <c r="Q13" s="831"/>
      <c r="R13" s="832"/>
      <c r="S13" s="833"/>
    </row>
    <row r="14" spans="2:19" s="100" customFormat="1" ht="18" customHeight="1" x14ac:dyDescent="0.15">
      <c r="B14" s="849"/>
      <c r="C14" s="852"/>
      <c r="D14" s="828"/>
      <c r="E14" s="185" t="s">
        <v>153</v>
      </c>
      <c r="F14" s="175">
        <f>+'６　固定資本装備と減価償却費'!P20*H14</f>
        <v>2211.9047619047615</v>
      </c>
      <c r="G14" s="150" t="s">
        <v>156</v>
      </c>
      <c r="H14" s="575">
        <v>0.05</v>
      </c>
      <c r="I14" s="829" t="s">
        <v>158</v>
      </c>
      <c r="J14" s="830"/>
      <c r="K14" s="860"/>
      <c r="L14" s="299"/>
      <c r="M14" s="173"/>
      <c r="N14" s="131"/>
      <c r="O14" s="131"/>
      <c r="P14" s="131">
        <f>N14*O14</f>
        <v>0</v>
      </c>
      <c r="Q14" s="831"/>
      <c r="R14" s="832"/>
      <c r="S14" s="833"/>
    </row>
    <row r="15" spans="2:19" s="100" customFormat="1" ht="18" customHeight="1" thickBot="1" x14ac:dyDescent="0.2">
      <c r="B15" s="849"/>
      <c r="C15" s="852"/>
      <c r="D15" s="827" t="s">
        <v>73</v>
      </c>
      <c r="E15" s="185" t="s">
        <v>152</v>
      </c>
      <c r="F15" s="175">
        <f>+'６　固定資本装備と減価償却費'!P11</f>
        <v>232410.71428571429</v>
      </c>
      <c r="G15" s="150" t="s">
        <v>158</v>
      </c>
      <c r="H15" s="156"/>
      <c r="I15" s="156"/>
      <c r="J15" s="157"/>
      <c r="K15" s="860"/>
      <c r="L15" s="113" t="s">
        <v>26</v>
      </c>
      <c r="M15" s="112"/>
      <c r="N15" s="113"/>
      <c r="O15" s="113"/>
      <c r="P15" s="113">
        <f>SUM(P13:P14)</f>
        <v>0</v>
      </c>
      <c r="Q15" s="811"/>
      <c r="R15" s="812"/>
      <c r="S15" s="813"/>
    </row>
    <row r="16" spans="2:19" s="100" customFormat="1" ht="18" customHeight="1" thickTop="1" x14ac:dyDescent="0.15">
      <c r="B16" s="849"/>
      <c r="C16" s="852"/>
      <c r="D16" s="854"/>
      <c r="E16" s="185" t="s">
        <v>153</v>
      </c>
      <c r="F16" s="175">
        <f>+'６　固定資本装備と減価償却費'!P20</f>
        <v>44238.095238095229</v>
      </c>
      <c r="G16" s="150" t="s">
        <v>158</v>
      </c>
      <c r="H16" s="156"/>
      <c r="I16" s="156"/>
      <c r="J16" s="157"/>
      <c r="K16" s="860"/>
      <c r="L16" s="169" t="s">
        <v>129</v>
      </c>
      <c r="M16" s="170"/>
      <c r="N16" s="257" t="s">
        <v>223</v>
      </c>
      <c r="O16" s="302" t="s">
        <v>21</v>
      </c>
      <c r="P16" s="171" t="s">
        <v>24</v>
      </c>
      <c r="Q16" s="814" t="s">
        <v>25</v>
      </c>
      <c r="R16" s="815"/>
      <c r="S16" s="816"/>
    </row>
    <row r="17" spans="1:19" s="100" customFormat="1" ht="18" customHeight="1" x14ac:dyDescent="0.15">
      <c r="B17" s="849"/>
      <c r="C17" s="852"/>
      <c r="D17" s="828"/>
      <c r="E17" s="175" t="s">
        <v>50</v>
      </c>
      <c r="F17" s="175">
        <f>+'６　固定資本装備と減価償却費'!P22</f>
        <v>24861.266666666666</v>
      </c>
      <c r="G17" s="150" t="s">
        <v>158</v>
      </c>
      <c r="H17" s="156"/>
      <c r="I17" s="156"/>
      <c r="J17" s="157"/>
      <c r="K17" s="860"/>
      <c r="L17" s="172" t="s">
        <v>135</v>
      </c>
      <c r="M17" s="173"/>
      <c r="N17" s="150" t="s">
        <v>419</v>
      </c>
      <c r="O17" s="167"/>
      <c r="P17" s="165">
        <f>+'８－３　シャイントンネル算出基礎 '!G7</f>
        <v>66480</v>
      </c>
      <c r="Q17" s="805"/>
      <c r="R17" s="806"/>
      <c r="S17" s="807"/>
    </row>
    <row r="18" spans="1:19" s="100" customFormat="1" ht="18" customHeight="1" x14ac:dyDescent="0.15">
      <c r="A18" s="99"/>
      <c r="B18" s="849"/>
      <c r="C18" s="852"/>
      <c r="D18" s="175" t="s">
        <v>51</v>
      </c>
      <c r="E18" s="183"/>
      <c r="F18" s="175">
        <v>50000</v>
      </c>
      <c r="G18" s="150" t="s">
        <v>615</v>
      </c>
      <c r="H18" s="156"/>
      <c r="I18" s="576"/>
      <c r="J18" s="157"/>
      <c r="K18" s="860"/>
      <c r="L18" s="172" t="s">
        <v>133</v>
      </c>
      <c r="M18" s="173"/>
      <c r="N18" s="150" t="s">
        <v>410</v>
      </c>
      <c r="O18" s="167"/>
      <c r="P18" s="165">
        <f>+'８－３　シャイントンネル算出基礎 '!G12</f>
        <v>20785</v>
      </c>
      <c r="Q18" s="805"/>
      <c r="R18" s="806"/>
      <c r="S18" s="807"/>
    </row>
    <row r="19" spans="1:19" s="100" customFormat="1" ht="18" customHeight="1" x14ac:dyDescent="0.15">
      <c r="A19" s="99"/>
      <c r="B19" s="849"/>
      <c r="C19" s="852"/>
      <c r="D19" s="175" t="s">
        <v>132</v>
      </c>
      <c r="E19" s="183"/>
      <c r="F19" s="175">
        <f>SUM(F6:F18)/99</f>
        <v>5848.0730887518766</v>
      </c>
      <c r="G19" s="186" t="s">
        <v>169</v>
      </c>
      <c r="H19" s="196">
        <v>0.01</v>
      </c>
      <c r="I19" s="300"/>
      <c r="J19" s="5"/>
      <c r="K19" s="860"/>
      <c r="L19" s="150" t="s">
        <v>134</v>
      </c>
      <c r="M19" s="163"/>
      <c r="N19" s="150" t="s">
        <v>411</v>
      </c>
      <c r="O19" s="167"/>
      <c r="P19" s="165">
        <f>+'８－３　シャイントンネル算出基礎 '!G17</f>
        <v>8160</v>
      </c>
      <c r="Q19" s="805"/>
      <c r="R19" s="806"/>
      <c r="S19" s="807"/>
    </row>
    <row r="20" spans="1:19" s="100" customFormat="1" ht="18" customHeight="1" x14ac:dyDescent="0.15">
      <c r="A20" s="99"/>
      <c r="B20" s="849"/>
      <c r="C20" s="853"/>
      <c r="D20" s="834" t="s">
        <v>162</v>
      </c>
      <c r="E20" s="835"/>
      <c r="F20" s="129">
        <f>SUM(F6:F19)</f>
        <v>584807.30887518765</v>
      </c>
      <c r="G20" s="159"/>
      <c r="H20" s="300"/>
      <c r="I20" s="300"/>
      <c r="J20" s="301"/>
      <c r="K20" s="860"/>
      <c r="L20" s="150" t="s">
        <v>136</v>
      </c>
      <c r="M20" s="163"/>
      <c r="N20" s="150" t="s">
        <v>419</v>
      </c>
      <c r="O20" s="167"/>
      <c r="P20" s="165">
        <f>+'８－３　シャイントンネル算出基礎 '!G21</f>
        <v>1649.9999999999998</v>
      </c>
      <c r="Q20" s="805"/>
      <c r="R20" s="806"/>
      <c r="S20" s="807"/>
    </row>
    <row r="21" spans="1:19" s="100" customFormat="1" ht="18" customHeight="1" x14ac:dyDescent="0.15">
      <c r="A21" s="99"/>
      <c r="B21" s="849"/>
      <c r="C21" s="820" t="s">
        <v>157</v>
      </c>
      <c r="D21" s="823" t="s">
        <v>52</v>
      </c>
      <c r="E21" s="18" t="s">
        <v>1</v>
      </c>
      <c r="F21" s="105">
        <f>+P11*80</f>
        <v>129600</v>
      </c>
      <c r="G21" s="172" t="s">
        <v>484</v>
      </c>
      <c r="H21" s="163"/>
      <c r="I21" s="110"/>
      <c r="J21" s="184"/>
      <c r="K21" s="860"/>
      <c r="L21" s="150" t="s">
        <v>137</v>
      </c>
      <c r="M21" s="163"/>
      <c r="N21" s="150"/>
      <c r="O21" s="165"/>
      <c r="P21" s="165"/>
      <c r="Q21" s="805"/>
      <c r="R21" s="806"/>
      <c r="S21" s="807"/>
    </row>
    <row r="22" spans="1:19" s="100" customFormat="1" ht="18" customHeight="1" thickBot="1" x14ac:dyDescent="0.2">
      <c r="A22" s="99"/>
      <c r="B22" s="849"/>
      <c r="C22" s="821"/>
      <c r="D22" s="717"/>
      <c r="E22" s="18" t="s">
        <v>2</v>
      </c>
      <c r="F22" s="130">
        <f>+P11*18</f>
        <v>29160</v>
      </c>
      <c r="G22" s="172" t="s">
        <v>485</v>
      </c>
      <c r="H22" s="187"/>
      <c r="I22" s="187"/>
      <c r="J22" s="188"/>
      <c r="K22" s="860"/>
      <c r="L22" s="113" t="s">
        <v>26</v>
      </c>
      <c r="M22" s="112"/>
      <c r="N22" s="113"/>
      <c r="O22" s="113"/>
      <c r="P22" s="113">
        <f>SUM(P17:P21)</f>
        <v>97075</v>
      </c>
      <c r="Q22" s="811"/>
      <c r="R22" s="812"/>
      <c r="S22" s="813"/>
    </row>
    <row r="23" spans="1:19" s="100" customFormat="1" ht="18" customHeight="1" thickTop="1" x14ac:dyDescent="0.15">
      <c r="A23" s="99"/>
      <c r="B23" s="849"/>
      <c r="C23" s="821"/>
      <c r="D23" s="824"/>
      <c r="E23" s="18" t="s">
        <v>6</v>
      </c>
      <c r="F23" s="105">
        <f>+R11*0.11</f>
        <v>193525.2</v>
      </c>
      <c r="G23" s="172" t="s">
        <v>486</v>
      </c>
      <c r="H23" s="297"/>
      <c r="I23" s="187"/>
      <c r="J23" s="298"/>
      <c r="K23" s="860"/>
      <c r="L23" s="150" t="s">
        <v>130</v>
      </c>
      <c r="M23" s="163"/>
      <c r="N23" s="164" t="s">
        <v>23</v>
      </c>
      <c r="O23" s="164" t="s">
        <v>21</v>
      </c>
      <c r="P23" s="164" t="s">
        <v>24</v>
      </c>
      <c r="Q23" s="814" t="s">
        <v>25</v>
      </c>
      <c r="R23" s="815"/>
      <c r="S23" s="816"/>
    </row>
    <row r="24" spans="1:19" s="100" customFormat="1" ht="18" customHeight="1" x14ac:dyDescent="0.15">
      <c r="A24" s="99"/>
      <c r="B24" s="849"/>
      <c r="C24" s="821"/>
      <c r="D24" s="18" t="s">
        <v>226</v>
      </c>
      <c r="E24" s="25"/>
      <c r="F24" s="130"/>
      <c r="G24" s="172"/>
      <c r="H24" s="190"/>
      <c r="I24" s="191"/>
      <c r="J24" s="189"/>
      <c r="K24" s="860"/>
      <c r="L24" s="165" t="s">
        <v>27</v>
      </c>
      <c r="M24" s="163"/>
      <c r="N24" s="150" t="s">
        <v>420</v>
      </c>
      <c r="O24" s="165"/>
      <c r="P24" s="165">
        <f>+'８－３　シャイントンネル算出基礎 '!G42</f>
        <v>19340</v>
      </c>
      <c r="Q24" s="805"/>
      <c r="R24" s="806"/>
      <c r="S24" s="807"/>
    </row>
    <row r="25" spans="1:19" s="100" customFormat="1" ht="18" customHeight="1" x14ac:dyDescent="0.15">
      <c r="A25" s="99"/>
      <c r="B25" s="849"/>
      <c r="C25" s="821"/>
      <c r="D25" s="18" t="s">
        <v>74</v>
      </c>
      <c r="E25" s="25"/>
      <c r="F25" s="130"/>
      <c r="G25" s="172"/>
      <c r="H25" s="192"/>
      <c r="I25" s="193"/>
      <c r="J25" s="194"/>
      <c r="K25" s="860"/>
      <c r="L25" s="165" t="s">
        <v>28</v>
      </c>
      <c r="M25" s="163"/>
      <c r="N25" s="150" t="s">
        <v>421</v>
      </c>
      <c r="O25" s="165"/>
      <c r="P25" s="165">
        <f>+'８－３　シャイントンネル算出基礎 '!G53</f>
        <v>11783.444444444443</v>
      </c>
      <c r="Q25" s="805"/>
      <c r="R25" s="806"/>
      <c r="S25" s="807"/>
    </row>
    <row r="26" spans="1:19" s="100" customFormat="1" ht="18" customHeight="1" x14ac:dyDescent="0.15">
      <c r="A26" s="99"/>
      <c r="B26" s="849"/>
      <c r="C26" s="821"/>
      <c r="D26" s="18" t="s">
        <v>97</v>
      </c>
      <c r="E26" s="19"/>
      <c r="F26" s="130">
        <f>+'８－３　シャイントンネル算出基礎 '!V61</f>
        <v>13181.666666666668</v>
      </c>
      <c r="G26" s="219"/>
      <c r="H26" s="217"/>
      <c r="I26" s="217"/>
      <c r="J26" s="218"/>
      <c r="K26" s="860"/>
      <c r="L26" s="165" t="s">
        <v>29</v>
      </c>
      <c r="M26" s="163"/>
      <c r="N26" s="150" t="s">
        <v>419</v>
      </c>
      <c r="O26" s="165"/>
      <c r="P26" s="165">
        <f>+'８－３　シャイントンネル算出基礎 '!G57</f>
        <v>4158.181818181818</v>
      </c>
      <c r="Q26" s="805"/>
      <c r="R26" s="806"/>
      <c r="S26" s="807"/>
    </row>
    <row r="27" spans="1:19" s="100" customFormat="1" ht="18" customHeight="1" x14ac:dyDescent="0.15">
      <c r="A27" s="99"/>
      <c r="B27" s="849"/>
      <c r="C27" s="821"/>
      <c r="D27" s="26" t="s">
        <v>75</v>
      </c>
      <c r="E27" s="27"/>
      <c r="F27" s="195"/>
      <c r="G27" s="150"/>
      <c r="H27" s="192"/>
      <c r="I27" s="193"/>
      <c r="J27" s="189"/>
      <c r="K27" s="860"/>
      <c r="L27" s="165" t="s">
        <v>108</v>
      </c>
      <c r="M27" s="163"/>
      <c r="N27" s="150" t="s">
        <v>429</v>
      </c>
      <c r="O27" s="165"/>
      <c r="P27" s="165">
        <f>+'８－３　シャイントンネル算出基礎 '!G61</f>
        <v>10830</v>
      </c>
      <c r="Q27" s="805"/>
      <c r="R27" s="806"/>
      <c r="S27" s="807"/>
    </row>
    <row r="28" spans="1:19" s="100" customFormat="1" ht="18" customHeight="1" thickBot="1" x14ac:dyDescent="0.2">
      <c r="A28" s="99"/>
      <c r="B28" s="849"/>
      <c r="C28" s="821"/>
      <c r="D28" s="18" t="s">
        <v>53</v>
      </c>
      <c r="E28" s="19"/>
      <c r="F28" s="130">
        <f>+'８－３　シャイントンネル算出基礎 '!N61</f>
        <v>1516.6666666666665</v>
      </c>
      <c r="G28" s="219"/>
      <c r="H28" s="217"/>
      <c r="I28" s="217"/>
      <c r="J28" s="218"/>
      <c r="K28" s="860"/>
      <c r="L28" s="113" t="s">
        <v>26</v>
      </c>
      <c r="M28" s="112"/>
      <c r="N28" s="113"/>
      <c r="O28" s="113"/>
      <c r="P28" s="113">
        <f>SUM(P24:P27)</f>
        <v>46111.626262626261</v>
      </c>
      <c r="Q28" s="811"/>
      <c r="R28" s="812"/>
      <c r="S28" s="813"/>
    </row>
    <row r="29" spans="1:19" s="100" customFormat="1" ht="18" customHeight="1" thickTop="1" x14ac:dyDescent="0.15">
      <c r="A29" s="99"/>
      <c r="B29" s="849"/>
      <c r="C29" s="821"/>
      <c r="D29" s="18" t="s">
        <v>227</v>
      </c>
      <c r="E29" s="25"/>
      <c r="F29" s="130">
        <f>SUM(F21:F28)/99</f>
        <v>3706.9043771043775</v>
      </c>
      <c r="G29" s="284" t="s">
        <v>244</v>
      </c>
      <c r="H29" s="196">
        <v>0.01</v>
      </c>
      <c r="I29" s="161"/>
      <c r="J29" s="160"/>
      <c r="K29" s="860"/>
      <c r="L29" s="150" t="s">
        <v>131</v>
      </c>
      <c r="M29" s="163"/>
      <c r="N29" s="164" t="s">
        <v>23</v>
      </c>
      <c r="O29" s="164" t="s">
        <v>21</v>
      </c>
      <c r="P29" s="164" t="s">
        <v>24</v>
      </c>
      <c r="Q29" s="814" t="s">
        <v>25</v>
      </c>
      <c r="R29" s="815"/>
      <c r="S29" s="816"/>
    </row>
    <row r="30" spans="1:19" s="100" customFormat="1" ht="18" customHeight="1" thickBot="1" x14ac:dyDescent="0.2">
      <c r="A30" s="99"/>
      <c r="B30" s="850"/>
      <c r="C30" s="822"/>
      <c r="D30" s="825" t="s">
        <v>161</v>
      </c>
      <c r="E30" s="826"/>
      <c r="F30" s="151">
        <f>SUM(F21:F29)</f>
        <v>370690.43771043775</v>
      </c>
      <c r="G30" s="152"/>
      <c r="H30" s="153"/>
      <c r="I30" s="154"/>
      <c r="J30" s="155"/>
      <c r="K30" s="860"/>
      <c r="L30" s="165" t="s">
        <v>121</v>
      </c>
      <c r="M30" s="166"/>
      <c r="N30" s="150" t="s">
        <v>415</v>
      </c>
      <c r="O30" s="167"/>
      <c r="P30" s="165">
        <f>+'８－３　シャイントンネル算出基礎 '!N11</f>
        <v>3811.5</v>
      </c>
      <c r="Q30" s="817"/>
      <c r="R30" s="818"/>
      <c r="S30" s="819"/>
    </row>
    <row r="31" spans="1:19" s="100" customFormat="1" ht="18" customHeight="1" x14ac:dyDescent="0.15">
      <c r="A31" s="99"/>
      <c r="B31" s="120"/>
      <c r="C31" s="116"/>
      <c r="D31" s="116"/>
      <c r="E31" s="116"/>
      <c r="F31" s="116"/>
      <c r="G31" s="116"/>
      <c r="H31" s="116"/>
      <c r="I31" s="116"/>
      <c r="J31" s="116"/>
      <c r="K31" s="860"/>
      <c r="L31" s="165" t="s">
        <v>122</v>
      </c>
      <c r="M31" s="166"/>
      <c r="N31" s="150" t="s">
        <v>416</v>
      </c>
      <c r="O31" s="167"/>
      <c r="P31" s="165">
        <f>+'８－３　シャイントンネル算出基礎 '!N16</f>
        <v>14256</v>
      </c>
      <c r="Q31" s="817"/>
      <c r="R31" s="818"/>
      <c r="S31" s="819"/>
    </row>
    <row r="32" spans="1:19" s="100" customFormat="1" ht="18" customHeight="1" x14ac:dyDescent="0.15">
      <c r="A32" s="99"/>
      <c r="B32" s="111"/>
      <c r="C32" s="125"/>
      <c r="D32" s="111"/>
      <c r="E32" s="111"/>
      <c r="F32" s="123"/>
      <c r="G32" s="123"/>
      <c r="H32" s="124"/>
      <c r="I32" s="116"/>
      <c r="J32" s="116"/>
      <c r="K32" s="860"/>
      <c r="L32" s="165" t="s">
        <v>124</v>
      </c>
      <c r="M32" s="163"/>
      <c r="N32" s="167"/>
      <c r="O32" s="167"/>
      <c r="P32" s="165">
        <f>SUM(P30:P31)*R32</f>
        <v>5420.25</v>
      </c>
      <c r="Q32" s="296" t="s">
        <v>123</v>
      </c>
      <c r="R32" s="168">
        <v>0.3</v>
      </c>
      <c r="S32" s="114"/>
    </row>
    <row r="33" spans="1:23" ht="18" customHeight="1" x14ac:dyDescent="0.15">
      <c r="K33" s="860"/>
      <c r="L33" s="165" t="s">
        <v>125</v>
      </c>
      <c r="M33" s="166"/>
      <c r="N33" s="150" t="s">
        <v>417</v>
      </c>
      <c r="O33" s="167"/>
      <c r="P33" s="165">
        <f>+'８－３　シャイントンネル算出基礎 '!N20</f>
        <v>1852.4</v>
      </c>
      <c r="Q33" s="805"/>
      <c r="R33" s="806"/>
      <c r="S33" s="807"/>
    </row>
    <row r="34" spans="1:23" ht="18" customHeight="1" x14ac:dyDescent="0.15">
      <c r="K34" s="860"/>
      <c r="L34" s="165" t="s">
        <v>126</v>
      </c>
      <c r="M34" s="166"/>
      <c r="N34" s="150"/>
      <c r="O34" s="167"/>
      <c r="P34" s="165"/>
      <c r="Q34" s="805"/>
      <c r="R34" s="806"/>
      <c r="S34" s="807"/>
    </row>
    <row r="35" spans="1:23" ht="18" customHeight="1" x14ac:dyDescent="0.15">
      <c r="K35" s="860"/>
      <c r="L35" s="165" t="s">
        <v>225</v>
      </c>
      <c r="M35" s="166"/>
      <c r="N35" s="150"/>
      <c r="O35" s="167"/>
      <c r="P35" s="165"/>
      <c r="Q35" s="260"/>
      <c r="R35" s="261"/>
      <c r="S35" s="262"/>
    </row>
    <row r="36" spans="1:23" ht="18" customHeight="1" x14ac:dyDescent="0.15">
      <c r="K36" s="860"/>
      <c r="L36" s="165" t="s">
        <v>127</v>
      </c>
      <c r="M36" s="163"/>
      <c r="N36" s="150"/>
      <c r="O36" s="167"/>
      <c r="P36" s="165"/>
      <c r="Q36" s="805"/>
      <c r="R36" s="806"/>
      <c r="S36" s="807"/>
    </row>
    <row r="37" spans="1:23" ht="18" customHeight="1" thickBot="1" x14ac:dyDescent="0.2">
      <c r="K37" s="861"/>
      <c r="L37" s="122" t="s">
        <v>26</v>
      </c>
      <c r="M37" s="121"/>
      <c r="N37" s="122"/>
      <c r="O37" s="122"/>
      <c r="P37" s="122">
        <f>SUM(P30:P36)</f>
        <v>25340.15</v>
      </c>
      <c r="Q37" s="808"/>
      <c r="R37" s="809"/>
      <c r="S37" s="810"/>
    </row>
    <row r="38" spans="1:23" s="115" customFormat="1" ht="18" customHeight="1" x14ac:dyDescent="0.15">
      <c r="A38" s="99"/>
      <c r="B38" s="99"/>
      <c r="C38" s="99"/>
      <c r="D38" s="99"/>
      <c r="E38" s="99"/>
      <c r="F38" s="99"/>
      <c r="G38" s="99"/>
      <c r="H38" s="99"/>
      <c r="I38" s="99"/>
      <c r="J38" s="99"/>
    </row>
    <row r="39" spans="1:23" s="115" customFormat="1" ht="18" customHeight="1" x14ac:dyDescent="0.15">
      <c r="A39" s="99"/>
      <c r="B39" s="99"/>
      <c r="C39" s="99"/>
      <c r="D39" s="99"/>
      <c r="E39" s="99"/>
      <c r="F39" s="99"/>
      <c r="G39" s="99"/>
      <c r="H39" s="99"/>
      <c r="I39" s="99"/>
      <c r="J39" s="99"/>
      <c r="T39" s="116"/>
    </row>
    <row r="40" spans="1:23" s="115" customFormat="1" ht="18" customHeight="1" x14ac:dyDescent="0.15">
      <c r="A40" s="99"/>
      <c r="B40" s="99"/>
      <c r="C40" s="99"/>
      <c r="D40" s="99"/>
      <c r="E40" s="99"/>
      <c r="F40" s="99"/>
      <c r="G40" s="99"/>
      <c r="H40" s="99"/>
      <c r="I40" s="99"/>
      <c r="J40" s="99"/>
      <c r="T40" s="100"/>
      <c r="U40" s="100"/>
      <c r="V40" s="100"/>
      <c r="W40" s="100"/>
    </row>
    <row r="41" spans="1:23" s="115" customFormat="1" ht="18" customHeight="1" x14ac:dyDescent="0.15">
      <c r="A41" s="99"/>
      <c r="B41" s="99"/>
      <c r="C41" s="99"/>
      <c r="D41" s="99"/>
      <c r="E41" s="99"/>
      <c r="F41" s="99"/>
      <c r="G41" s="99"/>
      <c r="H41" s="99"/>
      <c r="I41" s="99"/>
      <c r="J41" s="99"/>
      <c r="T41" s="117"/>
      <c r="U41" s="118"/>
      <c r="V41" s="119"/>
      <c r="W41" s="117"/>
    </row>
    <row r="42" spans="1:23" s="115" customFormat="1" ht="18" customHeight="1" x14ac:dyDescent="0.15">
      <c r="A42" s="99"/>
      <c r="B42" s="99"/>
      <c r="C42" s="99"/>
      <c r="D42" s="99"/>
      <c r="E42" s="99"/>
      <c r="F42" s="99"/>
      <c r="G42" s="99"/>
      <c r="H42" s="99"/>
      <c r="I42" s="99"/>
      <c r="J42" s="99"/>
      <c r="T42" s="100"/>
      <c r="U42" s="100"/>
      <c r="V42" s="100"/>
      <c r="W42" s="100"/>
    </row>
    <row r="43" spans="1:23" s="115" customFormat="1" ht="18" customHeight="1" x14ac:dyDescent="0.15">
      <c r="B43" s="99"/>
      <c r="C43" s="99"/>
      <c r="D43" s="99"/>
      <c r="E43" s="99"/>
      <c r="F43" s="99"/>
      <c r="G43" s="99"/>
      <c r="H43" s="99"/>
      <c r="I43" s="99"/>
      <c r="J43" s="99"/>
      <c r="T43" s="101"/>
      <c r="U43" s="116"/>
      <c r="V43" s="100"/>
      <c r="W43" s="117"/>
    </row>
    <row r="44" spans="1:23" s="115" customFormat="1" ht="18" customHeight="1" x14ac:dyDescent="0.15">
      <c r="B44" s="99"/>
      <c r="C44" s="99"/>
      <c r="D44" s="99"/>
      <c r="E44" s="99"/>
      <c r="F44" s="99"/>
      <c r="G44" s="99"/>
      <c r="H44" s="99"/>
      <c r="I44" s="99"/>
      <c r="J44" s="99"/>
      <c r="T44" s="101"/>
      <c r="U44" s="116"/>
      <c r="V44" s="100"/>
      <c r="W44" s="117"/>
    </row>
    <row r="45" spans="1:23" s="115" customFormat="1" ht="18" customHeight="1" x14ac:dyDescent="0.15">
      <c r="B45" s="99"/>
      <c r="C45" s="99"/>
      <c r="D45" s="99"/>
      <c r="E45" s="99"/>
      <c r="F45" s="99"/>
      <c r="G45" s="99"/>
      <c r="H45" s="99"/>
      <c r="I45" s="99"/>
      <c r="J45" s="99"/>
      <c r="T45" s="100"/>
      <c r="U45" s="100"/>
      <c r="V45" s="118"/>
      <c r="W45" s="100"/>
    </row>
    <row r="46" spans="1:23" s="115" customFormat="1" x14ac:dyDescent="0.15">
      <c r="B46" s="99"/>
      <c r="C46" s="99"/>
      <c r="D46" s="99"/>
      <c r="E46" s="99"/>
      <c r="F46" s="99"/>
      <c r="G46" s="99"/>
      <c r="H46" s="99"/>
      <c r="I46" s="99"/>
      <c r="J46" s="99"/>
      <c r="T46" s="101"/>
      <c r="U46" s="100"/>
      <c r="V46" s="100"/>
      <c r="W46" s="117"/>
    </row>
    <row r="47" spans="1:23" s="115" customFormat="1" x14ac:dyDescent="0.15">
      <c r="B47" s="99"/>
      <c r="C47" s="99"/>
      <c r="D47" s="99"/>
      <c r="E47" s="99"/>
      <c r="F47" s="99"/>
      <c r="G47" s="99"/>
      <c r="H47" s="99"/>
      <c r="I47" s="99"/>
      <c r="J47" s="99"/>
      <c r="T47" s="101"/>
      <c r="U47" s="100"/>
      <c r="V47" s="100"/>
      <c r="W47" s="117"/>
    </row>
    <row r="48" spans="1:23" s="115" customFormat="1" x14ac:dyDescent="0.15">
      <c r="B48" s="99"/>
      <c r="C48" s="99"/>
      <c r="D48" s="99"/>
      <c r="E48" s="99"/>
      <c r="F48" s="99"/>
      <c r="G48" s="99"/>
      <c r="H48" s="99"/>
      <c r="I48" s="99"/>
      <c r="J48" s="99"/>
      <c r="T48" s="101"/>
      <c r="U48" s="100"/>
      <c r="V48" s="100"/>
      <c r="W48" s="117"/>
    </row>
    <row r="49" spans="2:23" s="115" customFormat="1" x14ac:dyDescent="0.15">
      <c r="B49" s="99"/>
      <c r="C49" s="99"/>
      <c r="D49" s="99"/>
      <c r="E49" s="99"/>
      <c r="F49" s="99"/>
      <c r="G49" s="99"/>
      <c r="H49" s="99"/>
      <c r="I49" s="99"/>
      <c r="J49" s="99"/>
      <c r="T49" s="101"/>
      <c r="U49" s="100"/>
      <c r="V49" s="100"/>
      <c r="W49" s="117"/>
    </row>
    <row r="50" spans="2:23" s="115" customFormat="1" x14ac:dyDescent="0.15">
      <c r="B50" s="99"/>
      <c r="C50" s="99"/>
      <c r="D50" s="99"/>
      <c r="E50" s="99"/>
      <c r="F50" s="99"/>
      <c r="G50" s="99"/>
      <c r="H50" s="99"/>
      <c r="I50" s="99"/>
      <c r="J50" s="99"/>
      <c r="T50" s="101"/>
      <c r="U50" s="101"/>
      <c r="V50" s="101"/>
      <c r="W50" s="100"/>
    </row>
    <row r="51" spans="2:23" s="115" customFormat="1" ht="13.5" customHeight="1" x14ac:dyDescent="0.15">
      <c r="B51" s="99"/>
      <c r="C51" s="99"/>
      <c r="D51" s="99"/>
      <c r="E51" s="99"/>
      <c r="F51" s="99"/>
      <c r="G51" s="99"/>
      <c r="H51" s="99"/>
      <c r="I51" s="99"/>
      <c r="J51" s="99"/>
      <c r="T51" s="100"/>
      <c r="U51" s="100"/>
      <c r="V51" s="100"/>
      <c r="W51" s="118"/>
    </row>
    <row r="52" spans="2:23" s="115" customFormat="1" x14ac:dyDescent="0.15">
      <c r="B52" s="99"/>
      <c r="C52" s="99"/>
      <c r="D52" s="99"/>
      <c r="E52" s="99"/>
      <c r="F52" s="99"/>
      <c r="G52" s="99"/>
      <c r="H52" s="99"/>
      <c r="I52" s="99"/>
      <c r="J52" s="99"/>
      <c r="T52" s="117"/>
      <c r="U52" s="100"/>
      <c r="V52" s="118"/>
      <c r="W52" s="117"/>
    </row>
    <row r="53" spans="2:23" s="115" customFormat="1" x14ac:dyDescent="0.15">
      <c r="B53" s="99"/>
      <c r="C53" s="99"/>
      <c r="D53" s="99"/>
      <c r="E53" s="99"/>
      <c r="F53" s="99"/>
      <c r="G53" s="99"/>
      <c r="H53" s="99"/>
      <c r="I53" s="99"/>
      <c r="J53" s="99"/>
      <c r="T53" s="100"/>
      <c r="U53" s="100"/>
      <c r="V53" s="100"/>
      <c r="W53" s="100"/>
    </row>
    <row r="54" spans="2:23" s="115" customFormat="1" ht="13.5" customHeight="1" x14ac:dyDescent="0.15">
      <c r="B54" s="99"/>
      <c r="C54" s="99"/>
      <c r="D54" s="99"/>
      <c r="E54" s="99"/>
      <c r="F54" s="99"/>
      <c r="G54" s="99"/>
      <c r="H54" s="99"/>
      <c r="I54" s="99"/>
      <c r="J54" s="99"/>
      <c r="T54" s="101"/>
      <c r="U54" s="100"/>
      <c r="V54" s="101"/>
      <c r="W54" s="117"/>
    </row>
    <row r="55" spans="2:23" s="115" customFormat="1" x14ac:dyDescent="0.15">
      <c r="B55" s="99"/>
      <c r="C55" s="99"/>
      <c r="D55" s="99"/>
      <c r="E55" s="99"/>
      <c r="F55" s="99"/>
      <c r="G55" s="99"/>
      <c r="H55" s="99"/>
      <c r="I55" s="99"/>
      <c r="J55" s="99"/>
      <c r="T55" s="126"/>
      <c r="U55" s="100"/>
      <c r="V55" s="100"/>
      <c r="W55" s="117"/>
    </row>
    <row r="56" spans="2:23" s="115" customFormat="1" x14ac:dyDescent="0.15"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100"/>
      <c r="U56" s="101"/>
      <c r="V56" s="100"/>
      <c r="W56" s="100"/>
    </row>
    <row r="57" spans="2:23" s="115" customFormat="1" x14ac:dyDescent="0.15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116"/>
      <c r="U57" s="116"/>
      <c r="V57" s="116"/>
      <c r="W57" s="116"/>
    </row>
    <row r="58" spans="2:23" s="115" customFormat="1" x14ac:dyDescent="0.15"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116"/>
    </row>
    <row r="59" spans="2:23" s="115" customFormat="1" x14ac:dyDescent="0.15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116"/>
    </row>
    <row r="60" spans="2:23" s="115" customFormat="1" x14ac:dyDescent="0.15"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116"/>
    </row>
    <row r="61" spans="2:23" s="115" customFormat="1" x14ac:dyDescent="0.15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</row>
    <row r="62" spans="2:23" s="115" customFormat="1" x14ac:dyDescent="0.15"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2:23" s="115" customFormat="1" ht="13.5" customHeight="1" x14ac:dyDescent="0.15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</row>
    <row r="64" spans="2:23" s="115" customFormat="1" ht="13.5" customHeight="1" x14ac:dyDescent="0.15"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</row>
    <row r="65" spans="2:19" s="115" customFormat="1" x14ac:dyDescent="0.15"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</row>
    <row r="66" spans="2:19" s="115" customFormat="1" x14ac:dyDescent="0.15"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</row>
    <row r="67" spans="2:19" s="115" customFormat="1" x14ac:dyDescent="0.15"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</row>
    <row r="68" spans="2:19" s="115" customFormat="1" ht="13.5" customHeight="1" x14ac:dyDescent="0.15"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</row>
    <row r="69" spans="2:19" s="115" customFormat="1" x14ac:dyDescent="0.15"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</row>
    <row r="70" spans="2:19" s="115" customFormat="1" x14ac:dyDescent="0.15"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</row>
    <row r="71" spans="2:19" s="115" customFormat="1" x14ac:dyDescent="0.15"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</row>
    <row r="72" spans="2:19" s="115" customFormat="1" x14ac:dyDescent="0.15"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</row>
    <row r="73" spans="2:19" s="115" customFormat="1" x14ac:dyDescent="0.15"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</row>
    <row r="74" spans="2:19" s="115" customFormat="1" ht="13.5" customHeight="1" x14ac:dyDescent="0.15"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</row>
    <row r="75" spans="2:19" s="115" customFormat="1" x14ac:dyDescent="0.15"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</row>
    <row r="76" spans="2:19" s="115" customFormat="1" x14ac:dyDescent="0.15"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</row>
    <row r="77" spans="2:19" s="115" customFormat="1" x14ac:dyDescent="0.15"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</row>
    <row r="78" spans="2:19" s="115" customFormat="1" x14ac:dyDescent="0.15"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</row>
    <row r="79" spans="2:19" s="115" customFormat="1" x14ac:dyDescent="0.15"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</row>
    <row r="80" spans="2:19" s="115" customFormat="1" x14ac:dyDescent="0.15"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</row>
    <row r="81" spans="1:19" s="115" customFormat="1" x14ac:dyDescent="0.15"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</row>
    <row r="82" spans="1:19" s="115" customFormat="1" x14ac:dyDescent="0.15"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</row>
    <row r="83" spans="1:19" s="115" customFormat="1" x14ac:dyDescent="0.15"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</row>
    <row r="84" spans="1:19" s="115" customFormat="1" x14ac:dyDescent="0.15"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</row>
    <row r="85" spans="1:19" s="115" customFormat="1" x14ac:dyDescent="0.15"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</row>
    <row r="86" spans="1:19" s="115" customFormat="1" ht="13.5" customHeight="1" x14ac:dyDescent="0.15"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</row>
    <row r="87" spans="1:19" s="115" customFormat="1" x14ac:dyDescent="0.15"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</row>
    <row r="88" spans="1:19" s="115" customFormat="1" x14ac:dyDescent="0.15"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</row>
    <row r="89" spans="1:19" s="115" customFormat="1" ht="13.5" customHeight="1" x14ac:dyDescent="0.15"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</row>
    <row r="90" spans="1:19" s="115" customFormat="1" x14ac:dyDescent="0.15"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</row>
    <row r="91" spans="1:19" s="115" customFormat="1" x14ac:dyDescent="0.15"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</row>
    <row r="92" spans="1:19" s="115" customFormat="1" x14ac:dyDescent="0.15"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</row>
    <row r="93" spans="1:19" s="115" customFormat="1" x14ac:dyDescent="0.15"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</row>
    <row r="94" spans="1:19" s="115" customFormat="1" x14ac:dyDescent="0.15"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</row>
    <row r="95" spans="1:19" x14ac:dyDescent="0.15">
      <c r="A95" s="115"/>
    </row>
    <row r="96" spans="1:19" x14ac:dyDescent="0.15">
      <c r="A96" s="115"/>
    </row>
    <row r="97" spans="1:1" x14ac:dyDescent="0.15">
      <c r="A97" s="115"/>
    </row>
    <row r="98" spans="1:1" x14ac:dyDescent="0.15">
      <c r="A98" s="115"/>
    </row>
    <row r="99" spans="1:1" x14ac:dyDescent="0.15">
      <c r="A99" s="115"/>
    </row>
  </sheetData>
  <mergeCells count="48">
    <mergeCell ref="B6:B30"/>
    <mergeCell ref="C6:C20"/>
    <mergeCell ref="R6:S6"/>
    <mergeCell ref="R7:S7"/>
    <mergeCell ref="R8:S8"/>
    <mergeCell ref="D15:D17"/>
    <mergeCell ref="Q15:S15"/>
    <mergeCell ref="Q16:S16"/>
    <mergeCell ref="Q17:S17"/>
    <mergeCell ref="R9:S9"/>
    <mergeCell ref="G10:J10"/>
    <mergeCell ref="R10:S10"/>
    <mergeCell ref="G11:J11"/>
    <mergeCell ref="R11:S11"/>
    <mergeCell ref="K12:K37"/>
    <mergeCell ref="Q12:S12"/>
    <mergeCell ref="B3:E3"/>
    <mergeCell ref="K3:S3"/>
    <mergeCell ref="B4:C5"/>
    <mergeCell ref="R4:S4"/>
    <mergeCell ref="R5:S5"/>
    <mergeCell ref="Q18:S18"/>
    <mergeCell ref="Q19:S19"/>
    <mergeCell ref="Q27:S27"/>
    <mergeCell ref="D13:D14"/>
    <mergeCell ref="I13:J13"/>
    <mergeCell ref="Q13:S13"/>
    <mergeCell ref="I14:J14"/>
    <mergeCell ref="Q14:S14"/>
    <mergeCell ref="D20:E20"/>
    <mergeCell ref="Q20:S20"/>
    <mergeCell ref="C21:C30"/>
    <mergeCell ref="D21:D23"/>
    <mergeCell ref="Q21:S21"/>
    <mergeCell ref="Q22:S22"/>
    <mergeCell ref="Q23:S23"/>
    <mergeCell ref="Q24:S24"/>
    <mergeCell ref="Q25:S25"/>
    <mergeCell ref="Q26:S26"/>
    <mergeCell ref="D30:E30"/>
    <mergeCell ref="Q30:S30"/>
    <mergeCell ref="Q36:S36"/>
    <mergeCell ref="Q37:S37"/>
    <mergeCell ref="Q28:S28"/>
    <mergeCell ref="Q29:S29"/>
    <mergeCell ref="Q31:S31"/>
    <mergeCell ref="Q33:S33"/>
    <mergeCell ref="Q34:S34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Z195"/>
  <sheetViews>
    <sheetView showZeros="0" zoomScale="75" zoomScaleNormal="75" zoomScaleSheetLayoutView="80" workbookViewId="0"/>
  </sheetViews>
  <sheetFormatPr defaultRowHeight="13.5" x14ac:dyDescent="0.15"/>
  <cols>
    <col min="1" max="1" width="1.625" style="29" customWidth="1"/>
    <col min="2" max="2" width="3.625" style="29" customWidth="1"/>
    <col min="3" max="3" width="15.625" style="29" customWidth="1"/>
    <col min="4" max="7" width="8.625" style="29" customWidth="1"/>
    <col min="8" max="8" width="1.625" style="147" customWidth="1"/>
    <col min="9" max="9" width="3.625" style="29" customWidth="1"/>
    <col min="10" max="10" width="15.625" style="29" customWidth="1"/>
    <col min="11" max="14" width="8.625" style="29" customWidth="1"/>
    <col min="15" max="15" width="3.5" style="29" customWidth="1"/>
    <col min="16" max="16" width="15.625" style="127" customWidth="1"/>
    <col min="17" max="17" width="8.625" style="29" customWidth="1"/>
    <col min="18" max="18" width="8.625" style="30" customWidth="1"/>
    <col min="19" max="21" width="8.625" style="29" customWidth="1"/>
    <col min="22" max="22" width="10.625" style="30" customWidth="1"/>
    <col min="23" max="262" width="9" style="29"/>
    <col min="263" max="263" width="1.375" style="29" customWidth="1"/>
    <col min="264" max="264" width="3.5" style="29" customWidth="1"/>
    <col min="265" max="265" width="22.125" style="29" customWidth="1"/>
    <col min="266" max="266" width="9.75" style="29" customWidth="1"/>
    <col min="267" max="267" width="7.375" style="29" customWidth="1"/>
    <col min="268" max="268" width="9" style="29"/>
    <col min="269" max="269" width="9.25" style="29" customWidth="1"/>
    <col min="270" max="270" width="3.5" style="29" customWidth="1"/>
    <col min="271" max="272" width="12.625" style="29" customWidth="1"/>
    <col min="273" max="273" width="9" style="29"/>
    <col min="274" max="274" width="7.75" style="29" customWidth="1"/>
    <col min="275" max="275" width="13.125" style="29" customWidth="1"/>
    <col min="276" max="276" width="6.125" style="29" customWidth="1"/>
    <col min="277" max="277" width="9.75" style="29" customWidth="1"/>
    <col min="278" max="278" width="1.375" style="29" customWidth="1"/>
    <col min="279" max="518" width="9" style="29"/>
    <col min="519" max="519" width="1.375" style="29" customWidth="1"/>
    <col min="520" max="520" width="3.5" style="29" customWidth="1"/>
    <col min="521" max="521" width="22.125" style="29" customWidth="1"/>
    <col min="522" max="522" width="9.75" style="29" customWidth="1"/>
    <col min="523" max="523" width="7.375" style="29" customWidth="1"/>
    <col min="524" max="524" width="9" style="29"/>
    <col min="525" max="525" width="9.25" style="29" customWidth="1"/>
    <col min="526" max="526" width="3.5" style="29" customWidth="1"/>
    <col min="527" max="528" width="12.625" style="29" customWidth="1"/>
    <col min="529" max="529" width="9" style="29"/>
    <col min="530" max="530" width="7.75" style="29" customWidth="1"/>
    <col min="531" max="531" width="13.125" style="29" customWidth="1"/>
    <col min="532" max="532" width="6.125" style="29" customWidth="1"/>
    <col min="533" max="533" width="9.75" style="29" customWidth="1"/>
    <col min="534" max="534" width="1.375" style="29" customWidth="1"/>
    <col min="535" max="774" width="9" style="29"/>
    <col min="775" max="775" width="1.375" style="29" customWidth="1"/>
    <col min="776" max="776" width="3.5" style="29" customWidth="1"/>
    <col min="777" max="777" width="22.125" style="29" customWidth="1"/>
    <col min="778" max="778" width="9.75" style="29" customWidth="1"/>
    <col min="779" max="779" width="7.375" style="29" customWidth="1"/>
    <col min="780" max="780" width="9" style="29"/>
    <col min="781" max="781" width="9.25" style="29" customWidth="1"/>
    <col min="782" max="782" width="3.5" style="29" customWidth="1"/>
    <col min="783" max="784" width="12.625" style="29" customWidth="1"/>
    <col min="785" max="785" width="9" style="29"/>
    <col min="786" max="786" width="7.75" style="29" customWidth="1"/>
    <col min="787" max="787" width="13.125" style="29" customWidth="1"/>
    <col min="788" max="788" width="6.125" style="29" customWidth="1"/>
    <col min="789" max="789" width="9.75" style="29" customWidth="1"/>
    <col min="790" max="790" width="1.375" style="29" customWidth="1"/>
    <col min="791" max="1030" width="9" style="29"/>
    <col min="1031" max="1031" width="1.375" style="29" customWidth="1"/>
    <col min="1032" max="1032" width="3.5" style="29" customWidth="1"/>
    <col min="1033" max="1033" width="22.125" style="29" customWidth="1"/>
    <col min="1034" max="1034" width="9.75" style="29" customWidth="1"/>
    <col min="1035" max="1035" width="7.375" style="29" customWidth="1"/>
    <col min="1036" max="1036" width="9" style="29"/>
    <col min="1037" max="1037" width="9.25" style="29" customWidth="1"/>
    <col min="1038" max="1038" width="3.5" style="29" customWidth="1"/>
    <col min="1039" max="1040" width="12.625" style="29" customWidth="1"/>
    <col min="1041" max="1041" width="9" style="29"/>
    <col min="1042" max="1042" width="7.75" style="29" customWidth="1"/>
    <col min="1043" max="1043" width="13.125" style="29" customWidth="1"/>
    <col min="1044" max="1044" width="6.125" style="29" customWidth="1"/>
    <col min="1045" max="1045" width="9.75" style="29" customWidth="1"/>
    <col min="1046" max="1046" width="1.375" style="29" customWidth="1"/>
    <col min="1047" max="1286" width="9" style="29"/>
    <col min="1287" max="1287" width="1.375" style="29" customWidth="1"/>
    <col min="1288" max="1288" width="3.5" style="29" customWidth="1"/>
    <col min="1289" max="1289" width="22.125" style="29" customWidth="1"/>
    <col min="1290" max="1290" width="9.75" style="29" customWidth="1"/>
    <col min="1291" max="1291" width="7.375" style="29" customWidth="1"/>
    <col min="1292" max="1292" width="9" style="29"/>
    <col min="1293" max="1293" width="9.25" style="29" customWidth="1"/>
    <col min="1294" max="1294" width="3.5" style="29" customWidth="1"/>
    <col min="1295" max="1296" width="12.625" style="29" customWidth="1"/>
    <col min="1297" max="1297" width="9" style="29"/>
    <col min="1298" max="1298" width="7.75" style="29" customWidth="1"/>
    <col min="1299" max="1299" width="13.125" style="29" customWidth="1"/>
    <col min="1300" max="1300" width="6.125" style="29" customWidth="1"/>
    <col min="1301" max="1301" width="9.75" style="29" customWidth="1"/>
    <col min="1302" max="1302" width="1.375" style="29" customWidth="1"/>
    <col min="1303" max="1542" width="9" style="29"/>
    <col min="1543" max="1543" width="1.375" style="29" customWidth="1"/>
    <col min="1544" max="1544" width="3.5" style="29" customWidth="1"/>
    <col min="1545" max="1545" width="22.125" style="29" customWidth="1"/>
    <col min="1546" max="1546" width="9.75" style="29" customWidth="1"/>
    <col min="1547" max="1547" width="7.375" style="29" customWidth="1"/>
    <col min="1548" max="1548" width="9" style="29"/>
    <col min="1549" max="1549" width="9.25" style="29" customWidth="1"/>
    <col min="1550" max="1550" width="3.5" style="29" customWidth="1"/>
    <col min="1551" max="1552" width="12.625" style="29" customWidth="1"/>
    <col min="1553" max="1553" width="9" style="29"/>
    <col min="1554" max="1554" width="7.75" style="29" customWidth="1"/>
    <col min="1555" max="1555" width="13.125" style="29" customWidth="1"/>
    <col min="1556" max="1556" width="6.125" style="29" customWidth="1"/>
    <col min="1557" max="1557" width="9.75" style="29" customWidth="1"/>
    <col min="1558" max="1558" width="1.375" style="29" customWidth="1"/>
    <col min="1559" max="1798" width="9" style="29"/>
    <col min="1799" max="1799" width="1.375" style="29" customWidth="1"/>
    <col min="1800" max="1800" width="3.5" style="29" customWidth="1"/>
    <col min="1801" max="1801" width="22.125" style="29" customWidth="1"/>
    <col min="1802" max="1802" width="9.75" style="29" customWidth="1"/>
    <col min="1803" max="1803" width="7.375" style="29" customWidth="1"/>
    <col min="1804" max="1804" width="9" style="29"/>
    <col min="1805" max="1805" width="9.25" style="29" customWidth="1"/>
    <col min="1806" max="1806" width="3.5" style="29" customWidth="1"/>
    <col min="1807" max="1808" width="12.625" style="29" customWidth="1"/>
    <col min="1809" max="1809" width="9" style="29"/>
    <col min="1810" max="1810" width="7.75" style="29" customWidth="1"/>
    <col min="1811" max="1811" width="13.125" style="29" customWidth="1"/>
    <col min="1812" max="1812" width="6.125" style="29" customWidth="1"/>
    <col min="1813" max="1813" width="9.75" style="29" customWidth="1"/>
    <col min="1814" max="1814" width="1.375" style="29" customWidth="1"/>
    <col min="1815" max="2054" width="9" style="29"/>
    <col min="2055" max="2055" width="1.375" style="29" customWidth="1"/>
    <col min="2056" max="2056" width="3.5" style="29" customWidth="1"/>
    <col min="2057" max="2057" width="22.125" style="29" customWidth="1"/>
    <col min="2058" max="2058" width="9.75" style="29" customWidth="1"/>
    <col min="2059" max="2059" width="7.375" style="29" customWidth="1"/>
    <col min="2060" max="2060" width="9" style="29"/>
    <col min="2061" max="2061" width="9.25" style="29" customWidth="1"/>
    <col min="2062" max="2062" width="3.5" style="29" customWidth="1"/>
    <col min="2063" max="2064" width="12.625" style="29" customWidth="1"/>
    <col min="2065" max="2065" width="9" style="29"/>
    <col min="2066" max="2066" width="7.75" style="29" customWidth="1"/>
    <col min="2067" max="2067" width="13.125" style="29" customWidth="1"/>
    <col min="2068" max="2068" width="6.125" style="29" customWidth="1"/>
    <col min="2069" max="2069" width="9.75" style="29" customWidth="1"/>
    <col min="2070" max="2070" width="1.375" style="29" customWidth="1"/>
    <col min="2071" max="2310" width="9" style="29"/>
    <col min="2311" max="2311" width="1.375" style="29" customWidth="1"/>
    <col min="2312" max="2312" width="3.5" style="29" customWidth="1"/>
    <col min="2313" max="2313" width="22.125" style="29" customWidth="1"/>
    <col min="2314" max="2314" width="9.75" style="29" customWidth="1"/>
    <col min="2315" max="2315" width="7.375" style="29" customWidth="1"/>
    <col min="2316" max="2316" width="9" style="29"/>
    <col min="2317" max="2317" width="9.25" style="29" customWidth="1"/>
    <col min="2318" max="2318" width="3.5" style="29" customWidth="1"/>
    <col min="2319" max="2320" width="12.625" style="29" customWidth="1"/>
    <col min="2321" max="2321" width="9" style="29"/>
    <col min="2322" max="2322" width="7.75" style="29" customWidth="1"/>
    <col min="2323" max="2323" width="13.125" style="29" customWidth="1"/>
    <col min="2324" max="2324" width="6.125" style="29" customWidth="1"/>
    <col min="2325" max="2325" width="9.75" style="29" customWidth="1"/>
    <col min="2326" max="2326" width="1.375" style="29" customWidth="1"/>
    <col min="2327" max="2566" width="9" style="29"/>
    <col min="2567" max="2567" width="1.375" style="29" customWidth="1"/>
    <col min="2568" max="2568" width="3.5" style="29" customWidth="1"/>
    <col min="2569" max="2569" width="22.125" style="29" customWidth="1"/>
    <col min="2570" max="2570" width="9.75" style="29" customWidth="1"/>
    <col min="2571" max="2571" width="7.375" style="29" customWidth="1"/>
    <col min="2572" max="2572" width="9" style="29"/>
    <col min="2573" max="2573" width="9.25" style="29" customWidth="1"/>
    <col min="2574" max="2574" width="3.5" style="29" customWidth="1"/>
    <col min="2575" max="2576" width="12.625" style="29" customWidth="1"/>
    <col min="2577" max="2577" width="9" style="29"/>
    <col min="2578" max="2578" width="7.75" style="29" customWidth="1"/>
    <col min="2579" max="2579" width="13.125" style="29" customWidth="1"/>
    <col min="2580" max="2580" width="6.125" style="29" customWidth="1"/>
    <col min="2581" max="2581" width="9.75" style="29" customWidth="1"/>
    <col min="2582" max="2582" width="1.375" style="29" customWidth="1"/>
    <col min="2583" max="2822" width="9" style="29"/>
    <col min="2823" max="2823" width="1.375" style="29" customWidth="1"/>
    <col min="2824" max="2824" width="3.5" style="29" customWidth="1"/>
    <col min="2825" max="2825" width="22.125" style="29" customWidth="1"/>
    <col min="2826" max="2826" width="9.75" style="29" customWidth="1"/>
    <col min="2827" max="2827" width="7.375" style="29" customWidth="1"/>
    <col min="2828" max="2828" width="9" style="29"/>
    <col min="2829" max="2829" width="9.25" style="29" customWidth="1"/>
    <col min="2830" max="2830" width="3.5" style="29" customWidth="1"/>
    <col min="2831" max="2832" width="12.625" style="29" customWidth="1"/>
    <col min="2833" max="2833" width="9" style="29"/>
    <col min="2834" max="2834" width="7.75" style="29" customWidth="1"/>
    <col min="2835" max="2835" width="13.125" style="29" customWidth="1"/>
    <col min="2836" max="2836" width="6.125" style="29" customWidth="1"/>
    <col min="2837" max="2837" width="9.75" style="29" customWidth="1"/>
    <col min="2838" max="2838" width="1.375" style="29" customWidth="1"/>
    <col min="2839" max="3078" width="9" style="29"/>
    <col min="3079" max="3079" width="1.375" style="29" customWidth="1"/>
    <col min="3080" max="3080" width="3.5" style="29" customWidth="1"/>
    <col min="3081" max="3081" width="22.125" style="29" customWidth="1"/>
    <col min="3082" max="3082" width="9.75" style="29" customWidth="1"/>
    <col min="3083" max="3083" width="7.375" style="29" customWidth="1"/>
    <col min="3084" max="3084" width="9" style="29"/>
    <col min="3085" max="3085" width="9.25" style="29" customWidth="1"/>
    <col min="3086" max="3086" width="3.5" style="29" customWidth="1"/>
    <col min="3087" max="3088" width="12.625" style="29" customWidth="1"/>
    <col min="3089" max="3089" width="9" style="29"/>
    <col min="3090" max="3090" width="7.75" style="29" customWidth="1"/>
    <col min="3091" max="3091" width="13.125" style="29" customWidth="1"/>
    <col min="3092" max="3092" width="6.125" style="29" customWidth="1"/>
    <col min="3093" max="3093" width="9.75" style="29" customWidth="1"/>
    <col min="3094" max="3094" width="1.375" style="29" customWidth="1"/>
    <col min="3095" max="3334" width="9" style="29"/>
    <col min="3335" max="3335" width="1.375" style="29" customWidth="1"/>
    <col min="3336" max="3336" width="3.5" style="29" customWidth="1"/>
    <col min="3337" max="3337" width="22.125" style="29" customWidth="1"/>
    <col min="3338" max="3338" width="9.75" style="29" customWidth="1"/>
    <col min="3339" max="3339" width="7.375" style="29" customWidth="1"/>
    <col min="3340" max="3340" width="9" style="29"/>
    <col min="3341" max="3341" width="9.25" style="29" customWidth="1"/>
    <col min="3342" max="3342" width="3.5" style="29" customWidth="1"/>
    <col min="3343" max="3344" width="12.625" style="29" customWidth="1"/>
    <col min="3345" max="3345" width="9" style="29"/>
    <col min="3346" max="3346" width="7.75" style="29" customWidth="1"/>
    <col min="3347" max="3347" width="13.125" style="29" customWidth="1"/>
    <col min="3348" max="3348" width="6.125" style="29" customWidth="1"/>
    <col min="3349" max="3349" width="9.75" style="29" customWidth="1"/>
    <col min="3350" max="3350" width="1.375" style="29" customWidth="1"/>
    <col min="3351" max="3590" width="9" style="29"/>
    <col min="3591" max="3591" width="1.375" style="29" customWidth="1"/>
    <col min="3592" max="3592" width="3.5" style="29" customWidth="1"/>
    <col min="3593" max="3593" width="22.125" style="29" customWidth="1"/>
    <col min="3594" max="3594" width="9.75" style="29" customWidth="1"/>
    <col min="3595" max="3595" width="7.375" style="29" customWidth="1"/>
    <col min="3596" max="3596" width="9" style="29"/>
    <col min="3597" max="3597" width="9.25" style="29" customWidth="1"/>
    <col min="3598" max="3598" width="3.5" style="29" customWidth="1"/>
    <col min="3599" max="3600" width="12.625" style="29" customWidth="1"/>
    <col min="3601" max="3601" width="9" style="29"/>
    <col min="3602" max="3602" width="7.75" style="29" customWidth="1"/>
    <col min="3603" max="3603" width="13.125" style="29" customWidth="1"/>
    <col min="3604" max="3604" width="6.125" style="29" customWidth="1"/>
    <col min="3605" max="3605" width="9.75" style="29" customWidth="1"/>
    <col min="3606" max="3606" width="1.375" style="29" customWidth="1"/>
    <col min="3607" max="3846" width="9" style="29"/>
    <col min="3847" max="3847" width="1.375" style="29" customWidth="1"/>
    <col min="3848" max="3848" width="3.5" style="29" customWidth="1"/>
    <col min="3849" max="3849" width="22.125" style="29" customWidth="1"/>
    <col min="3850" max="3850" width="9.75" style="29" customWidth="1"/>
    <col min="3851" max="3851" width="7.375" style="29" customWidth="1"/>
    <col min="3852" max="3852" width="9" style="29"/>
    <col min="3853" max="3853" width="9.25" style="29" customWidth="1"/>
    <col min="3854" max="3854" width="3.5" style="29" customWidth="1"/>
    <col min="3855" max="3856" width="12.625" style="29" customWidth="1"/>
    <col min="3857" max="3857" width="9" style="29"/>
    <col min="3858" max="3858" width="7.75" style="29" customWidth="1"/>
    <col min="3859" max="3859" width="13.125" style="29" customWidth="1"/>
    <col min="3860" max="3860" width="6.125" style="29" customWidth="1"/>
    <col min="3861" max="3861" width="9.75" style="29" customWidth="1"/>
    <col min="3862" max="3862" width="1.375" style="29" customWidth="1"/>
    <col min="3863" max="4102" width="9" style="29"/>
    <col min="4103" max="4103" width="1.375" style="29" customWidth="1"/>
    <col min="4104" max="4104" width="3.5" style="29" customWidth="1"/>
    <col min="4105" max="4105" width="22.125" style="29" customWidth="1"/>
    <col min="4106" max="4106" width="9.75" style="29" customWidth="1"/>
    <col min="4107" max="4107" width="7.375" style="29" customWidth="1"/>
    <col min="4108" max="4108" width="9" style="29"/>
    <col min="4109" max="4109" width="9.25" style="29" customWidth="1"/>
    <col min="4110" max="4110" width="3.5" style="29" customWidth="1"/>
    <col min="4111" max="4112" width="12.625" style="29" customWidth="1"/>
    <col min="4113" max="4113" width="9" style="29"/>
    <col min="4114" max="4114" width="7.75" style="29" customWidth="1"/>
    <col min="4115" max="4115" width="13.125" style="29" customWidth="1"/>
    <col min="4116" max="4116" width="6.125" style="29" customWidth="1"/>
    <col min="4117" max="4117" width="9.75" style="29" customWidth="1"/>
    <col min="4118" max="4118" width="1.375" style="29" customWidth="1"/>
    <col min="4119" max="4358" width="9" style="29"/>
    <col min="4359" max="4359" width="1.375" style="29" customWidth="1"/>
    <col min="4360" max="4360" width="3.5" style="29" customWidth="1"/>
    <col min="4361" max="4361" width="22.125" style="29" customWidth="1"/>
    <col min="4362" max="4362" width="9.75" style="29" customWidth="1"/>
    <col min="4363" max="4363" width="7.375" style="29" customWidth="1"/>
    <col min="4364" max="4364" width="9" style="29"/>
    <col min="4365" max="4365" width="9.25" style="29" customWidth="1"/>
    <col min="4366" max="4366" width="3.5" style="29" customWidth="1"/>
    <col min="4367" max="4368" width="12.625" style="29" customWidth="1"/>
    <col min="4369" max="4369" width="9" style="29"/>
    <col min="4370" max="4370" width="7.75" style="29" customWidth="1"/>
    <col min="4371" max="4371" width="13.125" style="29" customWidth="1"/>
    <col min="4372" max="4372" width="6.125" style="29" customWidth="1"/>
    <col min="4373" max="4373" width="9.75" style="29" customWidth="1"/>
    <col min="4374" max="4374" width="1.375" style="29" customWidth="1"/>
    <col min="4375" max="4614" width="9" style="29"/>
    <col min="4615" max="4615" width="1.375" style="29" customWidth="1"/>
    <col min="4616" max="4616" width="3.5" style="29" customWidth="1"/>
    <col min="4617" max="4617" width="22.125" style="29" customWidth="1"/>
    <col min="4618" max="4618" width="9.75" style="29" customWidth="1"/>
    <col min="4619" max="4619" width="7.375" style="29" customWidth="1"/>
    <col min="4620" max="4620" width="9" style="29"/>
    <col min="4621" max="4621" width="9.25" style="29" customWidth="1"/>
    <col min="4622" max="4622" width="3.5" style="29" customWidth="1"/>
    <col min="4623" max="4624" width="12.625" style="29" customWidth="1"/>
    <col min="4625" max="4625" width="9" style="29"/>
    <col min="4626" max="4626" width="7.75" style="29" customWidth="1"/>
    <col min="4627" max="4627" width="13.125" style="29" customWidth="1"/>
    <col min="4628" max="4628" width="6.125" style="29" customWidth="1"/>
    <col min="4629" max="4629" width="9.75" style="29" customWidth="1"/>
    <col min="4630" max="4630" width="1.375" style="29" customWidth="1"/>
    <col min="4631" max="4870" width="9" style="29"/>
    <col min="4871" max="4871" width="1.375" style="29" customWidth="1"/>
    <col min="4872" max="4872" width="3.5" style="29" customWidth="1"/>
    <col min="4873" max="4873" width="22.125" style="29" customWidth="1"/>
    <col min="4874" max="4874" width="9.75" style="29" customWidth="1"/>
    <col min="4875" max="4875" width="7.375" style="29" customWidth="1"/>
    <col min="4876" max="4876" width="9" style="29"/>
    <col min="4877" max="4877" width="9.25" style="29" customWidth="1"/>
    <col min="4878" max="4878" width="3.5" style="29" customWidth="1"/>
    <col min="4879" max="4880" width="12.625" style="29" customWidth="1"/>
    <col min="4881" max="4881" width="9" style="29"/>
    <col min="4882" max="4882" width="7.75" style="29" customWidth="1"/>
    <col min="4883" max="4883" width="13.125" style="29" customWidth="1"/>
    <col min="4884" max="4884" width="6.125" style="29" customWidth="1"/>
    <col min="4885" max="4885" width="9.75" style="29" customWidth="1"/>
    <col min="4886" max="4886" width="1.375" style="29" customWidth="1"/>
    <col min="4887" max="5126" width="9" style="29"/>
    <col min="5127" max="5127" width="1.375" style="29" customWidth="1"/>
    <col min="5128" max="5128" width="3.5" style="29" customWidth="1"/>
    <col min="5129" max="5129" width="22.125" style="29" customWidth="1"/>
    <col min="5130" max="5130" width="9.75" style="29" customWidth="1"/>
    <col min="5131" max="5131" width="7.375" style="29" customWidth="1"/>
    <col min="5132" max="5132" width="9" style="29"/>
    <col min="5133" max="5133" width="9.25" style="29" customWidth="1"/>
    <col min="5134" max="5134" width="3.5" style="29" customWidth="1"/>
    <col min="5135" max="5136" width="12.625" style="29" customWidth="1"/>
    <col min="5137" max="5137" width="9" style="29"/>
    <col min="5138" max="5138" width="7.75" style="29" customWidth="1"/>
    <col min="5139" max="5139" width="13.125" style="29" customWidth="1"/>
    <col min="5140" max="5140" width="6.125" style="29" customWidth="1"/>
    <col min="5141" max="5141" width="9.75" style="29" customWidth="1"/>
    <col min="5142" max="5142" width="1.375" style="29" customWidth="1"/>
    <col min="5143" max="5382" width="9" style="29"/>
    <col min="5383" max="5383" width="1.375" style="29" customWidth="1"/>
    <col min="5384" max="5384" width="3.5" style="29" customWidth="1"/>
    <col min="5385" max="5385" width="22.125" style="29" customWidth="1"/>
    <col min="5386" max="5386" width="9.75" style="29" customWidth="1"/>
    <col min="5387" max="5387" width="7.375" style="29" customWidth="1"/>
    <col min="5388" max="5388" width="9" style="29"/>
    <col min="5389" max="5389" width="9.25" style="29" customWidth="1"/>
    <col min="5390" max="5390" width="3.5" style="29" customWidth="1"/>
    <col min="5391" max="5392" width="12.625" style="29" customWidth="1"/>
    <col min="5393" max="5393" width="9" style="29"/>
    <col min="5394" max="5394" width="7.75" style="29" customWidth="1"/>
    <col min="5395" max="5395" width="13.125" style="29" customWidth="1"/>
    <col min="5396" max="5396" width="6.125" style="29" customWidth="1"/>
    <col min="5397" max="5397" width="9.75" style="29" customWidth="1"/>
    <col min="5398" max="5398" width="1.375" style="29" customWidth="1"/>
    <col min="5399" max="5638" width="9" style="29"/>
    <col min="5639" max="5639" width="1.375" style="29" customWidth="1"/>
    <col min="5640" max="5640" width="3.5" style="29" customWidth="1"/>
    <col min="5641" max="5641" width="22.125" style="29" customWidth="1"/>
    <col min="5642" max="5642" width="9.75" style="29" customWidth="1"/>
    <col min="5643" max="5643" width="7.375" style="29" customWidth="1"/>
    <col min="5644" max="5644" width="9" style="29"/>
    <col min="5645" max="5645" width="9.25" style="29" customWidth="1"/>
    <col min="5646" max="5646" width="3.5" style="29" customWidth="1"/>
    <col min="5647" max="5648" width="12.625" style="29" customWidth="1"/>
    <col min="5649" max="5649" width="9" style="29"/>
    <col min="5650" max="5650" width="7.75" style="29" customWidth="1"/>
    <col min="5651" max="5651" width="13.125" style="29" customWidth="1"/>
    <col min="5652" max="5652" width="6.125" style="29" customWidth="1"/>
    <col min="5653" max="5653" width="9.75" style="29" customWidth="1"/>
    <col min="5654" max="5654" width="1.375" style="29" customWidth="1"/>
    <col min="5655" max="5894" width="9" style="29"/>
    <col min="5895" max="5895" width="1.375" style="29" customWidth="1"/>
    <col min="5896" max="5896" width="3.5" style="29" customWidth="1"/>
    <col min="5897" max="5897" width="22.125" style="29" customWidth="1"/>
    <col min="5898" max="5898" width="9.75" style="29" customWidth="1"/>
    <col min="5899" max="5899" width="7.375" style="29" customWidth="1"/>
    <col min="5900" max="5900" width="9" style="29"/>
    <col min="5901" max="5901" width="9.25" style="29" customWidth="1"/>
    <col min="5902" max="5902" width="3.5" style="29" customWidth="1"/>
    <col min="5903" max="5904" width="12.625" style="29" customWidth="1"/>
    <col min="5905" max="5905" width="9" style="29"/>
    <col min="5906" max="5906" width="7.75" style="29" customWidth="1"/>
    <col min="5907" max="5907" width="13.125" style="29" customWidth="1"/>
    <col min="5908" max="5908" width="6.125" style="29" customWidth="1"/>
    <col min="5909" max="5909" width="9.75" style="29" customWidth="1"/>
    <col min="5910" max="5910" width="1.375" style="29" customWidth="1"/>
    <col min="5911" max="6150" width="9" style="29"/>
    <col min="6151" max="6151" width="1.375" style="29" customWidth="1"/>
    <col min="6152" max="6152" width="3.5" style="29" customWidth="1"/>
    <col min="6153" max="6153" width="22.125" style="29" customWidth="1"/>
    <col min="6154" max="6154" width="9.75" style="29" customWidth="1"/>
    <col min="6155" max="6155" width="7.375" style="29" customWidth="1"/>
    <col min="6156" max="6156" width="9" style="29"/>
    <col min="6157" max="6157" width="9.25" style="29" customWidth="1"/>
    <col min="6158" max="6158" width="3.5" style="29" customWidth="1"/>
    <col min="6159" max="6160" width="12.625" style="29" customWidth="1"/>
    <col min="6161" max="6161" width="9" style="29"/>
    <col min="6162" max="6162" width="7.75" style="29" customWidth="1"/>
    <col min="6163" max="6163" width="13.125" style="29" customWidth="1"/>
    <col min="6164" max="6164" width="6.125" style="29" customWidth="1"/>
    <col min="6165" max="6165" width="9.75" style="29" customWidth="1"/>
    <col min="6166" max="6166" width="1.375" style="29" customWidth="1"/>
    <col min="6167" max="6406" width="9" style="29"/>
    <col min="6407" max="6407" width="1.375" style="29" customWidth="1"/>
    <col min="6408" max="6408" width="3.5" style="29" customWidth="1"/>
    <col min="6409" max="6409" width="22.125" style="29" customWidth="1"/>
    <col min="6410" max="6410" width="9.75" style="29" customWidth="1"/>
    <col min="6411" max="6411" width="7.375" style="29" customWidth="1"/>
    <col min="6412" max="6412" width="9" style="29"/>
    <col min="6413" max="6413" width="9.25" style="29" customWidth="1"/>
    <col min="6414" max="6414" width="3.5" style="29" customWidth="1"/>
    <col min="6415" max="6416" width="12.625" style="29" customWidth="1"/>
    <col min="6417" max="6417" width="9" style="29"/>
    <col min="6418" max="6418" width="7.75" style="29" customWidth="1"/>
    <col min="6419" max="6419" width="13.125" style="29" customWidth="1"/>
    <col min="6420" max="6420" width="6.125" style="29" customWidth="1"/>
    <col min="6421" max="6421" width="9.75" style="29" customWidth="1"/>
    <col min="6422" max="6422" width="1.375" style="29" customWidth="1"/>
    <col min="6423" max="6662" width="9" style="29"/>
    <col min="6663" max="6663" width="1.375" style="29" customWidth="1"/>
    <col min="6664" max="6664" width="3.5" style="29" customWidth="1"/>
    <col min="6665" max="6665" width="22.125" style="29" customWidth="1"/>
    <col min="6666" max="6666" width="9.75" style="29" customWidth="1"/>
    <col min="6667" max="6667" width="7.375" style="29" customWidth="1"/>
    <col min="6668" max="6668" width="9" style="29"/>
    <col min="6669" max="6669" width="9.25" style="29" customWidth="1"/>
    <col min="6670" max="6670" width="3.5" style="29" customWidth="1"/>
    <col min="6671" max="6672" width="12.625" style="29" customWidth="1"/>
    <col min="6673" max="6673" width="9" style="29"/>
    <col min="6674" max="6674" width="7.75" style="29" customWidth="1"/>
    <col min="6675" max="6675" width="13.125" style="29" customWidth="1"/>
    <col min="6676" max="6676" width="6.125" style="29" customWidth="1"/>
    <col min="6677" max="6677" width="9.75" style="29" customWidth="1"/>
    <col min="6678" max="6678" width="1.375" style="29" customWidth="1"/>
    <col min="6679" max="6918" width="9" style="29"/>
    <col min="6919" max="6919" width="1.375" style="29" customWidth="1"/>
    <col min="6920" max="6920" width="3.5" style="29" customWidth="1"/>
    <col min="6921" max="6921" width="22.125" style="29" customWidth="1"/>
    <col min="6922" max="6922" width="9.75" style="29" customWidth="1"/>
    <col min="6923" max="6923" width="7.375" style="29" customWidth="1"/>
    <col min="6924" max="6924" width="9" style="29"/>
    <col min="6925" max="6925" width="9.25" style="29" customWidth="1"/>
    <col min="6926" max="6926" width="3.5" style="29" customWidth="1"/>
    <col min="6927" max="6928" width="12.625" style="29" customWidth="1"/>
    <col min="6929" max="6929" width="9" style="29"/>
    <col min="6930" max="6930" width="7.75" style="29" customWidth="1"/>
    <col min="6931" max="6931" width="13.125" style="29" customWidth="1"/>
    <col min="6932" max="6932" width="6.125" style="29" customWidth="1"/>
    <col min="6933" max="6933" width="9.75" style="29" customWidth="1"/>
    <col min="6934" max="6934" width="1.375" style="29" customWidth="1"/>
    <col min="6935" max="7174" width="9" style="29"/>
    <col min="7175" max="7175" width="1.375" style="29" customWidth="1"/>
    <col min="7176" max="7176" width="3.5" style="29" customWidth="1"/>
    <col min="7177" max="7177" width="22.125" style="29" customWidth="1"/>
    <col min="7178" max="7178" width="9.75" style="29" customWidth="1"/>
    <col min="7179" max="7179" width="7.375" style="29" customWidth="1"/>
    <col min="7180" max="7180" width="9" style="29"/>
    <col min="7181" max="7181" width="9.25" style="29" customWidth="1"/>
    <col min="7182" max="7182" width="3.5" style="29" customWidth="1"/>
    <col min="7183" max="7184" width="12.625" style="29" customWidth="1"/>
    <col min="7185" max="7185" width="9" style="29"/>
    <col min="7186" max="7186" width="7.75" style="29" customWidth="1"/>
    <col min="7187" max="7187" width="13.125" style="29" customWidth="1"/>
    <col min="7188" max="7188" width="6.125" style="29" customWidth="1"/>
    <col min="7189" max="7189" width="9.75" style="29" customWidth="1"/>
    <col min="7190" max="7190" width="1.375" style="29" customWidth="1"/>
    <col min="7191" max="7430" width="9" style="29"/>
    <col min="7431" max="7431" width="1.375" style="29" customWidth="1"/>
    <col min="7432" max="7432" width="3.5" style="29" customWidth="1"/>
    <col min="7433" max="7433" width="22.125" style="29" customWidth="1"/>
    <col min="7434" max="7434" width="9.75" style="29" customWidth="1"/>
    <col min="7435" max="7435" width="7.375" style="29" customWidth="1"/>
    <col min="7436" max="7436" width="9" style="29"/>
    <col min="7437" max="7437" width="9.25" style="29" customWidth="1"/>
    <col min="7438" max="7438" width="3.5" style="29" customWidth="1"/>
    <col min="7439" max="7440" width="12.625" style="29" customWidth="1"/>
    <col min="7441" max="7441" width="9" style="29"/>
    <col min="7442" max="7442" width="7.75" style="29" customWidth="1"/>
    <col min="7443" max="7443" width="13.125" style="29" customWidth="1"/>
    <col min="7444" max="7444" width="6.125" style="29" customWidth="1"/>
    <col min="7445" max="7445" width="9.75" style="29" customWidth="1"/>
    <col min="7446" max="7446" width="1.375" style="29" customWidth="1"/>
    <col min="7447" max="7686" width="9" style="29"/>
    <col min="7687" max="7687" width="1.375" style="29" customWidth="1"/>
    <col min="7688" max="7688" width="3.5" style="29" customWidth="1"/>
    <col min="7689" max="7689" width="22.125" style="29" customWidth="1"/>
    <col min="7690" max="7690" width="9.75" style="29" customWidth="1"/>
    <col min="7691" max="7691" width="7.375" style="29" customWidth="1"/>
    <col min="7692" max="7692" width="9" style="29"/>
    <col min="7693" max="7693" width="9.25" style="29" customWidth="1"/>
    <col min="7694" max="7694" width="3.5" style="29" customWidth="1"/>
    <col min="7695" max="7696" width="12.625" style="29" customWidth="1"/>
    <col min="7697" max="7697" width="9" style="29"/>
    <col min="7698" max="7698" width="7.75" style="29" customWidth="1"/>
    <col min="7699" max="7699" width="13.125" style="29" customWidth="1"/>
    <col min="7700" max="7700" width="6.125" style="29" customWidth="1"/>
    <col min="7701" max="7701" width="9.75" style="29" customWidth="1"/>
    <col min="7702" max="7702" width="1.375" style="29" customWidth="1"/>
    <col min="7703" max="7942" width="9" style="29"/>
    <col min="7943" max="7943" width="1.375" style="29" customWidth="1"/>
    <col min="7944" max="7944" width="3.5" style="29" customWidth="1"/>
    <col min="7945" max="7945" width="22.125" style="29" customWidth="1"/>
    <col min="7946" max="7946" width="9.75" style="29" customWidth="1"/>
    <col min="7947" max="7947" width="7.375" style="29" customWidth="1"/>
    <col min="7948" max="7948" width="9" style="29"/>
    <col min="7949" max="7949" width="9.25" style="29" customWidth="1"/>
    <col min="7950" max="7950" width="3.5" style="29" customWidth="1"/>
    <col min="7951" max="7952" width="12.625" style="29" customWidth="1"/>
    <col min="7953" max="7953" width="9" style="29"/>
    <col min="7954" max="7954" width="7.75" style="29" customWidth="1"/>
    <col min="7955" max="7955" width="13.125" style="29" customWidth="1"/>
    <col min="7956" max="7956" width="6.125" style="29" customWidth="1"/>
    <col min="7957" max="7957" width="9.75" style="29" customWidth="1"/>
    <col min="7958" max="7958" width="1.375" style="29" customWidth="1"/>
    <col min="7959" max="8198" width="9" style="29"/>
    <col min="8199" max="8199" width="1.375" style="29" customWidth="1"/>
    <col min="8200" max="8200" width="3.5" style="29" customWidth="1"/>
    <col min="8201" max="8201" width="22.125" style="29" customWidth="1"/>
    <col min="8202" max="8202" width="9.75" style="29" customWidth="1"/>
    <col min="8203" max="8203" width="7.375" style="29" customWidth="1"/>
    <col min="8204" max="8204" width="9" style="29"/>
    <col min="8205" max="8205" width="9.25" style="29" customWidth="1"/>
    <col min="8206" max="8206" width="3.5" style="29" customWidth="1"/>
    <col min="8207" max="8208" width="12.625" style="29" customWidth="1"/>
    <col min="8209" max="8209" width="9" style="29"/>
    <col min="8210" max="8210" width="7.75" style="29" customWidth="1"/>
    <col min="8211" max="8211" width="13.125" style="29" customWidth="1"/>
    <col min="8212" max="8212" width="6.125" style="29" customWidth="1"/>
    <col min="8213" max="8213" width="9.75" style="29" customWidth="1"/>
    <col min="8214" max="8214" width="1.375" style="29" customWidth="1"/>
    <col min="8215" max="8454" width="9" style="29"/>
    <col min="8455" max="8455" width="1.375" style="29" customWidth="1"/>
    <col min="8456" max="8456" width="3.5" style="29" customWidth="1"/>
    <col min="8457" max="8457" width="22.125" style="29" customWidth="1"/>
    <col min="8458" max="8458" width="9.75" style="29" customWidth="1"/>
    <col min="8459" max="8459" width="7.375" style="29" customWidth="1"/>
    <col min="8460" max="8460" width="9" style="29"/>
    <col min="8461" max="8461" width="9.25" style="29" customWidth="1"/>
    <col min="8462" max="8462" width="3.5" style="29" customWidth="1"/>
    <col min="8463" max="8464" width="12.625" style="29" customWidth="1"/>
    <col min="8465" max="8465" width="9" style="29"/>
    <col min="8466" max="8466" width="7.75" style="29" customWidth="1"/>
    <col min="8467" max="8467" width="13.125" style="29" customWidth="1"/>
    <col min="8468" max="8468" width="6.125" style="29" customWidth="1"/>
    <col min="8469" max="8469" width="9.75" style="29" customWidth="1"/>
    <col min="8470" max="8470" width="1.375" style="29" customWidth="1"/>
    <col min="8471" max="8710" width="9" style="29"/>
    <col min="8711" max="8711" width="1.375" style="29" customWidth="1"/>
    <col min="8712" max="8712" width="3.5" style="29" customWidth="1"/>
    <col min="8713" max="8713" width="22.125" style="29" customWidth="1"/>
    <col min="8714" max="8714" width="9.75" style="29" customWidth="1"/>
    <col min="8715" max="8715" width="7.375" style="29" customWidth="1"/>
    <col min="8716" max="8716" width="9" style="29"/>
    <col min="8717" max="8717" width="9.25" style="29" customWidth="1"/>
    <col min="8718" max="8718" width="3.5" style="29" customWidth="1"/>
    <col min="8719" max="8720" width="12.625" style="29" customWidth="1"/>
    <col min="8721" max="8721" width="9" style="29"/>
    <col min="8722" max="8722" width="7.75" style="29" customWidth="1"/>
    <col min="8723" max="8723" width="13.125" style="29" customWidth="1"/>
    <col min="8724" max="8724" width="6.125" style="29" customWidth="1"/>
    <col min="8725" max="8725" width="9.75" style="29" customWidth="1"/>
    <col min="8726" max="8726" width="1.375" style="29" customWidth="1"/>
    <col min="8727" max="8966" width="9" style="29"/>
    <col min="8967" max="8967" width="1.375" style="29" customWidth="1"/>
    <col min="8968" max="8968" width="3.5" style="29" customWidth="1"/>
    <col min="8969" max="8969" width="22.125" style="29" customWidth="1"/>
    <col min="8970" max="8970" width="9.75" style="29" customWidth="1"/>
    <col min="8971" max="8971" width="7.375" style="29" customWidth="1"/>
    <col min="8972" max="8972" width="9" style="29"/>
    <col min="8973" max="8973" width="9.25" style="29" customWidth="1"/>
    <col min="8974" max="8974" width="3.5" style="29" customWidth="1"/>
    <col min="8975" max="8976" width="12.625" style="29" customWidth="1"/>
    <col min="8977" max="8977" width="9" style="29"/>
    <col min="8978" max="8978" width="7.75" style="29" customWidth="1"/>
    <col min="8979" max="8979" width="13.125" style="29" customWidth="1"/>
    <col min="8980" max="8980" width="6.125" style="29" customWidth="1"/>
    <col min="8981" max="8981" width="9.75" style="29" customWidth="1"/>
    <col min="8982" max="8982" width="1.375" style="29" customWidth="1"/>
    <col min="8983" max="9222" width="9" style="29"/>
    <col min="9223" max="9223" width="1.375" style="29" customWidth="1"/>
    <col min="9224" max="9224" width="3.5" style="29" customWidth="1"/>
    <col min="9225" max="9225" width="22.125" style="29" customWidth="1"/>
    <col min="9226" max="9226" width="9.75" style="29" customWidth="1"/>
    <col min="9227" max="9227" width="7.375" style="29" customWidth="1"/>
    <col min="9228" max="9228" width="9" style="29"/>
    <col min="9229" max="9229" width="9.25" style="29" customWidth="1"/>
    <col min="9230" max="9230" width="3.5" style="29" customWidth="1"/>
    <col min="9231" max="9232" width="12.625" style="29" customWidth="1"/>
    <col min="9233" max="9233" width="9" style="29"/>
    <col min="9234" max="9234" width="7.75" style="29" customWidth="1"/>
    <col min="9235" max="9235" width="13.125" style="29" customWidth="1"/>
    <col min="9236" max="9236" width="6.125" style="29" customWidth="1"/>
    <col min="9237" max="9237" width="9.75" style="29" customWidth="1"/>
    <col min="9238" max="9238" width="1.375" style="29" customWidth="1"/>
    <col min="9239" max="9478" width="9" style="29"/>
    <col min="9479" max="9479" width="1.375" style="29" customWidth="1"/>
    <col min="9480" max="9480" width="3.5" style="29" customWidth="1"/>
    <col min="9481" max="9481" width="22.125" style="29" customWidth="1"/>
    <col min="9482" max="9482" width="9.75" style="29" customWidth="1"/>
    <col min="9483" max="9483" width="7.375" style="29" customWidth="1"/>
    <col min="9484" max="9484" width="9" style="29"/>
    <col min="9485" max="9485" width="9.25" style="29" customWidth="1"/>
    <col min="9486" max="9486" width="3.5" style="29" customWidth="1"/>
    <col min="9487" max="9488" width="12.625" style="29" customWidth="1"/>
    <col min="9489" max="9489" width="9" style="29"/>
    <col min="9490" max="9490" width="7.75" style="29" customWidth="1"/>
    <col min="9491" max="9491" width="13.125" style="29" customWidth="1"/>
    <col min="9492" max="9492" width="6.125" style="29" customWidth="1"/>
    <col min="9493" max="9493" width="9.75" style="29" customWidth="1"/>
    <col min="9494" max="9494" width="1.375" style="29" customWidth="1"/>
    <col min="9495" max="9734" width="9" style="29"/>
    <col min="9735" max="9735" width="1.375" style="29" customWidth="1"/>
    <col min="9736" max="9736" width="3.5" style="29" customWidth="1"/>
    <col min="9737" max="9737" width="22.125" style="29" customWidth="1"/>
    <col min="9738" max="9738" width="9.75" style="29" customWidth="1"/>
    <col min="9739" max="9739" width="7.375" style="29" customWidth="1"/>
    <col min="9740" max="9740" width="9" style="29"/>
    <col min="9741" max="9741" width="9.25" style="29" customWidth="1"/>
    <col min="9742" max="9742" width="3.5" style="29" customWidth="1"/>
    <col min="9743" max="9744" width="12.625" style="29" customWidth="1"/>
    <col min="9745" max="9745" width="9" style="29"/>
    <col min="9746" max="9746" width="7.75" style="29" customWidth="1"/>
    <col min="9747" max="9747" width="13.125" style="29" customWidth="1"/>
    <col min="9748" max="9748" width="6.125" style="29" customWidth="1"/>
    <col min="9749" max="9749" width="9.75" style="29" customWidth="1"/>
    <col min="9750" max="9750" width="1.375" style="29" customWidth="1"/>
    <col min="9751" max="9990" width="9" style="29"/>
    <col min="9991" max="9991" width="1.375" style="29" customWidth="1"/>
    <col min="9992" max="9992" width="3.5" style="29" customWidth="1"/>
    <col min="9993" max="9993" width="22.125" style="29" customWidth="1"/>
    <col min="9994" max="9994" width="9.75" style="29" customWidth="1"/>
    <col min="9995" max="9995" width="7.375" style="29" customWidth="1"/>
    <col min="9996" max="9996" width="9" style="29"/>
    <col min="9997" max="9997" width="9.25" style="29" customWidth="1"/>
    <col min="9998" max="9998" width="3.5" style="29" customWidth="1"/>
    <col min="9999" max="10000" width="12.625" style="29" customWidth="1"/>
    <col min="10001" max="10001" width="9" style="29"/>
    <col min="10002" max="10002" width="7.75" style="29" customWidth="1"/>
    <col min="10003" max="10003" width="13.125" style="29" customWidth="1"/>
    <col min="10004" max="10004" width="6.125" style="29" customWidth="1"/>
    <col min="10005" max="10005" width="9.75" style="29" customWidth="1"/>
    <col min="10006" max="10006" width="1.375" style="29" customWidth="1"/>
    <col min="10007" max="10246" width="9" style="29"/>
    <col min="10247" max="10247" width="1.375" style="29" customWidth="1"/>
    <col min="10248" max="10248" width="3.5" style="29" customWidth="1"/>
    <col min="10249" max="10249" width="22.125" style="29" customWidth="1"/>
    <col min="10250" max="10250" width="9.75" style="29" customWidth="1"/>
    <col min="10251" max="10251" width="7.375" style="29" customWidth="1"/>
    <col min="10252" max="10252" width="9" style="29"/>
    <col min="10253" max="10253" width="9.25" style="29" customWidth="1"/>
    <col min="10254" max="10254" width="3.5" style="29" customWidth="1"/>
    <col min="10255" max="10256" width="12.625" style="29" customWidth="1"/>
    <col min="10257" max="10257" width="9" style="29"/>
    <col min="10258" max="10258" width="7.75" style="29" customWidth="1"/>
    <col min="10259" max="10259" width="13.125" style="29" customWidth="1"/>
    <col min="10260" max="10260" width="6.125" style="29" customWidth="1"/>
    <col min="10261" max="10261" width="9.75" style="29" customWidth="1"/>
    <col min="10262" max="10262" width="1.375" style="29" customWidth="1"/>
    <col min="10263" max="10502" width="9" style="29"/>
    <col min="10503" max="10503" width="1.375" style="29" customWidth="1"/>
    <col min="10504" max="10504" width="3.5" style="29" customWidth="1"/>
    <col min="10505" max="10505" width="22.125" style="29" customWidth="1"/>
    <col min="10506" max="10506" width="9.75" style="29" customWidth="1"/>
    <col min="10507" max="10507" width="7.375" style="29" customWidth="1"/>
    <col min="10508" max="10508" width="9" style="29"/>
    <col min="10509" max="10509" width="9.25" style="29" customWidth="1"/>
    <col min="10510" max="10510" width="3.5" style="29" customWidth="1"/>
    <col min="10511" max="10512" width="12.625" style="29" customWidth="1"/>
    <col min="10513" max="10513" width="9" style="29"/>
    <col min="10514" max="10514" width="7.75" style="29" customWidth="1"/>
    <col min="10515" max="10515" width="13.125" style="29" customWidth="1"/>
    <col min="10516" max="10516" width="6.125" style="29" customWidth="1"/>
    <col min="10517" max="10517" width="9.75" style="29" customWidth="1"/>
    <col min="10518" max="10518" width="1.375" style="29" customWidth="1"/>
    <col min="10519" max="10758" width="9" style="29"/>
    <col min="10759" max="10759" width="1.375" style="29" customWidth="1"/>
    <col min="10760" max="10760" width="3.5" style="29" customWidth="1"/>
    <col min="10761" max="10761" width="22.125" style="29" customWidth="1"/>
    <col min="10762" max="10762" width="9.75" style="29" customWidth="1"/>
    <col min="10763" max="10763" width="7.375" style="29" customWidth="1"/>
    <col min="10764" max="10764" width="9" style="29"/>
    <col min="10765" max="10765" width="9.25" style="29" customWidth="1"/>
    <col min="10766" max="10766" width="3.5" style="29" customWidth="1"/>
    <col min="10767" max="10768" width="12.625" style="29" customWidth="1"/>
    <col min="10769" max="10769" width="9" style="29"/>
    <col min="10770" max="10770" width="7.75" style="29" customWidth="1"/>
    <col min="10771" max="10771" width="13.125" style="29" customWidth="1"/>
    <col min="10772" max="10772" width="6.125" style="29" customWidth="1"/>
    <col min="10773" max="10773" width="9.75" style="29" customWidth="1"/>
    <col min="10774" max="10774" width="1.375" style="29" customWidth="1"/>
    <col min="10775" max="11014" width="9" style="29"/>
    <col min="11015" max="11015" width="1.375" style="29" customWidth="1"/>
    <col min="11016" max="11016" width="3.5" style="29" customWidth="1"/>
    <col min="11017" max="11017" width="22.125" style="29" customWidth="1"/>
    <col min="11018" max="11018" width="9.75" style="29" customWidth="1"/>
    <col min="11019" max="11019" width="7.375" style="29" customWidth="1"/>
    <col min="11020" max="11020" width="9" style="29"/>
    <col min="11021" max="11021" width="9.25" style="29" customWidth="1"/>
    <col min="11022" max="11022" width="3.5" style="29" customWidth="1"/>
    <col min="11023" max="11024" width="12.625" style="29" customWidth="1"/>
    <col min="11025" max="11025" width="9" style="29"/>
    <col min="11026" max="11026" width="7.75" style="29" customWidth="1"/>
    <col min="11027" max="11027" width="13.125" style="29" customWidth="1"/>
    <col min="11028" max="11028" width="6.125" style="29" customWidth="1"/>
    <col min="11029" max="11029" width="9.75" style="29" customWidth="1"/>
    <col min="11030" max="11030" width="1.375" style="29" customWidth="1"/>
    <col min="11031" max="11270" width="9" style="29"/>
    <col min="11271" max="11271" width="1.375" style="29" customWidth="1"/>
    <col min="11272" max="11272" width="3.5" style="29" customWidth="1"/>
    <col min="11273" max="11273" width="22.125" style="29" customWidth="1"/>
    <col min="11274" max="11274" width="9.75" style="29" customWidth="1"/>
    <col min="11275" max="11275" width="7.375" style="29" customWidth="1"/>
    <col min="11276" max="11276" width="9" style="29"/>
    <col min="11277" max="11277" width="9.25" style="29" customWidth="1"/>
    <col min="11278" max="11278" width="3.5" style="29" customWidth="1"/>
    <col min="11279" max="11280" width="12.625" style="29" customWidth="1"/>
    <col min="11281" max="11281" width="9" style="29"/>
    <col min="11282" max="11282" width="7.75" style="29" customWidth="1"/>
    <col min="11283" max="11283" width="13.125" style="29" customWidth="1"/>
    <col min="11284" max="11284" width="6.125" style="29" customWidth="1"/>
    <col min="11285" max="11285" width="9.75" style="29" customWidth="1"/>
    <col min="11286" max="11286" width="1.375" style="29" customWidth="1"/>
    <col min="11287" max="11526" width="9" style="29"/>
    <col min="11527" max="11527" width="1.375" style="29" customWidth="1"/>
    <col min="11528" max="11528" width="3.5" style="29" customWidth="1"/>
    <col min="11529" max="11529" width="22.125" style="29" customWidth="1"/>
    <col min="11530" max="11530" width="9.75" style="29" customWidth="1"/>
    <col min="11531" max="11531" width="7.375" style="29" customWidth="1"/>
    <col min="11532" max="11532" width="9" style="29"/>
    <col min="11533" max="11533" width="9.25" style="29" customWidth="1"/>
    <col min="11534" max="11534" width="3.5" style="29" customWidth="1"/>
    <col min="11535" max="11536" width="12.625" style="29" customWidth="1"/>
    <col min="11537" max="11537" width="9" style="29"/>
    <col min="11538" max="11538" width="7.75" style="29" customWidth="1"/>
    <col min="11539" max="11539" width="13.125" style="29" customWidth="1"/>
    <col min="11540" max="11540" width="6.125" style="29" customWidth="1"/>
    <col min="11541" max="11541" width="9.75" style="29" customWidth="1"/>
    <col min="11542" max="11542" width="1.375" style="29" customWidth="1"/>
    <col min="11543" max="11782" width="9" style="29"/>
    <col min="11783" max="11783" width="1.375" style="29" customWidth="1"/>
    <col min="11784" max="11784" width="3.5" style="29" customWidth="1"/>
    <col min="11785" max="11785" width="22.125" style="29" customWidth="1"/>
    <col min="11786" max="11786" width="9.75" style="29" customWidth="1"/>
    <col min="11787" max="11787" width="7.375" style="29" customWidth="1"/>
    <col min="11788" max="11788" width="9" style="29"/>
    <col min="11789" max="11789" width="9.25" style="29" customWidth="1"/>
    <col min="11790" max="11790" width="3.5" style="29" customWidth="1"/>
    <col min="11791" max="11792" width="12.625" style="29" customWidth="1"/>
    <col min="11793" max="11793" width="9" style="29"/>
    <col min="11794" max="11794" width="7.75" style="29" customWidth="1"/>
    <col min="11795" max="11795" width="13.125" style="29" customWidth="1"/>
    <col min="11796" max="11796" width="6.125" style="29" customWidth="1"/>
    <col min="11797" max="11797" width="9.75" style="29" customWidth="1"/>
    <col min="11798" max="11798" width="1.375" style="29" customWidth="1"/>
    <col min="11799" max="12038" width="9" style="29"/>
    <col min="12039" max="12039" width="1.375" style="29" customWidth="1"/>
    <col min="12040" max="12040" width="3.5" style="29" customWidth="1"/>
    <col min="12041" max="12041" width="22.125" style="29" customWidth="1"/>
    <col min="12042" max="12042" width="9.75" style="29" customWidth="1"/>
    <col min="12043" max="12043" width="7.375" style="29" customWidth="1"/>
    <col min="12044" max="12044" width="9" style="29"/>
    <col min="12045" max="12045" width="9.25" style="29" customWidth="1"/>
    <col min="12046" max="12046" width="3.5" style="29" customWidth="1"/>
    <col min="12047" max="12048" width="12.625" style="29" customWidth="1"/>
    <col min="12049" max="12049" width="9" style="29"/>
    <col min="12050" max="12050" width="7.75" style="29" customWidth="1"/>
    <col min="12051" max="12051" width="13.125" style="29" customWidth="1"/>
    <col min="12052" max="12052" width="6.125" style="29" customWidth="1"/>
    <col min="12053" max="12053" width="9.75" style="29" customWidth="1"/>
    <col min="12054" max="12054" width="1.375" style="29" customWidth="1"/>
    <col min="12055" max="12294" width="9" style="29"/>
    <col min="12295" max="12295" width="1.375" style="29" customWidth="1"/>
    <col min="12296" max="12296" width="3.5" style="29" customWidth="1"/>
    <col min="12297" max="12297" width="22.125" style="29" customWidth="1"/>
    <col min="12298" max="12298" width="9.75" style="29" customWidth="1"/>
    <col min="12299" max="12299" width="7.375" style="29" customWidth="1"/>
    <col min="12300" max="12300" width="9" style="29"/>
    <col min="12301" max="12301" width="9.25" style="29" customWidth="1"/>
    <col min="12302" max="12302" width="3.5" style="29" customWidth="1"/>
    <col min="12303" max="12304" width="12.625" style="29" customWidth="1"/>
    <col min="12305" max="12305" width="9" style="29"/>
    <col min="12306" max="12306" width="7.75" style="29" customWidth="1"/>
    <col min="12307" max="12307" width="13.125" style="29" customWidth="1"/>
    <col min="12308" max="12308" width="6.125" style="29" customWidth="1"/>
    <col min="12309" max="12309" width="9.75" style="29" customWidth="1"/>
    <col min="12310" max="12310" width="1.375" style="29" customWidth="1"/>
    <col min="12311" max="12550" width="9" style="29"/>
    <col min="12551" max="12551" width="1.375" style="29" customWidth="1"/>
    <col min="12552" max="12552" width="3.5" style="29" customWidth="1"/>
    <col min="12553" max="12553" width="22.125" style="29" customWidth="1"/>
    <col min="12554" max="12554" width="9.75" style="29" customWidth="1"/>
    <col min="12555" max="12555" width="7.375" style="29" customWidth="1"/>
    <col min="12556" max="12556" width="9" style="29"/>
    <col min="12557" max="12557" width="9.25" style="29" customWidth="1"/>
    <col min="12558" max="12558" width="3.5" style="29" customWidth="1"/>
    <col min="12559" max="12560" width="12.625" style="29" customWidth="1"/>
    <col min="12561" max="12561" width="9" style="29"/>
    <col min="12562" max="12562" width="7.75" style="29" customWidth="1"/>
    <col min="12563" max="12563" width="13.125" style="29" customWidth="1"/>
    <col min="12564" max="12564" width="6.125" style="29" customWidth="1"/>
    <col min="12565" max="12565" width="9.75" style="29" customWidth="1"/>
    <col min="12566" max="12566" width="1.375" style="29" customWidth="1"/>
    <col min="12567" max="12806" width="9" style="29"/>
    <col min="12807" max="12807" width="1.375" style="29" customWidth="1"/>
    <col min="12808" max="12808" width="3.5" style="29" customWidth="1"/>
    <col min="12809" max="12809" width="22.125" style="29" customWidth="1"/>
    <col min="12810" max="12810" width="9.75" style="29" customWidth="1"/>
    <col min="12811" max="12811" width="7.375" style="29" customWidth="1"/>
    <col min="12812" max="12812" width="9" style="29"/>
    <col min="12813" max="12813" width="9.25" style="29" customWidth="1"/>
    <col min="12814" max="12814" width="3.5" style="29" customWidth="1"/>
    <col min="12815" max="12816" width="12.625" style="29" customWidth="1"/>
    <col min="12817" max="12817" width="9" style="29"/>
    <col min="12818" max="12818" width="7.75" style="29" customWidth="1"/>
    <col min="12819" max="12819" width="13.125" style="29" customWidth="1"/>
    <col min="12820" max="12820" width="6.125" style="29" customWidth="1"/>
    <col min="12821" max="12821" width="9.75" style="29" customWidth="1"/>
    <col min="12822" max="12822" width="1.375" style="29" customWidth="1"/>
    <col min="12823" max="13062" width="9" style="29"/>
    <col min="13063" max="13063" width="1.375" style="29" customWidth="1"/>
    <col min="13064" max="13064" width="3.5" style="29" customWidth="1"/>
    <col min="13065" max="13065" width="22.125" style="29" customWidth="1"/>
    <col min="13066" max="13066" width="9.75" style="29" customWidth="1"/>
    <col min="13067" max="13067" width="7.375" style="29" customWidth="1"/>
    <col min="13068" max="13068" width="9" style="29"/>
    <col min="13069" max="13069" width="9.25" style="29" customWidth="1"/>
    <col min="13070" max="13070" width="3.5" style="29" customWidth="1"/>
    <col min="13071" max="13072" width="12.625" style="29" customWidth="1"/>
    <col min="13073" max="13073" width="9" style="29"/>
    <col min="13074" max="13074" width="7.75" style="29" customWidth="1"/>
    <col min="13075" max="13075" width="13.125" style="29" customWidth="1"/>
    <col min="13076" max="13076" width="6.125" style="29" customWidth="1"/>
    <col min="13077" max="13077" width="9.75" style="29" customWidth="1"/>
    <col min="13078" max="13078" width="1.375" style="29" customWidth="1"/>
    <col min="13079" max="13318" width="9" style="29"/>
    <col min="13319" max="13319" width="1.375" style="29" customWidth="1"/>
    <col min="13320" max="13320" width="3.5" style="29" customWidth="1"/>
    <col min="13321" max="13321" width="22.125" style="29" customWidth="1"/>
    <col min="13322" max="13322" width="9.75" style="29" customWidth="1"/>
    <col min="13323" max="13323" width="7.375" style="29" customWidth="1"/>
    <col min="13324" max="13324" width="9" style="29"/>
    <col min="13325" max="13325" width="9.25" style="29" customWidth="1"/>
    <col min="13326" max="13326" width="3.5" style="29" customWidth="1"/>
    <col min="13327" max="13328" width="12.625" style="29" customWidth="1"/>
    <col min="13329" max="13329" width="9" style="29"/>
    <col min="13330" max="13330" width="7.75" style="29" customWidth="1"/>
    <col min="13331" max="13331" width="13.125" style="29" customWidth="1"/>
    <col min="13332" max="13332" width="6.125" style="29" customWidth="1"/>
    <col min="13333" max="13333" width="9.75" style="29" customWidth="1"/>
    <col min="13334" max="13334" width="1.375" style="29" customWidth="1"/>
    <col min="13335" max="13574" width="9" style="29"/>
    <col min="13575" max="13575" width="1.375" style="29" customWidth="1"/>
    <col min="13576" max="13576" width="3.5" style="29" customWidth="1"/>
    <col min="13577" max="13577" width="22.125" style="29" customWidth="1"/>
    <col min="13578" max="13578" width="9.75" style="29" customWidth="1"/>
    <col min="13579" max="13579" width="7.375" style="29" customWidth="1"/>
    <col min="13580" max="13580" width="9" style="29"/>
    <col min="13581" max="13581" width="9.25" style="29" customWidth="1"/>
    <col min="13582" max="13582" width="3.5" style="29" customWidth="1"/>
    <col min="13583" max="13584" width="12.625" style="29" customWidth="1"/>
    <col min="13585" max="13585" width="9" style="29"/>
    <col min="13586" max="13586" width="7.75" style="29" customWidth="1"/>
    <col min="13587" max="13587" width="13.125" style="29" customWidth="1"/>
    <col min="13588" max="13588" width="6.125" style="29" customWidth="1"/>
    <col min="13589" max="13589" width="9.75" style="29" customWidth="1"/>
    <col min="13590" max="13590" width="1.375" style="29" customWidth="1"/>
    <col min="13591" max="13830" width="9" style="29"/>
    <col min="13831" max="13831" width="1.375" style="29" customWidth="1"/>
    <col min="13832" max="13832" width="3.5" style="29" customWidth="1"/>
    <col min="13833" max="13833" width="22.125" style="29" customWidth="1"/>
    <col min="13834" max="13834" width="9.75" style="29" customWidth="1"/>
    <col min="13835" max="13835" width="7.375" style="29" customWidth="1"/>
    <col min="13836" max="13836" width="9" style="29"/>
    <col min="13837" max="13837" width="9.25" style="29" customWidth="1"/>
    <col min="13838" max="13838" width="3.5" style="29" customWidth="1"/>
    <col min="13839" max="13840" width="12.625" style="29" customWidth="1"/>
    <col min="13841" max="13841" width="9" style="29"/>
    <col min="13842" max="13842" width="7.75" style="29" customWidth="1"/>
    <col min="13843" max="13843" width="13.125" style="29" customWidth="1"/>
    <col min="13844" max="13844" width="6.125" style="29" customWidth="1"/>
    <col min="13845" max="13845" width="9.75" style="29" customWidth="1"/>
    <col min="13846" max="13846" width="1.375" style="29" customWidth="1"/>
    <col min="13847" max="14086" width="9" style="29"/>
    <col min="14087" max="14087" width="1.375" style="29" customWidth="1"/>
    <col min="14088" max="14088" width="3.5" style="29" customWidth="1"/>
    <col min="14089" max="14089" width="22.125" style="29" customWidth="1"/>
    <col min="14090" max="14090" width="9.75" style="29" customWidth="1"/>
    <col min="14091" max="14091" width="7.375" style="29" customWidth="1"/>
    <col min="14092" max="14092" width="9" style="29"/>
    <col min="14093" max="14093" width="9.25" style="29" customWidth="1"/>
    <col min="14094" max="14094" width="3.5" style="29" customWidth="1"/>
    <col min="14095" max="14096" width="12.625" style="29" customWidth="1"/>
    <col min="14097" max="14097" width="9" style="29"/>
    <col min="14098" max="14098" width="7.75" style="29" customWidth="1"/>
    <col min="14099" max="14099" width="13.125" style="29" customWidth="1"/>
    <col min="14100" max="14100" width="6.125" style="29" customWidth="1"/>
    <col min="14101" max="14101" width="9.75" style="29" customWidth="1"/>
    <col min="14102" max="14102" width="1.375" style="29" customWidth="1"/>
    <col min="14103" max="14342" width="9" style="29"/>
    <col min="14343" max="14343" width="1.375" style="29" customWidth="1"/>
    <col min="14344" max="14344" width="3.5" style="29" customWidth="1"/>
    <col min="14345" max="14345" width="22.125" style="29" customWidth="1"/>
    <col min="14346" max="14346" width="9.75" style="29" customWidth="1"/>
    <col min="14347" max="14347" width="7.375" style="29" customWidth="1"/>
    <col min="14348" max="14348" width="9" style="29"/>
    <col min="14349" max="14349" width="9.25" style="29" customWidth="1"/>
    <col min="14350" max="14350" width="3.5" style="29" customWidth="1"/>
    <col min="14351" max="14352" width="12.625" style="29" customWidth="1"/>
    <col min="14353" max="14353" width="9" style="29"/>
    <col min="14354" max="14354" width="7.75" style="29" customWidth="1"/>
    <col min="14355" max="14355" width="13.125" style="29" customWidth="1"/>
    <col min="14356" max="14356" width="6.125" style="29" customWidth="1"/>
    <col min="14357" max="14357" width="9.75" style="29" customWidth="1"/>
    <col min="14358" max="14358" width="1.375" style="29" customWidth="1"/>
    <col min="14359" max="14598" width="9" style="29"/>
    <col min="14599" max="14599" width="1.375" style="29" customWidth="1"/>
    <col min="14600" max="14600" width="3.5" style="29" customWidth="1"/>
    <col min="14601" max="14601" width="22.125" style="29" customWidth="1"/>
    <col min="14602" max="14602" width="9.75" style="29" customWidth="1"/>
    <col min="14603" max="14603" width="7.375" style="29" customWidth="1"/>
    <col min="14604" max="14604" width="9" style="29"/>
    <col min="14605" max="14605" width="9.25" style="29" customWidth="1"/>
    <col min="14606" max="14606" width="3.5" style="29" customWidth="1"/>
    <col min="14607" max="14608" width="12.625" style="29" customWidth="1"/>
    <col min="14609" max="14609" width="9" style="29"/>
    <col min="14610" max="14610" width="7.75" style="29" customWidth="1"/>
    <col min="14611" max="14611" width="13.125" style="29" customWidth="1"/>
    <col min="14612" max="14612" width="6.125" style="29" customWidth="1"/>
    <col min="14613" max="14613" width="9.75" style="29" customWidth="1"/>
    <col min="14614" max="14614" width="1.375" style="29" customWidth="1"/>
    <col min="14615" max="14854" width="9" style="29"/>
    <col min="14855" max="14855" width="1.375" style="29" customWidth="1"/>
    <col min="14856" max="14856" width="3.5" style="29" customWidth="1"/>
    <col min="14857" max="14857" width="22.125" style="29" customWidth="1"/>
    <col min="14858" max="14858" width="9.75" style="29" customWidth="1"/>
    <col min="14859" max="14859" width="7.375" style="29" customWidth="1"/>
    <col min="14860" max="14860" width="9" style="29"/>
    <col min="14861" max="14861" width="9.25" style="29" customWidth="1"/>
    <col min="14862" max="14862" width="3.5" style="29" customWidth="1"/>
    <col min="14863" max="14864" width="12.625" style="29" customWidth="1"/>
    <col min="14865" max="14865" width="9" style="29"/>
    <col min="14866" max="14866" width="7.75" style="29" customWidth="1"/>
    <col min="14867" max="14867" width="13.125" style="29" customWidth="1"/>
    <col min="14868" max="14868" width="6.125" style="29" customWidth="1"/>
    <col min="14869" max="14869" width="9.75" style="29" customWidth="1"/>
    <col min="14870" max="14870" width="1.375" style="29" customWidth="1"/>
    <col min="14871" max="15110" width="9" style="29"/>
    <col min="15111" max="15111" width="1.375" style="29" customWidth="1"/>
    <col min="15112" max="15112" width="3.5" style="29" customWidth="1"/>
    <col min="15113" max="15113" width="22.125" style="29" customWidth="1"/>
    <col min="15114" max="15114" width="9.75" style="29" customWidth="1"/>
    <col min="15115" max="15115" width="7.375" style="29" customWidth="1"/>
    <col min="15116" max="15116" width="9" style="29"/>
    <col min="15117" max="15117" width="9.25" style="29" customWidth="1"/>
    <col min="15118" max="15118" width="3.5" style="29" customWidth="1"/>
    <col min="15119" max="15120" width="12.625" style="29" customWidth="1"/>
    <col min="15121" max="15121" width="9" style="29"/>
    <col min="15122" max="15122" width="7.75" style="29" customWidth="1"/>
    <col min="15123" max="15123" width="13.125" style="29" customWidth="1"/>
    <col min="15124" max="15124" width="6.125" style="29" customWidth="1"/>
    <col min="15125" max="15125" width="9.75" style="29" customWidth="1"/>
    <col min="15126" max="15126" width="1.375" style="29" customWidth="1"/>
    <col min="15127" max="15366" width="9" style="29"/>
    <col min="15367" max="15367" width="1.375" style="29" customWidth="1"/>
    <col min="15368" max="15368" width="3.5" style="29" customWidth="1"/>
    <col min="15369" max="15369" width="22.125" style="29" customWidth="1"/>
    <col min="15370" max="15370" width="9.75" style="29" customWidth="1"/>
    <col min="15371" max="15371" width="7.375" style="29" customWidth="1"/>
    <col min="15372" max="15372" width="9" style="29"/>
    <col min="15373" max="15373" width="9.25" style="29" customWidth="1"/>
    <col min="15374" max="15374" width="3.5" style="29" customWidth="1"/>
    <col min="15375" max="15376" width="12.625" style="29" customWidth="1"/>
    <col min="15377" max="15377" width="9" style="29"/>
    <col min="15378" max="15378" width="7.75" style="29" customWidth="1"/>
    <col min="15379" max="15379" width="13.125" style="29" customWidth="1"/>
    <col min="15380" max="15380" width="6.125" style="29" customWidth="1"/>
    <col min="15381" max="15381" width="9.75" style="29" customWidth="1"/>
    <col min="15382" max="15382" width="1.375" style="29" customWidth="1"/>
    <col min="15383" max="15622" width="9" style="29"/>
    <col min="15623" max="15623" width="1.375" style="29" customWidth="1"/>
    <col min="15624" max="15624" width="3.5" style="29" customWidth="1"/>
    <col min="15625" max="15625" width="22.125" style="29" customWidth="1"/>
    <col min="15626" max="15626" width="9.75" style="29" customWidth="1"/>
    <col min="15627" max="15627" width="7.375" style="29" customWidth="1"/>
    <col min="15628" max="15628" width="9" style="29"/>
    <col min="15629" max="15629" width="9.25" style="29" customWidth="1"/>
    <col min="15630" max="15630" width="3.5" style="29" customWidth="1"/>
    <col min="15631" max="15632" width="12.625" style="29" customWidth="1"/>
    <col min="15633" max="15633" width="9" style="29"/>
    <col min="15634" max="15634" width="7.75" style="29" customWidth="1"/>
    <col min="15635" max="15635" width="13.125" style="29" customWidth="1"/>
    <col min="15636" max="15636" width="6.125" style="29" customWidth="1"/>
    <col min="15637" max="15637" width="9.75" style="29" customWidth="1"/>
    <col min="15638" max="15638" width="1.375" style="29" customWidth="1"/>
    <col min="15639" max="15878" width="9" style="29"/>
    <col min="15879" max="15879" width="1.375" style="29" customWidth="1"/>
    <col min="15880" max="15880" width="3.5" style="29" customWidth="1"/>
    <col min="15881" max="15881" width="22.125" style="29" customWidth="1"/>
    <col min="15882" max="15882" width="9.75" style="29" customWidth="1"/>
    <col min="15883" max="15883" width="7.375" style="29" customWidth="1"/>
    <col min="15884" max="15884" width="9" style="29"/>
    <col min="15885" max="15885" width="9.25" style="29" customWidth="1"/>
    <col min="15886" max="15886" width="3.5" style="29" customWidth="1"/>
    <col min="15887" max="15888" width="12.625" style="29" customWidth="1"/>
    <col min="15889" max="15889" width="9" style="29"/>
    <col min="15890" max="15890" width="7.75" style="29" customWidth="1"/>
    <col min="15891" max="15891" width="13.125" style="29" customWidth="1"/>
    <col min="15892" max="15892" width="6.125" style="29" customWidth="1"/>
    <col min="15893" max="15893" width="9.75" style="29" customWidth="1"/>
    <col min="15894" max="15894" width="1.375" style="29" customWidth="1"/>
    <col min="15895" max="16134" width="9" style="29"/>
    <col min="16135" max="16135" width="1.375" style="29" customWidth="1"/>
    <col min="16136" max="16136" width="3.5" style="29" customWidth="1"/>
    <col min="16137" max="16137" width="22.125" style="29" customWidth="1"/>
    <col min="16138" max="16138" width="9.75" style="29" customWidth="1"/>
    <col min="16139" max="16139" width="7.375" style="29" customWidth="1"/>
    <col min="16140" max="16140" width="9" style="29"/>
    <col min="16141" max="16141" width="9.25" style="29" customWidth="1"/>
    <col min="16142" max="16142" width="3.5" style="29" customWidth="1"/>
    <col min="16143" max="16144" width="12.625" style="29" customWidth="1"/>
    <col min="16145" max="16145" width="9" style="29"/>
    <col min="16146" max="16146" width="7.75" style="29" customWidth="1"/>
    <col min="16147" max="16147" width="13.125" style="29" customWidth="1"/>
    <col min="16148" max="16148" width="6.125" style="29" customWidth="1"/>
    <col min="16149" max="16149" width="9.75" style="29" customWidth="1"/>
    <col min="16150" max="16150" width="1.375" style="29" customWidth="1"/>
    <col min="16151" max="16384" width="9" style="29"/>
  </cols>
  <sheetData>
    <row r="1" spans="2:26" ht="9.9499999999999993" customHeight="1" x14ac:dyDescent="0.15"/>
    <row r="2" spans="2:26" ht="24.95" customHeight="1" x14ac:dyDescent="0.15">
      <c r="B2" s="1" t="s">
        <v>466</v>
      </c>
      <c r="C2" s="31"/>
      <c r="D2" s="4"/>
      <c r="E2" s="4"/>
      <c r="F2" s="31"/>
      <c r="G2" s="100"/>
      <c r="H2" s="110"/>
      <c r="I2" s="100"/>
      <c r="J2" s="100"/>
      <c r="K2" s="100"/>
      <c r="L2" s="100"/>
      <c r="M2" s="100"/>
      <c r="N2" s="100"/>
      <c r="O2" s="4"/>
    </row>
    <row r="3" spans="2:26" ht="15" customHeight="1" thickBot="1" x14ac:dyDescent="0.2">
      <c r="B3" s="29" t="s">
        <v>164</v>
      </c>
      <c r="I3" s="4" t="s">
        <v>165</v>
      </c>
      <c r="P3" s="29" t="s">
        <v>186</v>
      </c>
    </row>
    <row r="4" spans="2:26" ht="15" customHeight="1" x14ac:dyDescent="0.15">
      <c r="B4" s="406" t="s">
        <v>70</v>
      </c>
      <c r="C4" s="407" t="s">
        <v>140</v>
      </c>
      <c r="D4" s="407" t="s">
        <v>110</v>
      </c>
      <c r="E4" s="407" t="s">
        <v>111</v>
      </c>
      <c r="F4" s="407" t="s">
        <v>21</v>
      </c>
      <c r="G4" s="408" t="s">
        <v>112</v>
      </c>
      <c r="H4" s="142"/>
      <c r="I4" s="908" t="s">
        <v>70</v>
      </c>
      <c r="J4" s="910" t="s">
        <v>143</v>
      </c>
      <c r="K4" s="409" t="s">
        <v>617</v>
      </c>
      <c r="L4" s="409" t="s">
        <v>113</v>
      </c>
      <c r="M4" s="910" t="s">
        <v>21</v>
      </c>
      <c r="N4" s="912" t="s">
        <v>112</v>
      </c>
      <c r="O4" s="149"/>
      <c r="P4" s="410" t="s">
        <v>146</v>
      </c>
      <c r="Q4" s="411" t="s">
        <v>147</v>
      </c>
      <c r="R4" s="411" t="s">
        <v>148</v>
      </c>
      <c r="S4" s="411" t="s">
        <v>304</v>
      </c>
      <c r="T4" s="914" t="s">
        <v>149</v>
      </c>
      <c r="U4" s="915"/>
      <c r="V4" s="412" t="s">
        <v>150</v>
      </c>
      <c r="W4" s="578" t="s">
        <v>305</v>
      </c>
      <c r="X4" s="578" t="s">
        <v>306</v>
      </c>
      <c r="Y4" s="578"/>
      <c r="Z4" s="578"/>
    </row>
    <row r="5" spans="2:26" ht="15" customHeight="1" x14ac:dyDescent="0.15">
      <c r="B5" s="899" t="s">
        <v>135</v>
      </c>
      <c r="C5" s="263" t="s">
        <v>294</v>
      </c>
      <c r="D5" s="263">
        <f>+肥料算出基礎!C4/1000</f>
        <v>3</v>
      </c>
      <c r="E5" s="413" t="s">
        <v>307</v>
      </c>
      <c r="F5" s="263">
        <f>+肥料算出基礎!K4/2</f>
        <v>22160</v>
      </c>
      <c r="G5" s="414">
        <f>D5*F5</f>
        <v>66480</v>
      </c>
      <c r="H5" s="143"/>
      <c r="I5" s="909"/>
      <c r="J5" s="911"/>
      <c r="K5" s="146" t="s">
        <v>115</v>
      </c>
      <c r="L5" s="577" t="s">
        <v>247</v>
      </c>
      <c r="M5" s="911"/>
      <c r="N5" s="913"/>
      <c r="O5" s="149"/>
      <c r="P5" s="415" t="s">
        <v>308</v>
      </c>
      <c r="Q5" s="416">
        <v>3</v>
      </c>
      <c r="R5" s="417" t="s">
        <v>309</v>
      </c>
      <c r="S5" s="416">
        <f>ROUNDDOWN(W5*1.1,-1)</f>
        <v>2290</v>
      </c>
      <c r="T5" s="904">
        <v>5</v>
      </c>
      <c r="U5" s="905"/>
      <c r="V5" s="418">
        <f>Q5*S5/T5</f>
        <v>1374</v>
      </c>
      <c r="W5" s="578">
        <v>2088</v>
      </c>
      <c r="X5" s="578">
        <v>500</v>
      </c>
      <c r="Y5" s="578" t="s">
        <v>310</v>
      </c>
      <c r="Z5" s="578"/>
    </row>
    <row r="6" spans="2:26" ht="15" customHeight="1" x14ac:dyDescent="0.15">
      <c r="B6" s="797"/>
      <c r="C6" s="263"/>
      <c r="D6" s="263"/>
      <c r="E6" s="413"/>
      <c r="F6" s="263"/>
      <c r="G6" s="134">
        <f t="shared" ref="G6" si="0">D6*F6</f>
        <v>0</v>
      </c>
      <c r="H6" s="143"/>
      <c r="I6" s="907" t="s">
        <v>142</v>
      </c>
      <c r="J6" s="263" t="s">
        <v>348</v>
      </c>
      <c r="K6" s="419">
        <v>9</v>
      </c>
      <c r="L6" s="419">
        <v>1</v>
      </c>
      <c r="M6" s="419">
        <v>84.7</v>
      </c>
      <c r="N6" s="134">
        <f>K6*L6*M6</f>
        <v>762.30000000000007</v>
      </c>
      <c r="O6" s="149"/>
      <c r="P6" s="415" t="s">
        <v>349</v>
      </c>
      <c r="Q6" s="416">
        <v>5</v>
      </c>
      <c r="R6" s="417" t="s">
        <v>309</v>
      </c>
      <c r="S6" s="416">
        <f t="shared" ref="S6:S9" si="1">ROUNDDOWN(W6*1.1,-1)</f>
        <v>2560</v>
      </c>
      <c r="T6" s="904">
        <v>1</v>
      </c>
      <c r="U6" s="905"/>
      <c r="V6" s="418">
        <f t="shared" ref="V6:V8" si="2">Q6*S6/T6</f>
        <v>12800</v>
      </c>
      <c r="W6" s="578">
        <v>2333</v>
      </c>
      <c r="X6" s="578">
        <v>100</v>
      </c>
      <c r="Y6" s="578" t="s">
        <v>310</v>
      </c>
      <c r="Z6" s="578"/>
    </row>
    <row r="7" spans="2:26" ht="15" customHeight="1" thickBot="1" x14ac:dyDescent="0.2">
      <c r="B7" s="868"/>
      <c r="C7" s="421" t="s">
        <v>116</v>
      </c>
      <c r="D7" s="421"/>
      <c r="E7" s="421"/>
      <c r="F7" s="421"/>
      <c r="G7" s="422">
        <f>SUM(G5:G6)</f>
        <v>66480</v>
      </c>
      <c r="H7" s="143"/>
      <c r="I7" s="797"/>
      <c r="J7" s="263" t="s">
        <v>350</v>
      </c>
      <c r="K7" s="419">
        <v>6</v>
      </c>
      <c r="L7" s="419">
        <v>3</v>
      </c>
      <c r="M7" s="419">
        <v>84.7</v>
      </c>
      <c r="N7" s="134">
        <f t="shared" ref="N7:N10" si="3">K7*L7*M7</f>
        <v>1524.6000000000001</v>
      </c>
      <c r="O7" s="149"/>
      <c r="P7" s="415" t="s">
        <v>351</v>
      </c>
      <c r="Q7" s="416">
        <v>8</v>
      </c>
      <c r="R7" s="417" t="s">
        <v>352</v>
      </c>
      <c r="S7" s="416">
        <f t="shared" si="1"/>
        <v>2240</v>
      </c>
      <c r="T7" s="904">
        <v>5</v>
      </c>
      <c r="U7" s="905"/>
      <c r="V7" s="418">
        <f t="shared" si="2"/>
        <v>3584</v>
      </c>
      <c r="W7" s="578">
        <v>2042</v>
      </c>
      <c r="X7" s="578">
        <v>200</v>
      </c>
      <c r="Y7" s="578" t="s">
        <v>353</v>
      </c>
      <c r="Z7" s="578"/>
    </row>
    <row r="8" spans="2:26" ht="15" customHeight="1" thickTop="1" x14ac:dyDescent="0.15">
      <c r="B8" s="867" t="s">
        <v>133</v>
      </c>
      <c r="C8" s="263" t="s">
        <v>647</v>
      </c>
      <c r="D8" s="231">
        <f>+肥料算出基礎!C5/肥料算出基礎!J5</f>
        <v>0.75</v>
      </c>
      <c r="E8" s="413" t="s">
        <v>114</v>
      </c>
      <c r="F8" s="263">
        <f>+肥料算出基礎!K7</f>
        <v>860</v>
      </c>
      <c r="G8" s="134">
        <f>D8*F8</f>
        <v>645</v>
      </c>
      <c r="H8" s="143"/>
      <c r="I8" s="797"/>
      <c r="J8" s="263" t="s">
        <v>354</v>
      </c>
      <c r="K8" s="419">
        <v>6</v>
      </c>
      <c r="L8" s="419">
        <v>3</v>
      </c>
      <c r="M8" s="419">
        <v>84.7</v>
      </c>
      <c r="N8" s="134">
        <f t="shared" si="3"/>
        <v>1524.6000000000001</v>
      </c>
      <c r="O8" s="149"/>
      <c r="P8" s="415" t="s">
        <v>311</v>
      </c>
      <c r="Q8" s="416">
        <v>1</v>
      </c>
      <c r="R8" s="417" t="s">
        <v>312</v>
      </c>
      <c r="S8" s="416">
        <f t="shared" si="1"/>
        <v>1180</v>
      </c>
      <c r="T8" s="904">
        <v>1</v>
      </c>
      <c r="U8" s="905"/>
      <c r="V8" s="418">
        <f t="shared" si="2"/>
        <v>1180</v>
      </c>
      <c r="W8" s="578">
        <v>1080</v>
      </c>
      <c r="X8" s="578">
        <v>10</v>
      </c>
      <c r="Y8" s="578" t="s">
        <v>313</v>
      </c>
      <c r="Z8" s="578"/>
    </row>
    <row r="9" spans="2:26" ht="15" customHeight="1" x14ac:dyDescent="0.15">
      <c r="B9" s="797"/>
      <c r="C9" s="263" t="s">
        <v>648</v>
      </c>
      <c r="D9" s="263">
        <f>+肥料算出基礎!C6/肥料算出基礎!J6</f>
        <v>2</v>
      </c>
      <c r="E9" s="413" t="s">
        <v>114</v>
      </c>
      <c r="F9" s="263">
        <v>730</v>
      </c>
      <c r="G9" s="134">
        <f>D9*F9</f>
        <v>1460</v>
      </c>
      <c r="H9" s="143"/>
      <c r="I9" s="797"/>
      <c r="J9" s="263"/>
      <c r="K9" s="419"/>
      <c r="L9" s="419"/>
      <c r="M9" s="419"/>
      <c r="N9" s="134"/>
      <c r="O9" s="149"/>
      <c r="P9" s="415" t="s">
        <v>314</v>
      </c>
      <c r="Q9" s="416">
        <v>27</v>
      </c>
      <c r="R9" s="417" t="s">
        <v>312</v>
      </c>
      <c r="S9" s="416">
        <f t="shared" si="1"/>
        <v>370</v>
      </c>
      <c r="T9" s="904">
        <v>1</v>
      </c>
      <c r="U9" s="905"/>
      <c r="V9" s="418">
        <f>Q9*S9/T9</f>
        <v>9990</v>
      </c>
      <c r="W9" s="578">
        <v>337</v>
      </c>
      <c r="X9" s="578">
        <v>100</v>
      </c>
      <c r="Y9" s="578" t="s">
        <v>315</v>
      </c>
      <c r="Z9" s="578"/>
    </row>
    <row r="10" spans="2:26" ht="15" customHeight="1" x14ac:dyDescent="0.15">
      <c r="B10" s="797"/>
      <c r="C10" s="263" t="s">
        <v>649</v>
      </c>
      <c r="D10" s="263">
        <f>+肥料算出基礎!C8/肥料算出基礎!J8</f>
        <v>2</v>
      </c>
      <c r="E10" s="413" t="s">
        <v>114</v>
      </c>
      <c r="F10" s="263">
        <f>+肥料算出基礎!K10</f>
        <v>4930</v>
      </c>
      <c r="G10" s="134">
        <f>D10*F10</f>
        <v>9860</v>
      </c>
      <c r="H10" s="143"/>
      <c r="I10" s="797"/>
      <c r="J10" s="263"/>
      <c r="K10" s="419"/>
      <c r="L10" s="419"/>
      <c r="M10" s="419"/>
      <c r="N10" s="134">
        <f t="shared" si="3"/>
        <v>0</v>
      </c>
      <c r="O10" s="460"/>
      <c r="P10" s="127" t="s">
        <v>355</v>
      </c>
      <c r="Q10" s="420">
        <v>0.4</v>
      </c>
      <c r="R10" s="417" t="s">
        <v>309</v>
      </c>
      <c r="S10" s="416">
        <v>64600</v>
      </c>
      <c r="T10" s="904">
        <v>5</v>
      </c>
      <c r="U10" s="905"/>
      <c r="V10" s="418">
        <f>Q10*S10/T10</f>
        <v>5168</v>
      </c>
      <c r="W10" s="578"/>
      <c r="X10" s="578" t="s">
        <v>356</v>
      </c>
      <c r="Y10" s="578"/>
      <c r="Z10" s="578"/>
    </row>
    <row r="11" spans="2:26" ht="15" customHeight="1" thickBot="1" x14ac:dyDescent="0.2">
      <c r="B11" s="797"/>
      <c r="C11" s="263" t="s">
        <v>650</v>
      </c>
      <c r="D11" s="263">
        <f>+肥料算出基礎!C7/肥料算出基礎!J7</f>
        <v>2</v>
      </c>
      <c r="E11" s="413" t="s">
        <v>114</v>
      </c>
      <c r="F11" s="263">
        <f>+肥料算出基礎!K9</f>
        <v>4410</v>
      </c>
      <c r="G11" s="134">
        <f>D11*F11</f>
        <v>8820</v>
      </c>
      <c r="H11" s="143"/>
      <c r="I11" s="868"/>
      <c r="J11" s="426" t="s">
        <v>357</v>
      </c>
      <c r="K11" s="427">
        <f t="shared" ref="K11:L11" si="4">SUM(K6:K10)</f>
        <v>21</v>
      </c>
      <c r="L11" s="427">
        <f t="shared" si="4"/>
        <v>7</v>
      </c>
      <c r="M11" s="427"/>
      <c r="N11" s="428">
        <f>SUM(N6:N10)</f>
        <v>3811.5</v>
      </c>
      <c r="O11" s="149"/>
      <c r="P11" s="415" t="s">
        <v>316</v>
      </c>
      <c r="Q11" s="420">
        <v>2.6</v>
      </c>
      <c r="R11" s="417" t="s">
        <v>309</v>
      </c>
      <c r="S11" s="416">
        <f>ROUNDDOWN(W11*1.1,-1)</f>
        <v>6220</v>
      </c>
      <c r="T11" s="904">
        <v>5</v>
      </c>
      <c r="U11" s="905"/>
      <c r="V11" s="418">
        <f>Q11*S11/T11</f>
        <v>3234.4</v>
      </c>
      <c r="W11" s="578">
        <v>5657</v>
      </c>
      <c r="X11" s="578" t="s">
        <v>317</v>
      </c>
      <c r="Y11" s="578"/>
      <c r="Z11" s="578"/>
    </row>
    <row r="12" spans="2:26" ht="15" customHeight="1" thickTop="1" thickBot="1" x14ac:dyDescent="0.2">
      <c r="B12" s="868"/>
      <c r="C12" s="135" t="s">
        <v>117</v>
      </c>
      <c r="D12" s="136"/>
      <c r="E12" s="136"/>
      <c r="F12" s="136"/>
      <c r="G12" s="137">
        <f>SUM(G8:G11)</f>
        <v>20785</v>
      </c>
      <c r="H12" s="143"/>
      <c r="I12" s="867" t="s">
        <v>358</v>
      </c>
      <c r="J12" s="263" t="s">
        <v>318</v>
      </c>
      <c r="K12" s="419">
        <v>25</v>
      </c>
      <c r="L12" s="419">
        <v>1</v>
      </c>
      <c r="M12" s="419">
        <v>158.4</v>
      </c>
      <c r="N12" s="134">
        <f>K12*L12*M12</f>
        <v>3960</v>
      </c>
      <c r="O12" s="149"/>
      <c r="P12" s="415"/>
      <c r="Q12" s="416"/>
      <c r="R12" s="417"/>
      <c r="S12" s="416"/>
      <c r="T12" s="904"/>
      <c r="U12" s="905"/>
      <c r="V12" s="418"/>
      <c r="W12" s="578"/>
      <c r="X12" s="578"/>
      <c r="Y12" s="578"/>
      <c r="Z12" s="578"/>
    </row>
    <row r="13" spans="2:26" ht="15" customHeight="1" thickTop="1" x14ac:dyDescent="0.15">
      <c r="B13" s="867" t="s">
        <v>134</v>
      </c>
      <c r="C13" s="263" t="s">
        <v>634</v>
      </c>
      <c r="D13" s="231">
        <f>+肥料算出基礎!C5/肥料算出基礎!J5</f>
        <v>0.75</v>
      </c>
      <c r="E13" s="413" t="s">
        <v>114</v>
      </c>
      <c r="F13" s="263">
        <f>+肥料算出基礎!K5</f>
        <v>3200</v>
      </c>
      <c r="G13" s="134">
        <f>D13*F13</f>
        <v>2400</v>
      </c>
      <c r="H13" s="143"/>
      <c r="I13" s="797"/>
      <c r="J13" s="263" t="s">
        <v>319</v>
      </c>
      <c r="K13" s="419">
        <v>10</v>
      </c>
      <c r="L13" s="419">
        <v>1</v>
      </c>
      <c r="M13" s="419">
        <v>158.4</v>
      </c>
      <c r="N13" s="134">
        <f t="shared" ref="N13:N15" si="5">K13*L13*M13</f>
        <v>1584</v>
      </c>
      <c r="O13" s="149"/>
      <c r="P13" s="415"/>
      <c r="Q13" s="416"/>
      <c r="R13" s="417"/>
      <c r="S13" s="416"/>
      <c r="T13" s="904"/>
      <c r="U13" s="905"/>
      <c r="V13" s="418"/>
      <c r="W13" s="578"/>
      <c r="X13" s="578"/>
      <c r="Y13" s="578"/>
      <c r="Z13" s="578"/>
    </row>
    <row r="14" spans="2:26" ht="15" customHeight="1" x14ac:dyDescent="0.15">
      <c r="B14" s="797"/>
      <c r="C14" s="263" t="s">
        <v>635</v>
      </c>
      <c r="D14" s="263">
        <f>+肥料算出基礎!C6/肥料算出基礎!J6</f>
        <v>2</v>
      </c>
      <c r="E14" s="413" t="s">
        <v>114</v>
      </c>
      <c r="F14" s="263">
        <f>+肥料算出基礎!K6</f>
        <v>2880</v>
      </c>
      <c r="G14" s="134">
        <f>D14*F14</f>
        <v>5760</v>
      </c>
      <c r="H14" s="143"/>
      <c r="I14" s="797"/>
      <c r="J14" s="263" t="s">
        <v>320</v>
      </c>
      <c r="K14" s="419">
        <v>5</v>
      </c>
      <c r="L14" s="419">
        <v>1</v>
      </c>
      <c r="M14" s="419">
        <v>158.4</v>
      </c>
      <c r="N14" s="134">
        <f t="shared" si="5"/>
        <v>792</v>
      </c>
      <c r="O14" s="149"/>
      <c r="P14" s="415"/>
      <c r="Q14" s="416"/>
      <c r="R14" s="417"/>
      <c r="S14" s="416"/>
      <c r="T14" s="904"/>
      <c r="U14" s="905"/>
      <c r="V14" s="418"/>
      <c r="W14" s="578"/>
      <c r="X14" s="578"/>
      <c r="Y14" s="578"/>
      <c r="Z14" s="578"/>
    </row>
    <row r="15" spans="2:26" ht="15" customHeight="1" x14ac:dyDescent="0.15">
      <c r="B15" s="797"/>
      <c r="C15" s="263"/>
      <c r="D15" s="263"/>
      <c r="E15" s="413"/>
      <c r="F15" s="263"/>
      <c r="G15" s="134">
        <f>D15*F15</f>
        <v>0</v>
      </c>
      <c r="H15" s="143"/>
      <c r="I15" s="797"/>
      <c r="J15" s="263" t="s">
        <v>321</v>
      </c>
      <c r="K15" s="419">
        <v>50</v>
      </c>
      <c r="L15" s="419">
        <v>1</v>
      </c>
      <c r="M15" s="419">
        <v>158.4</v>
      </c>
      <c r="N15" s="134">
        <f t="shared" si="5"/>
        <v>7920</v>
      </c>
      <c r="O15" s="149"/>
      <c r="P15" s="415"/>
      <c r="Q15" s="416"/>
      <c r="R15" s="417"/>
      <c r="S15" s="416"/>
      <c r="T15" s="904"/>
      <c r="U15" s="905"/>
      <c r="V15" s="418"/>
      <c r="W15" s="578"/>
      <c r="X15" s="578"/>
      <c r="Y15" s="578"/>
      <c r="Z15" s="578"/>
    </row>
    <row r="16" spans="2:26" ht="15" customHeight="1" thickBot="1" x14ac:dyDescent="0.2">
      <c r="B16" s="797"/>
      <c r="C16" s="263"/>
      <c r="D16" s="263"/>
      <c r="E16" s="263"/>
      <c r="F16" s="263"/>
      <c r="G16" s="134">
        <f t="shared" ref="G16" si="6">D16*F16</f>
        <v>0</v>
      </c>
      <c r="H16" s="143"/>
      <c r="I16" s="868"/>
      <c r="J16" s="426" t="s">
        <v>359</v>
      </c>
      <c r="K16" s="427">
        <f t="shared" ref="K16:L16" si="7">SUM(K12:K15)</f>
        <v>90</v>
      </c>
      <c r="L16" s="427">
        <f t="shared" si="7"/>
        <v>4</v>
      </c>
      <c r="M16" s="427"/>
      <c r="N16" s="428">
        <f>SUM(N12:N15)</f>
        <v>14256</v>
      </c>
      <c r="O16" s="149"/>
      <c r="P16" s="415"/>
      <c r="Q16" s="416"/>
      <c r="R16" s="417"/>
      <c r="S16" s="416"/>
      <c r="T16" s="904"/>
      <c r="U16" s="905"/>
      <c r="V16" s="418"/>
      <c r="W16" s="578"/>
      <c r="X16" s="578"/>
      <c r="Y16" s="578"/>
      <c r="Z16" s="578"/>
    </row>
    <row r="17" spans="2:26" ht="15" customHeight="1" thickTop="1" thickBot="1" x14ac:dyDescent="0.2">
      <c r="B17" s="868"/>
      <c r="C17" s="135" t="s">
        <v>117</v>
      </c>
      <c r="D17" s="136"/>
      <c r="E17" s="136"/>
      <c r="F17" s="136"/>
      <c r="G17" s="137">
        <f>SUM(G13:G16)</f>
        <v>8160</v>
      </c>
      <c r="H17" s="143"/>
      <c r="I17" s="867" t="s">
        <v>144</v>
      </c>
      <c r="J17" s="263" t="s">
        <v>322</v>
      </c>
      <c r="K17" s="419">
        <v>22</v>
      </c>
      <c r="L17" s="419">
        <v>0.5</v>
      </c>
      <c r="M17" s="419">
        <v>168.4</v>
      </c>
      <c r="N17" s="134">
        <f>K17*L17*M17</f>
        <v>1852.4</v>
      </c>
      <c r="O17" s="149"/>
      <c r="P17" s="415"/>
      <c r="Q17" s="416"/>
      <c r="R17" s="417"/>
      <c r="S17" s="416"/>
      <c r="T17" s="904"/>
      <c r="U17" s="905"/>
      <c r="V17" s="418"/>
      <c r="W17" s="578"/>
      <c r="X17" s="578"/>
      <c r="Y17" s="578"/>
      <c r="Z17" s="578"/>
    </row>
    <row r="18" spans="2:26" ht="15" customHeight="1" thickTop="1" x14ac:dyDescent="0.15">
      <c r="B18" s="867" t="s">
        <v>136</v>
      </c>
      <c r="C18" s="263" t="s">
        <v>636</v>
      </c>
      <c r="D18" s="231">
        <f>+肥料算出基礎!C11/肥料算出基礎!J11</f>
        <v>0.19999999999999998</v>
      </c>
      <c r="E18" s="413" t="s">
        <v>119</v>
      </c>
      <c r="F18" s="263">
        <f>+肥料算出基礎!K11</f>
        <v>8250</v>
      </c>
      <c r="G18" s="134">
        <f t="shared" ref="G18" si="8">D18*F18</f>
        <v>1649.9999999999998</v>
      </c>
      <c r="H18" s="143"/>
      <c r="I18" s="797"/>
      <c r="J18" s="263"/>
      <c r="K18" s="419"/>
      <c r="L18" s="419"/>
      <c r="M18" s="419"/>
      <c r="N18" s="134">
        <f t="shared" ref="N18:N19" si="9">K18*L18*M18</f>
        <v>0</v>
      </c>
      <c r="O18" s="149"/>
      <c r="P18" s="415"/>
      <c r="Q18" s="416"/>
      <c r="R18" s="417"/>
      <c r="S18" s="416"/>
      <c r="T18" s="904"/>
      <c r="U18" s="905"/>
      <c r="V18" s="418"/>
      <c r="W18" s="578"/>
      <c r="X18" s="578"/>
      <c r="Y18" s="578"/>
      <c r="Z18" s="578"/>
    </row>
    <row r="19" spans="2:26" ht="15" customHeight="1" x14ac:dyDescent="0.15">
      <c r="B19" s="797"/>
      <c r="C19" s="263"/>
      <c r="D19" s="263"/>
      <c r="E19" s="413"/>
      <c r="F19" s="263"/>
      <c r="G19" s="134">
        <f>D19*F19</f>
        <v>0</v>
      </c>
      <c r="H19" s="143"/>
      <c r="I19" s="797"/>
      <c r="J19" s="263"/>
      <c r="K19" s="419"/>
      <c r="L19" s="419"/>
      <c r="M19" s="419"/>
      <c r="N19" s="134">
        <f t="shared" si="9"/>
        <v>0</v>
      </c>
      <c r="O19" s="149"/>
      <c r="P19" s="415"/>
      <c r="Q19" s="416"/>
      <c r="R19" s="417"/>
      <c r="S19" s="416"/>
      <c r="T19" s="904"/>
      <c r="U19" s="905"/>
      <c r="V19" s="418"/>
      <c r="W19" s="578"/>
      <c r="X19" s="578"/>
      <c r="Y19" s="578"/>
      <c r="Z19" s="578"/>
    </row>
    <row r="20" spans="2:26" ht="15" customHeight="1" thickBot="1" x14ac:dyDescent="0.2">
      <c r="B20" s="797"/>
      <c r="C20" s="263"/>
      <c r="D20" s="263"/>
      <c r="E20" s="263"/>
      <c r="F20" s="263"/>
      <c r="G20" s="134">
        <f t="shared" ref="G20" si="10">D20*F20</f>
        <v>0</v>
      </c>
      <c r="H20" s="143"/>
      <c r="I20" s="868"/>
      <c r="J20" s="426" t="s">
        <v>323</v>
      </c>
      <c r="K20" s="427">
        <f>SUM(K17:K19)</f>
        <v>22</v>
      </c>
      <c r="L20" s="429">
        <f>SUM(L17:L19)</f>
        <v>0.5</v>
      </c>
      <c r="M20" s="430"/>
      <c r="N20" s="428">
        <f>SUM(N17:N19)</f>
        <v>1852.4</v>
      </c>
      <c r="O20" s="149"/>
      <c r="P20" s="415"/>
      <c r="Q20" s="416"/>
      <c r="R20" s="417"/>
      <c r="S20" s="416"/>
      <c r="T20" s="904"/>
      <c r="U20" s="905"/>
      <c r="V20" s="418"/>
      <c r="W20" s="578"/>
      <c r="X20" s="578"/>
      <c r="Y20" s="578"/>
      <c r="Z20" s="578"/>
    </row>
    <row r="21" spans="2:26" ht="15" customHeight="1" thickTop="1" thickBot="1" x14ac:dyDescent="0.2">
      <c r="B21" s="868"/>
      <c r="C21" s="135" t="s">
        <v>117</v>
      </c>
      <c r="D21" s="136"/>
      <c r="E21" s="136"/>
      <c r="F21" s="136"/>
      <c r="G21" s="137">
        <f>SUM(G18:G20)</f>
        <v>1649.9999999999998</v>
      </c>
      <c r="H21" s="143"/>
      <c r="I21" s="867" t="s">
        <v>145</v>
      </c>
      <c r="J21" s="263"/>
      <c r="K21" s="419"/>
      <c r="L21" s="419"/>
      <c r="M21" s="419"/>
      <c r="N21" s="134">
        <f>K21*L21*M21</f>
        <v>0</v>
      </c>
      <c r="O21" s="149"/>
      <c r="P21" s="431" t="s">
        <v>26</v>
      </c>
      <c r="Q21" s="432"/>
      <c r="R21" s="432"/>
      <c r="S21" s="432"/>
      <c r="T21" s="906"/>
      <c r="U21" s="889"/>
      <c r="V21" s="433">
        <f>SUM(V5:V20)</f>
        <v>37330.400000000001</v>
      </c>
      <c r="W21" s="578"/>
      <c r="X21" s="578"/>
      <c r="Y21" s="578"/>
      <c r="Z21" s="578"/>
    </row>
    <row r="22" spans="2:26" ht="15" customHeight="1" thickTop="1" x14ac:dyDescent="0.15">
      <c r="B22" s="867" t="s">
        <v>137</v>
      </c>
      <c r="C22" s="263"/>
      <c r="D22" s="263"/>
      <c r="E22" s="413"/>
      <c r="F22" s="263"/>
      <c r="G22" s="134">
        <f>D22*F22</f>
        <v>0</v>
      </c>
      <c r="H22" s="143"/>
      <c r="I22" s="797"/>
      <c r="J22" s="263"/>
      <c r="K22" s="419"/>
      <c r="L22" s="419"/>
      <c r="M22" s="419"/>
      <c r="N22" s="134">
        <f t="shared" ref="N22:N23" si="11">K22*L22*M22</f>
        <v>0</v>
      </c>
      <c r="O22" s="149"/>
      <c r="W22" s="578"/>
      <c r="X22" s="578"/>
      <c r="Y22" s="578"/>
      <c r="Z22" s="578"/>
    </row>
    <row r="23" spans="2:26" ht="15" customHeight="1" thickBot="1" x14ac:dyDescent="0.2">
      <c r="B23" s="797"/>
      <c r="C23" s="263"/>
      <c r="D23" s="263"/>
      <c r="E23" s="413"/>
      <c r="F23" s="263"/>
      <c r="G23" s="134">
        <f>D23*F23</f>
        <v>0</v>
      </c>
      <c r="H23" s="143"/>
      <c r="I23" s="797"/>
      <c r="J23" s="263"/>
      <c r="K23" s="419"/>
      <c r="L23" s="419"/>
      <c r="M23" s="419"/>
      <c r="N23" s="134">
        <f t="shared" si="11"/>
        <v>0</v>
      </c>
      <c r="O23" s="149"/>
      <c r="P23" s="29" t="s">
        <v>187</v>
      </c>
      <c r="W23" s="578"/>
      <c r="X23" s="578"/>
      <c r="Y23" s="578"/>
      <c r="Z23" s="578"/>
    </row>
    <row r="24" spans="2:26" ht="15" customHeight="1" thickBot="1" x14ac:dyDescent="0.2">
      <c r="B24" s="797"/>
      <c r="C24" s="263"/>
      <c r="D24" s="263"/>
      <c r="E24" s="413"/>
      <c r="F24" s="263"/>
      <c r="G24" s="134">
        <f>D24*F24</f>
        <v>0</v>
      </c>
      <c r="H24" s="143"/>
      <c r="I24" s="868"/>
      <c r="J24" s="426" t="s">
        <v>360</v>
      </c>
      <c r="K24" s="427">
        <f>SUM(K21:K23)</f>
        <v>0</v>
      </c>
      <c r="L24" s="429">
        <f>SUM(L21:L23)</f>
        <v>0</v>
      </c>
      <c r="M24" s="430"/>
      <c r="N24" s="428">
        <f>SUM(N21:N23)</f>
        <v>0</v>
      </c>
      <c r="O24" s="149"/>
      <c r="P24" s="410" t="s">
        <v>151</v>
      </c>
      <c r="Q24" s="411" t="s">
        <v>147</v>
      </c>
      <c r="R24" s="411" t="s">
        <v>148</v>
      </c>
      <c r="S24" s="411" t="s">
        <v>304</v>
      </c>
      <c r="T24" s="411" t="s">
        <v>149</v>
      </c>
      <c r="U24" s="434" t="s">
        <v>405</v>
      </c>
      <c r="V24" s="412" t="s">
        <v>150</v>
      </c>
      <c r="W24" s="578" t="s">
        <v>254</v>
      </c>
      <c r="X24" s="578" t="s">
        <v>324</v>
      </c>
      <c r="Y24" s="578"/>
      <c r="Z24" s="578"/>
    </row>
    <row r="25" spans="2:26" ht="15" customHeight="1" thickTop="1" thickBot="1" x14ac:dyDescent="0.2">
      <c r="B25" s="881"/>
      <c r="C25" s="138" t="s">
        <v>120</v>
      </c>
      <c r="D25" s="139"/>
      <c r="E25" s="139"/>
      <c r="F25" s="145"/>
      <c r="G25" s="140">
        <f>SUM(G22:G24)</f>
        <v>0</v>
      </c>
      <c r="I25" s="867" t="s">
        <v>225</v>
      </c>
      <c r="J25" s="263"/>
      <c r="K25" s="419"/>
      <c r="L25" s="419"/>
      <c r="M25" s="419"/>
      <c r="N25" s="134">
        <f>K25*L25*M25</f>
        <v>0</v>
      </c>
      <c r="O25" s="149"/>
      <c r="P25" s="415" t="s">
        <v>361</v>
      </c>
      <c r="Q25" s="416">
        <v>1</v>
      </c>
      <c r="R25" s="417" t="s">
        <v>406</v>
      </c>
      <c r="S25" s="416">
        <v>5160</v>
      </c>
      <c r="T25" s="416">
        <v>2</v>
      </c>
      <c r="U25" s="435">
        <v>20</v>
      </c>
      <c r="V25" s="418">
        <f>Q25*S25/T25/U25*10</f>
        <v>1290</v>
      </c>
      <c r="W25" s="578">
        <v>4692</v>
      </c>
      <c r="X25" s="579">
        <v>0.5</v>
      </c>
      <c r="Y25" s="578"/>
      <c r="Z25" s="578"/>
    </row>
    <row r="26" spans="2:26" ht="15" customHeight="1" x14ac:dyDescent="0.15">
      <c r="H26" s="144"/>
      <c r="I26" s="797"/>
      <c r="J26" s="263"/>
      <c r="K26" s="419"/>
      <c r="L26" s="419"/>
      <c r="M26" s="419"/>
      <c r="N26" s="134">
        <f t="shared" ref="N26:N27" si="12">K26*L26*M26</f>
        <v>0</v>
      </c>
      <c r="O26" s="149"/>
      <c r="P26" s="415" t="s">
        <v>326</v>
      </c>
      <c r="Q26" s="416">
        <v>1</v>
      </c>
      <c r="R26" s="417" t="s">
        <v>407</v>
      </c>
      <c r="S26" s="416">
        <v>3390</v>
      </c>
      <c r="T26" s="416">
        <v>2</v>
      </c>
      <c r="U26" s="435">
        <v>20</v>
      </c>
      <c r="V26" s="418">
        <f t="shared" ref="V26:V37" si="13">Q26*S26/T26/U26*10</f>
        <v>847.5</v>
      </c>
      <c r="W26" s="578">
        <v>3086</v>
      </c>
      <c r="X26" s="579">
        <v>0.5</v>
      </c>
      <c r="Y26" s="578"/>
      <c r="Z26" s="578"/>
    </row>
    <row r="27" spans="2:26" ht="15" customHeight="1" thickBot="1" x14ac:dyDescent="0.2">
      <c r="B27" s="4" t="s">
        <v>328</v>
      </c>
      <c r="C27" s="4"/>
      <c r="D27" s="31"/>
      <c r="E27" s="4"/>
      <c r="F27" s="31"/>
      <c r="G27" s="32"/>
      <c r="H27" s="142"/>
      <c r="I27" s="797"/>
      <c r="J27" s="263"/>
      <c r="K27" s="419"/>
      <c r="L27" s="419"/>
      <c r="M27" s="419"/>
      <c r="N27" s="134">
        <f t="shared" si="12"/>
        <v>0</v>
      </c>
      <c r="O27" s="149"/>
      <c r="P27" s="415" t="s">
        <v>329</v>
      </c>
      <c r="Q27" s="416">
        <v>1</v>
      </c>
      <c r="R27" s="417" t="s">
        <v>407</v>
      </c>
      <c r="S27" s="416">
        <v>5720</v>
      </c>
      <c r="T27" s="416">
        <v>2</v>
      </c>
      <c r="U27" s="435">
        <v>50</v>
      </c>
      <c r="V27" s="418">
        <f t="shared" si="13"/>
        <v>572</v>
      </c>
      <c r="W27" s="578"/>
      <c r="X27" s="579">
        <v>0.2</v>
      </c>
      <c r="Y27" s="578"/>
      <c r="Z27" s="578"/>
    </row>
    <row r="28" spans="2:26" ht="15" customHeight="1" thickBot="1" x14ac:dyDescent="0.2">
      <c r="B28" s="406" t="s">
        <v>70</v>
      </c>
      <c r="C28" s="407" t="s">
        <v>109</v>
      </c>
      <c r="D28" s="407" t="s">
        <v>398</v>
      </c>
      <c r="E28" s="407" t="s">
        <v>111</v>
      </c>
      <c r="F28" s="407" t="s">
        <v>21</v>
      </c>
      <c r="G28" s="408" t="s">
        <v>112</v>
      </c>
      <c r="H28" s="143"/>
      <c r="I28" s="868"/>
      <c r="J28" s="426" t="s">
        <v>330</v>
      </c>
      <c r="K28" s="427">
        <f>SUM(K25:K27)</f>
        <v>0</v>
      </c>
      <c r="L28" s="429">
        <f>SUM(L25:L27)</f>
        <v>0</v>
      </c>
      <c r="M28" s="430"/>
      <c r="N28" s="428">
        <f>SUM(N25:N27)</f>
        <v>0</v>
      </c>
      <c r="O28" s="149"/>
      <c r="P28" s="415" t="s">
        <v>331</v>
      </c>
      <c r="Q28" s="416">
        <v>1</v>
      </c>
      <c r="R28" s="417" t="s">
        <v>407</v>
      </c>
      <c r="S28" s="416">
        <v>970</v>
      </c>
      <c r="T28" s="416">
        <v>2</v>
      </c>
      <c r="U28" s="435">
        <v>20</v>
      </c>
      <c r="V28" s="418">
        <f t="shared" si="13"/>
        <v>242.5</v>
      </c>
      <c r="W28" s="578">
        <v>885</v>
      </c>
      <c r="X28" s="579">
        <v>0.5</v>
      </c>
      <c r="Y28" s="578"/>
      <c r="Z28" s="578"/>
    </row>
    <row r="29" spans="2:26" ht="15" customHeight="1" thickTop="1" x14ac:dyDescent="0.15">
      <c r="B29" s="899" t="s">
        <v>27</v>
      </c>
      <c r="C29" s="263" t="s">
        <v>637</v>
      </c>
      <c r="D29" s="231">
        <f>+農薬算出基礎!D3/農薬算出基礎!C3*1000/農薬算出基礎!E3</f>
        <v>0.8</v>
      </c>
      <c r="E29" s="413" t="s">
        <v>114</v>
      </c>
      <c r="F29" s="263">
        <f>+農薬算出基礎!F3</f>
        <v>3660</v>
      </c>
      <c r="G29" s="414">
        <f t="shared" ref="G29:G41" si="14">D29*F29</f>
        <v>2928</v>
      </c>
      <c r="H29" s="143"/>
      <c r="I29" s="867" t="s">
        <v>141</v>
      </c>
      <c r="J29" s="263"/>
      <c r="K29" s="419"/>
      <c r="L29" s="419"/>
      <c r="M29" s="419"/>
      <c r="N29" s="134">
        <f>K29*L29*M29</f>
        <v>0</v>
      </c>
      <c r="O29" s="149"/>
      <c r="P29" s="415" t="s">
        <v>362</v>
      </c>
      <c r="Q29" s="416">
        <v>8</v>
      </c>
      <c r="R29" s="417" t="s">
        <v>406</v>
      </c>
      <c r="S29" s="416">
        <v>1180</v>
      </c>
      <c r="T29" s="416">
        <v>5</v>
      </c>
      <c r="U29" s="435">
        <v>10</v>
      </c>
      <c r="V29" s="418">
        <f t="shared" si="13"/>
        <v>1888</v>
      </c>
      <c r="W29" s="578">
        <v>1080</v>
      </c>
      <c r="X29" s="579">
        <v>8</v>
      </c>
      <c r="Y29" s="578"/>
      <c r="Z29" s="578"/>
    </row>
    <row r="30" spans="2:26" ht="15" customHeight="1" x14ac:dyDescent="0.15">
      <c r="B30" s="797"/>
      <c r="C30" s="263" t="s">
        <v>638</v>
      </c>
      <c r="D30" s="231">
        <f>+農薬算出基礎!D4/農薬算出基礎!C4*1000/農薬算出基礎!E4</f>
        <v>0.75</v>
      </c>
      <c r="E30" s="413" t="s">
        <v>114</v>
      </c>
      <c r="F30" s="263">
        <f>+農薬算出基礎!F4</f>
        <v>1840</v>
      </c>
      <c r="G30" s="134">
        <f t="shared" si="14"/>
        <v>1380</v>
      </c>
      <c r="H30" s="143"/>
      <c r="I30" s="797"/>
      <c r="J30" s="263"/>
      <c r="K30" s="419"/>
      <c r="L30" s="419"/>
      <c r="M30" s="419"/>
      <c r="N30" s="134">
        <f t="shared" ref="N30:N31" si="15">K30*L30*M30</f>
        <v>0</v>
      </c>
      <c r="O30" s="30"/>
      <c r="P30" s="415" t="s">
        <v>333</v>
      </c>
      <c r="Q30" s="416">
        <v>1</v>
      </c>
      <c r="R30" s="417" t="s">
        <v>43</v>
      </c>
      <c r="S30" s="416">
        <v>10470</v>
      </c>
      <c r="T30" s="416">
        <v>5</v>
      </c>
      <c r="U30" s="435">
        <v>50</v>
      </c>
      <c r="V30" s="418">
        <f t="shared" si="13"/>
        <v>418.8</v>
      </c>
      <c r="W30" s="578">
        <v>9700</v>
      </c>
      <c r="X30" s="579">
        <v>0.2</v>
      </c>
      <c r="Y30" s="578" t="s">
        <v>334</v>
      </c>
      <c r="Z30" s="578"/>
    </row>
    <row r="31" spans="2:26" ht="15" customHeight="1" x14ac:dyDescent="0.15">
      <c r="B31" s="797"/>
      <c r="C31" s="263" t="s">
        <v>639</v>
      </c>
      <c r="D31" s="231">
        <f>+農薬算出基礎!D5/農薬算出基礎!C5*1000/農薬算出基礎!E5</f>
        <v>0.4</v>
      </c>
      <c r="E31" s="413" t="s">
        <v>114</v>
      </c>
      <c r="F31" s="263">
        <f>+農薬算出基礎!F5</f>
        <v>6260</v>
      </c>
      <c r="G31" s="134">
        <f t="shared" si="14"/>
        <v>2504</v>
      </c>
      <c r="H31" s="143"/>
      <c r="I31" s="797"/>
      <c r="J31" s="263"/>
      <c r="K31" s="419"/>
      <c r="L31" s="419"/>
      <c r="M31" s="419"/>
      <c r="N31" s="134">
        <f t="shared" si="15"/>
        <v>0</v>
      </c>
      <c r="P31" s="415" t="s">
        <v>363</v>
      </c>
      <c r="Q31" s="416">
        <v>1</v>
      </c>
      <c r="R31" s="417" t="s">
        <v>43</v>
      </c>
      <c r="S31" s="416">
        <v>3020</v>
      </c>
      <c r="T31" s="416">
        <v>5</v>
      </c>
      <c r="U31" s="435">
        <v>25</v>
      </c>
      <c r="V31" s="418">
        <f t="shared" si="13"/>
        <v>241.6</v>
      </c>
      <c r="W31" s="578">
        <v>2800</v>
      </c>
      <c r="X31" s="579">
        <v>0.4</v>
      </c>
      <c r="Y31" s="578" t="s">
        <v>336</v>
      </c>
      <c r="Z31" s="578"/>
    </row>
    <row r="32" spans="2:26" ht="15" customHeight="1" thickBot="1" x14ac:dyDescent="0.2">
      <c r="B32" s="797"/>
      <c r="C32" s="263" t="s">
        <v>640</v>
      </c>
      <c r="D32" s="231">
        <f>+農薬算出基礎!D6/農薬算出基礎!C6*1000/農薬算出基礎!E6</f>
        <v>0.3</v>
      </c>
      <c r="E32" s="413" t="s">
        <v>114</v>
      </c>
      <c r="F32" s="263">
        <f>+農薬算出基礎!F6</f>
        <v>3690</v>
      </c>
      <c r="G32" s="134">
        <f t="shared" si="14"/>
        <v>1107</v>
      </c>
      <c r="H32" s="143"/>
      <c r="I32" s="881"/>
      <c r="J32" s="436" t="s">
        <v>364</v>
      </c>
      <c r="K32" s="437">
        <f>SUM(K29:K31)</f>
        <v>0</v>
      </c>
      <c r="L32" s="438">
        <f>SUM(L29:L31)</f>
        <v>0</v>
      </c>
      <c r="M32" s="439"/>
      <c r="N32" s="440">
        <f>SUM(N29:N31)</f>
        <v>0</v>
      </c>
      <c r="P32" s="415" t="s">
        <v>365</v>
      </c>
      <c r="Q32" s="416">
        <v>1</v>
      </c>
      <c r="R32" s="417" t="s">
        <v>406</v>
      </c>
      <c r="S32" s="416">
        <v>30000</v>
      </c>
      <c r="T32" s="416">
        <v>10</v>
      </c>
      <c r="U32" s="435">
        <v>100</v>
      </c>
      <c r="V32" s="418">
        <f t="shared" si="13"/>
        <v>300</v>
      </c>
    </row>
    <row r="33" spans="2:22" ht="15" customHeight="1" x14ac:dyDescent="0.15">
      <c r="B33" s="797"/>
      <c r="C33" s="263" t="s">
        <v>641</v>
      </c>
      <c r="D33" s="231">
        <f>+農薬算出基礎!D7/農薬算出基礎!C7*1000/農薬算出基礎!E7</f>
        <v>0.3</v>
      </c>
      <c r="E33" s="413" t="s">
        <v>114</v>
      </c>
      <c r="F33" s="263">
        <f>+農薬算出基礎!F7</f>
        <v>4570</v>
      </c>
      <c r="G33" s="134">
        <f>D33*F33</f>
        <v>1371</v>
      </c>
      <c r="H33" s="143"/>
      <c r="I33" s="441"/>
      <c r="J33" s="142"/>
      <c r="K33" s="442"/>
      <c r="L33" s="442"/>
      <c r="M33" s="442"/>
      <c r="N33" s="143"/>
      <c r="P33" s="415" t="s">
        <v>338</v>
      </c>
      <c r="Q33" s="416">
        <v>1</v>
      </c>
      <c r="R33" s="417" t="s">
        <v>43</v>
      </c>
      <c r="S33" s="416">
        <v>30000</v>
      </c>
      <c r="T33" s="416">
        <v>7</v>
      </c>
      <c r="U33" s="435">
        <v>100</v>
      </c>
      <c r="V33" s="418">
        <f t="shared" si="13"/>
        <v>428.57142857142856</v>
      </c>
    </row>
    <row r="34" spans="2:22" ht="15" customHeight="1" x14ac:dyDescent="0.15">
      <c r="B34" s="797"/>
      <c r="C34" s="263" t="s">
        <v>642</v>
      </c>
      <c r="D34" s="231">
        <f>+農薬算出基礎!D8/農薬算出基礎!C8*1000/農薬算出基礎!E8</f>
        <v>0.2</v>
      </c>
      <c r="E34" s="413" t="s">
        <v>114</v>
      </c>
      <c r="F34" s="263">
        <f>+農薬算出基礎!F8</f>
        <v>6350</v>
      </c>
      <c r="G34" s="134">
        <f>D34*F34</f>
        <v>1270</v>
      </c>
      <c r="H34" s="143"/>
      <c r="I34" s="441"/>
      <c r="J34" s="142"/>
      <c r="K34" s="442"/>
      <c r="L34" s="442"/>
      <c r="M34" s="442"/>
      <c r="N34" s="143"/>
      <c r="P34" s="415" t="s">
        <v>366</v>
      </c>
      <c r="Q34" s="416">
        <v>4</v>
      </c>
      <c r="R34" s="417" t="s">
        <v>119</v>
      </c>
      <c r="S34" s="416">
        <v>7200</v>
      </c>
      <c r="T34" s="416">
        <v>10</v>
      </c>
      <c r="U34" s="435">
        <v>100</v>
      </c>
      <c r="V34" s="418">
        <f t="shared" si="13"/>
        <v>288</v>
      </c>
    </row>
    <row r="35" spans="2:22" ht="15" customHeight="1" x14ac:dyDescent="0.15">
      <c r="B35" s="797"/>
      <c r="C35" s="263" t="s">
        <v>643</v>
      </c>
      <c r="D35" s="231">
        <f>+農薬算出基礎!D9/農薬算出基礎!C9*1000/農薬算出基礎!E9</f>
        <v>0.2</v>
      </c>
      <c r="E35" s="413" t="s">
        <v>114</v>
      </c>
      <c r="F35" s="263">
        <f>+農薬算出基礎!F9</f>
        <v>8080</v>
      </c>
      <c r="G35" s="134">
        <f>D35*F35</f>
        <v>1616</v>
      </c>
      <c r="H35" s="143"/>
      <c r="I35" s="462"/>
      <c r="J35" s="142"/>
      <c r="K35" s="442"/>
      <c r="L35" s="442"/>
      <c r="M35" s="442"/>
      <c r="N35" s="143"/>
      <c r="P35" s="415" t="s">
        <v>367</v>
      </c>
      <c r="Q35" s="416">
        <v>2</v>
      </c>
      <c r="R35" s="417" t="s">
        <v>406</v>
      </c>
      <c r="S35" s="416">
        <v>10000</v>
      </c>
      <c r="T35" s="416">
        <v>10</v>
      </c>
      <c r="U35" s="435">
        <v>100</v>
      </c>
      <c r="V35" s="418">
        <f t="shared" si="13"/>
        <v>200</v>
      </c>
    </row>
    <row r="36" spans="2:22" ht="15" customHeight="1" x14ac:dyDescent="0.15">
      <c r="B36" s="797"/>
      <c r="C36" s="263" t="s">
        <v>644</v>
      </c>
      <c r="D36" s="231">
        <f>+農薬算出基礎!D10*3/農薬算出基礎!C10*1000/農薬算出基礎!E10</f>
        <v>1.2</v>
      </c>
      <c r="E36" s="413" t="s">
        <v>114</v>
      </c>
      <c r="F36" s="263">
        <f>+農薬算出基礎!F10</f>
        <v>5970</v>
      </c>
      <c r="G36" s="134">
        <f>D36*F36</f>
        <v>7164</v>
      </c>
      <c r="H36" s="143"/>
      <c r="I36" s="128"/>
      <c r="J36" s="128"/>
      <c r="K36" s="128"/>
      <c r="L36" s="128"/>
      <c r="M36" s="128"/>
      <c r="N36" s="128"/>
      <c r="P36" s="415" t="s">
        <v>341</v>
      </c>
      <c r="Q36" s="416">
        <v>1</v>
      </c>
      <c r="R36" s="417" t="s">
        <v>406</v>
      </c>
      <c r="S36" s="416">
        <v>2500</v>
      </c>
      <c r="T36" s="416">
        <v>10</v>
      </c>
      <c r="U36" s="435">
        <v>100</v>
      </c>
      <c r="V36" s="418">
        <f t="shared" si="13"/>
        <v>25</v>
      </c>
    </row>
    <row r="37" spans="2:22" ht="15" customHeight="1" thickBot="1" x14ac:dyDescent="0.2">
      <c r="B37" s="797"/>
      <c r="D37" s="477"/>
      <c r="E37" s="463"/>
      <c r="F37" s="463"/>
      <c r="H37" s="464"/>
      <c r="I37" s="116" t="s">
        <v>185</v>
      </c>
      <c r="J37" s="116"/>
      <c r="K37" s="116"/>
      <c r="L37" s="116"/>
      <c r="M37" s="116"/>
      <c r="P37" s="415" t="s">
        <v>342</v>
      </c>
      <c r="Q37" s="416">
        <v>1</v>
      </c>
      <c r="R37" s="417" t="s">
        <v>406</v>
      </c>
      <c r="S37" s="416">
        <v>3000</v>
      </c>
      <c r="T37" s="416">
        <v>10</v>
      </c>
      <c r="U37" s="435">
        <v>100</v>
      </c>
      <c r="V37" s="418">
        <f t="shared" si="13"/>
        <v>30</v>
      </c>
    </row>
    <row r="38" spans="2:22" ht="15" customHeight="1" thickBot="1" x14ac:dyDescent="0.2">
      <c r="B38" s="797"/>
      <c r="C38" s="465"/>
      <c r="D38" s="478"/>
      <c r="E38" s="466"/>
      <c r="F38" s="467"/>
      <c r="G38" s="468"/>
      <c r="H38" s="143"/>
      <c r="I38" s="443" t="s">
        <v>172</v>
      </c>
      <c r="J38" s="444" t="s">
        <v>3</v>
      </c>
      <c r="K38" s="900" t="s">
        <v>173</v>
      </c>
      <c r="L38" s="901"/>
      <c r="M38" s="445" t="s">
        <v>405</v>
      </c>
      <c r="N38" s="446" t="s">
        <v>368</v>
      </c>
      <c r="P38" s="447" t="s">
        <v>177</v>
      </c>
      <c r="Q38" s="432"/>
      <c r="R38" s="432"/>
      <c r="S38" s="432"/>
      <c r="T38" s="432"/>
      <c r="U38" s="448"/>
      <c r="V38" s="433">
        <f>SUM(V25:V37)</f>
        <v>6771.971428571429</v>
      </c>
    </row>
    <row r="39" spans="2:22" ht="15" customHeight="1" x14ac:dyDescent="0.15">
      <c r="B39" s="797"/>
      <c r="C39" s="469"/>
      <c r="D39" s="479"/>
      <c r="E39" s="307"/>
      <c r="F39" s="470"/>
      <c r="G39" s="203"/>
      <c r="H39" s="143"/>
      <c r="I39" s="873" t="s">
        <v>0</v>
      </c>
      <c r="J39" s="141"/>
      <c r="K39" s="885"/>
      <c r="L39" s="885"/>
      <c r="M39" s="307"/>
      <c r="N39" s="203"/>
    </row>
    <row r="40" spans="2:22" ht="15" customHeight="1" thickBot="1" x14ac:dyDescent="0.2">
      <c r="B40" s="797"/>
      <c r="C40" s="471"/>
      <c r="D40" s="480"/>
      <c r="E40" s="473"/>
      <c r="F40" s="474"/>
      <c r="G40" s="475">
        <f t="shared" si="14"/>
        <v>0</v>
      </c>
      <c r="H40" s="143"/>
      <c r="I40" s="902"/>
      <c r="J40" s="141"/>
      <c r="K40" s="885"/>
      <c r="L40" s="885"/>
      <c r="M40" s="307"/>
      <c r="N40" s="203"/>
      <c r="P40" s="116" t="s">
        <v>178</v>
      </c>
      <c r="Q40" s="116"/>
      <c r="R40" s="116"/>
      <c r="S40" s="116"/>
      <c r="T40" s="116"/>
    </row>
    <row r="41" spans="2:22" ht="15" customHeight="1" x14ac:dyDescent="0.15">
      <c r="B41" s="797"/>
      <c r="C41" s="263"/>
      <c r="D41" s="231"/>
      <c r="E41" s="413"/>
      <c r="F41" s="263"/>
      <c r="G41" s="134">
        <f t="shared" si="14"/>
        <v>0</v>
      </c>
      <c r="H41" s="143"/>
      <c r="I41" s="902"/>
      <c r="J41" s="141"/>
      <c r="K41" s="885"/>
      <c r="L41" s="885"/>
      <c r="M41" s="307"/>
      <c r="N41" s="203"/>
      <c r="O41" s="147"/>
      <c r="P41" s="443" t="s">
        <v>171</v>
      </c>
      <c r="Q41" s="892" t="s">
        <v>179</v>
      </c>
      <c r="R41" s="892"/>
      <c r="S41" s="449" t="s">
        <v>182</v>
      </c>
      <c r="T41" s="449" t="s">
        <v>181</v>
      </c>
      <c r="U41" s="450" t="s">
        <v>405</v>
      </c>
      <c r="V41" s="451" t="s">
        <v>368</v>
      </c>
    </row>
    <row r="42" spans="2:22" ht="15" customHeight="1" thickBot="1" x14ac:dyDescent="0.2">
      <c r="B42" s="868"/>
      <c r="C42" s="421" t="s">
        <v>116</v>
      </c>
      <c r="D42" s="481"/>
      <c r="E42" s="421"/>
      <c r="F42" s="421"/>
      <c r="G42" s="422">
        <f>SUM(G29:G41)</f>
        <v>19340</v>
      </c>
      <c r="H42" s="143"/>
      <c r="I42" s="902"/>
      <c r="J42" s="141"/>
      <c r="K42" s="885"/>
      <c r="L42" s="885"/>
      <c r="M42" s="307"/>
      <c r="N42" s="203"/>
      <c r="O42" s="147"/>
      <c r="P42" s="893" t="s">
        <v>180</v>
      </c>
      <c r="Q42" s="200"/>
      <c r="R42" s="212"/>
      <c r="S42" s="201"/>
      <c r="T42" s="213"/>
      <c r="U42" s="201"/>
      <c r="V42" s="203"/>
    </row>
    <row r="43" spans="2:22" ht="15" customHeight="1" thickTop="1" x14ac:dyDescent="0.15">
      <c r="B43" s="867" t="s">
        <v>138</v>
      </c>
      <c r="C43" s="263" t="s">
        <v>637</v>
      </c>
      <c r="D43" s="231">
        <f>+農薬算出基礎!D12/農薬算出基礎!C12*1000/農薬算出基礎!E12</f>
        <v>1.1111111111111112</v>
      </c>
      <c r="E43" s="413" t="s">
        <v>114</v>
      </c>
      <c r="F43" s="263">
        <f>+農薬算出基礎!F12</f>
        <v>2560</v>
      </c>
      <c r="G43" s="134">
        <f>D43*F43</f>
        <v>2844.4444444444443</v>
      </c>
      <c r="H43" s="143"/>
      <c r="I43" s="902"/>
      <c r="J43" s="141"/>
      <c r="K43" s="885"/>
      <c r="L43" s="885"/>
      <c r="M43" s="307"/>
      <c r="N43" s="203"/>
      <c r="O43" s="147"/>
      <c r="P43" s="894"/>
      <c r="Q43" s="200" t="s">
        <v>369</v>
      </c>
      <c r="R43" s="523" t="s">
        <v>571</v>
      </c>
      <c r="S43" s="201"/>
      <c r="T43" s="213"/>
      <c r="U43" s="201">
        <v>10</v>
      </c>
      <c r="V43" s="203">
        <v>6415</v>
      </c>
    </row>
    <row r="44" spans="2:22" ht="15" customHeight="1" x14ac:dyDescent="0.15">
      <c r="B44" s="797"/>
      <c r="C44" s="263" t="s">
        <v>638</v>
      </c>
      <c r="D44" s="231">
        <f>+農薬算出基礎!D13/農薬算出基礎!C13*1000/農薬算出基礎!E13</f>
        <v>0.4</v>
      </c>
      <c r="E44" s="413" t="s">
        <v>114</v>
      </c>
      <c r="F44" s="263">
        <f>+農薬算出基礎!F13</f>
        <v>2380</v>
      </c>
      <c r="G44" s="134">
        <f t="shared" ref="G44:G56" si="16">D44*F44</f>
        <v>952</v>
      </c>
      <c r="H44" s="143"/>
      <c r="I44" s="902"/>
      <c r="J44" s="141"/>
      <c r="K44" s="885"/>
      <c r="L44" s="885"/>
      <c r="M44" s="307"/>
      <c r="N44" s="203"/>
      <c r="O44" s="147"/>
      <c r="P44" s="894"/>
      <c r="Q44" s="200"/>
      <c r="R44" s="212"/>
      <c r="S44" s="201"/>
      <c r="T44" s="213"/>
      <c r="U44" s="201"/>
      <c r="V44" s="203"/>
    </row>
    <row r="45" spans="2:22" ht="15" customHeight="1" x14ac:dyDescent="0.15">
      <c r="B45" s="797"/>
      <c r="C45" s="263" t="s">
        <v>639</v>
      </c>
      <c r="D45" s="231">
        <f>+農薬算出基礎!D14/農薬算出基礎!C14*1000/農薬算出基礎!E14+農薬算出基礎!D18/農薬算出基礎!C18*1000/農薬算出基礎!E18</f>
        <v>0.44999999999999996</v>
      </c>
      <c r="E45" s="413" t="s">
        <v>114</v>
      </c>
      <c r="F45" s="263">
        <f>+農薬算出基礎!F14</f>
        <v>8340</v>
      </c>
      <c r="G45" s="134">
        <f t="shared" si="16"/>
        <v>3752.9999999999995</v>
      </c>
      <c r="H45" s="143"/>
      <c r="I45" s="902"/>
      <c r="J45" s="141"/>
      <c r="K45" s="885"/>
      <c r="L45" s="885"/>
      <c r="M45" s="307"/>
      <c r="N45" s="203"/>
      <c r="O45" s="147"/>
      <c r="P45" s="894"/>
      <c r="Q45" s="200" t="s">
        <v>184</v>
      </c>
      <c r="R45" s="212"/>
      <c r="S45" s="201"/>
      <c r="T45" s="213"/>
      <c r="U45" s="201"/>
      <c r="V45" s="203"/>
    </row>
    <row r="46" spans="2:22" ht="15" customHeight="1" thickBot="1" x14ac:dyDescent="0.2">
      <c r="B46" s="797"/>
      <c r="C46" s="263" t="s">
        <v>640</v>
      </c>
      <c r="D46" s="231">
        <f>+農薬算出基礎!D15/農薬算出基礎!C15*1000/農薬算出基礎!E15</f>
        <v>0.3</v>
      </c>
      <c r="E46" s="413" t="s">
        <v>114</v>
      </c>
      <c r="F46" s="263">
        <f>+農薬算出基礎!F15</f>
        <v>3180</v>
      </c>
      <c r="G46" s="134">
        <f t="shared" si="16"/>
        <v>954</v>
      </c>
      <c r="H46" s="143"/>
      <c r="I46" s="903"/>
      <c r="J46" s="197" t="s">
        <v>117</v>
      </c>
      <c r="K46" s="869"/>
      <c r="L46" s="870"/>
      <c r="M46" s="198"/>
      <c r="N46" s="202">
        <f>SUM(N39:N45)</f>
        <v>0</v>
      </c>
      <c r="O46" s="147"/>
      <c r="P46" s="894"/>
      <c r="Q46" s="200"/>
      <c r="R46" s="212"/>
      <c r="S46" s="201"/>
      <c r="T46" s="213"/>
      <c r="U46" s="201"/>
      <c r="V46" s="203"/>
    </row>
    <row r="47" spans="2:22" ht="15" customHeight="1" thickTop="1" x14ac:dyDescent="0.15">
      <c r="B47" s="797"/>
      <c r="C47" s="263" t="s">
        <v>641</v>
      </c>
      <c r="D47" s="231">
        <f>+農薬算出基礎!D16/農薬算出基礎!C16*1000/農薬算出基礎!E16</f>
        <v>0.4</v>
      </c>
      <c r="E47" s="413" t="s">
        <v>114</v>
      </c>
      <c r="F47" s="263">
        <f>+農薬算出基礎!F16</f>
        <v>4900</v>
      </c>
      <c r="G47" s="134">
        <f t="shared" si="16"/>
        <v>1960</v>
      </c>
      <c r="H47" s="143"/>
      <c r="I47" s="871" t="s">
        <v>174</v>
      </c>
      <c r="J47" s="199" t="s">
        <v>188</v>
      </c>
      <c r="K47" s="896">
        <v>4100</v>
      </c>
      <c r="L47" s="896"/>
      <c r="M47" s="549">
        <v>60</v>
      </c>
      <c r="N47" s="209">
        <f>+K47/M47*10</f>
        <v>683.33333333333326</v>
      </c>
      <c r="O47" s="147"/>
      <c r="P47" s="894"/>
      <c r="Q47" s="200"/>
      <c r="R47" s="212"/>
      <c r="S47" s="201"/>
      <c r="T47" s="213"/>
      <c r="U47" s="201"/>
      <c r="V47" s="203"/>
    </row>
    <row r="48" spans="2:22" ht="15" customHeight="1" thickBot="1" x14ac:dyDescent="0.2">
      <c r="B48" s="797"/>
      <c r="C48" s="263" t="s">
        <v>642</v>
      </c>
      <c r="D48" s="231">
        <f>+農薬算出基礎!D17/農薬算出基礎!C17*1000/農薬算出基礎!E17</f>
        <v>0.4</v>
      </c>
      <c r="E48" s="413" t="s">
        <v>114</v>
      </c>
      <c r="F48" s="263">
        <f>+農薬算出基礎!F17</f>
        <v>3300</v>
      </c>
      <c r="G48" s="134">
        <f t="shared" si="16"/>
        <v>1320</v>
      </c>
      <c r="H48" s="143"/>
      <c r="I48" s="872"/>
      <c r="J48" s="200"/>
      <c r="K48" s="885"/>
      <c r="L48" s="885"/>
      <c r="M48" s="307"/>
      <c r="N48" s="203"/>
      <c r="O48" s="147"/>
      <c r="P48" s="895"/>
      <c r="Q48" s="204" t="s">
        <v>183</v>
      </c>
      <c r="R48" s="205"/>
      <c r="S48" s="205"/>
      <c r="T48" s="205"/>
      <c r="U48" s="205"/>
      <c r="V48" s="206">
        <f>SUM(V42:V47)</f>
        <v>6415</v>
      </c>
    </row>
    <row r="49" spans="2:22" ht="15" customHeight="1" thickTop="1" x14ac:dyDescent="0.15">
      <c r="B49" s="797"/>
      <c r="C49" s="263" t="s">
        <v>643</v>
      </c>
      <c r="D49" s="231"/>
      <c r="E49" s="413"/>
      <c r="F49" s="263"/>
      <c r="G49" s="134">
        <f t="shared" si="16"/>
        <v>0</v>
      </c>
      <c r="H49" s="143"/>
      <c r="I49" s="872"/>
      <c r="J49" s="141"/>
      <c r="K49" s="885"/>
      <c r="L49" s="885"/>
      <c r="M49" s="307"/>
      <c r="N49" s="203"/>
      <c r="O49" s="147"/>
      <c r="P49" s="897" t="s">
        <v>189</v>
      </c>
      <c r="Q49" s="876" t="s">
        <v>190</v>
      </c>
      <c r="R49" s="452"/>
      <c r="S49" s="199"/>
      <c r="T49" s="453"/>
      <c r="U49" s="199"/>
      <c r="V49" s="209"/>
    </row>
    <row r="50" spans="2:22" ht="15" customHeight="1" thickBot="1" x14ac:dyDescent="0.2">
      <c r="B50" s="797"/>
      <c r="C50" s="263" t="s">
        <v>644</v>
      </c>
      <c r="D50" s="231"/>
      <c r="E50" s="263"/>
      <c r="F50" s="263"/>
      <c r="G50" s="134">
        <f t="shared" si="16"/>
        <v>0</v>
      </c>
      <c r="H50" s="143"/>
      <c r="I50" s="884"/>
      <c r="J50" s="197" t="s">
        <v>117</v>
      </c>
      <c r="K50" s="869"/>
      <c r="L50" s="870"/>
      <c r="M50" s="198"/>
      <c r="N50" s="202">
        <f>SUM(N47:N49)</f>
        <v>683.33333333333326</v>
      </c>
      <c r="O50" s="147"/>
      <c r="P50" s="894"/>
      <c r="Q50" s="877"/>
      <c r="R50" s="214"/>
      <c r="S50" s="200"/>
      <c r="T50" s="213"/>
      <c r="U50" s="200"/>
      <c r="V50" s="203"/>
    </row>
    <row r="51" spans="2:22" ht="15" customHeight="1" thickTop="1" x14ac:dyDescent="0.15">
      <c r="B51" s="797"/>
      <c r="C51" s="263"/>
      <c r="D51" s="231"/>
      <c r="E51" s="263"/>
      <c r="F51" s="263"/>
      <c r="G51" s="134">
        <f t="shared" si="16"/>
        <v>0</v>
      </c>
      <c r="H51" s="143"/>
      <c r="I51" s="871" t="s">
        <v>175</v>
      </c>
      <c r="J51" s="199"/>
      <c r="K51" s="896"/>
      <c r="L51" s="896"/>
      <c r="M51" s="308"/>
      <c r="N51" s="209"/>
      <c r="O51" s="147"/>
      <c r="P51" s="894"/>
      <c r="Q51" s="877"/>
      <c r="R51" s="214"/>
      <c r="S51" s="200"/>
      <c r="T51" s="200"/>
      <c r="U51" s="141"/>
      <c r="V51" s="215"/>
    </row>
    <row r="52" spans="2:22" ht="15" customHeight="1" x14ac:dyDescent="0.15">
      <c r="B52" s="797"/>
      <c r="C52" s="263"/>
      <c r="D52" s="231"/>
      <c r="E52" s="263"/>
      <c r="F52" s="263"/>
      <c r="G52" s="134">
        <f t="shared" si="16"/>
        <v>0</v>
      </c>
      <c r="H52" s="143"/>
      <c r="I52" s="872"/>
      <c r="J52" s="200"/>
      <c r="K52" s="885"/>
      <c r="L52" s="885"/>
      <c r="M52" s="307"/>
      <c r="N52" s="203"/>
      <c r="O52" s="147"/>
      <c r="P52" s="894"/>
      <c r="Q52" s="877"/>
      <c r="R52" s="214" t="s">
        <v>188</v>
      </c>
      <c r="S52" s="200">
        <v>15600</v>
      </c>
      <c r="T52" s="213">
        <v>1</v>
      </c>
      <c r="U52" s="200">
        <v>60</v>
      </c>
      <c r="V52" s="203">
        <f>+S52*T52/U52*10</f>
        <v>2600</v>
      </c>
    </row>
    <row r="53" spans="2:22" ht="15" customHeight="1" thickBot="1" x14ac:dyDescent="0.2">
      <c r="B53" s="868"/>
      <c r="C53" s="135" t="s">
        <v>117</v>
      </c>
      <c r="D53" s="482"/>
      <c r="E53" s="136"/>
      <c r="F53" s="136"/>
      <c r="G53" s="137">
        <f>SUM(G43:G52)</f>
        <v>11783.444444444443</v>
      </c>
      <c r="H53" s="143"/>
      <c r="I53" s="872"/>
      <c r="J53" s="141"/>
      <c r="K53" s="885"/>
      <c r="L53" s="885"/>
      <c r="M53" s="307"/>
      <c r="N53" s="203"/>
      <c r="O53" s="147"/>
      <c r="P53" s="894"/>
      <c r="Q53" s="878"/>
      <c r="R53" s="214"/>
      <c r="S53" s="200"/>
      <c r="T53" s="200"/>
      <c r="U53" s="141"/>
      <c r="V53" s="215"/>
    </row>
    <row r="54" spans="2:22" ht="15" customHeight="1" thickTop="1" thickBot="1" x14ac:dyDescent="0.2">
      <c r="B54" s="867" t="s">
        <v>29</v>
      </c>
      <c r="C54" s="263" t="s">
        <v>645</v>
      </c>
      <c r="D54" s="231">
        <f>+農薬算出基礎!D20*2/農薬算出基礎!C20*1000/農薬算出基礎!E20</f>
        <v>9.0909090909090912E-2</v>
      </c>
      <c r="E54" s="413" t="s">
        <v>114</v>
      </c>
      <c r="F54" s="263">
        <v>45740</v>
      </c>
      <c r="G54" s="134">
        <f t="shared" ref="G54" si="17">D54*F54</f>
        <v>4158.181818181818</v>
      </c>
      <c r="H54" s="143"/>
      <c r="I54" s="884"/>
      <c r="J54" s="197" t="s">
        <v>117</v>
      </c>
      <c r="K54" s="869"/>
      <c r="L54" s="870"/>
      <c r="M54" s="198"/>
      <c r="N54" s="202">
        <f>SUM(N51:N53)</f>
        <v>0</v>
      </c>
      <c r="O54" s="147"/>
      <c r="P54" s="894"/>
      <c r="Q54" s="204" t="s">
        <v>183</v>
      </c>
      <c r="R54" s="205"/>
      <c r="S54" s="205"/>
      <c r="T54" s="205"/>
      <c r="U54" s="205"/>
      <c r="V54" s="206">
        <f>SUM(V49:V53)</f>
        <v>2600</v>
      </c>
    </row>
    <row r="55" spans="2:22" ht="15" customHeight="1" thickTop="1" x14ac:dyDescent="0.15">
      <c r="B55" s="797"/>
      <c r="C55" s="263"/>
      <c r="D55" s="231"/>
      <c r="E55" s="263"/>
      <c r="F55" s="263"/>
      <c r="G55" s="134">
        <f t="shared" si="16"/>
        <v>0</v>
      </c>
      <c r="H55" s="143"/>
      <c r="I55" s="871" t="s">
        <v>176</v>
      </c>
      <c r="J55" s="199"/>
      <c r="K55" s="874"/>
      <c r="L55" s="875"/>
      <c r="M55" s="207"/>
      <c r="N55" s="210"/>
      <c r="O55" s="147"/>
      <c r="P55" s="894"/>
      <c r="Q55" s="876" t="s">
        <v>191</v>
      </c>
      <c r="R55" s="452"/>
      <c r="S55" s="199"/>
      <c r="T55" s="453"/>
      <c r="U55" s="199"/>
      <c r="V55" s="209"/>
    </row>
    <row r="56" spans="2:22" ht="15" customHeight="1" x14ac:dyDescent="0.15">
      <c r="B56" s="797"/>
      <c r="C56" s="263"/>
      <c r="D56" s="231"/>
      <c r="E56" s="263"/>
      <c r="F56" s="263"/>
      <c r="G56" s="134">
        <f t="shared" si="16"/>
        <v>0</v>
      </c>
      <c r="H56" s="143"/>
      <c r="I56" s="872"/>
      <c r="J56" s="200"/>
      <c r="K56" s="879"/>
      <c r="L56" s="880"/>
      <c r="M56" s="208"/>
      <c r="N56" s="203"/>
      <c r="O56" s="147"/>
      <c r="P56" s="894"/>
      <c r="Q56" s="877"/>
      <c r="R56" s="214"/>
      <c r="S56" s="200"/>
      <c r="T56" s="213"/>
      <c r="U56" s="200"/>
      <c r="V56" s="203"/>
    </row>
    <row r="57" spans="2:22" ht="14.25" thickBot="1" x14ac:dyDescent="0.2">
      <c r="B57" s="868"/>
      <c r="C57" s="135" t="s">
        <v>117</v>
      </c>
      <c r="D57" s="482"/>
      <c r="E57" s="136"/>
      <c r="F57" s="136"/>
      <c r="G57" s="137">
        <f>SUM(G54:G56)</f>
        <v>4158.181818181818</v>
      </c>
      <c r="I57" s="872"/>
      <c r="J57" s="200"/>
      <c r="K57" s="879"/>
      <c r="L57" s="880"/>
      <c r="M57" s="208"/>
      <c r="N57" s="203"/>
      <c r="O57" s="147"/>
      <c r="P57" s="894"/>
      <c r="Q57" s="877"/>
      <c r="R57" s="214"/>
      <c r="S57" s="200"/>
      <c r="T57" s="200"/>
      <c r="U57" s="141"/>
      <c r="V57" s="215"/>
    </row>
    <row r="58" spans="2:22" ht="14.25" thickTop="1" x14ac:dyDescent="0.15">
      <c r="B58" s="867" t="s">
        <v>139</v>
      </c>
      <c r="C58" s="263" t="s">
        <v>646</v>
      </c>
      <c r="D58" s="231">
        <f>+農薬算出基礎!G24/農薬算出基礎!E24</f>
        <v>1</v>
      </c>
      <c r="E58" s="413" t="s">
        <v>399</v>
      </c>
      <c r="F58" s="263">
        <v>840</v>
      </c>
      <c r="G58" s="134">
        <f>D58*F58</f>
        <v>840</v>
      </c>
      <c r="I58" s="872"/>
      <c r="J58" s="307" t="s">
        <v>188</v>
      </c>
      <c r="K58" s="882">
        <v>5000</v>
      </c>
      <c r="L58" s="883"/>
      <c r="M58" s="208">
        <v>60</v>
      </c>
      <c r="N58" s="203">
        <f>+K58/M58*10</f>
        <v>833.33333333333326</v>
      </c>
      <c r="O58" s="147"/>
      <c r="P58" s="894"/>
      <c r="Q58" s="877"/>
      <c r="R58" s="214" t="s">
        <v>188</v>
      </c>
      <c r="S58" s="200">
        <v>25000</v>
      </c>
      <c r="T58" s="213">
        <v>1</v>
      </c>
      <c r="U58" s="200">
        <v>60</v>
      </c>
      <c r="V58" s="203">
        <f>+S58*T58/U58*10</f>
        <v>4166.666666666667</v>
      </c>
    </row>
    <row r="59" spans="2:22" x14ac:dyDescent="0.15">
      <c r="B59" s="797"/>
      <c r="C59" s="263" t="s">
        <v>646</v>
      </c>
      <c r="D59" s="263">
        <f>+農薬算出基礎!G25/農薬算出基礎!E25</f>
        <v>1</v>
      </c>
      <c r="E59" s="413" t="s">
        <v>119</v>
      </c>
      <c r="F59" s="263">
        <v>1680</v>
      </c>
      <c r="G59" s="134">
        <f>D59*F59</f>
        <v>1680</v>
      </c>
      <c r="I59" s="872"/>
      <c r="J59" s="200"/>
      <c r="K59" s="879"/>
      <c r="L59" s="880"/>
      <c r="M59" s="208"/>
      <c r="N59" s="211"/>
      <c r="O59" s="147"/>
      <c r="P59" s="894"/>
      <c r="Q59" s="878"/>
      <c r="R59" s="214"/>
      <c r="S59" s="200"/>
      <c r="T59" s="200"/>
      <c r="U59" s="141"/>
      <c r="V59" s="215"/>
    </row>
    <row r="60" spans="2:22" x14ac:dyDescent="0.15">
      <c r="B60" s="797"/>
      <c r="C60" s="263" t="s">
        <v>646</v>
      </c>
      <c r="D60" s="231">
        <f>+農薬算出基礎!D26/農薬算出基礎!C26*1000/農薬算出基礎!E26</f>
        <v>1.875</v>
      </c>
      <c r="E60" s="413" t="s">
        <v>119</v>
      </c>
      <c r="F60" s="263">
        <v>5540</v>
      </c>
      <c r="G60" s="134">
        <f>D60*F60</f>
        <v>10387.5</v>
      </c>
      <c r="I60" s="873"/>
      <c r="J60" s="454" t="s">
        <v>117</v>
      </c>
      <c r="K60" s="886"/>
      <c r="L60" s="887"/>
      <c r="M60" s="455"/>
      <c r="N60" s="456">
        <f>SUM(N55:N59)</f>
        <v>833.33333333333326</v>
      </c>
      <c r="O60" s="147"/>
      <c r="P60" s="898"/>
      <c r="Q60" s="457" t="s">
        <v>183</v>
      </c>
      <c r="R60" s="458"/>
      <c r="S60" s="458"/>
      <c r="T60" s="458"/>
      <c r="U60" s="458"/>
      <c r="V60" s="216">
        <f>SUM(V55:V59)</f>
        <v>4166.666666666667</v>
      </c>
    </row>
    <row r="61" spans="2:22" ht="14.25" thickBot="1" x14ac:dyDescent="0.2">
      <c r="B61" s="881"/>
      <c r="C61" s="138" t="s">
        <v>120</v>
      </c>
      <c r="D61" s="139"/>
      <c r="E61" s="139"/>
      <c r="F61" s="139"/>
      <c r="G61" s="140">
        <f>SUM(G58:G60)</f>
        <v>12907.5</v>
      </c>
      <c r="I61" s="888" t="s">
        <v>177</v>
      </c>
      <c r="J61" s="889"/>
      <c r="K61" s="890"/>
      <c r="L61" s="891"/>
      <c r="M61" s="448"/>
      <c r="N61" s="459">
        <f>SUM(N46,N50,N54,N60)</f>
        <v>1516.6666666666665</v>
      </c>
      <c r="O61" s="147"/>
      <c r="P61" s="865" t="s">
        <v>177</v>
      </c>
      <c r="Q61" s="866"/>
      <c r="R61" s="432"/>
      <c r="S61" s="432"/>
      <c r="T61" s="432"/>
      <c r="U61" s="432"/>
      <c r="V61" s="459">
        <f>SUM(V48,V54,V60)</f>
        <v>13181.666666666668</v>
      </c>
    </row>
    <row r="62" spans="2:22" x14ac:dyDescent="0.15">
      <c r="O62" s="147"/>
      <c r="V62" s="29"/>
    </row>
    <row r="63" spans="2:22" x14ac:dyDescent="0.15">
      <c r="B63" s="578" t="s">
        <v>344</v>
      </c>
      <c r="C63" s="578"/>
      <c r="D63" s="573"/>
      <c r="E63" s="573"/>
      <c r="I63" s="147"/>
      <c r="J63" s="147"/>
      <c r="K63" s="147"/>
      <c r="L63" s="147"/>
      <c r="M63" s="147"/>
      <c r="N63" s="147"/>
      <c r="O63" s="147"/>
    </row>
    <row r="64" spans="2:22" x14ac:dyDescent="0.15">
      <c r="B64" s="578" t="s">
        <v>345</v>
      </c>
      <c r="C64" s="578"/>
      <c r="D64" s="573"/>
      <c r="E64" s="573"/>
      <c r="I64" s="147"/>
      <c r="J64" s="147"/>
      <c r="K64" s="147"/>
      <c r="L64" s="147"/>
      <c r="M64" s="147"/>
      <c r="N64" s="147"/>
      <c r="O64" s="147"/>
    </row>
    <row r="65" spans="2:15" x14ac:dyDescent="0.15">
      <c r="B65" s="578" t="s">
        <v>346</v>
      </c>
      <c r="C65" s="578"/>
      <c r="D65" s="573"/>
      <c r="E65" s="573"/>
      <c r="I65" s="147"/>
      <c r="J65" s="147"/>
      <c r="K65" s="147"/>
      <c r="L65" s="147"/>
      <c r="M65" s="147"/>
      <c r="N65" s="147"/>
      <c r="O65" s="147"/>
    </row>
    <row r="66" spans="2:15" x14ac:dyDescent="0.15">
      <c r="I66" s="147"/>
      <c r="J66" s="147"/>
      <c r="K66" s="147"/>
      <c r="L66" s="147"/>
      <c r="M66" s="147"/>
      <c r="N66" s="147"/>
      <c r="O66" s="147"/>
    </row>
    <row r="67" spans="2:15" x14ac:dyDescent="0.15">
      <c r="I67" s="147"/>
      <c r="J67" s="147"/>
      <c r="K67" s="147"/>
      <c r="L67" s="147"/>
      <c r="M67" s="147"/>
      <c r="N67" s="147"/>
      <c r="O67" s="147"/>
    </row>
    <row r="68" spans="2:15" x14ac:dyDescent="0.15">
      <c r="I68" s="147"/>
      <c r="J68" s="147"/>
      <c r="K68" s="147"/>
      <c r="L68" s="147"/>
      <c r="M68" s="147"/>
      <c r="N68" s="147"/>
      <c r="O68" s="147"/>
    </row>
    <row r="69" spans="2:15" x14ac:dyDescent="0.15">
      <c r="I69" s="147"/>
      <c r="J69" s="147"/>
      <c r="K69" s="147"/>
      <c r="L69" s="147"/>
      <c r="M69" s="147"/>
      <c r="N69" s="147"/>
      <c r="O69" s="147"/>
    </row>
    <row r="70" spans="2:15" x14ac:dyDescent="0.15">
      <c r="I70" s="147"/>
      <c r="J70" s="147"/>
      <c r="K70" s="147"/>
      <c r="L70" s="147"/>
      <c r="M70" s="147"/>
      <c r="N70" s="147"/>
      <c r="O70" s="147"/>
    </row>
    <row r="71" spans="2:15" x14ac:dyDescent="0.15">
      <c r="I71" s="147"/>
      <c r="J71" s="147"/>
      <c r="K71" s="147"/>
      <c r="L71" s="147"/>
      <c r="M71" s="147"/>
      <c r="N71" s="147"/>
      <c r="O71" s="147"/>
    </row>
    <row r="72" spans="2:15" x14ac:dyDescent="0.15">
      <c r="I72" s="147"/>
      <c r="J72" s="147"/>
      <c r="K72" s="147"/>
      <c r="L72" s="147"/>
      <c r="M72" s="147"/>
      <c r="N72" s="147"/>
      <c r="O72" s="147"/>
    </row>
    <row r="73" spans="2:15" x14ac:dyDescent="0.15">
      <c r="I73" s="147"/>
      <c r="J73" s="147"/>
      <c r="K73" s="147"/>
      <c r="L73" s="147"/>
      <c r="M73" s="147"/>
      <c r="N73" s="147"/>
      <c r="O73" s="147"/>
    </row>
    <row r="74" spans="2:15" x14ac:dyDescent="0.15">
      <c r="I74" s="147"/>
      <c r="J74" s="147"/>
      <c r="K74" s="147"/>
      <c r="L74" s="147"/>
      <c r="M74" s="147"/>
      <c r="N74" s="147"/>
      <c r="O74" s="147"/>
    </row>
    <row r="75" spans="2:15" x14ac:dyDescent="0.15">
      <c r="I75" s="147"/>
      <c r="J75" s="147"/>
      <c r="K75" s="147"/>
      <c r="L75" s="147"/>
      <c r="M75" s="147"/>
      <c r="N75" s="147"/>
      <c r="O75" s="147"/>
    </row>
    <row r="76" spans="2:15" x14ac:dyDescent="0.15">
      <c r="I76" s="147"/>
      <c r="J76" s="147"/>
      <c r="K76" s="147"/>
      <c r="L76" s="147"/>
      <c r="M76" s="147"/>
      <c r="N76" s="147"/>
      <c r="O76" s="147"/>
    </row>
    <row r="77" spans="2:15" x14ac:dyDescent="0.15">
      <c r="I77" s="147"/>
      <c r="J77" s="147"/>
      <c r="K77" s="147"/>
      <c r="L77" s="147"/>
      <c r="M77" s="147"/>
      <c r="N77" s="147"/>
      <c r="O77" s="147"/>
    </row>
    <row r="78" spans="2:15" x14ac:dyDescent="0.15">
      <c r="I78" s="147"/>
      <c r="J78" s="147"/>
      <c r="K78" s="147"/>
      <c r="L78" s="147"/>
      <c r="M78" s="147"/>
      <c r="N78" s="147"/>
      <c r="O78" s="147"/>
    </row>
    <row r="79" spans="2:15" x14ac:dyDescent="0.15">
      <c r="I79" s="147"/>
      <c r="J79" s="147"/>
      <c r="K79" s="147"/>
      <c r="L79" s="147"/>
      <c r="M79" s="147"/>
      <c r="N79" s="147"/>
      <c r="O79" s="147"/>
    </row>
    <row r="80" spans="2:15" x14ac:dyDescent="0.15">
      <c r="I80" s="147"/>
      <c r="J80" s="147"/>
      <c r="K80" s="147"/>
      <c r="L80" s="147"/>
      <c r="M80" s="147"/>
      <c r="N80" s="147"/>
      <c r="O80" s="147"/>
    </row>
    <row r="81" spans="2:15" x14ac:dyDescent="0.15">
      <c r="I81" s="147"/>
      <c r="J81" s="147"/>
      <c r="K81" s="147"/>
      <c r="L81" s="147"/>
      <c r="M81" s="147"/>
      <c r="N81" s="147"/>
      <c r="O81" s="147"/>
    </row>
    <row r="82" spans="2:15" x14ac:dyDescent="0.15">
      <c r="I82" s="147"/>
      <c r="J82" s="147"/>
      <c r="K82" s="147"/>
      <c r="L82" s="147"/>
      <c r="M82" s="147"/>
      <c r="N82" s="147"/>
      <c r="O82" s="147"/>
    </row>
    <row r="83" spans="2:15" x14ac:dyDescent="0.15">
      <c r="I83" s="147"/>
      <c r="J83" s="147"/>
      <c r="K83" s="147"/>
      <c r="L83" s="147"/>
      <c r="M83" s="147"/>
      <c r="N83" s="147"/>
      <c r="O83" s="147"/>
    </row>
    <row r="84" spans="2:15" x14ac:dyDescent="0.15">
      <c r="I84" s="147"/>
      <c r="J84" s="147"/>
      <c r="K84" s="147"/>
      <c r="L84" s="147"/>
      <c r="M84" s="147"/>
      <c r="N84" s="147"/>
      <c r="O84" s="147"/>
    </row>
    <row r="85" spans="2:15" x14ac:dyDescent="0.15">
      <c r="I85" s="147"/>
      <c r="J85" s="147"/>
      <c r="K85" s="147"/>
      <c r="L85" s="147"/>
      <c r="M85" s="147"/>
      <c r="N85" s="147"/>
      <c r="O85" s="147"/>
    </row>
    <row r="86" spans="2:15" x14ac:dyDescent="0.15">
      <c r="I86" s="147"/>
      <c r="J86" s="147"/>
      <c r="K86" s="147"/>
      <c r="L86" s="147"/>
      <c r="M86" s="147"/>
      <c r="N86" s="147"/>
      <c r="O86" s="147"/>
    </row>
    <row r="87" spans="2:15" x14ac:dyDescent="0.15">
      <c r="B87" s="142"/>
      <c r="C87" s="143"/>
      <c r="D87" s="143"/>
      <c r="E87" s="143"/>
      <c r="F87" s="143"/>
      <c r="I87" s="147"/>
      <c r="J87" s="147"/>
      <c r="K87" s="147"/>
      <c r="L87" s="147"/>
      <c r="M87" s="147"/>
      <c r="N87" s="147"/>
      <c r="O87" s="147"/>
    </row>
    <row r="88" spans="2:15" x14ac:dyDescent="0.15">
      <c r="B88" s="142"/>
      <c r="C88" s="143"/>
      <c r="D88" s="143"/>
      <c r="E88" s="143"/>
      <c r="F88" s="143"/>
      <c r="I88" s="147"/>
      <c r="J88" s="147"/>
      <c r="K88" s="147"/>
      <c r="L88" s="147"/>
      <c r="M88" s="147"/>
      <c r="N88" s="147"/>
      <c r="O88" s="147"/>
    </row>
    <row r="89" spans="2:15" x14ac:dyDescent="0.15">
      <c r="I89" s="147"/>
      <c r="J89" s="147"/>
      <c r="K89" s="147"/>
      <c r="L89" s="147"/>
      <c r="M89" s="147"/>
      <c r="N89" s="147"/>
      <c r="O89" s="147"/>
    </row>
    <row r="90" spans="2:15" x14ac:dyDescent="0.15">
      <c r="I90" s="147"/>
      <c r="J90" s="147"/>
      <c r="K90" s="147"/>
      <c r="L90" s="147"/>
      <c r="M90" s="147"/>
      <c r="N90" s="147"/>
      <c r="O90" s="147"/>
    </row>
    <row r="91" spans="2:15" x14ac:dyDescent="0.15">
      <c r="I91" s="147"/>
      <c r="J91" s="147"/>
      <c r="K91" s="147"/>
      <c r="L91" s="147"/>
      <c r="M91" s="147"/>
      <c r="N91" s="147"/>
      <c r="O91" s="147"/>
    </row>
    <row r="92" spans="2:15" x14ac:dyDescent="0.15">
      <c r="I92" s="147"/>
      <c r="J92" s="147"/>
      <c r="K92" s="147"/>
      <c r="L92" s="147"/>
      <c r="M92" s="147"/>
      <c r="N92" s="147"/>
      <c r="O92" s="147"/>
    </row>
    <row r="93" spans="2:15" x14ac:dyDescent="0.15">
      <c r="I93" s="147"/>
      <c r="J93" s="147"/>
      <c r="K93" s="147"/>
      <c r="L93" s="147"/>
      <c r="M93" s="147"/>
      <c r="N93" s="147"/>
      <c r="O93" s="147"/>
    </row>
    <row r="94" spans="2:15" x14ac:dyDescent="0.15">
      <c r="I94" s="147"/>
      <c r="J94" s="147"/>
      <c r="K94" s="147"/>
      <c r="L94" s="147"/>
      <c r="M94" s="147"/>
      <c r="N94" s="147"/>
      <c r="O94" s="147"/>
    </row>
    <row r="95" spans="2:15" x14ac:dyDescent="0.15">
      <c r="I95" s="147"/>
      <c r="J95" s="147"/>
      <c r="K95" s="147"/>
      <c r="L95" s="147"/>
      <c r="M95" s="147"/>
      <c r="N95" s="147"/>
      <c r="O95" s="147"/>
    </row>
    <row r="96" spans="2:15" x14ac:dyDescent="0.15">
      <c r="I96" s="147"/>
      <c r="J96" s="147"/>
      <c r="K96" s="147"/>
      <c r="L96" s="147"/>
      <c r="M96" s="147"/>
      <c r="N96" s="147"/>
      <c r="O96" s="147"/>
    </row>
    <row r="97" spans="9:15" x14ac:dyDescent="0.15">
      <c r="I97" s="147"/>
      <c r="J97" s="147"/>
      <c r="K97" s="147"/>
      <c r="L97" s="147"/>
      <c r="M97" s="147"/>
      <c r="N97" s="147"/>
      <c r="O97" s="147"/>
    </row>
    <row r="98" spans="9:15" x14ac:dyDescent="0.15">
      <c r="I98" s="147"/>
      <c r="J98" s="147"/>
      <c r="K98" s="147"/>
      <c r="L98" s="147"/>
      <c r="M98" s="147"/>
      <c r="N98" s="147"/>
      <c r="O98" s="147"/>
    </row>
    <row r="99" spans="9:15" x14ac:dyDescent="0.15">
      <c r="I99" s="147"/>
      <c r="J99" s="147"/>
      <c r="K99" s="147"/>
      <c r="L99" s="147"/>
      <c r="M99" s="147"/>
      <c r="N99" s="147"/>
      <c r="O99" s="147"/>
    </row>
    <row r="100" spans="9:15" x14ac:dyDescent="0.15">
      <c r="I100" s="147"/>
      <c r="J100" s="147"/>
      <c r="K100" s="147"/>
      <c r="L100" s="147"/>
      <c r="M100" s="147"/>
      <c r="N100" s="147"/>
      <c r="O100" s="147"/>
    </row>
    <row r="101" spans="9:15" x14ac:dyDescent="0.15">
      <c r="I101" s="147"/>
      <c r="J101" s="147"/>
      <c r="K101" s="147"/>
      <c r="L101" s="147"/>
      <c r="M101" s="147"/>
      <c r="N101" s="147"/>
      <c r="O101" s="147"/>
    </row>
    <row r="102" spans="9:15" x14ac:dyDescent="0.15">
      <c r="I102" s="147"/>
      <c r="J102" s="147"/>
      <c r="K102" s="147"/>
      <c r="L102" s="147"/>
      <c r="M102" s="147"/>
      <c r="N102" s="147"/>
      <c r="O102" s="147"/>
    </row>
    <row r="103" spans="9:15" x14ac:dyDescent="0.15">
      <c r="I103" s="147"/>
      <c r="J103" s="147"/>
      <c r="K103" s="147"/>
      <c r="L103" s="147"/>
      <c r="M103" s="147"/>
      <c r="N103" s="147"/>
      <c r="O103" s="147"/>
    </row>
    <row r="104" spans="9:15" x14ac:dyDescent="0.15">
      <c r="I104" s="147"/>
      <c r="J104" s="147"/>
      <c r="K104" s="147"/>
      <c r="L104" s="147"/>
      <c r="M104" s="147"/>
      <c r="N104" s="147"/>
      <c r="O104" s="147"/>
    </row>
    <row r="105" spans="9:15" x14ac:dyDescent="0.15">
      <c r="I105" s="147"/>
      <c r="J105" s="147"/>
      <c r="K105" s="147"/>
      <c r="L105" s="147"/>
      <c r="M105" s="147"/>
      <c r="N105" s="147"/>
      <c r="O105" s="147"/>
    </row>
    <row r="106" spans="9:15" x14ac:dyDescent="0.15">
      <c r="I106" s="147"/>
      <c r="J106" s="147"/>
      <c r="K106" s="147"/>
      <c r="L106" s="147"/>
      <c r="M106" s="147"/>
      <c r="N106" s="147"/>
      <c r="O106" s="147"/>
    </row>
    <row r="107" spans="9:15" x14ac:dyDescent="0.15">
      <c r="I107" s="147"/>
      <c r="J107" s="147"/>
      <c r="K107" s="147"/>
      <c r="L107" s="147"/>
      <c r="M107" s="147"/>
      <c r="N107" s="147"/>
      <c r="O107" s="147"/>
    </row>
    <row r="108" spans="9:15" x14ac:dyDescent="0.15">
      <c r="I108" s="147"/>
      <c r="J108" s="147"/>
      <c r="K108" s="147"/>
      <c r="L108" s="147"/>
      <c r="M108" s="147"/>
      <c r="N108" s="147"/>
      <c r="O108" s="147"/>
    </row>
    <row r="109" spans="9:15" x14ac:dyDescent="0.15">
      <c r="I109" s="147"/>
      <c r="J109" s="147"/>
      <c r="K109" s="147"/>
      <c r="L109" s="147"/>
      <c r="M109" s="147"/>
      <c r="N109" s="147"/>
      <c r="O109" s="147"/>
    </row>
    <row r="110" spans="9:15" x14ac:dyDescent="0.15">
      <c r="I110" s="147"/>
      <c r="J110" s="147"/>
      <c r="K110" s="147"/>
      <c r="L110" s="147"/>
      <c r="M110" s="147"/>
      <c r="N110" s="147"/>
      <c r="O110" s="147"/>
    </row>
    <row r="111" spans="9:15" x14ac:dyDescent="0.15">
      <c r="I111" s="147"/>
      <c r="J111" s="147"/>
      <c r="K111" s="147"/>
      <c r="L111" s="147"/>
      <c r="M111" s="147"/>
      <c r="N111" s="147"/>
      <c r="O111" s="147"/>
    </row>
    <row r="112" spans="9:15" x14ac:dyDescent="0.15">
      <c r="I112" s="147"/>
      <c r="J112" s="147"/>
      <c r="K112" s="147"/>
      <c r="L112" s="147"/>
      <c r="M112" s="147"/>
      <c r="N112" s="147"/>
      <c r="O112" s="147"/>
    </row>
    <row r="113" spans="9:15" x14ac:dyDescent="0.15">
      <c r="I113" s="147"/>
      <c r="J113" s="147"/>
      <c r="K113" s="147"/>
      <c r="L113" s="147"/>
      <c r="M113" s="147"/>
      <c r="N113" s="147"/>
      <c r="O113" s="147"/>
    </row>
    <row r="114" spans="9:15" x14ac:dyDescent="0.15">
      <c r="I114" s="147"/>
      <c r="J114" s="147"/>
      <c r="K114" s="147"/>
      <c r="L114" s="147"/>
      <c r="M114" s="147"/>
      <c r="N114" s="147"/>
      <c r="O114" s="147"/>
    </row>
    <row r="115" spans="9:15" x14ac:dyDescent="0.15">
      <c r="I115" s="147"/>
      <c r="J115" s="147"/>
      <c r="K115" s="147"/>
      <c r="L115" s="147"/>
      <c r="M115" s="147"/>
      <c r="N115" s="147"/>
      <c r="O115" s="147"/>
    </row>
    <row r="116" spans="9:15" x14ac:dyDescent="0.15">
      <c r="I116" s="147"/>
      <c r="J116" s="147"/>
      <c r="K116" s="147"/>
      <c r="L116" s="147"/>
      <c r="M116" s="147"/>
      <c r="N116" s="147"/>
      <c r="O116" s="147"/>
    </row>
    <row r="117" spans="9:15" x14ac:dyDescent="0.15">
      <c r="I117" s="147"/>
      <c r="J117" s="147"/>
      <c r="K117" s="147"/>
      <c r="L117" s="147"/>
      <c r="M117" s="147"/>
      <c r="N117" s="147"/>
      <c r="O117" s="147"/>
    </row>
    <row r="118" spans="9:15" x14ac:dyDescent="0.15">
      <c r="I118" s="147"/>
      <c r="J118" s="147"/>
      <c r="K118" s="147"/>
      <c r="L118" s="147"/>
      <c r="M118" s="147"/>
      <c r="N118" s="147"/>
      <c r="O118" s="147"/>
    </row>
    <row r="119" spans="9:15" x14ac:dyDescent="0.15">
      <c r="I119" s="147"/>
      <c r="J119" s="147"/>
      <c r="K119" s="147"/>
      <c r="L119" s="147"/>
      <c r="M119" s="147"/>
      <c r="N119" s="147"/>
      <c r="O119" s="147"/>
    </row>
    <row r="120" spans="9:15" x14ac:dyDescent="0.15">
      <c r="I120" s="147"/>
      <c r="J120" s="147"/>
      <c r="K120" s="147"/>
      <c r="L120" s="147"/>
      <c r="M120" s="147"/>
      <c r="N120" s="147"/>
      <c r="O120" s="147"/>
    </row>
    <row r="121" spans="9:15" x14ac:dyDescent="0.15">
      <c r="I121" s="147"/>
      <c r="J121" s="147"/>
      <c r="K121" s="147"/>
      <c r="L121" s="147"/>
      <c r="M121" s="147"/>
      <c r="N121" s="147"/>
      <c r="O121" s="147"/>
    </row>
    <row r="122" spans="9:15" x14ac:dyDescent="0.15">
      <c r="I122" s="147"/>
      <c r="J122" s="147"/>
      <c r="K122" s="147"/>
      <c r="L122" s="147"/>
      <c r="M122" s="147"/>
      <c r="N122" s="147"/>
      <c r="O122" s="147"/>
    </row>
    <row r="123" spans="9:15" x14ac:dyDescent="0.15">
      <c r="I123" s="147"/>
      <c r="J123" s="147"/>
      <c r="K123" s="147"/>
      <c r="L123" s="147"/>
      <c r="M123" s="147"/>
      <c r="N123" s="147"/>
      <c r="O123" s="147"/>
    </row>
    <row r="124" spans="9:15" x14ac:dyDescent="0.15">
      <c r="I124" s="147"/>
      <c r="J124" s="147"/>
      <c r="K124" s="147"/>
      <c r="L124" s="147"/>
      <c r="M124" s="147"/>
      <c r="N124" s="147"/>
      <c r="O124" s="147"/>
    </row>
    <row r="125" spans="9:15" x14ac:dyDescent="0.15">
      <c r="I125" s="147"/>
      <c r="J125" s="147"/>
      <c r="K125" s="147"/>
      <c r="L125" s="147"/>
      <c r="M125" s="147"/>
      <c r="N125" s="147"/>
      <c r="O125" s="147"/>
    </row>
    <row r="126" spans="9:15" x14ac:dyDescent="0.15">
      <c r="I126" s="147"/>
      <c r="J126" s="147"/>
      <c r="K126" s="147"/>
      <c r="L126" s="147"/>
      <c r="M126" s="147"/>
      <c r="N126" s="147"/>
      <c r="O126" s="147"/>
    </row>
    <row r="127" spans="9:15" x14ac:dyDescent="0.15">
      <c r="I127" s="147"/>
      <c r="J127" s="147"/>
      <c r="K127" s="147"/>
      <c r="L127" s="147"/>
      <c r="M127" s="147"/>
      <c r="N127" s="147"/>
      <c r="O127" s="147"/>
    </row>
    <row r="128" spans="9:15" x14ac:dyDescent="0.15">
      <c r="I128" s="147"/>
      <c r="J128" s="147"/>
      <c r="K128" s="147"/>
      <c r="L128" s="147"/>
      <c r="M128" s="147"/>
      <c r="N128" s="147"/>
      <c r="O128" s="147"/>
    </row>
    <row r="129" spans="9:15" x14ac:dyDescent="0.15">
      <c r="I129" s="147"/>
      <c r="J129" s="147"/>
      <c r="K129" s="147"/>
      <c r="L129" s="147"/>
      <c r="M129" s="147"/>
      <c r="N129" s="147"/>
      <c r="O129" s="147"/>
    </row>
    <row r="130" spans="9:15" x14ac:dyDescent="0.15">
      <c r="I130" s="147"/>
      <c r="J130" s="147"/>
      <c r="K130" s="147"/>
      <c r="L130" s="147"/>
      <c r="M130" s="147"/>
      <c r="N130" s="147"/>
      <c r="O130" s="147"/>
    </row>
    <row r="131" spans="9:15" x14ac:dyDescent="0.15">
      <c r="I131" s="147"/>
      <c r="J131" s="147"/>
      <c r="K131" s="147"/>
      <c r="L131" s="147"/>
      <c r="M131" s="147"/>
      <c r="N131" s="147"/>
      <c r="O131" s="147"/>
    </row>
    <row r="132" spans="9:15" x14ac:dyDescent="0.15">
      <c r="I132" s="147"/>
      <c r="J132" s="147"/>
      <c r="K132" s="147"/>
      <c r="L132" s="147"/>
      <c r="M132" s="147"/>
      <c r="N132" s="147"/>
      <c r="O132" s="147"/>
    </row>
    <row r="133" spans="9:15" x14ac:dyDescent="0.15">
      <c r="I133" s="147"/>
      <c r="J133" s="147"/>
      <c r="K133" s="147"/>
      <c r="L133" s="147"/>
      <c r="M133" s="147"/>
      <c r="N133" s="147"/>
      <c r="O133" s="147"/>
    </row>
    <row r="134" spans="9:15" x14ac:dyDescent="0.15">
      <c r="I134" s="147"/>
      <c r="J134" s="147"/>
      <c r="K134" s="147"/>
      <c r="L134" s="147"/>
      <c r="M134" s="147"/>
      <c r="N134" s="147"/>
      <c r="O134" s="147"/>
    </row>
    <row r="135" spans="9:15" x14ac:dyDescent="0.15">
      <c r="I135" s="147"/>
      <c r="J135" s="147"/>
      <c r="K135" s="147"/>
      <c r="L135" s="147"/>
      <c r="M135" s="147"/>
      <c r="N135" s="147"/>
      <c r="O135" s="147"/>
    </row>
    <row r="136" spans="9:15" x14ac:dyDescent="0.15">
      <c r="I136" s="147"/>
      <c r="J136" s="147"/>
      <c r="K136" s="147"/>
      <c r="L136" s="147"/>
      <c r="M136" s="147"/>
      <c r="N136" s="147"/>
      <c r="O136" s="147"/>
    </row>
    <row r="137" spans="9:15" x14ac:dyDescent="0.15">
      <c r="I137" s="147"/>
      <c r="J137" s="147"/>
      <c r="K137" s="147"/>
      <c r="L137" s="147"/>
      <c r="M137" s="147"/>
      <c r="N137" s="147"/>
      <c r="O137" s="147"/>
    </row>
    <row r="138" spans="9:15" x14ac:dyDescent="0.15">
      <c r="I138" s="147"/>
      <c r="J138" s="147"/>
      <c r="K138" s="147"/>
      <c r="L138" s="147"/>
      <c r="M138" s="147"/>
      <c r="N138" s="147"/>
      <c r="O138" s="147"/>
    </row>
    <row r="139" spans="9:15" x14ac:dyDescent="0.15">
      <c r="I139" s="147"/>
      <c r="J139" s="147"/>
      <c r="K139" s="147"/>
      <c r="L139" s="147"/>
      <c r="M139" s="147"/>
      <c r="N139" s="147"/>
      <c r="O139" s="147"/>
    </row>
    <row r="140" spans="9:15" x14ac:dyDescent="0.15">
      <c r="I140" s="147"/>
      <c r="J140" s="147"/>
      <c r="K140" s="147"/>
      <c r="L140" s="147"/>
      <c r="M140" s="147"/>
      <c r="N140" s="147"/>
      <c r="O140" s="147"/>
    </row>
    <row r="141" spans="9:15" x14ac:dyDescent="0.15">
      <c r="I141" s="147"/>
      <c r="J141" s="147"/>
      <c r="K141" s="147"/>
      <c r="L141" s="147"/>
      <c r="M141" s="147"/>
      <c r="N141" s="147"/>
      <c r="O141" s="147"/>
    </row>
    <row r="142" spans="9:15" x14ac:dyDescent="0.15">
      <c r="I142" s="147"/>
      <c r="J142" s="147"/>
      <c r="K142" s="147"/>
      <c r="L142" s="147"/>
      <c r="M142" s="147"/>
      <c r="N142" s="147"/>
      <c r="O142" s="147"/>
    </row>
    <row r="143" spans="9:15" x14ac:dyDescent="0.15">
      <c r="I143" s="147"/>
      <c r="J143" s="147"/>
      <c r="K143" s="147"/>
      <c r="L143" s="147"/>
      <c r="M143" s="147"/>
      <c r="N143" s="147"/>
    </row>
    <row r="144" spans="9:15" x14ac:dyDescent="0.15">
      <c r="I144" s="147"/>
      <c r="J144" s="147"/>
      <c r="K144" s="147"/>
      <c r="L144" s="147"/>
      <c r="M144" s="147"/>
      <c r="N144" s="147"/>
    </row>
    <row r="145" spans="9:14" x14ac:dyDescent="0.15">
      <c r="I145" s="147"/>
      <c r="J145" s="147"/>
      <c r="K145" s="147"/>
      <c r="L145" s="147"/>
      <c r="M145" s="147"/>
      <c r="N145" s="147"/>
    </row>
    <row r="146" spans="9:14" x14ac:dyDescent="0.15">
      <c r="I146" s="147"/>
      <c r="J146" s="147"/>
      <c r="K146" s="147"/>
      <c r="L146" s="147"/>
      <c r="M146" s="147"/>
      <c r="N146" s="147"/>
    </row>
    <row r="147" spans="9:14" x14ac:dyDescent="0.15">
      <c r="I147" s="147"/>
      <c r="J147" s="147"/>
      <c r="K147" s="147"/>
      <c r="L147" s="147"/>
      <c r="M147" s="147"/>
      <c r="N147" s="147"/>
    </row>
    <row r="148" spans="9:14" x14ac:dyDescent="0.15">
      <c r="I148" s="147"/>
      <c r="J148" s="147"/>
      <c r="K148" s="147"/>
      <c r="L148" s="147"/>
      <c r="M148" s="147"/>
      <c r="N148" s="147"/>
    </row>
    <row r="149" spans="9:14" x14ac:dyDescent="0.15">
      <c r="I149" s="147"/>
      <c r="J149" s="147"/>
      <c r="K149" s="147"/>
      <c r="L149" s="147"/>
      <c r="M149" s="147"/>
      <c r="N149" s="147"/>
    </row>
    <row r="150" spans="9:14" x14ac:dyDescent="0.15">
      <c r="I150" s="147"/>
      <c r="J150" s="147"/>
      <c r="K150" s="147"/>
      <c r="L150" s="147"/>
      <c r="M150" s="147"/>
      <c r="N150" s="147"/>
    </row>
    <row r="151" spans="9:14" x14ac:dyDescent="0.15">
      <c r="I151" s="147"/>
      <c r="J151" s="147"/>
      <c r="K151" s="147"/>
      <c r="L151" s="147"/>
      <c r="M151" s="147"/>
      <c r="N151" s="147"/>
    </row>
    <row r="152" spans="9:14" x14ac:dyDescent="0.15">
      <c r="I152" s="147"/>
      <c r="J152" s="147"/>
      <c r="K152" s="147"/>
      <c r="L152" s="147"/>
      <c r="M152" s="147"/>
      <c r="N152" s="147"/>
    </row>
    <row r="153" spans="9:14" x14ac:dyDescent="0.15">
      <c r="I153" s="147"/>
      <c r="J153" s="147"/>
      <c r="K153" s="147"/>
      <c r="L153" s="147"/>
      <c r="M153" s="147"/>
      <c r="N153" s="147"/>
    </row>
    <row r="154" spans="9:14" x14ac:dyDescent="0.15">
      <c r="I154" s="147"/>
      <c r="J154" s="147"/>
      <c r="K154" s="147"/>
      <c r="L154" s="147"/>
      <c r="M154" s="147"/>
      <c r="N154" s="147"/>
    </row>
    <row r="155" spans="9:14" x14ac:dyDescent="0.15">
      <c r="I155" s="147"/>
      <c r="J155" s="147"/>
      <c r="K155" s="147"/>
      <c r="L155" s="147"/>
      <c r="M155" s="147"/>
      <c r="N155" s="147"/>
    </row>
    <row r="156" spans="9:14" x14ac:dyDescent="0.15">
      <c r="I156" s="147"/>
      <c r="J156" s="147"/>
      <c r="K156" s="147"/>
      <c r="L156" s="147"/>
      <c r="M156" s="147"/>
      <c r="N156" s="147"/>
    </row>
    <row r="157" spans="9:14" x14ac:dyDescent="0.15">
      <c r="I157" s="147"/>
      <c r="J157" s="147"/>
      <c r="K157" s="147"/>
      <c r="L157" s="147"/>
      <c r="M157" s="147"/>
      <c r="N157" s="147"/>
    </row>
    <row r="158" spans="9:14" x14ac:dyDescent="0.15">
      <c r="I158" s="147"/>
      <c r="J158" s="147"/>
      <c r="K158" s="147"/>
      <c r="L158" s="147"/>
      <c r="M158" s="147"/>
      <c r="N158" s="147"/>
    </row>
    <row r="159" spans="9:14" x14ac:dyDescent="0.15">
      <c r="J159" s="147"/>
      <c r="K159" s="147"/>
      <c r="L159" s="147"/>
      <c r="M159" s="147"/>
      <c r="N159" s="147"/>
    </row>
    <row r="160" spans="9:14" x14ac:dyDescent="0.15">
      <c r="J160" s="147"/>
      <c r="K160" s="147"/>
      <c r="L160" s="147"/>
      <c r="M160" s="147"/>
      <c r="N160" s="147"/>
    </row>
    <row r="176" spans="15:15" x14ac:dyDescent="0.15">
      <c r="O176" s="147"/>
    </row>
    <row r="177" spans="15:15" x14ac:dyDescent="0.15">
      <c r="O177" s="147"/>
    </row>
    <row r="178" spans="15:15" x14ac:dyDescent="0.15">
      <c r="O178" s="147"/>
    </row>
    <row r="179" spans="15:15" x14ac:dyDescent="0.15">
      <c r="O179" s="147"/>
    </row>
    <row r="180" spans="15:15" x14ac:dyDescent="0.15">
      <c r="O180" s="147"/>
    </row>
    <row r="181" spans="15:15" x14ac:dyDescent="0.15">
      <c r="O181" s="147"/>
    </row>
    <row r="182" spans="15:15" x14ac:dyDescent="0.15">
      <c r="O182" s="147"/>
    </row>
    <row r="183" spans="15:15" x14ac:dyDescent="0.15">
      <c r="O183" s="147"/>
    </row>
    <row r="184" spans="15:15" x14ac:dyDescent="0.15">
      <c r="O184" s="147"/>
    </row>
    <row r="185" spans="15:15" x14ac:dyDescent="0.15">
      <c r="O185" s="147"/>
    </row>
    <row r="186" spans="15:15" x14ac:dyDescent="0.15">
      <c r="O186" s="147"/>
    </row>
    <row r="187" spans="15:15" x14ac:dyDescent="0.15">
      <c r="O187" s="147"/>
    </row>
    <row r="188" spans="15:15" x14ac:dyDescent="0.15">
      <c r="O188" s="147"/>
    </row>
    <row r="189" spans="15:15" x14ac:dyDescent="0.15">
      <c r="O189" s="147"/>
    </row>
    <row r="190" spans="15:15" x14ac:dyDescent="0.15">
      <c r="O190" s="147"/>
    </row>
    <row r="191" spans="15:15" x14ac:dyDescent="0.15">
      <c r="O191" s="147"/>
    </row>
    <row r="192" spans="15:15" x14ac:dyDescent="0.15">
      <c r="O192" s="147"/>
    </row>
    <row r="193" spans="15:15" x14ac:dyDescent="0.15">
      <c r="O193" s="147"/>
    </row>
    <row r="194" spans="15:15" x14ac:dyDescent="0.15">
      <c r="O194" s="147"/>
    </row>
    <row r="195" spans="15:15" x14ac:dyDescent="0.15">
      <c r="O195" s="147"/>
    </row>
  </sheetData>
  <mergeCells count="72">
    <mergeCell ref="B5:B7"/>
    <mergeCell ref="T5:U5"/>
    <mergeCell ref="I6:I11"/>
    <mergeCell ref="T6:U6"/>
    <mergeCell ref="T7:U7"/>
    <mergeCell ref="I4:I5"/>
    <mergeCell ref="J4:J5"/>
    <mergeCell ref="M4:M5"/>
    <mergeCell ref="N4:N5"/>
    <mergeCell ref="T4:U4"/>
    <mergeCell ref="B8:B12"/>
    <mergeCell ref="T8:U8"/>
    <mergeCell ref="T9:U9"/>
    <mergeCell ref="T10:U10"/>
    <mergeCell ref="T11:U11"/>
    <mergeCell ref="I12:I16"/>
    <mergeCell ref="T12:U12"/>
    <mergeCell ref="B13:B17"/>
    <mergeCell ref="T13:U13"/>
    <mergeCell ref="T14:U14"/>
    <mergeCell ref="T15:U15"/>
    <mergeCell ref="T16:U16"/>
    <mergeCell ref="I17:I20"/>
    <mergeCell ref="T17:U17"/>
    <mergeCell ref="B18:B21"/>
    <mergeCell ref="T18:U18"/>
    <mergeCell ref="T19:U19"/>
    <mergeCell ref="T20:U20"/>
    <mergeCell ref="I21:I24"/>
    <mergeCell ref="T21:U21"/>
    <mergeCell ref="B22:B25"/>
    <mergeCell ref="I25:I28"/>
    <mergeCell ref="K51:L51"/>
    <mergeCell ref="B29:B42"/>
    <mergeCell ref="I29:I32"/>
    <mergeCell ref="K38:L38"/>
    <mergeCell ref="I39:I46"/>
    <mergeCell ref="K39:L39"/>
    <mergeCell ref="K40:L40"/>
    <mergeCell ref="K41:L41"/>
    <mergeCell ref="K61:L61"/>
    <mergeCell ref="Q41:R41"/>
    <mergeCell ref="K42:L42"/>
    <mergeCell ref="P42:P48"/>
    <mergeCell ref="B43:B53"/>
    <mergeCell ref="K43:L43"/>
    <mergeCell ref="K44:L44"/>
    <mergeCell ref="K45:L45"/>
    <mergeCell ref="K46:L46"/>
    <mergeCell ref="I47:I50"/>
    <mergeCell ref="K47:L47"/>
    <mergeCell ref="K48:L48"/>
    <mergeCell ref="K49:L49"/>
    <mergeCell ref="P49:P60"/>
    <mergeCell ref="Q49:Q53"/>
    <mergeCell ref="K50:L50"/>
    <mergeCell ref="P61:Q61"/>
    <mergeCell ref="B54:B57"/>
    <mergeCell ref="K54:L54"/>
    <mergeCell ref="I55:I60"/>
    <mergeCell ref="K55:L55"/>
    <mergeCell ref="Q55:Q59"/>
    <mergeCell ref="K56:L56"/>
    <mergeCell ref="K57:L57"/>
    <mergeCell ref="B58:B61"/>
    <mergeCell ref="K58:L58"/>
    <mergeCell ref="K59:L59"/>
    <mergeCell ref="I51:I54"/>
    <mergeCell ref="K52:L52"/>
    <mergeCell ref="K53:L53"/>
    <mergeCell ref="K60:L60"/>
    <mergeCell ref="I61:J61"/>
  </mergeCells>
  <phoneticPr fontId="4"/>
  <pageMargins left="0.78740157480314965" right="0.78740157480314965" top="0.78740157480314965" bottom="0.78740157480314965" header="0.39370078740157483" footer="0.39370078740157483"/>
  <pageSetup paperSize="9" scale="58" orientation="landscape" horizontalDpi="4294967293" verticalDpi="300" r:id="rId1"/>
  <headerFooter alignWithMargins="0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Y196"/>
  <sheetViews>
    <sheetView showZeros="0" zoomScale="75" zoomScaleNormal="75" zoomScaleSheetLayoutView="80" workbookViewId="0"/>
  </sheetViews>
  <sheetFormatPr defaultRowHeight="13.5" x14ac:dyDescent="0.15"/>
  <cols>
    <col min="1" max="1" width="1.625" style="29" customWidth="1"/>
    <col min="2" max="2" width="3.625" style="29" customWidth="1"/>
    <col min="3" max="3" width="15.625" style="29" customWidth="1"/>
    <col min="4" max="7" width="8.625" style="29" customWidth="1"/>
    <col min="8" max="8" width="1.625" style="147" customWidth="1"/>
    <col min="9" max="9" width="3.625" style="29" customWidth="1"/>
    <col min="10" max="10" width="15.625" style="29" customWidth="1"/>
    <col min="11" max="14" width="8.625" style="29" customWidth="1"/>
    <col min="15" max="15" width="3.5" style="29" customWidth="1"/>
    <col min="16" max="16" width="15.625" style="127" customWidth="1"/>
    <col min="17" max="17" width="8.625" style="29" customWidth="1"/>
    <col min="18" max="18" width="8.625" style="30" customWidth="1"/>
    <col min="19" max="21" width="8.625" style="29" customWidth="1"/>
    <col min="22" max="22" width="10.625" style="30" customWidth="1"/>
    <col min="23" max="23" width="9" style="29"/>
    <col min="24" max="31" width="0" style="29" hidden="1" customWidth="1"/>
    <col min="32" max="262" width="9" style="29"/>
    <col min="263" max="263" width="1.375" style="29" customWidth="1"/>
    <col min="264" max="264" width="3.5" style="29" customWidth="1"/>
    <col min="265" max="265" width="22.125" style="29" customWidth="1"/>
    <col min="266" max="266" width="9.75" style="29" customWidth="1"/>
    <col min="267" max="267" width="7.375" style="29" customWidth="1"/>
    <col min="268" max="268" width="9" style="29"/>
    <col min="269" max="269" width="9.25" style="29" customWidth="1"/>
    <col min="270" max="270" width="3.5" style="29" customWidth="1"/>
    <col min="271" max="272" width="12.625" style="29" customWidth="1"/>
    <col min="273" max="273" width="9" style="29"/>
    <col min="274" max="274" width="7.75" style="29" customWidth="1"/>
    <col min="275" max="275" width="13.125" style="29" customWidth="1"/>
    <col min="276" max="276" width="6.125" style="29" customWidth="1"/>
    <col min="277" max="277" width="9.75" style="29" customWidth="1"/>
    <col min="278" max="278" width="1.375" style="29" customWidth="1"/>
    <col min="279" max="518" width="9" style="29"/>
    <col min="519" max="519" width="1.375" style="29" customWidth="1"/>
    <col min="520" max="520" width="3.5" style="29" customWidth="1"/>
    <col min="521" max="521" width="22.125" style="29" customWidth="1"/>
    <col min="522" max="522" width="9.75" style="29" customWidth="1"/>
    <col min="523" max="523" width="7.375" style="29" customWidth="1"/>
    <col min="524" max="524" width="9" style="29"/>
    <col min="525" max="525" width="9.25" style="29" customWidth="1"/>
    <col min="526" max="526" width="3.5" style="29" customWidth="1"/>
    <col min="527" max="528" width="12.625" style="29" customWidth="1"/>
    <col min="529" max="529" width="9" style="29"/>
    <col min="530" max="530" width="7.75" style="29" customWidth="1"/>
    <col min="531" max="531" width="13.125" style="29" customWidth="1"/>
    <col min="532" max="532" width="6.125" style="29" customWidth="1"/>
    <col min="533" max="533" width="9.75" style="29" customWidth="1"/>
    <col min="534" max="534" width="1.375" style="29" customWidth="1"/>
    <col min="535" max="774" width="9" style="29"/>
    <col min="775" max="775" width="1.375" style="29" customWidth="1"/>
    <col min="776" max="776" width="3.5" style="29" customWidth="1"/>
    <col min="777" max="777" width="22.125" style="29" customWidth="1"/>
    <col min="778" max="778" width="9.75" style="29" customWidth="1"/>
    <col min="779" max="779" width="7.375" style="29" customWidth="1"/>
    <col min="780" max="780" width="9" style="29"/>
    <col min="781" max="781" width="9.25" style="29" customWidth="1"/>
    <col min="782" max="782" width="3.5" style="29" customWidth="1"/>
    <col min="783" max="784" width="12.625" style="29" customWidth="1"/>
    <col min="785" max="785" width="9" style="29"/>
    <col min="786" max="786" width="7.75" style="29" customWidth="1"/>
    <col min="787" max="787" width="13.125" style="29" customWidth="1"/>
    <col min="788" max="788" width="6.125" style="29" customWidth="1"/>
    <col min="789" max="789" width="9.75" style="29" customWidth="1"/>
    <col min="790" max="790" width="1.375" style="29" customWidth="1"/>
    <col min="791" max="1030" width="9" style="29"/>
    <col min="1031" max="1031" width="1.375" style="29" customWidth="1"/>
    <col min="1032" max="1032" width="3.5" style="29" customWidth="1"/>
    <col min="1033" max="1033" width="22.125" style="29" customWidth="1"/>
    <col min="1034" max="1034" width="9.75" style="29" customWidth="1"/>
    <col min="1035" max="1035" width="7.375" style="29" customWidth="1"/>
    <col min="1036" max="1036" width="9" style="29"/>
    <col min="1037" max="1037" width="9.25" style="29" customWidth="1"/>
    <col min="1038" max="1038" width="3.5" style="29" customWidth="1"/>
    <col min="1039" max="1040" width="12.625" style="29" customWidth="1"/>
    <col min="1041" max="1041" width="9" style="29"/>
    <col min="1042" max="1042" width="7.75" style="29" customWidth="1"/>
    <col min="1043" max="1043" width="13.125" style="29" customWidth="1"/>
    <col min="1044" max="1044" width="6.125" style="29" customWidth="1"/>
    <col min="1045" max="1045" width="9.75" style="29" customWidth="1"/>
    <col min="1046" max="1046" width="1.375" style="29" customWidth="1"/>
    <col min="1047" max="1286" width="9" style="29"/>
    <col min="1287" max="1287" width="1.375" style="29" customWidth="1"/>
    <col min="1288" max="1288" width="3.5" style="29" customWidth="1"/>
    <col min="1289" max="1289" width="22.125" style="29" customWidth="1"/>
    <col min="1290" max="1290" width="9.75" style="29" customWidth="1"/>
    <col min="1291" max="1291" width="7.375" style="29" customWidth="1"/>
    <col min="1292" max="1292" width="9" style="29"/>
    <col min="1293" max="1293" width="9.25" style="29" customWidth="1"/>
    <col min="1294" max="1294" width="3.5" style="29" customWidth="1"/>
    <col min="1295" max="1296" width="12.625" style="29" customWidth="1"/>
    <col min="1297" max="1297" width="9" style="29"/>
    <col min="1298" max="1298" width="7.75" style="29" customWidth="1"/>
    <col min="1299" max="1299" width="13.125" style="29" customWidth="1"/>
    <col min="1300" max="1300" width="6.125" style="29" customWidth="1"/>
    <col min="1301" max="1301" width="9.75" style="29" customWidth="1"/>
    <col min="1302" max="1302" width="1.375" style="29" customWidth="1"/>
    <col min="1303" max="1542" width="9" style="29"/>
    <col min="1543" max="1543" width="1.375" style="29" customWidth="1"/>
    <col min="1544" max="1544" width="3.5" style="29" customWidth="1"/>
    <col min="1545" max="1545" width="22.125" style="29" customWidth="1"/>
    <col min="1546" max="1546" width="9.75" style="29" customWidth="1"/>
    <col min="1547" max="1547" width="7.375" style="29" customWidth="1"/>
    <col min="1548" max="1548" width="9" style="29"/>
    <col min="1549" max="1549" width="9.25" style="29" customWidth="1"/>
    <col min="1550" max="1550" width="3.5" style="29" customWidth="1"/>
    <col min="1551" max="1552" width="12.625" style="29" customWidth="1"/>
    <col min="1553" max="1553" width="9" style="29"/>
    <col min="1554" max="1554" width="7.75" style="29" customWidth="1"/>
    <col min="1555" max="1555" width="13.125" style="29" customWidth="1"/>
    <col min="1556" max="1556" width="6.125" style="29" customWidth="1"/>
    <col min="1557" max="1557" width="9.75" style="29" customWidth="1"/>
    <col min="1558" max="1558" width="1.375" style="29" customWidth="1"/>
    <col min="1559" max="1798" width="9" style="29"/>
    <col min="1799" max="1799" width="1.375" style="29" customWidth="1"/>
    <col min="1800" max="1800" width="3.5" style="29" customWidth="1"/>
    <col min="1801" max="1801" width="22.125" style="29" customWidth="1"/>
    <col min="1802" max="1802" width="9.75" style="29" customWidth="1"/>
    <col min="1803" max="1803" width="7.375" style="29" customWidth="1"/>
    <col min="1804" max="1804" width="9" style="29"/>
    <col min="1805" max="1805" width="9.25" style="29" customWidth="1"/>
    <col min="1806" max="1806" width="3.5" style="29" customWidth="1"/>
    <col min="1807" max="1808" width="12.625" style="29" customWidth="1"/>
    <col min="1809" max="1809" width="9" style="29"/>
    <col min="1810" max="1810" width="7.75" style="29" customWidth="1"/>
    <col min="1811" max="1811" width="13.125" style="29" customWidth="1"/>
    <col min="1812" max="1812" width="6.125" style="29" customWidth="1"/>
    <col min="1813" max="1813" width="9.75" style="29" customWidth="1"/>
    <col min="1814" max="1814" width="1.375" style="29" customWidth="1"/>
    <col min="1815" max="2054" width="9" style="29"/>
    <col min="2055" max="2055" width="1.375" style="29" customWidth="1"/>
    <col min="2056" max="2056" width="3.5" style="29" customWidth="1"/>
    <col min="2057" max="2057" width="22.125" style="29" customWidth="1"/>
    <col min="2058" max="2058" width="9.75" style="29" customWidth="1"/>
    <col min="2059" max="2059" width="7.375" style="29" customWidth="1"/>
    <col min="2060" max="2060" width="9" style="29"/>
    <col min="2061" max="2061" width="9.25" style="29" customWidth="1"/>
    <col min="2062" max="2062" width="3.5" style="29" customWidth="1"/>
    <col min="2063" max="2064" width="12.625" style="29" customWidth="1"/>
    <col min="2065" max="2065" width="9" style="29"/>
    <col min="2066" max="2066" width="7.75" style="29" customWidth="1"/>
    <col min="2067" max="2067" width="13.125" style="29" customWidth="1"/>
    <col min="2068" max="2068" width="6.125" style="29" customWidth="1"/>
    <col min="2069" max="2069" width="9.75" style="29" customWidth="1"/>
    <col min="2070" max="2070" width="1.375" style="29" customWidth="1"/>
    <col min="2071" max="2310" width="9" style="29"/>
    <col min="2311" max="2311" width="1.375" style="29" customWidth="1"/>
    <col min="2312" max="2312" width="3.5" style="29" customWidth="1"/>
    <col min="2313" max="2313" width="22.125" style="29" customWidth="1"/>
    <col min="2314" max="2314" width="9.75" style="29" customWidth="1"/>
    <col min="2315" max="2315" width="7.375" style="29" customWidth="1"/>
    <col min="2316" max="2316" width="9" style="29"/>
    <col min="2317" max="2317" width="9.25" style="29" customWidth="1"/>
    <col min="2318" max="2318" width="3.5" style="29" customWidth="1"/>
    <col min="2319" max="2320" width="12.625" style="29" customWidth="1"/>
    <col min="2321" max="2321" width="9" style="29"/>
    <col min="2322" max="2322" width="7.75" style="29" customWidth="1"/>
    <col min="2323" max="2323" width="13.125" style="29" customWidth="1"/>
    <col min="2324" max="2324" width="6.125" style="29" customWidth="1"/>
    <col min="2325" max="2325" width="9.75" style="29" customWidth="1"/>
    <col min="2326" max="2326" width="1.375" style="29" customWidth="1"/>
    <col min="2327" max="2566" width="9" style="29"/>
    <col min="2567" max="2567" width="1.375" style="29" customWidth="1"/>
    <col min="2568" max="2568" width="3.5" style="29" customWidth="1"/>
    <col min="2569" max="2569" width="22.125" style="29" customWidth="1"/>
    <col min="2570" max="2570" width="9.75" style="29" customWidth="1"/>
    <col min="2571" max="2571" width="7.375" style="29" customWidth="1"/>
    <col min="2572" max="2572" width="9" style="29"/>
    <col min="2573" max="2573" width="9.25" style="29" customWidth="1"/>
    <col min="2574" max="2574" width="3.5" style="29" customWidth="1"/>
    <col min="2575" max="2576" width="12.625" style="29" customWidth="1"/>
    <col min="2577" max="2577" width="9" style="29"/>
    <col min="2578" max="2578" width="7.75" style="29" customWidth="1"/>
    <col min="2579" max="2579" width="13.125" style="29" customWidth="1"/>
    <col min="2580" max="2580" width="6.125" style="29" customWidth="1"/>
    <col min="2581" max="2581" width="9.75" style="29" customWidth="1"/>
    <col min="2582" max="2582" width="1.375" style="29" customWidth="1"/>
    <col min="2583" max="2822" width="9" style="29"/>
    <col min="2823" max="2823" width="1.375" style="29" customWidth="1"/>
    <col min="2824" max="2824" width="3.5" style="29" customWidth="1"/>
    <col min="2825" max="2825" width="22.125" style="29" customWidth="1"/>
    <col min="2826" max="2826" width="9.75" style="29" customWidth="1"/>
    <col min="2827" max="2827" width="7.375" style="29" customWidth="1"/>
    <col min="2828" max="2828" width="9" style="29"/>
    <col min="2829" max="2829" width="9.25" style="29" customWidth="1"/>
    <col min="2830" max="2830" width="3.5" style="29" customWidth="1"/>
    <col min="2831" max="2832" width="12.625" style="29" customWidth="1"/>
    <col min="2833" max="2833" width="9" style="29"/>
    <col min="2834" max="2834" width="7.75" style="29" customWidth="1"/>
    <col min="2835" max="2835" width="13.125" style="29" customWidth="1"/>
    <col min="2836" max="2836" width="6.125" style="29" customWidth="1"/>
    <col min="2837" max="2837" width="9.75" style="29" customWidth="1"/>
    <col min="2838" max="2838" width="1.375" style="29" customWidth="1"/>
    <col min="2839" max="3078" width="9" style="29"/>
    <col min="3079" max="3079" width="1.375" style="29" customWidth="1"/>
    <col min="3080" max="3080" width="3.5" style="29" customWidth="1"/>
    <col min="3081" max="3081" width="22.125" style="29" customWidth="1"/>
    <col min="3082" max="3082" width="9.75" style="29" customWidth="1"/>
    <col min="3083" max="3083" width="7.375" style="29" customWidth="1"/>
    <col min="3084" max="3084" width="9" style="29"/>
    <col min="3085" max="3085" width="9.25" style="29" customWidth="1"/>
    <col min="3086" max="3086" width="3.5" style="29" customWidth="1"/>
    <col min="3087" max="3088" width="12.625" style="29" customWidth="1"/>
    <col min="3089" max="3089" width="9" style="29"/>
    <col min="3090" max="3090" width="7.75" style="29" customWidth="1"/>
    <col min="3091" max="3091" width="13.125" style="29" customWidth="1"/>
    <col min="3092" max="3092" width="6.125" style="29" customWidth="1"/>
    <col min="3093" max="3093" width="9.75" style="29" customWidth="1"/>
    <col min="3094" max="3094" width="1.375" style="29" customWidth="1"/>
    <col min="3095" max="3334" width="9" style="29"/>
    <col min="3335" max="3335" width="1.375" style="29" customWidth="1"/>
    <col min="3336" max="3336" width="3.5" style="29" customWidth="1"/>
    <col min="3337" max="3337" width="22.125" style="29" customWidth="1"/>
    <col min="3338" max="3338" width="9.75" style="29" customWidth="1"/>
    <col min="3339" max="3339" width="7.375" style="29" customWidth="1"/>
    <col min="3340" max="3340" width="9" style="29"/>
    <col min="3341" max="3341" width="9.25" style="29" customWidth="1"/>
    <col min="3342" max="3342" width="3.5" style="29" customWidth="1"/>
    <col min="3343" max="3344" width="12.625" style="29" customWidth="1"/>
    <col min="3345" max="3345" width="9" style="29"/>
    <col min="3346" max="3346" width="7.75" style="29" customWidth="1"/>
    <col min="3347" max="3347" width="13.125" style="29" customWidth="1"/>
    <col min="3348" max="3348" width="6.125" style="29" customWidth="1"/>
    <col min="3349" max="3349" width="9.75" style="29" customWidth="1"/>
    <col min="3350" max="3350" width="1.375" style="29" customWidth="1"/>
    <col min="3351" max="3590" width="9" style="29"/>
    <col min="3591" max="3591" width="1.375" style="29" customWidth="1"/>
    <col min="3592" max="3592" width="3.5" style="29" customWidth="1"/>
    <col min="3593" max="3593" width="22.125" style="29" customWidth="1"/>
    <col min="3594" max="3594" width="9.75" style="29" customWidth="1"/>
    <col min="3595" max="3595" width="7.375" style="29" customWidth="1"/>
    <col min="3596" max="3596" width="9" style="29"/>
    <col min="3597" max="3597" width="9.25" style="29" customWidth="1"/>
    <col min="3598" max="3598" width="3.5" style="29" customWidth="1"/>
    <col min="3599" max="3600" width="12.625" style="29" customWidth="1"/>
    <col min="3601" max="3601" width="9" style="29"/>
    <col min="3602" max="3602" width="7.75" style="29" customWidth="1"/>
    <col min="3603" max="3603" width="13.125" style="29" customWidth="1"/>
    <col min="3604" max="3604" width="6.125" style="29" customWidth="1"/>
    <col min="3605" max="3605" width="9.75" style="29" customWidth="1"/>
    <col min="3606" max="3606" width="1.375" style="29" customWidth="1"/>
    <col min="3607" max="3846" width="9" style="29"/>
    <col min="3847" max="3847" width="1.375" style="29" customWidth="1"/>
    <col min="3848" max="3848" width="3.5" style="29" customWidth="1"/>
    <col min="3849" max="3849" width="22.125" style="29" customWidth="1"/>
    <col min="3850" max="3850" width="9.75" style="29" customWidth="1"/>
    <col min="3851" max="3851" width="7.375" style="29" customWidth="1"/>
    <col min="3852" max="3852" width="9" style="29"/>
    <col min="3853" max="3853" width="9.25" style="29" customWidth="1"/>
    <col min="3854" max="3854" width="3.5" style="29" customWidth="1"/>
    <col min="3855" max="3856" width="12.625" style="29" customWidth="1"/>
    <col min="3857" max="3857" width="9" style="29"/>
    <col min="3858" max="3858" width="7.75" style="29" customWidth="1"/>
    <col min="3859" max="3859" width="13.125" style="29" customWidth="1"/>
    <col min="3860" max="3860" width="6.125" style="29" customWidth="1"/>
    <col min="3861" max="3861" width="9.75" style="29" customWidth="1"/>
    <col min="3862" max="3862" width="1.375" style="29" customWidth="1"/>
    <col min="3863" max="4102" width="9" style="29"/>
    <col min="4103" max="4103" width="1.375" style="29" customWidth="1"/>
    <col min="4104" max="4104" width="3.5" style="29" customWidth="1"/>
    <col min="4105" max="4105" width="22.125" style="29" customWidth="1"/>
    <col min="4106" max="4106" width="9.75" style="29" customWidth="1"/>
    <col min="4107" max="4107" width="7.375" style="29" customWidth="1"/>
    <col min="4108" max="4108" width="9" style="29"/>
    <col min="4109" max="4109" width="9.25" style="29" customWidth="1"/>
    <col min="4110" max="4110" width="3.5" style="29" customWidth="1"/>
    <col min="4111" max="4112" width="12.625" style="29" customWidth="1"/>
    <col min="4113" max="4113" width="9" style="29"/>
    <col min="4114" max="4114" width="7.75" style="29" customWidth="1"/>
    <col min="4115" max="4115" width="13.125" style="29" customWidth="1"/>
    <col min="4116" max="4116" width="6.125" style="29" customWidth="1"/>
    <col min="4117" max="4117" width="9.75" style="29" customWidth="1"/>
    <col min="4118" max="4118" width="1.375" style="29" customWidth="1"/>
    <col min="4119" max="4358" width="9" style="29"/>
    <col min="4359" max="4359" width="1.375" style="29" customWidth="1"/>
    <col min="4360" max="4360" width="3.5" style="29" customWidth="1"/>
    <col min="4361" max="4361" width="22.125" style="29" customWidth="1"/>
    <col min="4362" max="4362" width="9.75" style="29" customWidth="1"/>
    <col min="4363" max="4363" width="7.375" style="29" customWidth="1"/>
    <col min="4364" max="4364" width="9" style="29"/>
    <col min="4365" max="4365" width="9.25" style="29" customWidth="1"/>
    <col min="4366" max="4366" width="3.5" style="29" customWidth="1"/>
    <col min="4367" max="4368" width="12.625" style="29" customWidth="1"/>
    <col min="4369" max="4369" width="9" style="29"/>
    <col min="4370" max="4370" width="7.75" style="29" customWidth="1"/>
    <col min="4371" max="4371" width="13.125" style="29" customWidth="1"/>
    <col min="4372" max="4372" width="6.125" style="29" customWidth="1"/>
    <col min="4373" max="4373" width="9.75" style="29" customWidth="1"/>
    <col min="4374" max="4374" width="1.375" style="29" customWidth="1"/>
    <col min="4375" max="4614" width="9" style="29"/>
    <col min="4615" max="4615" width="1.375" style="29" customWidth="1"/>
    <col min="4616" max="4616" width="3.5" style="29" customWidth="1"/>
    <col min="4617" max="4617" width="22.125" style="29" customWidth="1"/>
    <col min="4618" max="4618" width="9.75" style="29" customWidth="1"/>
    <col min="4619" max="4619" width="7.375" style="29" customWidth="1"/>
    <col min="4620" max="4620" width="9" style="29"/>
    <col min="4621" max="4621" width="9.25" style="29" customWidth="1"/>
    <col min="4622" max="4622" width="3.5" style="29" customWidth="1"/>
    <col min="4623" max="4624" width="12.625" style="29" customWidth="1"/>
    <col min="4625" max="4625" width="9" style="29"/>
    <col min="4626" max="4626" width="7.75" style="29" customWidth="1"/>
    <col min="4627" max="4627" width="13.125" style="29" customWidth="1"/>
    <col min="4628" max="4628" width="6.125" style="29" customWidth="1"/>
    <col min="4629" max="4629" width="9.75" style="29" customWidth="1"/>
    <col min="4630" max="4630" width="1.375" style="29" customWidth="1"/>
    <col min="4631" max="4870" width="9" style="29"/>
    <col min="4871" max="4871" width="1.375" style="29" customWidth="1"/>
    <col min="4872" max="4872" width="3.5" style="29" customWidth="1"/>
    <col min="4873" max="4873" width="22.125" style="29" customWidth="1"/>
    <col min="4874" max="4874" width="9.75" style="29" customWidth="1"/>
    <col min="4875" max="4875" width="7.375" style="29" customWidth="1"/>
    <col min="4876" max="4876" width="9" style="29"/>
    <col min="4877" max="4877" width="9.25" style="29" customWidth="1"/>
    <col min="4878" max="4878" width="3.5" style="29" customWidth="1"/>
    <col min="4879" max="4880" width="12.625" style="29" customWidth="1"/>
    <col min="4881" max="4881" width="9" style="29"/>
    <col min="4882" max="4882" width="7.75" style="29" customWidth="1"/>
    <col min="4883" max="4883" width="13.125" style="29" customWidth="1"/>
    <col min="4884" max="4884" width="6.125" style="29" customWidth="1"/>
    <col min="4885" max="4885" width="9.75" style="29" customWidth="1"/>
    <col min="4886" max="4886" width="1.375" style="29" customWidth="1"/>
    <col min="4887" max="5126" width="9" style="29"/>
    <col min="5127" max="5127" width="1.375" style="29" customWidth="1"/>
    <col min="5128" max="5128" width="3.5" style="29" customWidth="1"/>
    <col min="5129" max="5129" width="22.125" style="29" customWidth="1"/>
    <col min="5130" max="5130" width="9.75" style="29" customWidth="1"/>
    <col min="5131" max="5131" width="7.375" style="29" customWidth="1"/>
    <col min="5132" max="5132" width="9" style="29"/>
    <col min="5133" max="5133" width="9.25" style="29" customWidth="1"/>
    <col min="5134" max="5134" width="3.5" style="29" customWidth="1"/>
    <col min="5135" max="5136" width="12.625" style="29" customWidth="1"/>
    <col min="5137" max="5137" width="9" style="29"/>
    <col min="5138" max="5138" width="7.75" style="29" customWidth="1"/>
    <col min="5139" max="5139" width="13.125" style="29" customWidth="1"/>
    <col min="5140" max="5140" width="6.125" style="29" customWidth="1"/>
    <col min="5141" max="5141" width="9.75" style="29" customWidth="1"/>
    <col min="5142" max="5142" width="1.375" style="29" customWidth="1"/>
    <col min="5143" max="5382" width="9" style="29"/>
    <col min="5383" max="5383" width="1.375" style="29" customWidth="1"/>
    <col min="5384" max="5384" width="3.5" style="29" customWidth="1"/>
    <col min="5385" max="5385" width="22.125" style="29" customWidth="1"/>
    <col min="5386" max="5386" width="9.75" style="29" customWidth="1"/>
    <col min="5387" max="5387" width="7.375" style="29" customWidth="1"/>
    <col min="5388" max="5388" width="9" style="29"/>
    <col min="5389" max="5389" width="9.25" style="29" customWidth="1"/>
    <col min="5390" max="5390" width="3.5" style="29" customWidth="1"/>
    <col min="5391" max="5392" width="12.625" style="29" customWidth="1"/>
    <col min="5393" max="5393" width="9" style="29"/>
    <col min="5394" max="5394" width="7.75" style="29" customWidth="1"/>
    <col min="5395" max="5395" width="13.125" style="29" customWidth="1"/>
    <col min="5396" max="5396" width="6.125" style="29" customWidth="1"/>
    <col min="5397" max="5397" width="9.75" style="29" customWidth="1"/>
    <col min="5398" max="5398" width="1.375" style="29" customWidth="1"/>
    <col min="5399" max="5638" width="9" style="29"/>
    <col min="5639" max="5639" width="1.375" style="29" customWidth="1"/>
    <col min="5640" max="5640" width="3.5" style="29" customWidth="1"/>
    <col min="5641" max="5641" width="22.125" style="29" customWidth="1"/>
    <col min="5642" max="5642" width="9.75" style="29" customWidth="1"/>
    <col min="5643" max="5643" width="7.375" style="29" customWidth="1"/>
    <col min="5644" max="5644" width="9" style="29"/>
    <col min="5645" max="5645" width="9.25" style="29" customWidth="1"/>
    <col min="5646" max="5646" width="3.5" style="29" customWidth="1"/>
    <col min="5647" max="5648" width="12.625" style="29" customWidth="1"/>
    <col min="5649" max="5649" width="9" style="29"/>
    <col min="5650" max="5650" width="7.75" style="29" customWidth="1"/>
    <col min="5651" max="5651" width="13.125" style="29" customWidth="1"/>
    <col min="5652" max="5652" width="6.125" style="29" customWidth="1"/>
    <col min="5653" max="5653" width="9.75" style="29" customWidth="1"/>
    <col min="5654" max="5654" width="1.375" style="29" customWidth="1"/>
    <col min="5655" max="5894" width="9" style="29"/>
    <col min="5895" max="5895" width="1.375" style="29" customWidth="1"/>
    <col min="5896" max="5896" width="3.5" style="29" customWidth="1"/>
    <col min="5897" max="5897" width="22.125" style="29" customWidth="1"/>
    <col min="5898" max="5898" width="9.75" style="29" customWidth="1"/>
    <col min="5899" max="5899" width="7.375" style="29" customWidth="1"/>
    <col min="5900" max="5900" width="9" style="29"/>
    <col min="5901" max="5901" width="9.25" style="29" customWidth="1"/>
    <col min="5902" max="5902" width="3.5" style="29" customWidth="1"/>
    <col min="5903" max="5904" width="12.625" style="29" customWidth="1"/>
    <col min="5905" max="5905" width="9" style="29"/>
    <col min="5906" max="5906" width="7.75" style="29" customWidth="1"/>
    <col min="5907" max="5907" width="13.125" style="29" customWidth="1"/>
    <col min="5908" max="5908" width="6.125" style="29" customWidth="1"/>
    <col min="5909" max="5909" width="9.75" style="29" customWidth="1"/>
    <col min="5910" max="5910" width="1.375" style="29" customWidth="1"/>
    <col min="5911" max="6150" width="9" style="29"/>
    <col min="6151" max="6151" width="1.375" style="29" customWidth="1"/>
    <col min="6152" max="6152" width="3.5" style="29" customWidth="1"/>
    <col min="6153" max="6153" width="22.125" style="29" customWidth="1"/>
    <col min="6154" max="6154" width="9.75" style="29" customWidth="1"/>
    <col min="6155" max="6155" width="7.375" style="29" customWidth="1"/>
    <col min="6156" max="6156" width="9" style="29"/>
    <col min="6157" max="6157" width="9.25" style="29" customWidth="1"/>
    <col min="6158" max="6158" width="3.5" style="29" customWidth="1"/>
    <col min="6159" max="6160" width="12.625" style="29" customWidth="1"/>
    <col min="6161" max="6161" width="9" style="29"/>
    <col min="6162" max="6162" width="7.75" style="29" customWidth="1"/>
    <col min="6163" max="6163" width="13.125" style="29" customWidth="1"/>
    <col min="6164" max="6164" width="6.125" style="29" customWidth="1"/>
    <col min="6165" max="6165" width="9.75" style="29" customWidth="1"/>
    <col min="6166" max="6166" width="1.375" style="29" customWidth="1"/>
    <col min="6167" max="6406" width="9" style="29"/>
    <col min="6407" max="6407" width="1.375" style="29" customWidth="1"/>
    <col min="6408" max="6408" width="3.5" style="29" customWidth="1"/>
    <col min="6409" max="6409" width="22.125" style="29" customWidth="1"/>
    <col min="6410" max="6410" width="9.75" style="29" customWidth="1"/>
    <col min="6411" max="6411" width="7.375" style="29" customWidth="1"/>
    <col min="6412" max="6412" width="9" style="29"/>
    <col min="6413" max="6413" width="9.25" style="29" customWidth="1"/>
    <col min="6414" max="6414" width="3.5" style="29" customWidth="1"/>
    <col min="6415" max="6416" width="12.625" style="29" customWidth="1"/>
    <col min="6417" max="6417" width="9" style="29"/>
    <col min="6418" max="6418" width="7.75" style="29" customWidth="1"/>
    <col min="6419" max="6419" width="13.125" style="29" customWidth="1"/>
    <col min="6420" max="6420" width="6.125" style="29" customWidth="1"/>
    <col min="6421" max="6421" width="9.75" style="29" customWidth="1"/>
    <col min="6422" max="6422" width="1.375" style="29" customWidth="1"/>
    <col min="6423" max="6662" width="9" style="29"/>
    <col min="6663" max="6663" width="1.375" style="29" customWidth="1"/>
    <col min="6664" max="6664" width="3.5" style="29" customWidth="1"/>
    <col min="6665" max="6665" width="22.125" style="29" customWidth="1"/>
    <col min="6666" max="6666" width="9.75" style="29" customWidth="1"/>
    <col min="6667" max="6667" width="7.375" style="29" customWidth="1"/>
    <col min="6668" max="6668" width="9" style="29"/>
    <col min="6669" max="6669" width="9.25" style="29" customWidth="1"/>
    <col min="6670" max="6670" width="3.5" style="29" customWidth="1"/>
    <col min="6671" max="6672" width="12.625" style="29" customWidth="1"/>
    <col min="6673" max="6673" width="9" style="29"/>
    <col min="6674" max="6674" width="7.75" style="29" customWidth="1"/>
    <col min="6675" max="6675" width="13.125" style="29" customWidth="1"/>
    <col min="6676" max="6676" width="6.125" style="29" customWidth="1"/>
    <col min="6677" max="6677" width="9.75" style="29" customWidth="1"/>
    <col min="6678" max="6678" width="1.375" style="29" customWidth="1"/>
    <col min="6679" max="6918" width="9" style="29"/>
    <col min="6919" max="6919" width="1.375" style="29" customWidth="1"/>
    <col min="6920" max="6920" width="3.5" style="29" customWidth="1"/>
    <col min="6921" max="6921" width="22.125" style="29" customWidth="1"/>
    <col min="6922" max="6922" width="9.75" style="29" customWidth="1"/>
    <col min="6923" max="6923" width="7.375" style="29" customWidth="1"/>
    <col min="6924" max="6924" width="9" style="29"/>
    <col min="6925" max="6925" width="9.25" style="29" customWidth="1"/>
    <col min="6926" max="6926" width="3.5" style="29" customWidth="1"/>
    <col min="6927" max="6928" width="12.625" style="29" customWidth="1"/>
    <col min="6929" max="6929" width="9" style="29"/>
    <col min="6930" max="6930" width="7.75" style="29" customWidth="1"/>
    <col min="6931" max="6931" width="13.125" style="29" customWidth="1"/>
    <col min="6932" max="6932" width="6.125" style="29" customWidth="1"/>
    <col min="6933" max="6933" width="9.75" style="29" customWidth="1"/>
    <col min="6934" max="6934" width="1.375" style="29" customWidth="1"/>
    <col min="6935" max="7174" width="9" style="29"/>
    <col min="7175" max="7175" width="1.375" style="29" customWidth="1"/>
    <col min="7176" max="7176" width="3.5" style="29" customWidth="1"/>
    <col min="7177" max="7177" width="22.125" style="29" customWidth="1"/>
    <col min="7178" max="7178" width="9.75" style="29" customWidth="1"/>
    <col min="7179" max="7179" width="7.375" style="29" customWidth="1"/>
    <col min="7180" max="7180" width="9" style="29"/>
    <col min="7181" max="7181" width="9.25" style="29" customWidth="1"/>
    <col min="7182" max="7182" width="3.5" style="29" customWidth="1"/>
    <col min="7183" max="7184" width="12.625" style="29" customWidth="1"/>
    <col min="7185" max="7185" width="9" style="29"/>
    <col min="7186" max="7186" width="7.75" style="29" customWidth="1"/>
    <col min="7187" max="7187" width="13.125" style="29" customWidth="1"/>
    <col min="7188" max="7188" width="6.125" style="29" customWidth="1"/>
    <col min="7189" max="7189" width="9.75" style="29" customWidth="1"/>
    <col min="7190" max="7190" width="1.375" style="29" customWidth="1"/>
    <col min="7191" max="7430" width="9" style="29"/>
    <col min="7431" max="7431" width="1.375" style="29" customWidth="1"/>
    <col min="7432" max="7432" width="3.5" style="29" customWidth="1"/>
    <col min="7433" max="7433" width="22.125" style="29" customWidth="1"/>
    <col min="7434" max="7434" width="9.75" style="29" customWidth="1"/>
    <col min="7435" max="7435" width="7.375" style="29" customWidth="1"/>
    <col min="7436" max="7436" width="9" style="29"/>
    <col min="7437" max="7437" width="9.25" style="29" customWidth="1"/>
    <col min="7438" max="7438" width="3.5" style="29" customWidth="1"/>
    <col min="7439" max="7440" width="12.625" style="29" customWidth="1"/>
    <col min="7441" max="7441" width="9" style="29"/>
    <col min="7442" max="7442" width="7.75" style="29" customWidth="1"/>
    <col min="7443" max="7443" width="13.125" style="29" customWidth="1"/>
    <col min="7444" max="7444" width="6.125" style="29" customWidth="1"/>
    <col min="7445" max="7445" width="9.75" style="29" customWidth="1"/>
    <col min="7446" max="7446" width="1.375" style="29" customWidth="1"/>
    <col min="7447" max="7686" width="9" style="29"/>
    <col min="7687" max="7687" width="1.375" style="29" customWidth="1"/>
    <col min="7688" max="7688" width="3.5" style="29" customWidth="1"/>
    <col min="7689" max="7689" width="22.125" style="29" customWidth="1"/>
    <col min="7690" max="7690" width="9.75" style="29" customWidth="1"/>
    <col min="7691" max="7691" width="7.375" style="29" customWidth="1"/>
    <col min="7692" max="7692" width="9" style="29"/>
    <col min="7693" max="7693" width="9.25" style="29" customWidth="1"/>
    <col min="7694" max="7694" width="3.5" style="29" customWidth="1"/>
    <col min="7695" max="7696" width="12.625" style="29" customWidth="1"/>
    <col min="7697" max="7697" width="9" style="29"/>
    <col min="7698" max="7698" width="7.75" style="29" customWidth="1"/>
    <col min="7699" max="7699" width="13.125" style="29" customWidth="1"/>
    <col min="7700" max="7700" width="6.125" style="29" customWidth="1"/>
    <col min="7701" max="7701" width="9.75" style="29" customWidth="1"/>
    <col min="7702" max="7702" width="1.375" style="29" customWidth="1"/>
    <col min="7703" max="7942" width="9" style="29"/>
    <col min="7943" max="7943" width="1.375" style="29" customWidth="1"/>
    <col min="7944" max="7944" width="3.5" style="29" customWidth="1"/>
    <col min="7945" max="7945" width="22.125" style="29" customWidth="1"/>
    <col min="7946" max="7946" width="9.75" style="29" customWidth="1"/>
    <col min="7947" max="7947" width="7.375" style="29" customWidth="1"/>
    <col min="7948" max="7948" width="9" style="29"/>
    <col min="7949" max="7949" width="9.25" style="29" customWidth="1"/>
    <col min="7950" max="7950" width="3.5" style="29" customWidth="1"/>
    <col min="7951" max="7952" width="12.625" style="29" customWidth="1"/>
    <col min="7953" max="7953" width="9" style="29"/>
    <col min="7954" max="7954" width="7.75" style="29" customWidth="1"/>
    <col min="7955" max="7955" width="13.125" style="29" customWidth="1"/>
    <col min="7956" max="7956" width="6.125" style="29" customWidth="1"/>
    <col min="7957" max="7957" width="9.75" style="29" customWidth="1"/>
    <col min="7958" max="7958" width="1.375" style="29" customWidth="1"/>
    <col min="7959" max="8198" width="9" style="29"/>
    <col min="8199" max="8199" width="1.375" style="29" customWidth="1"/>
    <col min="8200" max="8200" width="3.5" style="29" customWidth="1"/>
    <col min="8201" max="8201" width="22.125" style="29" customWidth="1"/>
    <col min="8202" max="8202" width="9.75" style="29" customWidth="1"/>
    <col min="8203" max="8203" width="7.375" style="29" customWidth="1"/>
    <col min="8204" max="8204" width="9" style="29"/>
    <col min="8205" max="8205" width="9.25" style="29" customWidth="1"/>
    <col min="8206" max="8206" width="3.5" style="29" customWidth="1"/>
    <col min="8207" max="8208" width="12.625" style="29" customWidth="1"/>
    <col min="8209" max="8209" width="9" style="29"/>
    <col min="8210" max="8210" width="7.75" style="29" customWidth="1"/>
    <col min="8211" max="8211" width="13.125" style="29" customWidth="1"/>
    <col min="8212" max="8212" width="6.125" style="29" customWidth="1"/>
    <col min="8213" max="8213" width="9.75" style="29" customWidth="1"/>
    <col min="8214" max="8214" width="1.375" style="29" customWidth="1"/>
    <col min="8215" max="8454" width="9" style="29"/>
    <col min="8455" max="8455" width="1.375" style="29" customWidth="1"/>
    <col min="8456" max="8456" width="3.5" style="29" customWidth="1"/>
    <col min="8457" max="8457" width="22.125" style="29" customWidth="1"/>
    <col min="8458" max="8458" width="9.75" style="29" customWidth="1"/>
    <col min="8459" max="8459" width="7.375" style="29" customWidth="1"/>
    <col min="8460" max="8460" width="9" style="29"/>
    <col min="8461" max="8461" width="9.25" style="29" customWidth="1"/>
    <col min="8462" max="8462" width="3.5" style="29" customWidth="1"/>
    <col min="8463" max="8464" width="12.625" style="29" customWidth="1"/>
    <col min="8465" max="8465" width="9" style="29"/>
    <col min="8466" max="8466" width="7.75" style="29" customWidth="1"/>
    <col min="8467" max="8467" width="13.125" style="29" customWidth="1"/>
    <col min="8468" max="8468" width="6.125" style="29" customWidth="1"/>
    <col min="8469" max="8469" width="9.75" style="29" customWidth="1"/>
    <col min="8470" max="8470" width="1.375" style="29" customWidth="1"/>
    <col min="8471" max="8710" width="9" style="29"/>
    <col min="8711" max="8711" width="1.375" style="29" customWidth="1"/>
    <col min="8712" max="8712" width="3.5" style="29" customWidth="1"/>
    <col min="8713" max="8713" width="22.125" style="29" customWidth="1"/>
    <col min="8714" max="8714" width="9.75" style="29" customWidth="1"/>
    <col min="8715" max="8715" width="7.375" style="29" customWidth="1"/>
    <col min="8716" max="8716" width="9" style="29"/>
    <col min="8717" max="8717" width="9.25" style="29" customWidth="1"/>
    <col min="8718" max="8718" width="3.5" style="29" customWidth="1"/>
    <col min="8719" max="8720" width="12.625" style="29" customWidth="1"/>
    <col min="8721" max="8721" width="9" style="29"/>
    <col min="8722" max="8722" width="7.75" style="29" customWidth="1"/>
    <col min="8723" max="8723" width="13.125" style="29" customWidth="1"/>
    <col min="8724" max="8724" width="6.125" style="29" customWidth="1"/>
    <col min="8725" max="8725" width="9.75" style="29" customWidth="1"/>
    <col min="8726" max="8726" width="1.375" style="29" customWidth="1"/>
    <col min="8727" max="8966" width="9" style="29"/>
    <col min="8967" max="8967" width="1.375" style="29" customWidth="1"/>
    <col min="8968" max="8968" width="3.5" style="29" customWidth="1"/>
    <col min="8969" max="8969" width="22.125" style="29" customWidth="1"/>
    <col min="8970" max="8970" width="9.75" style="29" customWidth="1"/>
    <col min="8971" max="8971" width="7.375" style="29" customWidth="1"/>
    <col min="8972" max="8972" width="9" style="29"/>
    <col min="8973" max="8973" width="9.25" style="29" customWidth="1"/>
    <col min="8974" max="8974" width="3.5" style="29" customWidth="1"/>
    <col min="8975" max="8976" width="12.625" style="29" customWidth="1"/>
    <col min="8977" max="8977" width="9" style="29"/>
    <col min="8978" max="8978" width="7.75" style="29" customWidth="1"/>
    <col min="8979" max="8979" width="13.125" style="29" customWidth="1"/>
    <col min="8980" max="8980" width="6.125" style="29" customWidth="1"/>
    <col min="8981" max="8981" width="9.75" style="29" customWidth="1"/>
    <col min="8982" max="8982" width="1.375" style="29" customWidth="1"/>
    <col min="8983" max="9222" width="9" style="29"/>
    <col min="9223" max="9223" width="1.375" style="29" customWidth="1"/>
    <col min="9224" max="9224" width="3.5" style="29" customWidth="1"/>
    <col min="9225" max="9225" width="22.125" style="29" customWidth="1"/>
    <col min="9226" max="9226" width="9.75" style="29" customWidth="1"/>
    <col min="9227" max="9227" width="7.375" style="29" customWidth="1"/>
    <col min="9228" max="9228" width="9" style="29"/>
    <col min="9229" max="9229" width="9.25" style="29" customWidth="1"/>
    <col min="9230" max="9230" width="3.5" style="29" customWidth="1"/>
    <col min="9231" max="9232" width="12.625" style="29" customWidth="1"/>
    <col min="9233" max="9233" width="9" style="29"/>
    <col min="9234" max="9234" width="7.75" style="29" customWidth="1"/>
    <col min="9235" max="9235" width="13.125" style="29" customWidth="1"/>
    <col min="9236" max="9236" width="6.125" style="29" customWidth="1"/>
    <col min="9237" max="9237" width="9.75" style="29" customWidth="1"/>
    <col min="9238" max="9238" width="1.375" style="29" customWidth="1"/>
    <col min="9239" max="9478" width="9" style="29"/>
    <col min="9479" max="9479" width="1.375" style="29" customWidth="1"/>
    <col min="9480" max="9480" width="3.5" style="29" customWidth="1"/>
    <col min="9481" max="9481" width="22.125" style="29" customWidth="1"/>
    <col min="9482" max="9482" width="9.75" style="29" customWidth="1"/>
    <col min="9483" max="9483" width="7.375" style="29" customWidth="1"/>
    <col min="9484" max="9484" width="9" style="29"/>
    <col min="9485" max="9485" width="9.25" style="29" customWidth="1"/>
    <col min="9486" max="9486" width="3.5" style="29" customWidth="1"/>
    <col min="9487" max="9488" width="12.625" style="29" customWidth="1"/>
    <col min="9489" max="9489" width="9" style="29"/>
    <col min="9490" max="9490" width="7.75" style="29" customWidth="1"/>
    <col min="9491" max="9491" width="13.125" style="29" customWidth="1"/>
    <col min="9492" max="9492" width="6.125" style="29" customWidth="1"/>
    <col min="9493" max="9493" width="9.75" style="29" customWidth="1"/>
    <col min="9494" max="9494" width="1.375" style="29" customWidth="1"/>
    <col min="9495" max="9734" width="9" style="29"/>
    <col min="9735" max="9735" width="1.375" style="29" customWidth="1"/>
    <col min="9736" max="9736" width="3.5" style="29" customWidth="1"/>
    <col min="9737" max="9737" width="22.125" style="29" customWidth="1"/>
    <col min="9738" max="9738" width="9.75" style="29" customWidth="1"/>
    <col min="9739" max="9739" width="7.375" style="29" customWidth="1"/>
    <col min="9740" max="9740" width="9" style="29"/>
    <col min="9741" max="9741" width="9.25" style="29" customWidth="1"/>
    <col min="9742" max="9742" width="3.5" style="29" customWidth="1"/>
    <col min="9743" max="9744" width="12.625" style="29" customWidth="1"/>
    <col min="9745" max="9745" width="9" style="29"/>
    <col min="9746" max="9746" width="7.75" style="29" customWidth="1"/>
    <col min="9747" max="9747" width="13.125" style="29" customWidth="1"/>
    <col min="9748" max="9748" width="6.125" style="29" customWidth="1"/>
    <col min="9749" max="9749" width="9.75" style="29" customWidth="1"/>
    <col min="9750" max="9750" width="1.375" style="29" customWidth="1"/>
    <col min="9751" max="9990" width="9" style="29"/>
    <col min="9991" max="9991" width="1.375" style="29" customWidth="1"/>
    <col min="9992" max="9992" width="3.5" style="29" customWidth="1"/>
    <col min="9993" max="9993" width="22.125" style="29" customWidth="1"/>
    <col min="9994" max="9994" width="9.75" style="29" customWidth="1"/>
    <col min="9995" max="9995" width="7.375" style="29" customWidth="1"/>
    <col min="9996" max="9996" width="9" style="29"/>
    <col min="9997" max="9997" width="9.25" style="29" customWidth="1"/>
    <col min="9998" max="9998" width="3.5" style="29" customWidth="1"/>
    <col min="9999" max="10000" width="12.625" style="29" customWidth="1"/>
    <col min="10001" max="10001" width="9" style="29"/>
    <col min="10002" max="10002" width="7.75" style="29" customWidth="1"/>
    <col min="10003" max="10003" width="13.125" style="29" customWidth="1"/>
    <col min="10004" max="10004" width="6.125" style="29" customWidth="1"/>
    <col min="10005" max="10005" width="9.75" style="29" customWidth="1"/>
    <col min="10006" max="10006" width="1.375" style="29" customWidth="1"/>
    <col min="10007" max="10246" width="9" style="29"/>
    <col min="10247" max="10247" width="1.375" style="29" customWidth="1"/>
    <col min="10248" max="10248" width="3.5" style="29" customWidth="1"/>
    <col min="10249" max="10249" width="22.125" style="29" customWidth="1"/>
    <col min="10250" max="10250" width="9.75" style="29" customWidth="1"/>
    <col min="10251" max="10251" width="7.375" style="29" customWidth="1"/>
    <col min="10252" max="10252" width="9" style="29"/>
    <col min="10253" max="10253" width="9.25" style="29" customWidth="1"/>
    <col min="10254" max="10254" width="3.5" style="29" customWidth="1"/>
    <col min="10255" max="10256" width="12.625" style="29" customWidth="1"/>
    <col min="10257" max="10257" width="9" style="29"/>
    <col min="10258" max="10258" width="7.75" style="29" customWidth="1"/>
    <col min="10259" max="10259" width="13.125" style="29" customWidth="1"/>
    <col min="10260" max="10260" width="6.125" style="29" customWidth="1"/>
    <col min="10261" max="10261" width="9.75" style="29" customWidth="1"/>
    <col min="10262" max="10262" width="1.375" style="29" customWidth="1"/>
    <col min="10263" max="10502" width="9" style="29"/>
    <col min="10503" max="10503" width="1.375" style="29" customWidth="1"/>
    <col min="10504" max="10504" width="3.5" style="29" customWidth="1"/>
    <col min="10505" max="10505" width="22.125" style="29" customWidth="1"/>
    <col min="10506" max="10506" width="9.75" style="29" customWidth="1"/>
    <col min="10507" max="10507" width="7.375" style="29" customWidth="1"/>
    <col min="10508" max="10508" width="9" style="29"/>
    <col min="10509" max="10509" width="9.25" style="29" customWidth="1"/>
    <col min="10510" max="10510" width="3.5" style="29" customWidth="1"/>
    <col min="10511" max="10512" width="12.625" style="29" customWidth="1"/>
    <col min="10513" max="10513" width="9" style="29"/>
    <col min="10514" max="10514" width="7.75" style="29" customWidth="1"/>
    <col min="10515" max="10515" width="13.125" style="29" customWidth="1"/>
    <col min="10516" max="10516" width="6.125" style="29" customWidth="1"/>
    <col min="10517" max="10517" width="9.75" style="29" customWidth="1"/>
    <col min="10518" max="10518" width="1.375" style="29" customWidth="1"/>
    <col min="10519" max="10758" width="9" style="29"/>
    <col min="10759" max="10759" width="1.375" style="29" customWidth="1"/>
    <col min="10760" max="10760" width="3.5" style="29" customWidth="1"/>
    <col min="10761" max="10761" width="22.125" style="29" customWidth="1"/>
    <col min="10762" max="10762" width="9.75" style="29" customWidth="1"/>
    <col min="10763" max="10763" width="7.375" style="29" customWidth="1"/>
    <col min="10764" max="10764" width="9" style="29"/>
    <col min="10765" max="10765" width="9.25" style="29" customWidth="1"/>
    <col min="10766" max="10766" width="3.5" style="29" customWidth="1"/>
    <col min="10767" max="10768" width="12.625" style="29" customWidth="1"/>
    <col min="10769" max="10769" width="9" style="29"/>
    <col min="10770" max="10770" width="7.75" style="29" customWidth="1"/>
    <col min="10771" max="10771" width="13.125" style="29" customWidth="1"/>
    <col min="10772" max="10772" width="6.125" style="29" customWidth="1"/>
    <col min="10773" max="10773" width="9.75" style="29" customWidth="1"/>
    <col min="10774" max="10774" width="1.375" style="29" customWidth="1"/>
    <col min="10775" max="11014" width="9" style="29"/>
    <col min="11015" max="11015" width="1.375" style="29" customWidth="1"/>
    <col min="11016" max="11016" width="3.5" style="29" customWidth="1"/>
    <col min="11017" max="11017" width="22.125" style="29" customWidth="1"/>
    <col min="11018" max="11018" width="9.75" style="29" customWidth="1"/>
    <col min="11019" max="11019" width="7.375" style="29" customWidth="1"/>
    <col min="11020" max="11020" width="9" style="29"/>
    <col min="11021" max="11021" width="9.25" style="29" customWidth="1"/>
    <col min="11022" max="11022" width="3.5" style="29" customWidth="1"/>
    <col min="11023" max="11024" width="12.625" style="29" customWidth="1"/>
    <col min="11025" max="11025" width="9" style="29"/>
    <col min="11026" max="11026" width="7.75" style="29" customWidth="1"/>
    <col min="11027" max="11027" width="13.125" style="29" customWidth="1"/>
    <col min="11028" max="11028" width="6.125" style="29" customWidth="1"/>
    <col min="11029" max="11029" width="9.75" style="29" customWidth="1"/>
    <col min="11030" max="11030" width="1.375" style="29" customWidth="1"/>
    <col min="11031" max="11270" width="9" style="29"/>
    <col min="11271" max="11271" width="1.375" style="29" customWidth="1"/>
    <col min="11272" max="11272" width="3.5" style="29" customWidth="1"/>
    <col min="11273" max="11273" width="22.125" style="29" customWidth="1"/>
    <col min="11274" max="11274" width="9.75" style="29" customWidth="1"/>
    <col min="11275" max="11275" width="7.375" style="29" customWidth="1"/>
    <col min="11276" max="11276" width="9" style="29"/>
    <col min="11277" max="11277" width="9.25" style="29" customWidth="1"/>
    <col min="11278" max="11278" width="3.5" style="29" customWidth="1"/>
    <col min="11279" max="11280" width="12.625" style="29" customWidth="1"/>
    <col min="11281" max="11281" width="9" style="29"/>
    <col min="11282" max="11282" width="7.75" style="29" customWidth="1"/>
    <col min="11283" max="11283" width="13.125" style="29" customWidth="1"/>
    <col min="11284" max="11284" width="6.125" style="29" customWidth="1"/>
    <col min="11285" max="11285" width="9.75" style="29" customWidth="1"/>
    <col min="11286" max="11286" width="1.375" style="29" customWidth="1"/>
    <col min="11287" max="11526" width="9" style="29"/>
    <col min="11527" max="11527" width="1.375" style="29" customWidth="1"/>
    <col min="11528" max="11528" width="3.5" style="29" customWidth="1"/>
    <col min="11529" max="11529" width="22.125" style="29" customWidth="1"/>
    <col min="11530" max="11530" width="9.75" style="29" customWidth="1"/>
    <col min="11531" max="11531" width="7.375" style="29" customWidth="1"/>
    <col min="11532" max="11532" width="9" style="29"/>
    <col min="11533" max="11533" width="9.25" style="29" customWidth="1"/>
    <col min="11534" max="11534" width="3.5" style="29" customWidth="1"/>
    <col min="11535" max="11536" width="12.625" style="29" customWidth="1"/>
    <col min="11537" max="11537" width="9" style="29"/>
    <col min="11538" max="11538" width="7.75" style="29" customWidth="1"/>
    <col min="11539" max="11539" width="13.125" style="29" customWidth="1"/>
    <col min="11540" max="11540" width="6.125" style="29" customWidth="1"/>
    <col min="11541" max="11541" width="9.75" style="29" customWidth="1"/>
    <col min="11542" max="11542" width="1.375" style="29" customWidth="1"/>
    <col min="11543" max="11782" width="9" style="29"/>
    <col min="11783" max="11783" width="1.375" style="29" customWidth="1"/>
    <col min="11784" max="11784" width="3.5" style="29" customWidth="1"/>
    <col min="11785" max="11785" width="22.125" style="29" customWidth="1"/>
    <col min="11786" max="11786" width="9.75" style="29" customWidth="1"/>
    <col min="11787" max="11787" width="7.375" style="29" customWidth="1"/>
    <col min="11788" max="11788" width="9" style="29"/>
    <col min="11789" max="11789" width="9.25" style="29" customWidth="1"/>
    <col min="11790" max="11790" width="3.5" style="29" customWidth="1"/>
    <col min="11791" max="11792" width="12.625" style="29" customWidth="1"/>
    <col min="11793" max="11793" width="9" style="29"/>
    <col min="11794" max="11794" width="7.75" style="29" customWidth="1"/>
    <col min="11795" max="11795" width="13.125" style="29" customWidth="1"/>
    <col min="11796" max="11796" width="6.125" style="29" customWidth="1"/>
    <col min="11797" max="11797" width="9.75" style="29" customWidth="1"/>
    <col min="11798" max="11798" width="1.375" style="29" customWidth="1"/>
    <col min="11799" max="12038" width="9" style="29"/>
    <col min="12039" max="12039" width="1.375" style="29" customWidth="1"/>
    <col min="12040" max="12040" width="3.5" style="29" customWidth="1"/>
    <col min="12041" max="12041" width="22.125" style="29" customWidth="1"/>
    <col min="12042" max="12042" width="9.75" style="29" customWidth="1"/>
    <col min="12043" max="12043" width="7.375" style="29" customWidth="1"/>
    <col min="12044" max="12044" width="9" style="29"/>
    <col min="12045" max="12045" width="9.25" style="29" customWidth="1"/>
    <col min="12046" max="12046" width="3.5" style="29" customWidth="1"/>
    <col min="12047" max="12048" width="12.625" style="29" customWidth="1"/>
    <col min="12049" max="12049" width="9" style="29"/>
    <col min="12050" max="12050" width="7.75" style="29" customWidth="1"/>
    <col min="12051" max="12051" width="13.125" style="29" customWidth="1"/>
    <col min="12052" max="12052" width="6.125" style="29" customWidth="1"/>
    <col min="12053" max="12053" width="9.75" style="29" customWidth="1"/>
    <col min="12054" max="12054" width="1.375" style="29" customWidth="1"/>
    <col min="12055" max="12294" width="9" style="29"/>
    <col min="12295" max="12295" width="1.375" style="29" customWidth="1"/>
    <col min="12296" max="12296" width="3.5" style="29" customWidth="1"/>
    <col min="12297" max="12297" width="22.125" style="29" customWidth="1"/>
    <col min="12298" max="12298" width="9.75" style="29" customWidth="1"/>
    <col min="12299" max="12299" width="7.375" style="29" customWidth="1"/>
    <col min="12300" max="12300" width="9" style="29"/>
    <col min="12301" max="12301" width="9.25" style="29" customWidth="1"/>
    <col min="12302" max="12302" width="3.5" style="29" customWidth="1"/>
    <col min="12303" max="12304" width="12.625" style="29" customWidth="1"/>
    <col min="12305" max="12305" width="9" style="29"/>
    <col min="12306" max="12306" width="7.75" style="29" customWidth="1"/>
    <col min="12307" max="12307" width="13.125" style="29" customWidth="1"/>
    <col min="12308" max="12308" width="6.125" style="29" customWidth="1"/>
    <col min="12309" max="12309" width="9.75" style="29" customWidth="1"/>
    <col min="12310" max="12310" width="1.375" style="29" customWidth="1"/>
    <col min="12311" max="12550" width="9" style="29"/>
    <col min="12551" max="12551" width="1.375" style="29" customWidth="1"/>
    <col min="12552" max="12552" width="3.5" style="29" customWidth="1"/>
    <col min="12553" max="12553" width="22.125" style="29" customWidth="1"/>
    <col min="12554" max="12554" width="9.75" style="29" customWidth="1"/>
    <col min="12555" max="12555" width="7.375" style="29" customWidth="1"/>
    <col min="12556" max="12556" width="9" style="29"/>
    <col min="12557" max="12557" width="9.25" style="29" customWidth="1"/>
    <col min="12558" max="12558" width="3.5" style="29" customWidth="1"/>
    <col min="12559" max="12560" width="12.625" style="29" customWidth="1"/>
    <col min="12561" max="12561" width="9" style="29"/>
    <col min="12562" max="12562" width="7.75" style="29" customWidth="1"/>
    <col min="12563" max="12563" width="13.125" style="29" customWidth="1"/>
    <col min="12564" max="12564" width="6.125" style="29" customWidth="1"/>
    <col min="12565" max="12565" width="9.75" style="29" customWidth="1"/>
    <col min="12566" max="12566" width="1.375" style="29" customWidth="1"/>
    <col min="12567" max="12806" width="9" style="29"/>
    <col min="12807" max="12807" width="1.375" style="29" customWidth="1"/>
    <col min="12808" max="12808" width="3.5" style="29" customWidth="1"/>
    <col min="12809" max="12809" width="22.125" style="29" customWidth="1"/>
    <col min="12810" max="12810" width="9.75" style="29" customWidth="1"/>
    <col min="12811" max="12811" width="7.375" style="29" customWidth="1"/>
    <col min="12812" max="12812" width="9" style="29"/>
    <col min="12813" max="12813" width="9.25" style="29" customWidth="1"/>
    <col min="12814" max="12814" width="3.5" style="29" customWidth="1"/>
    <col min="12815" max="12816" width="12.625" style="29" customWidth="1"/>
    <col min="12817" max="12817" width="9" style="29"/>
    <col min="12818" max="12818" width="7.75" style="29" customWidth="1"/>
    <col min="12819" max="12819" width="13.125" style="29" customWidth="1"/>
    <col min="12820" max="12820" width="6.125" style="29" customWidth="1"/>
    <col min="12821" max="12821" width="9.75" style="29" customWidth="1"/>
    <col min="12822" max="12822" width="1.375" style="29" customWidth="1"/>
    <col min="12823" max="13062" width="9" style="29"/>
    <col min="13063" max="13063" width="1.375" style="29" customWidth="1"/>
    <col min="13064" max="13064" width="3.5" style="29" customWidth="1"/>
    <col min="13065" max="13065" width="22.125" style="29" customWidth="1"/>
    <col min="13066" max="13066" width="9.75" style="29" customWidth="1"/>
    <col min="13067" max="13067" width="7.375" style="29" customWidth="1"/>
    <col min="13068" max="13068" width="9" style="29"/>
    <col min="13069" max="13069" width="9.25" style="29" customWidth="1"/>
    <col min="13070" max="13070" width="3.5" style="29" customWidth="1"/>
    <col min="13071" max="13072" width="12.625" style="29" customWidth="1"/>
    <col min="13073" max="13073" width="9" style="29"/>
    <col min="13074" max="13074" width="7.75" style="29" customWidth="1"/>
    <col min="13075" max="13075" width="13.125" style="29" customWidth="1"/>
    <col min="13076" max="13076" width="6.125" style="29" customWidth="1"/>
    <col min="13077" max="13077" width="9.75" style="29" customWidth="1"/>
    <col min="13078" max="13078" width="1.375" style="29" customWidth="1"/>
    <col min="13079" max="13318" width="9" style="29"/>
    <col min="13319" max="13319" width="1.375" style="29" customWidth="1"/>
    <col min="13320" max="13320" width="3.5" style="29" customWidth="1"/>
    <col min="13321" max="13321" width="22.125" style="29" customWidth="1"/>
    <col min="13322" max="13322" width="9.75" style="29" customWidth="1"/>
    <col min="13323" max="13323" width="7.375" style="29" customWidth="1"/>
    <col min="13324" max="13324" width="9" style="29"/>
    <col min="13325" max="13325" width="9.25" style="29" customWidth="1"/>
    <col min="13326" max="13326" width="3.5" style="29" customWidth="1"/>
    <col min="13327" max="13328" width="12.625" style="29" customWidth="1"/>
    <col min="13329" max="13329" width="9" style="29"/>
    <col min="13330" max="13330" width="7.75" style="29" customWidth="1"/>
    <col min="13331" max="13331" width="13.125" style="29" customWidth="1"/>
    <col min="13332" max="13332" width="6.125" style="29" customWidth="1"/>
    <col min="13333" max="13333" width="9.75" style="29" customWidth="1"/>
    <col min="13334" max="13334" width="1.375" style="29" customWidth="1"/>
    <col min="13335" max="13574" width="9" style="29"/>
    <col min="13575" max="13575" width="1.375" style="29" customWidth="1"/>
    <col min="13576" max="13576" width="3.5" style="29" customWidth="1"/>
    <col min="13577" max="13577" width="22.125" style="29" customWidth="1"/>
    <col min="13578" max="13578" width="9.75" style="29" customWidth="1"/>
    <col min="13579" max="13579" width="7.375" style="29" customWidth="1"/>
    <col min="13580" max="13580" width="9" style="29"/>
    <col min="13581" max="13581" width="9.25" style="29" customWidth="1"/>
    <col min="13582" max="13582" width="3.5" style="29" customWidth="1"/>
    <col min="13583" max="13584" width="12.625" style="29" customWidth="1"/>
    <col min="13585" max="13585" width="9" style="29"/>
    <col min="13586" max="13586" width="7.75" style="29" customWidth="1"/>
    <col min="13587" max="13587" width="13.125" style="29" customWidth="1"/>
    <col min="13588" max="13588" width="6.125" style="29" customWidth="1"/>
    <col min="13589" max="13589" width="9.75" style="29" customWidth="1"/>
    <col min="13590" max="13590" width="1.375" style="29" customWidth="1"/>
    <col min="13591" max="13830" width="9" style="29"/>
    <col min="13831" max="13831" width="1.375" style="29" customWidth="1"/>
    <col min="13832" max="13832" width="3.5" style="29" customWidth="1"/>
    <col min="13833" max="13833" width="22.125" style="29" customWidth="1"/>
    <col min="13834" max="13834" width="9.75" style="29" customWidth="1"/>
    <col min="13835" max="13835" width="7.375" style="29" customWidth="1"/>
    <col min="13836" max="13836" width="9" style="29"/>
    <col min="13837" max="13837" width="9.25" style="29" customWidth="1"/>
    <col min="13838" max="13838" width="3.5" style="29" customWidth="1"/>
    <col min="13839" max="13840" width="12.625" style="29" customWidth="1"/>
    <col min="13841" max="13841" width="9" style="29"/>
    <col min="13842" max="13842" width="7.75" style="29" customWidth="1"/>
    <col min="13843" max="13843" width="13.125" style="29" customWidth="1"/>
    <col min="13844" max="13844" width="6.125" style="29" customWidth="1"/>
    <col min="13845" max="13845" width="9.75" style="29" customWidth="1"/>
    <col min="13846" max="13846" width="1.375" style="29" customWidth="1"/>
    <col min="13847" max="14086" width="9" style="29"/>
    <col min="14087" max="14087" width="1.375" style="29" customWidth="1"/>
    <col min="14088" max="14088" width="3.5" style="29" customWidth="1"/>
    <col min="14089" max="14089" width="22.125" style="29" customWidth="1"/>
    <col min="14090" max="14090" width="9.75" style="29" customWidth="1"/>
    <col min="14091" max="14091" width="7.375" style="29" customWidth="1"/>
    <col min="14092" max="14092" width="9" style="29"/>
    <col min="14093" max="14093" width="9.25" style="29" customWidth="1"/>
    <col min="14094" max="14094" width="3.5" style="29" customWidth="1"/>
    <col min="14095" max="14096" width="12.625" style="29" customWidth="1"/>
    <col min="14097" max="14097" width="9" style="29"/>
    <col min="14098" max="14098" width="7.75" style="29" customWidth="1"/>
    <col min="14099" max="14099" width="13.125" style="29" customWidth="1"/>
    <col min="14100" max="14100" width="6.125" style="29" customWidth="1"/>
    <col min="14101" max="14101" width="9.75" style="29" customWidth="1"/>
    <col min="14102" max="14102" width="1.375" style="29" customWidth="1"/>
    <col min="14103" max="14342" width="9" style="29"/>
    <col min="14343" max="14343" width="1.375" style="29" customWidth="1"/>
    <col min="14344" max="14344" width="3.5" style="29" customWidth="1"/>
    <col min="14345" max="14345" width="22.125" style="29" customWidth="1"/>
    <col min="14346" max="14346" width="9.75" style="29" customWidth="1"/>
    <col min="14347" max="14347" width="7.375" style="29" customWidth="1"/>
    <col min="14348" max="14348" width="9" style="29"/>
    <col min="14349" max="14349" width="9.25" style="29" customWidth="1"/>
    <col min="14350" max="14350" width="3.5" style="29" customWidth="1"/>
    <col min="14351" max="14352" width="12.625" style="29" customWidth="1"/>
    <col min="14353" max="14353" width="9" style="29"/>
    <col min="14354" max="14354" width="7.75" style="29" customWidth="1"/>
    <col min="14355" max="14355" width="13.125" style="29" customWidth="1"/>
    <col min="14356" max="14356" width="6.125" style="29" customWidth="1"/>
    <col min="14357" max="14357" width="9.75" style="29" customWidth="1"/>
    <col min="14358" max="14358" width="1.375" style="29" customWidth="1"/>
    <col min="14359" max="14598" width="9" style="29"/>
    <col min="14599" max="14599" width="1.375" style="29" customWidth="1"/>
    <col min="14600" max="14600" width="3.5" style="29" customWidth="1"/>
    <col min="14601" max="14601" width="22.125" style="29" customWidth="1"/>
    <col min="14602" max="14602" width="9.75" style="29" customWidth="1"/>
    <col min="14603" max="14603" width="7.375" style="29" customWidth="1"/>
    <col min="14604" max="14604" width="9" style="29"/>
    <col min="14605" max="14605" width="9.25" style="29" customWidth="1"/>
    <col min="14606" max="14606" width="3.5" style="29" customWidth="1"/>
    <col min="14607" max="14608" width="12.625" style="29" customWidth="1"/>
    <col min="14609" max="14609" width="9" style="29"/>
    <col min="14610" max="14610" width="7.75" style="29" customWidth="1"/>
    <col min="14611" max="14611" width="13.125" style="29" customWidth="1"/>
    <col min="14612" max="14612" width="6.125" style="29" customWidth="1"/>
    <col min="14613" max="14613" width="9.75" style="29" customWidth="1"/>
    <col min="14614" max="14614" width="1.375" style="29" customWidth="1"/>
    <col min="14615" max="14854" width="9" style="29"/>
    <col min="14855" max="14855" width="1.375" style="29" customWidth="1"/>
    <col min="14856" max="14856" width="3.5" style="29" customWidth="1"/>
    <col min="14857" max="14857" width="22.125" style="29" customWidth="1"/>
    <col min="14858" max="14858" width="9.75" style="29" customWidth="1"/>
    <col min="14859" max="14859" width="7.375" style="29" customWidth="1"/>
    <col min="14860" max="14860" width="9" style="29"/>
    <col min="14861" max="14861" width="9.25" style="29" customWidth="1"/>
    <col min="14862" max="14862" width="3.5" style="29" customWidth="1"/>
    <col min="14863" max="14864" width="12.625" style="29" customWidth="1"/>
    <col min="14865" max="14865" width="9" style="29"/>
    <col min="14866" max="14866" width="7.75" style="29" customWidth="1"/>
    <col min="14867" max="14867" width="13.125" style="29" customWidth="1"/>
    <col min="14868" max="14868" width="6.125" style="29" customWidth="1"/>
    <col min="14869" max="14869" width="9.75" style="29" customWidth="1"/>
    <col min="14870" max="14870" width="1.375" style="29" customWidth="1"/>
    <col min="14871" max="15110" width="9" style="29"/>
    <col min="15111" max="15111" width="1.375" style="29" customWidth="1"/>
    <col min="15112" max="15112" width="3.5" style="29" customWidth="1"/>
    <col min="15113" max="15113" width="22.125" style="29" customWidth="1"/>
    <col min="15114" max="15114" width="9.75" style="29" customWidth="1"/>
    <col min="15115" max="15115" width="7.375" style="29" customWidth="1"/>
    <col min="15116" max="15116" width="9" style="29"/>
    <col min="15117" max="15117" width="9.25" style="29" customWidth="1"/>
    <col min="15118" max="15118" width="3.5" style="29" customWidth="1"/>
    <col min="15119" max="15120" width="12.625" style="29" customWidth="1"/>
    <col min="15121" max="15121" width="9" style="29"/>
    <col min="15122" max="15122" width="7.75" style="29" customWidth="1"/>
    <col min="15123" max="15123" width="13.125" style="29" customWidth="1"/>
    <col min="15124" max="15124" width="6.125" style="29" customWidth="1"/>
    <col min="15125" max="15125" width="9.75" style="29" customWidth="1"/>
    <col min="15126" max="15126" width="1.375" style="29" customWidth="1"/>
    <col min="15127" max="15366" width="9" style="29"/>
    <col min="15367" max="15367" width="1.375" style="29" customWidth="1"/>
    <col min="15368" max="15368" width="3.5" style="29" customWidth="1"/>
    <col min="15369" max="15369" width="22.125" style="29" customWidth="1"/>
    <col min="15370" max="15370" width="9.75" style="29" customWidth="1"/>
    <col min="15371" max="15371" width="7.375" style="29" customWidth="1"/>
    <col min="15372" max="15372" width="9" style="29"/>
    <col min="15373" max="15373" width="9.25" style="29" customWidth="1"/>
    <col min="15374" max="15374" width="3.5" style="29" customWidth="1"/>
    <col min="15375" max="15376" width="12.625" style="29" customWidth="1"/>
    <col min="15377" max="15377" width="9" style="29"/>
    <col min="15378" max="15378" width="7.75" style="29" customWidth="1"/>
    <col min="15379" max="15379" width="13.125" style="29" customWidth="1"/>
    <col min="15380" max="15380" width="6.125" style="29" customWidth="1"/>
    <col min="15381" max="15381" width="9.75" style="29" customWidth="1"/>
    <col min="15382" max="15382" width="1.375" style="29" customWidth="1"/>
    <col min="15383" max="15622" width="9" style="29"/>
    <col min="15623" max="15623" width="1.375" style="29" customWidth="1"/>
    <col min="15624" max="15624" width="3.5" style="29" customWidth="1"/>
    <col min="15625" max="15625" width="22.125" style="29" customWidth="1"/>
    <col min="15626" max="15626" width="9.75" style="29" customWidth="1"/>
    <col min="15627" max="15627" width="7.375" style="29" customWidth="1"/>
    <col min="15628" max="15628" width="9" style="29"/>
    <col min="15629" max="15629" width="9.25" style="29" customWidth="1"/>
    <col min="15630" max="15630" width="3.5" style="29" customWidth="1"/>
    <col min="15631" max="15632" width="12.625" style="29" customWidth="1"/>
    <col min="15633" max="15633" width="9" style="29"/>
    <col min="15634" max="15634" width="7.75" style="29" customWidth="1"/>
    <col min="15635" max="15635" width="13.125" style="29" customWidth="1"/>
    <col min="15636" max="15636" width="6.125" style="29" customWidth="1"/>
    <col min="15637" max="15637" width="9.75" style="29" customWidth="1"/>
    <col min="15638" max="15638" width="1.375" style="29" customWidth="1"/>
    <col min="15639" max="15878" width="9" style="29"/>
    <col min="15879" max="15879" width="1.375" style="29" customWidth="1"/>
    <col min="15880" max="15880" width="3.5" style="29" customWidth="1"/>
    <col min="15881" max="15881" width="22.125" style="29" customWidth="1"/>
    <col min="15882" max="15882" width="9.75" style="29" customWidth="1"/>
    <col min="15883" max="15883" width="7.375" style="29" customWidth="1"/>
    <col min="15884" max="15884" width="9" style="29"/>
    <col min="15885" max="15885" width="9.25" style="29" customWidth="1"/>
    <col min="15886" max="15886" width="3.5" style="29" customWidth="1"/>
    <col min="15887" max="15888" width="12.625" style="29" customWidth="1"/>
    <col min="15889" max="15889" width="9" style="29"/>
    <col min="15890" max="15890" width="7.75" style="29" customWidth="1"/>
    <col min="15891" max="15891" width="13.125" style="29" customWidth="1"/>
    <col min="15892" max="15892" width="6.125" style="29" customWidth="1"/>
    <col min="15893" max="15893" width="9.75" style="29" customWidth="1"/>
    <col min="15894" max="15894" width="1.375" style="29" customWidth="1"/>
    <col min="15895" max="16134" width="9" style="29"/>
    <col min="16135" max="16135" width="1.375" style="29" customWidth="1"/>
    <col min="16136" max="16136" width="3.5" style="29" customWidth="1"/>
    <col min="16137" max="16137" width="22.125" style="29" customWidth="1"/>
    <col min="16138" max="16138" width="9.75" style="29" customWidth="1"/>
    <col min="16139" max="16139" width="7.375" style="29" customWidth="1"/>
    <col min="16140" max="16140" width="9" style="29"/>
    <col min="16141" max="16141" width="9.25" style="29" customWidth="1"/>
    <col min="16142" max="16142" width="3.5" style="29" customWidth="1"/>
    <col min="16143" max="16144" width="12.625" style="29" customWidth="1"/>
    <col min="16145" max="16145" width="9" style="29"/>
    <col min="16146" max="16146" width="7.75" style="29" customWidth="1"/>
    <col min="16147" max="16147" width="13.125" style="29" customWidth="1"/>
    <col min="16148" max="16148" width="6.125" style="29" customWidth="1"/>
    <col min="16149" max="16149" width="9.75" style="29" customWidth="1"/>
    <col min="16150" max="16150" width="1.375" style="29" customWidth="1"/>
    <col min="16151" max="16384" width="9" style="29"/>
  </cols>
  <sheetData>
    <row r="1" spans="2:25" ht="9.9499999999999993" customHeight="1" x14ac:dyDescent="0.15"/>
    <row r="2" spans="2:25" ht="24.95" customHeight="1" x14ac:dyDescent="0.15">
      <c r="B2" s="1" t="s">
        <v>467</v>
      </c>
      <c r="C2" s="31"/>
      <c r="D2" s="4"/>
      <c r="E2" s="4"/>
      <c r="F2" s="31"/>
      <c r="G2" s="100"/>
      <c r="H2" s="110"/>
      <c r="I2" s="100"/>
      <c r="J2" s="100"/>
      <c r="K2" s="100"/>
      <c r="L2" s="100"/>
      <c r="M2" s="100"/>
      <c r="N2" s="100"/>
      <c r="O2" s="4"/>
    </row>
    <row r="3" spans="2:25" ht="15" customHeight="1" thickBot="1" x14ac:dyDescent="0.2">
      <c r="B3" s="29" t="s">
        <v>164</v>
      </c>
      <c r="I3" s="4" t="s">
        <v>165</v>
      </c>
      <c r="P3" s="29" t="s">
        <v>186</v>
      </c>
    </row>
    <row r="4" spans="2:25" ht="15" customHeight="1" x14ac:dyDescent="0.15">
      <c r="B4" s="406" t="s">
        <v>70</v>
      </c>
      <c r="C4" s="407" t="s">
        <v>140</v>
      </c>
      <c r="D4" s="407" t="s">
        <v>110</v>
      </c>
      <c r="E4" s="407" t="s">
        <v>111</v>
      </c>
      <c r="F4" s="407" t="s">
        <v>21</v>
      </c>
      <c r="G4" s="408" t="s">
        <v>112</v>
      </c>
      <c r="H4" s="142"/>
      <c r="I4" s="908" t="s">
        <v>70</v>
      </c>
      <c r="J4" s="910" t="s">
        <v>143</v>
      </c>
      <c r="K4" s="409" t="s">
        <v>617</v>
      </c>
      <c r="L4" s="409" t="s">
        <v>113</v>
      </c>
      <c r="M4" s="910" t="s">
        <v>21</v>
      </c>
      <c r="N4" s="912" t="s">
        <v>112</v>
      </c>
      <c r="O4" s="149"/>
      <c r="P4" s="410" t="s">
        <v>146</v>
      </c>
      <c r="Q4" s="411" t="s">
        <v>147</v>
      </c>
      <c r="R4" s="411" t="s">
        <v>148</v>
      </c>
      <c r="S4" s="411" t="s">
        <v>304</v>
      </c>
      <c r="T4" s="914" t="s">
        <v>149</v>
      </c>
      <c r="U4" s="915"/>
      <c r="V4" s="412" t="s">
        <v>150</v>
      </c>
      <c r="W4" s="573" t="s">
        <v>305</v>
      </c>
      <c r="X4" s="573" t="s">
        <v>306</v>
      </c>
      <c r="Y4" s="573"/>
    </row>
    <row r="5" spans="2:25" ht="15" customHeight="1" x14ac:dyDescent="0.15">
      <c r="B5" s="899" t="s">
        <v>135</v>
      </c>
      <c r="C5" s="263" t="s">
        <v>294</v>
      </c>
      <c r="D5" s="263">
        <f>+肥料算出基礎!C4/1000</f>
        <v>3</v>
      </c>
      <c r="E5" s="413" t="s">
        <v>307</v>
      </c>
      <c r="F5" s="263">
        <f>+肥料算出基礎!K4/2</f>
        <v>22160</v>
      </c>
      <c r="G5" s="414">
        <f>D5*F5</f>
        <v>66480</v>
      </c>
      <c r="H5" s="143"/>
      <c r="I5" s="909"/>
      <c r="J5" s="911"/>
      <c r="K5" s="146" t="s">
        <v>115</v>
      </c>
      <c r="L5" s="577" t="s">
        <v>247</v>
      </c>
      <c r="M5" s="911"/>
      <c r="N5" s="913"/>
      <c r="O5" s="149"/>
      <c r="P5" s="415" t="s">
        <v>308</v>
      </c>
      <c r="Q5" s="416">
        <v>3</v>
      </c>
      <c r="R5" s="417" t="s">
        <v>309</v>
      </c>
      <c r="S5" s="416">
        <f>ROUNDDOWN(W5*1.1,-1)</f>
        <v>2290</v>
      </c>
      <c r="T5" s="904">
        <v>5</v>
      </c>
      <c r="U5" s="905"/>
      <c r="V5" s="418">
        <f>Q5*S5/T5</f>
        <v>1374</v>
      </c>
      <c r="W5" s="573">
        <v>2088</v>
      </c>
      <c r="X5" s="573">
        <v>500</v>
      </c>
      <c r="Y5" s="573" t="s">
        <v>310</v>
      </c>
    </row>
    <row r="6" spans="2:25" ht="15" customHeight="1" x14ac:dyDescent="0.15">
      <c r="B6" s="797"/>
      <c r="C6" s="263"/>
      <c r="D6" s="263"/>
      <c r="E6" s="413"/>
      <c r="F6" s="263"/>
      <c r="G6" s="134">
        <f t="shared" ref="G6" si="0">D6*F6</f>
        <v>0</v>
      </c>
      <c r="H6" s="143"/>
      <c r="I6" s="907" t="s">
        <v>142</v>
      </c>
      <c r="J6" s="263" t="s">
        <v>348</v>
      </c>
      <c r="K6" s="419">
        <v>9</v>
      </c>
      <c r="L6" s="419">
        <v>1</v>
      </c>
      <c r="M6" s="419">
        <v>116.8</v>
      </c>
      <c r="N6" s="134">
        <f>K6*L6*M6</f>
        <v>1051.2</v>
      </c>
      <c r="O6" s="149"/>
      <c r="P6" s="415" t="s">
        <v>349</v>
      </c>
      <c r="Q6" s="416">
        <v>5</v>
      </c>
      <c r="R6" s="417" t="s">
        <v>309</v>
      </c>
      <c r="S6" s="416">
        <f t="shared" ref="S6:S9" si="1">ROUNDDOWN(W6*1.1,-1)</f>
        <v>2560</v>
      </c>
      <c r="T6" s="904">
        <v>1</v>
      </c>
      <c r="U6" s="905"/>
      <c r="V6" s="418">
        <f t="shared" ref="V6:V8" si="2">Q6*S6/T6</f>
        <v>12800</v>
      </c>
      <c r="W6" s="573">
        <v>2333</v>
      </c>
      <c r="X6" s="573">
        <v>100</v>
      </c>
      <c r="Y6" s="573" t="s">
        <v>310</v>
      </c>
    </row>
    <row r="7" spans="2:25" ht="15" customHeight="1" thickBot="1" x14ac:dyDescent="0.2">
      <c r="B7" s="868"/>
      <c r="C7" s="421" t="s">
        <v>116</v>
      </c>
      <c r="D7" s="421"/>
      <c r="E7" s="421"/>
      <c r="F7" s="421"/>
      <c r="G7" s="422">
        <f>SUM(G5:G6)</f>
        <v>66480</v>
      </c>
      <c r="H7" s="143"/>
      <c r="I7" s="797"/>
      <c r="J7" s="263" t="s">
        <v>350</v>
      </c>
      <c r="K7" s="419">
        <v>6</v>
      </c>
      <c r="L7" s="419">
        <v>3</v>
      </c>
      <c r="M7" s="419">
        <v>116.8</v>
      </c>
      <c r="N7" s="134">
        <f t="shared" ref="N7:N10" si="3">K7*L7*M7</f>
        <v>2102.4</v>
      </c>
      <c r="O7" s="149"/>
      <c r="P7" s="415" t="s">
        <v>351</v>
      </c>
      <c r="Q7" s="416">
        <v>8</v>
      </c>
      <c r="R7" s="417" t="s">
        <v>352</v>
      </c>
      <c r="S7" s="416">
        <f t="shared" si="1"/>
        <v>2240</v>
      </c>
      <c r="T7" s="904">
        <v>5</v>
      </c>
      <c r="U7" s="905"/>
      <c r="V7" s="418">
        <f t="shared" si="2"/>
        <v>3584</v>
      </c>
      <c r="W7" s="573">
        <v>2042</v>
      </c>
      <c r="X7" s="573">
        <v>200</v>
      </c>
      <c r="Y7" s="573" t="s">
        <v>353</v>
      </c>
    </row>
    <row r="8" spans="2:25" ht="15" customHeight="1" thickTop="1" x14ac:dyDescent="0.15">
      <c r="B8" s="867" t="s">
        <v>133</v>
      </c>
      <c r="C8" s="263" t="s">
        <v>647</v>
      </c>
      <c r="D8" s="231">
        <f>+肥料算出基礎!C5/肥料算出基礎!J5</f>
        <v>0.75</v>
      </c>
      <c r="E8" s="413" t="s">
        <v>114</v>
      </c>
      <c r="F8" s="263">
        <f>+肥料算出基礎!K7</f>
        <v>860</v>
      </c>
      <c r="G8" s="134">
        <f>D8*F8</f>
        <v>645</v>
      </c>
      <c r="H8" s="143"/>
      <c r="I8" s="797"/>
      <c r="J8" s="263" t="s">
        <v>354</v>
      </c>
      <c r="K8" s="419">
        <v>6</v>
      </c>
      <c r="L8" s="419">
        <v>3</v>
      </c>
      <c r="M8" s="419">
        <v>116.8</v>
      </c>
      <c r="N8" s="134">
        <f t="shared" si="3"/>
        <v>2102.4</v>
      </c>
      <c r="O8" s="149"/>
      <c r="P8" s="415" t="s">
        <v>311</v>
      </c>
      <c r="Q8" s="416">
        <v>1</v>
      </c>
      <c r="R8" s="417" t="s">
        <v>312</v>
      </c>
      <c r="S8" s="416">
        <f t="shared" si="1"/>
        <v>1180</v>
      </c>
      <c r="T8" s="904">
        <v>1</v>
      </c>
      <c r="U8" s="905"/>
      <c r="V8" s="418">
        <f t="shared" si="2"/>
        <v>1180</v>
      </c>
      <c r="W8" s="573">
        <v>1080</v>
      </c>
      <c r="X8" s="573">
        <v>10</v>
      </c>
      <c r="Y8" s="573" t="s">
        <v>313</v>
      </c>
    </row>
    <row r="9" spans="2:25" ht="15" customHeight="1" x14ac:dyDescent="0.15">
      <c r="B9" s="797"/>
      <c r="C9" s="263" t="s">
        <v>648</v>
      </c>
      <c r="D9" s="263">
        <f>+肥料算出基礎!C6/肥料算出基礎!J6</f>
        <v>2</v>
      </c>
      <c r="E9" s="413" t="s">
        <v>114</v>
      </c>
      <c r="F9" s="263">
        <v>730</v>
      </c>
      <c r="G9" s="134">
        <f>D9*F9</f>
        <v>1460</v>
      </c>
      <c r="H9" s="143"/>
      <c r="I9" s="797"/>
      <c r="J9" s="263"/>
      <c r="K9" s="419"/>
      <c r="L9" s="419"/>
      <c r="M9" s="419"/>
      <c r="N9" s="134"/>
      <c r="O9" s="149"/>
      <c r="P9" s="415" t="s">
        <v>314</v>
      </c>
      <c r="Q9" s="416">
        <v>54</v>
      </c>
      <c r="R9" s="417" t="s">
        <v>312</v>
      </c>
      <c r="S9" s="416">
        <f t="shared" si="1"/>
        <v>370</v>
      </c>
      <c r="T9" s="904">
        <v>1</v>
      </c>
      <c r="U9" s="905"/>
      <c r="V9" s="418">
        <f>Q9*S9/T9</f>
        <v>19980</v>
      </c>
      <c r="W9" s="573">
        <v>337</v>
      </c>
      <c r="X9" s="573">
        <v>100</v>
      </c>
      <c r="Y9" s="573" t="s">
        <v>315</v>
      </c>
    </row>
    <row r="10" spans="2:25" ht="15" customHeight="1" x14ac:dyDescent="0.15">
      <c r="B10" s="797"/>
      <c r="C10" s="263" t="s">
        <v>649</v>
      </c>
      <c r="D10" s="263">
        <f>+肥料算出基礎!C8/肥料算出基礎!J8</f>
        <v>2</v>
      </c>
      <c r="E10" s="413" t="s">
        <v>114</v>
      </c>
      <c r="F10" s="263">
        <f>+肥料算出基礎!K10</f>
        <v>4930</v>
      </c>
      <c r="G10" s="134">
        <f>D10*F10</f>
        <v>9860</v>
      </c>
      <c r="H10" s="143"/>
      <c r="I10" s="797"/>
      <c r="J10" s="263"/>
      <c r="K10" s="419"/>
      <c r="L10" s="419"/>
      <c r="M10" s="419"/>
      <c r="N10" s="134">
        <f t="shared" si="3"/>
        <v>0</v>
      </c>
      <c r="O10" s="460"/>
      <c r="P10" s="127" t="s">
        <v>355</v>
      </c>
      <c r="Q10" s="420">
        <v>0.4</v>
      </c>
      <c r="R10" s="417" t="s">
        <v>309</v>
      </c>
      <c r="S10" s="416">
        <v>64600</v>
      </c>
      <c r="T10" s="904">
        <v>5</v>
      </c>
      <c r="U10" s="905"/>
      <c r="V10" s="418">
        <f>Q10*S10/T10</f>
        <v>5168</v>
      </c>
      <c r="W10" s="573"/>
      <c r="X10" s="573" t="s">
        <v>356</v>
      </c>
      <c r="Y10" s="573"/>
    </row>
    <row r="11" spans="2:25" ht="15" customHeight="1" thickBot="1" x14ac:dyDescent="0.2">
      <c r="B11" s="797"/>
      <c r="C11" s="263" t="s">
        <v>650</v>
      </c>
      <c r="D11" s="263">
        <f>+肥料算出基礎!C7/肥料算出基礎!J7</f>
        <v>2</v>
      </c>
      <c r="E11" s="413" t="s">
        <v>114</v>
      </c>
      <c r="F11" s="263">
        <f>+肥料算出基礎!K9</f>
        <v>4410</v>
      </c>
      <c r="G11" s="134">
        <f>D11*F11</f>
        <v>8820</v>
      </c>
      <c r="H11" s="143"/>
      <c r="I11" s="868"/>
      <c r="J11" s="426" t="s">
        <v>357</v>
      </c>
      <c r="K11" s="427">
        <f t="shared" ref="K11:L11" si="4">SUM(K6:K10)</f>
        <v>21</v>
      </c>
      <c r="L11" s="427">
        <f t="shared" si="4"/>
        <v>7</v>
      </c>
      <c r="M11" s="427"/>
      <c r="N11" s="428">
        <f>SUM(N6:N10)</f>
        <v>5256</v>
      </c>
      <c r="O11" s="149"/>
      <c r="P11" s="415" t="s">
        <v>316</v>
      </c>
      <c r="Q11" s="420">
        <v>2.6</v>
      </c>
      <c r="R11" s="417" t="s">
        <v>309</v>
      </c>
      <c r="S11" s="416">
        <f>ROUNDDOWN(W11*1.1,-1)</f>
        <v>6220</v>
      </c>
      <c r="T11" s="904">
        <v>5</v>
      </c>
      <c r="U11" s="905"/>
      <c r="V11" s="418">
        <f>Q11*S11/T11</f>
        <v>3234.4</v>
      </c>
      <c r="W11" s="573">
        <v>5657</v>
      </c>
      <c r="X11" s="573" t="s">
        <v>317</v>
      </c>
      <c r="Y11" s="573"/>
    </row>
    <row r="12" spans="2:25" ht="15" customHeight="1" thickTop="1" thickBot="1" x14ac:dyDescent="0.2">
      <c r="B12" s="868"/>
      <c r="C12" s="135" t="s">
        <v>117</v>
      </c>
      <c r="D12" s="136"/>
      <c r="E12" s="136"/>
      <c r="F12" s="136"/>
      <c r="G12" s="137">
        <f>SUM(G8:G11)</f>
        <v>20785</v>
      </c>
      <c r="H12" s="143"/>
      <c r="I12" s="867" t="s">
        <v>358</v>
      </c>
      <c r="J12" s="263" t="s">
        <v>318</v>
      </c>
      <c r="K12" s="419">
        <v>25</v>
      </c>
      <c r="L12" s="419">
        <v>1</v>
      </c>
      <c r="M12" s="419">
        <v>158.4</v>
      </c>
      <c r="N12" s="134">
        <f>K12*L12*M12</f>
        <v>3960</v>
      </c>
      <c r="O12" s="149"/>
      <c r="P12" s="415" t="s">
        <v>470</v>
      </c>
      <c r="Q12" s="420">
        <v>4.5</v>
      </c>
      <c r="R12" s="417" t="s">
        <v>309</v>
      </c>
      <c r="S12" s="416">
        <v>21700</v>
      </c>
      <c r="T12" s="904">
        <v>5</v>
      </c>
      <c r="U12" s="905"/>
      <c r="V12" s="418">
        <f>Q12*S12/T12</f>
        <v>19530</v>
      </c>
      <c r="W12" s="573">
        <v>21700</v>
      </c>
      <c r="X12" s="573" t="s">
        <v>471</v>
      </c>
      <c r="Y12" s="573"/>
    </row>
    <row r="13" spans="2:25" ht="15" customHeight="1" thickTop="1" x14ac:dyDescent="0.15">
      <c r="B13" s="867" t="s">
        <v>134</v>
      </c>
      <c r="C13" s="263" t="s">
        <v>634</v>
      </c>
      <c r="D13" s="231">
        <f>+肥料算出基礎!C5/肥料算出基礎!J5</f>
        <v>0.75</v>
      </c>
      <c r="E13" s="413" t="s">
        <v>114</v>
      </c>
      <c r="F13" s="263">
        <f>+肥料算出基礎!K5</f>
        <v>3200</v>
      </c>
      <c r="G13" s="134">
        <f>D13*F13</f>
        <v>2400</v>
      </c>
      <c r="H13" s="143"/>
      <c r="I13" s="797"/>
      <c r="J13" s="263" t="s">
        <v>319</v>
      </c>
      <c r="K13" s="419">
        <v>10</v>
      </c>
      <c r="L13" s="419">
        <v>1</v>
      </c>
      <c r="M13" s="419">
        <v>158.4</v>
      </c>
      <c r="N13" s="134">
        <f t="shared" ref="N13:N15" si="5">K13*L13*M13</f>
        <v>1584</v>
      </c>
      <c r="O13" s="149"/>
      <c r="P13" s="415"/>
      <c r="Q13" s="416"/>
      <c r="R13" s="417"/>
      <c r="S13" s="416"/>
      <c r="T13" s="904"/>
      <c r="U13" s="905"/>
      <c r="V13" s="418"/>
      <c r="W13" s="573"/>
      <c r="X13" s="573"/>
      <c r="Y13" s="573"/>
    </row>
    <row r="14" spans="2:25" ht="15" customHeight="1" x14ac:dyDescent="0.15">
      <c r="B14" s="797"/>
      <c r="C14" s="263" t="s">
        <v>635</v>
      </c>
      <c r="D14" s="263">
        <f>+肥料算出基礎!C6/肥料算出基礎!J6</f>
        <v>2</v>
      </c>
      <c r="E14" s="413" t="s">
        <v>114</v>
      </c>
      <c r="F14" s="263">
        <f>+肥料算出基礎!K6</f>
        <v>2880</v>
      </c>
      <c r="G14" s="134">
        <f>D14*F14</f>
        <v>5760</v>
      </c>
      <c r="H14" s="143"/>
      <c r="I14" s="797"/>
      <c r="J14" s="263" t="s">
        <v>320</v>
      </c>
      <c r="K14" s="419">
        <v>5</v>
      </c>
      <c r="L14" s="419">
        <v>1</v>
      </c>
      <c r="M14" s="419">
        <v>158.4</v>
      </c>
      <c r="N14" s="134">
        <f t="shared" si="5"/>
        <v>792</v>
      </c>
      <c r="O14" s="149"/>
      <c r="P14" s="415"/>
      <c r="Q14" s="416"/>
      <c r="R14" s="417"/>
      <c r="S14" s="416"/>
      <c r="T14" s="904"/>
      <c r="U14" s="905"/>
      <c r="V14" s="418"/>
      <c r="W14" s="573"/>
      <c r="X14" s="573"/>
      <c r="Y14" s="573"/>
    </row>
    <row r="15" spans="2:25" ht="15" customHeight="1" x14ac:dyDescent="0.15">
      <c r="B15" s="797"/>
      <c r="C15" s="263"/>
      <c r="D15" s="263"/>
      <c r="E15" s="413"/>
      <c r="F15" s="263"/>
      <c r="G15" s="134">
        <f>D15*F15</f>
        <v>0</v>
      </c>
      <c r="H15" s="143"/>
      <c r="I15" s="797"/>
      <c r="J15" s="263" t="s">
        <v>321</v>
      </c>
      <c r="K15" s="419">
        <v>50</v>
      </c>
      <c r="L15" s="419">
        <v>1</v>
      </c>
      <c r="M15" s="419">
        <v>158.4</v>
      </c>
      <c r="N15" s="134">
        <f t="shared" si="5"/>
        <v>7920</v>
      </c>
      <c r="O15" s="149"/>
      <c r="P15" s="415"/>
      <c r="Q15" s="416"/>
      <c r="R15" s="417"/>
      <c r="S15" s="416"/>
      <c r="T15" s="904"/>
      <c r="U15" s="905"/>
      <c r="V15" s="418"/>
      <c r="W15" s="573"/>
      <c r="X15" s="573"/>
      <c r="Y15" s="573"/>
    </row>
    <row r="16" spans="2:25" ht="15" customHeight="1" thickBot="1" x14ac:dyDescent="0.2">
      <c r="B16" s="797"/>
      <c r="C16" s="263"/>
      <c r="D16" s="263"/>
      <c r="E16" s="263"/>
      <c r="F16" s="263"/>
      <c r="G16" s="134">
        <f t="shared" ref="G16" si="6">D16*F16</f>
        <v>0</v>
      </c>
      <c r="H16" s="143"/>
      <c r="I16" s="868"/>
      <c r="J16" s="426" t="s">
        <v>359</v>
      </c>
      <c r="K16" s="427">
        <f t="shared" ref="K16:L16" si="7">SUM(K12:K15)</f>
        <v>90</v>
      </c>
      <c r="L16" s="427">
        <f t="shared" si="7"/>
        <v>4</v>
      </c>
      <c r="M16" s="427"/>
      <c r="N16" s="428">
        <f>SUM(N12:N15)</f>
        <v>14256</v>
      </c>
      <c r="O16" s="149"/>
      <c r="P16" s="415"/>
      <c r="Q16" s="416"/>
      <c r="R16" s="417"/>
      <c r="S16" s="416"/>
      <c r="T16" s="904"/>
      <c r="U16" s="905"/>
      <c r="V16" s="418"/>
      <c r="W16" s="573"/>
      <c r="X16" s="573"/>
      <c r="Y16" s="573"/>
    </row>
    <row r="17" spans="2:25" ht="15" customHeight="1" thickTop="1" thickBot="1" x14ac:dyDescent="0.2">
      <c r="B17" s="868"/>
      <c r="C17" s="135" t="s">
        <v>117</v>
      </c>
      <c r="D17" s="136"/>
      <c r="E17" s="136"/>
      <c r="F17" s="136"/>
      <c r="G17" s="137">
        <f>SUM(G13:G16)</f>
        <v>8160</v>
      </c>
      <c r="H17" s="143"/>
      <c r="I17" s="867" t="s">
        <v>144</v>
      </c>
      <c r="J17" s="263" t="s">
        <v>322</v>
      </c>
      <c r="K17" s="419">
        <v>22</v>
      </c>
      <c r="L17" s="419">
        <v>0.5</v>
      </c>
      <c r="M17" s="419">
        <v>168.4</v>
      </c>
      <c r="N17" s="134">
        <f>K17*L17*M17</f>
        <v>1852.4</v>
      </c>
      <c r="O17" s="149"/>
      <c r="P17" s="415"/>
      <c r="Q17" s="416"/>
      <c r="R17" s="417"/>
      <c r="S17" s="416"/>
      <c r="T17" s="904"/>
      <c r="U17" s="905"/>
      <c r="V17" s="418"/>
      <c r="W17" s="573"/>
      <c r="X17" s="573"/>
      <c r="Y17" s="573"/>
    </row>
    <row r="18" spans="2:25" ht="15" customHeight="1" thickTop="1" x14ac:dyDescent="0.15">
      <c r="B18" s="867" t="s">
        <v>136</v>
      </c>
      <c r="C18" s="263" t="s">
        <v>636</v>
      </c>
      <c r="D18" s="231">
        <f>+肥料算出基礎!C11/肥料算出基礎!J11</f>
        <v>0.19999999999999998</v>
      </c>
      <c r="E18" s="413" t="s">
        <v>119</v>
      </c>
      <c r="F18" s="263">
        <f>+肥料算出基礎!K11</f>
        <v>8250</v>
      </c>
      <c r="G18" s="134">
        <f t="shared" ref="G18" si="8">D18*F18</f>
        <v>1649.9999999999998</v>
      </c>
      <c r="H18" s="143"/>
      <c r="I18" s="797"/>
      <c r="J18" s="263"/>
      <c r="K18" s="419"/>
      <c r="L18" s="419"/>
      <c r="M18" s="419"/>
      <c r="N18" s="134">
        <f t="shared" ref="N18:N19" si="9">K18*L18*M18</f>
        <v>0</v>
      </c>
      <c r="O18" s="149"/>
      <c r="P18" s="415"/>
      <c r="Q18" s="416"/>
      <c r="R18" s="417"/>
      <c r="S18" s="416"/>
      <c r="T18" s="904"/>
      <c r="U18" s="905"/>
      <c r="V18" s="418"/>
      <c r="W18" s="573"/>
      <c r="X18" s="573"/>
      <c r="Y18" s="573"/>
    </row>
    <row r="19" spans="2:25" ht="15" customHeight="1" x14ac:dyDescent="0.15">
      <c r="B19" s="797"/>
      <c r="C19" s="263"/>
      <c r="D19" s="263"/>
      <c r="E19" s="413"/>
      <c r="F19" s="263"/>
      <c r="G19" s="134">
        <f>D19*F19</f>
        <v>0</v>
      </c>
      <c r="H19" s="143"/>
      <c r="I19" s="797"/>
      <c r="J19" s="263"/>
      <c r="K19" s="419"/>
      <c r="L19" s="419"/>
      <c r="M19" s="419"/>
      <c r="N19" s="134">
        <f t="shared" si="9"/>
        <v>0</v>
      </c>
      <c r="O19" s="149"/>
      <c r="P19" s="415"/>
      <c r="Q19" s="416"/>
      <c r="R19" s="417"/>
      <c r="S19" s="416"/>
      <c r="T19" s="904"/>
      <c r="U19" s="905"/>
      <c r="V19" s="418"/>
      <c r="W19" s="573"/>
      <c r="X19" s="573"/>
      <c r="Y19" s="573"/>
    </row>
    <row r="20" spans="2:25" ht="15" customHeight="1" thickBot="1" x14ac:dyDescent="0.2">
      <c r="B20" s="797"/>
      <c r="C20" s="263"/>
      <c r="D20" s="263"/>
      <c r="E20" s="263"/>
      <c r="F20" s="263"/>
      <c r="G20" s="134">
        <f t="shared" ref="G20" si="10">D20*F20</f>
        <v>0</v>
      </c>
      <c r="H20" s="143"/>
      <c r="I20" s="868"/>
      <c r="J20" s="426" t="s">
        <v>323</v>
      </c>
      <c r="K20" s="427">
        <f>SUM(K17:K19)</f>
        <v>22</v>
      </c>
      <c r="L20" s="429">
        <f>SUM(L17:L19)</f>
        <v>0.5</v>
      </c>
      <c r="M20" s="430"/>
      <c r="N20" s="428">
        <f>SUM(N17:N19)</f>
        <v>1852.4</v>
      </c>
      <c r="O20" s="149"/>
      <c r="P20" s="415"/>
      <c r="Q20" s="416"/>
      <c r="R20" s="417"/>
      <c r="S20" s="416"/>
      <c r="T20" s="904"/>
      <c r="U20" s="905"/>
      <c r="V20" s="418"/>
      <c r="W20" s="573"/>
      <c r="X20" s="573"/>
      <c r="Y20" s="573"/>
    </row>
    <row r="21" spans="2:25" ht="15" customHeight="1" thickTop="1" thickBot="1" x14ac:dyDescent="0.2">
      <c r="B21" s="868"/>
      <c r="C21" s="135" t="s">
        <v>117</v>
      </c>
      <c r="D21" s="136"/>
      <c r="E21" s="136"/>
      <c r="F21" s="136"/>
      <c r="G21" s="137">
        <f>SUM(G18:G20)</f>
        <v>1649.9999999999998</v>
      </c>
      <c r="H21" s="143"/>
      <c r="I21" s="867" t="s">
        <v>145</v>
      </c>
      <c r="J21" s="263"/>
      <c r="K21" s="419"/>
      <c r="L21" s="419"/>
      <c r="M21" s="419"/>
      <c r="N21" s="134">
        <f>K21*L21*M21</f>
        <v>0</v>
      </c>
      <c r="O21" s="149"/>
      <c r="P21" s="431" t="s">
        <v>26</v>
      </c>
      <c r="Q21" s="432"/>
      <c r="R21" s="432"/>
      <c r="S21" s="432"/>
      <c r="T21" s="906"/>
      <c r="U21" s="889"/>
      <c r="V21" s="433">
        <f>SUM(V5:V20)</f>
        <v>66850.399999999994</v>
      </c>
      <c r="W21" s="573"/>
      <c r="X21" s="573"/>
      <c r="Y21" s="573"/>
    </row>
    <row r="22" spans="2:25" ht="15" customHeight="1" thickTop="1" x14ac:dyDescent="0.15">
      <c r="B22" s="867" t="s">
        <v>137</v>
      </c>
      <c r="C22" s="263"/>
      <c r="D22" s="263"/>
      <c r="E22" s="413"/>
      <c r="F22" s="263"/>
      <c r="G22" s="134">
        <f>D22*F22</f>
        <v>0</v>
      </c>
      <c r="H22" s="143"/>
      <c r="I22" s="797"/>
      <c r="J22" s="263"/>
      <c r="K22" s="419"/>
      <c r="L22" s="419"/>
      <c r="M22" s="419"/>
      <c r="N22" s="134">
        <f t="shared" ref="N22:N23" si="11">K22*L22*M22</f>
        <v>0</v>
      </c>
      <c r="O22" s="149"/>
      <c r="W22" s="573"/>
      <c r="X22" s="573"/>
      <c r="Y22" s="573"/>
    </row>
    <row r="23" spans="2:25" ht="15" customHeight="1" thickBot="1" x14ac:dyDescent="0.2">
      <c r="B23" s="797"/>
      <c r="C23" s="263"/>
      <c r="D23" s="263"/>
      <c r="E23" s="413"/>
      <c r="F23" s="263"/>
      <c r="G23" s="134">
        <f>D23*F23</f>
        <v>0</v>
      </c>
      <c r="H23" s="143"/>
      <c r="I23" s="797"/>
      <c r="J23" s="263"/>
      <c r="K23" s="419"/>
      <c r="L23" s="419"/>
      <c r="M23" s="419"/>
      <c r="N23" s="134">
        <f t="shared" si="11"/>
        <v>0</v>
      </c>
      <c r="O23" s="149"/>
      <c r="P23" s="29" t="s">
        <v>187</v>
      </c>
      <c r="W23" s="573"/>
      <c r="X23" s="573"/>
      <c r="Y23" s="573"/>
    </row>
    <row r="24" spans="2:25" ht="15" customHeight="1" thickBot="1" x14ac:dyDescent="0.2">
      <c r="B24" s="797"/>
      <c r="C24" s="263"/>
      <c r="D24" s="263"/>
      <c r="E24" s="413"/>
      <c r="F24" s="263"/>
      <c r="G24" s="134">
        <f>D24*F24</f>
        <v>0</v>
      </c>
      <c r="H24" s="143"/>
      <c r="I24" s="868"/>
      <c r="J24" s="426" t="s">
        <v>360</v>
      </c>
      <c r="K24" s="427">
        <f>SUM(K21:K23)</f>
        <v>0</v>
      </c>
      <c r="L24" s="429">
        <f>SUM(L21:L23)</f>
        <v>0</v>
      </c>
      <c r="M24" s="430"/>
      <c r="N24" s="428">
        <f>SUM(N21:N23)</f>
        <v>0</v>
      </c>
      <c r="O24" s="149"/>
      <c r="P24" s="410" t="s">
        <v>151</v>
      </c>
      <c r="Q24" s="411" t="s">
        <v>147</v>
      </c>
      <c r="R24" s="411" t="s">
        <v>148</v>
      </c>
      <c r="S24" s="411" t="s">
        <v>304</v>
      </c>
      <c r="T24" s="411" t="s">
        <v>149</v>
      </c>
      <c r="U24" s="434" t="s">
        <v>405</v>
      </c>
      <c r="V24" s="412" t="s">
        <v>150</v>
      </c>
      <c r="W24" s="573" t="s">
        <v>254</v>
      </c>
      <c r="X24" s="573" t="s">
        <v>324</v>
      </c>
      <c r="Y24" s="573"/>
    </row>
    <row r="25" spans="2:25" ht="15" customHeight="1" thickTop="1" thickBot="1" x14ac:dyDescent="0.2">
      <c r="B25" s="881"/>
      <c r="C25" s="138" t="s">
        <v>120</v>
      </c>
      <c r="D25" s="139"/>
      <c r="E25" s="139"/>
      <c r="F25" s="145"/>
      <c r="G25" s="140">
        <f>SUM(G22:G24)</f>
        <v>0</v>
      </c>
      <c r="I25" s="867" t="s">
        <v>225</v>
      </c>
      <c r="J25" s="263"/>
      <c r="K25" s="419"/>
      <c r="L25" s="419"/>
      <c r="M25" s="419"/>
      <c r="N25" s="134">
        <f>K25*L25*M25</f>
        <v>0</v>
      </c>
      <c r="O25" s="149"/>
      <c r="P25" s="415" t="s">
        <v>361</v>
      </c>
      <c r="Q25" s="416">
        <f>+X25*10</f>
        <v>5</v>
      </c>
      <c r="R25" s="417" t="s">
        <v>222</v>
      </c>
      <c r="S25" s="416">
        <f t="shared" ref="S25:S29" si="12">ROUNDDOWN(W25*1.1,-1)</f>
        <v>5160</v>
      </c>
      <c r="T25" s="416">
        <v>2</v>
      </c>
      <c r="U25" s="435">
        <v>1</v>
      </c>
      <c r="V25" s="418">
        <f>Q25*S25/T25/U25</f>
        <v>12900</v>
      </c>
      <c r="W25" s="573">
        <v>4692</v>
      </c>
      <c r="X25" s="580">
        <v>0.5</v>
      </c>
      <c r="Y25" s="573"/>
    </row>
    <row r="26" spans="2:25" ht="15" customHeight="1" x14ac:dyDescent="0.15">
      <c r="H26" s="144"/>
      <c r="I26" s="797"/>
      <c r="J26" s="263"/>
      <c r="K26" s="419"/>
      <c r="L26" s="419"/>
      <c r="M26" s="419"/>
      <c r="N26" s="134">
        <f t="shared" ref="N26:N27" si="13">K26*L26*M26</f>
        <v>0</v>
      </c>
      <c r="O26" s="149"/>
      <c r="P26" s="415" t="s">
        <v>326</v>
      </c>
      <c r="Q26" s="416">
        <f t="shared" ref="Q26:Q30" si="14">+X26*10</f>
        <v>5</v>
      </c>
      <c r="R26" s="417" t="s">
        <v>327</v>
      </c>
      <c r="S26" s="416">
        <f t="shared" si="12"/>
        <v>3390</v>
      </c>
      <c r="T26" s="416">
        <v>2</v>
      </c>
      <c r="U26" s="435">
        <v>1</v>
      </c>
      <c r="V26" s="418">
        <f t="shared" ref="V26:V37" si="15">Q26*S26/T26/U26</f>
        <v>8475</v>
      </c>
      <c r="W26" s="573">
        <v>3086</v>
      </c>
      <c r="X26" s="580">
        <v>0.5</v>
      </c>
      <c r="Y26" s="573"/>
    </row>
    <row r="27" spans="2:25" ht="15" customHeight="1" thickBot="1" x14ac:dyDescent="0.2">
      <c r="B27" s="4" t="s">
        <v>328</v>
      </c>
      <c r="C27" s="4"/>
      <c r="D27" s="31"/>
      <c r="E27" s="4"/>
      <c r="F27" s="31"/>
      <c r="G27" s="32"/>
      <c r="H27" s="142"/>
      <c r="I27" s="797"/>
      <c r="J27" s="263"/>
      <c r="K27" s="419"/>
      <c r="L27" s="419"/>
      <c r="M27" s="419"/>
      <c r="N27" s="134">
        <f t="shared" si="13"/>
        <v>0</v>
      </c>
      <c r="O27" s="149"/>
      <c r="P27" s="415" t="s">
        <v>329</v>
      </c>
      <c r="Q27" s="416">
        <f t="shared" si="14"/>
        <v>2</v>
      </c>
      <c r="R27" s="417" t="s">
        <v>327</v>
      </c>
      <c r="S27" s="416">
        <v>5720</v>
      </c>
      <c r="T27" s="416">
        <v>2</v>
      </c>
      <c r="U27" s="435">
        <v>1</v>
      </c>
      <c r="V27" s="418">
        <f t="shared" si="15"/>
        <v>5720</v>
      </c>
      <c r="W27" s="573"/>
      <c r="X27" s="580">
        <v>0.2</v>
      </c>
      <c r="Y27" s="573"/>
    </row>
    <row r="28" spans="2:25" ht="15" customHeight="1" thickBot="1" x14ac:dyDescent="0.2">
      <c r="B28" s="406" t="s">
        <v>70</v>
      </c>
      <c r="C28" s="407" t="s">
        <v>109</v>
      </c>
      <c r="D28" s="407" t="s">
        <v>398</v>
      </c>
      <c r="E28" s="407" t="s">
        <v>111</v>
      </c>
      <c r="F28" s="407" t="s">
        <v>21</v>
      </c>
      <c r="G28" s="408" t="s">
        <v>112</v>
      </c>
      <c r="H28" s="143"/>
      <c r="I28" s="868"/>
      <c r="J28" s="426" t="s">
        <v>330</v>
      </c>
      <c r="K28" s="427">
        <f>SUM(K25:K27)</f>
        <v>0</v>
      </c>
      <c r="L28" s="429">
        <f>SUM(L25:L27)</f>
        <v>0</v>
      </c>
      <c r="M28" s="430"/>
      <c r="N28" s="428">
        <f>SUM(N25:N27)</f>
        <v>0</v>
      </c>
      <c r="O28" s="149"/>
      <c r="P28" s="415" t="s">
        <v>331</v>
      </c>
      <c r="Q28" s="416">
        <f t="shared" si="14"/>
        <v>5</v>
      </c>
      <c r="R28" s="417" t="s">
        <v>327</v>
      </c>
      <c r="S28" s="416">
        <f t="shared" si="12"/>
        <v>970</v>
      </c>
      <c r="T28" s="416">
        <v>2</v>
      </c>
      <c r="U28" s="435">
        <v>1</v>
      </c>
      <c r="V28" s="418">
        <f t="shared" si="15"/>
        <v>2425</v>
      </c>
      <c r="W28" s="573">
        <v>885</v>
      </c>
      <c r="X28" s="580">
        <v>0.5</v>
      </c>
      <c r="Y28" s="573"/>
    </row>
    <row r="29" spans="2:25" ht="15" customHeight="1" thickTop="1" x14ac:dyDescent="0.15">
      <c r="B29" s="899" t="s">
        <v>27</v>
      </c>
      <c r="C29" s="263" t="s">
        <v>637</v>
      </c>
      <c r="D29" s="231">
        <f>+農薬算出基礎!D3/農薬算出基礎!C3*1000/農薬算出基礎!E3</f>
        <v>0.8</v>
      </c>
      <c r="E29" s="413" t="s">
        <v>114</v>
      </c>
      <c r="F29" s="263">
        <f>+農薬算出基礎!F3</f>
        <v>3660</v>
      </c>
      <c r="G29" s="414">
        <f t="shared" ref="G29:G41" si="16">D29*F29</f>
        <v>2928</v>
      </c>
      <c r="H29" s="143"/>
      <c r="I29" s="867" t="s">
        <v>141</v>
      </c>
      <c r="J29" s="263"/>
      <c r="K29" s="419"/>
      <c r="L29" s="419"/>
      <c r="M29" s="419"/>
      <c r="N29" s="134">
        <f>K29*L29*M29</f>
        <v>0</v>
      </c>
      <c r="O29" s="149"/>
      <c r="P29" s="415" t="s">
        <v>362</v>
      </c>
      <c r="Q29" s="416">
        <v>40</v>
      </c>
      <c r="R29" s="417" t="s">
        <v>222</v>
      </c>
      <c r="S29" s="416">
        <f t="shared" si="12"/>
        <v>1180</v>
      </c>
      <c r="T29" s="416">
        <v>5</v>
      </c>
      <c r="U29" s="435">
        <v>1</v>
      </c>
      <c r="V29" s="418">
        <f t="shared" si="15"/>
        <v>9440</v>
      </c>
      <c r="W29" s="573">
        <v>1080</v>
      </c>
      <c r="X29" s="580">
        <v>8</v>
      </c>
      <c r="Y29" s="573"/>
    </row>
    <row r="30" spans="2:25" ht="15" customHeight="1" x14ac:dyDescent="0.15">
      <c r="B30" s="797"/>
      <c r="C30" s="263" t="s">
        <v>638</v>
      </c>
      <c r="D30" s="231">
        <f>+農薬算出基礎!D4/農薬算出基礎!C4*1000/農薬算出基礎!E4</f>
        <v>0.75</v>
      </c>
      <c r="E30" s="413" t="s">
        <v>114</v>
      </c>
      <c r="F30" s="263">
        <f>+農薬算出基礎!F4</f>
        <v>1840</v>
      </c>
      <c r="G30" s="134">
        <f t="shared" si="16"/>
        <v>1380</v>
      </c>
      <c r="H30" s="143"/>
      <c r="I30" s="797"/>
      <c r="J30" s="263"/>
      <c r="K30" s="419"/>
      <c r="L30" s="419"/>
      <c r="M30" s="419"/>
      <c r="N30" s="134">
        <f t="shared" ref="N30:N31" si="17">K30*L30*M30</f>
        <v>0</v>
      </c>
      <c r="O30" s="30"/>
      <c r="P30" s="415" t="s">
        <v>333</v>
      </c>
      <c r="Q30" s="416">
        <f t="shared" si="14"/>
        <v>2</v>
      </c>
      <c r="R30" s="417" t="s">
        <v>78</v>
      </c>
      <c r="S30" s="416">
        <f>ROUNDDOWN(W30*1.08,-1)</f>
        <v>10470</v>
      </c>
      <c r="T30" s="416">
        <v>5</v>
      </c>
      <c r="U30" s="435">
        <v>1</v>
      </c>
      <c r="V30" s="418">
        <f t="shared" si="15"/>
        <v>4188</v>
      </c>
      <c r="W30" s="573">
        <v>9700</v>
      </c>
      <c r="X30" s="580">
        <v>0.2</v>
      </c>
      <c r="Y30" s="573" t="s">
        <v>334</v>
      </c>
    </row>
    <row r="31" spans="2:25" ht="15" customHeight="1" x14ac:dyDescent="0.15">
      <c r="B31" s="797"/>
      <c r="C31" s="263" t="s">
        <v>639</v>
      </c>
      <c r="D31" s="231">
        <f>+農薬算出基礎!D5/農薬算出基礎!C5*1000/農薬算出基礎!E5</f>
        <v>0.4</v>
      </c>
      <c r="E31" s="413" t="s">
        <v>114</v>
      </c>
      <c r="F31" s="263">
        <f>+農薬算出基礎!F5</f>
        <v>6260</v>
      </c>
      <c r="G31" s="134">
        <f t="shared" si="16"/>
        <v>2504</v>
      </c>
      <c r="H31" s="143"/>
      <c r="I31" s="797"/>
      <c r="J31" s="263"/>
      <c r="K31" s="419"/>
      <c r="L31" s="419"/>
      <c r="M31" s="419"/>
      <c r="N31" s="134">
        <f t="shared" si="17"/>
        <v>0</v>
      </c>
      <c r="P31" s="415" t="s">
        <v>363</v>
      </c>
      <c r="Q31" s="416">
        <f>+X31*10</f>
        <v>4</v>
      </c>
      <c r="R31" s="417" t="s">
        <v>78</v>
      </c>
      <c r="S31" s="416">
        <f>ROUNDDOWN(W31*1.08,-1)</f>
        <v>3020</v>
      </c>
      <c r="T31" s="416">
        <v>5</v>
      </c>
      <c r="U31" s="435">
        <v>1</v>
      </c>
      <c r="V31" s="418">
        <f t="shared" si="15"/>
        <v>2416</v>
      </c>
      <c r="W31" s="573">
        <v>2800</v>
      </c>
      <c r="X31" s="580">
        <v>0.4</v>
      </c>
      <c r="Y31" s="573" t="s">
        <v>336</v>
      </c>
    </row>
    <row r="32" spans="2:25" ht="15" customHeight="1" thickBot="1" x14ac:dyDescent="0.2">
      <c r="B32" s="797"/>
      <c r="C32" s="263" t="s">
        <v>640</v>
      </c>
      <c r="D32" s="231">
        <f>+農薬算出基礎!D6/農薬算出基礎!C6*1000/農薬算出基礎!E6</f>
        <v>0.3</v>
      </c>
      <c r="E32" s="413" t="s">
        <v>114</v>
      </c>
      <c r="F32" s="263">
        <f>+農薬算出基礎!F6</f>
        <v>3690</v>
      </c>
      <c r="G32" s="134">
        <f t="shared" si="16"/>
        <v>1107</v>
      </c>
      <c r="H32" s="143"/>
      <c r="I32" s="881"/>
      <c r="J32" s="436" t="s">
        <v>364</v>
      </c>
      <c r="K32" s="437">
        <f>SUM(K29:K31)</f>
        <v>0</v>
      </c>
      <c r="L32" s="438">
        <f>SUM(L29:L31)</f>
        <v>0</v>
      </c>
      <c r="M32" s="439"/>
      <c r="N32" s="440">
        <f>SUM(N29:N31)</f>
        <v>0</v>
      </c>
      <c r="P32" s="415" t="s">
        <v>365</v>
      </c>
      <c r="Q32" s="416">
        <v>1</v>
      </c>
      <c r="R32" s="417" t="s">
        <v>222</v>
      </c>
      <c r="S32" s="416">
        <v>30000</v>
      </c>
      <c r="T32" s="416">
        <v>10</v>
      </c>
      <c r="U32" s="435">
        <v>1</v>
      </c>
      <c r="V32" s="418">
        <f t="shared" si="15"/>
        <v>3000</v>
      </c>
    </row>
    <row r="33" spans="2:22" ht="15" customHeight="1" x14ac:dyDescent="0.15">
      <c r="B33" s="797"/>
      <c r="C33" s="263" t="s">
        <v>641</v>
      </c>
      <c r="D33" s="231">
        <f>+農薬算出基礎!D7/農薬算出基礎!C7*1000/農薬算出基礎!E7</f>
        <v>0.3</v>
      </c>
      <c r="E33" s="413" t="s">
        <v>114</v>
      </c>
      <c r="F33" s="263">
        <f>+農薬算出基礎!F7</f>
        <v>4570</v>
      </c>
      <c r="G33" s="134">
        <f>D33*F33</f>
        <v>1371</v>
      </c>
      <c r="H33" s="143"/>
      <c r="I33" s="441"/>
      <c r="J33" s="142"/>
      <c r="K33" s="442"/>
      <c r="L33" s="442"/>
      <c r="M33" s="442"/>
      <c r="N33" s="143"/>
      <c r="P33" s="415" t="s">
        <v>338</v>
      </c>
      <c r="Q33" s="416">
        <v>1</v>
      </c>
      <c r="R33" s="417" t="s">
        <v>78</v>
      </c>
      <c r="S33" s="416">
        <v>30000</v>
      </c>
      <c r="T33" s="416">
        <v>7</v>
      </c>
      <c r="U33" s="435">
        <v>1</v>
      </c>
      <c r="V33" s="418">
        <f t="shared" si="15"/>
        <v>4285.7142857142853</v>
      </c>
    </row>
    <row r="34" spans="2:22" ht="15" customHeight="1" x14ac:dyDescent="0.15">
      <c r="B34" s="797"/>
      <c r="C34" s="263" t="s">
        <v>642</v>
      </c>
      <c r="D34" s="231">
        <f>+農薬算出基礎!D8/農薬算出基礎!C8*1000/農薬算出基礎!E8</f>
        <v>0.2</v>
      </c>
      <c r="E34" s="413" t="s">
        <v>114</v>
      </c>
      <c r="F34" s="263">
        <f>+農薬算出基礎!F8</f>
        <v>6350</v>
      </c>
      <c r="G34" s="134">
        <f>D34*F34</f>
        <v>1270</v>
      </c>
      <c r="H34" s="143"/>
      <c r="I34" s="441"/>
      <c r="J34" s="142"/>
      <c r="K34" s="442"/>
      <c r="L34" s="442"/>
      <c r="M34" s="442"/>
      <c r="N34" s="143"/>
      <c r="P34" s="415" t="s">
        <v>366</v>
      </c>
      <c r="Q34" s="416">
        <v>4</v>
      </c>
      <c r="R34" s="417" t="s">
        <v>118</v>
      </c>
      <c r="S34" s="416">
        <v>7200</v>
      </c>
      <c r="T34" s="416">
        <v>10</v>
      </c>
      <c r="U34" s="435">
        <v>1</v>
      </c>
      <c r="V34" s="418">
        <f t="shared" si="15"/>
        <v>2880</v>
      </c>
    </row>
    <row r="35" spans="2:22" ht="15" customHeight="1" x14ac:dyDescent="0.15">
      <c r="B35" s="797"/>
      <c r="C35" s="263" t="s">
        <v>643</v>
      </c>
      <c r="D35" s="231">
        <f>+農薬算出基礎!D9/農薬算出基礎!C9*1000/農薬算出基礎!E9</f>
        <v>0.2</v>
      </c>
      <c r="E35" s="413" t="s">
        <v>114</v>
      </c>
      <c r="F35" s="263">
        <f>+農薬算出基礎!F9</f>
        <v>8080</v>
      </c>
      <c r="G35" s="134">
        <f>D35*F35</f>
        <v>1616</v>
      </c>
      <c r="H35" s="143"/>
      <c r="I35" s="462"/>
      <c r="J35" s="142"/>
      <c r="K35" s="442"/>
      <c r="L35" s="442"/>
      <c r="M35" s="442"/>
      <c r="N35" s="143"/>
      <c r="P35" s="415" t="s">
        <v>367</v>
      </c>
      <c r="Q35" s="416">
        <v>2</v>
      </c>
      <c r="R35" s="417" t="s">
        <v>222</v>
      </c>
      <c r="S35" s="416">
        <v>10000</v>
      </c>
      <c r="T35" s="416">
        <v>10</v>
      </c>
      <c r="U35" s="435">
        <v>1</v>
      </c>
      <c r="V35" s="418">
        <f t="shared" si="15"/>
        <v>2000</v>
      </c>
    </row>
    <row r="36" spans="2:22" ht="15" customHeight="1" x14ac:dyDescent="0.15">
      <c r="B36" s="797"/>
      <c r="C36" s="263" t="s">
        <v>644</v>
      </c>
      <c r="D36" s="231">
        <f>+農薬算出基礎!D10*3/農薬算出基礎!C10*1000/農薬算出基礎!E10</f>
        <v>1.2</v>
      </c>
      <c r="E36" s="413" t="s">
        <v>114</v>
      </c>
      <c r="F36" s="263">
        <f>+農薬算出基礎!F10</f>
        <v>5970</v>
      </c>
      <c r="G36" s="134">
        <f>D36*F36</f>
        <v>7164</v>
      </c>
      <c r="H36" s="143"/>
      <c r="I36" s="128"/>
      <c r="J36" s="128"/>
      <c r="K36" s="128"/>
      <c r="L36" s="128"/>
      <c r="M36" s="128"/>
      <c r="N36" s="128"/>
      <c r="P36" s="415" t="s">
        <v>341</v>
      </c>
      <c r="Q36" s="416">
        <v>1</v>
      </c>
      <c r="R36" s="417" t="s">
        <v>222</v>
      </c>
      <c r="S36" s="416">
        <v>2500</v>
      </c>
      <c r="T36" s="416">
        <v>10</v>
      </c>
      <c r="U36" s="435">
        <v>1</v>
      </c>
      <c r="V36" s="418">
        <f t="shared" si="15"/>
        <v>250</v>
      </c>
    </row>
    <row r="37" spans="2:22" ht="15" customHeight="1" thickBot="1" x14ac:dyDescent="0.2">
      <c r="B37" s="797"/>
      <c r="D37" s="463"/>
      <c r="E37" s="463"/>
      <c r="F37" s="463"/>
      <c r="H37" s="464"/>
      <c r="I37" s="116" t="s">
        <v>185</v>
      </c>
      <c r="J37" s="116"/>
      <c r="K37" s="116"/>
      <c r="L37" s="116"/>
      <c r="M37" s="116"/>
      <c r="P37" s="415" t="s">
        <v>342</v>
      </c>
      <c r="Q37" s="416">
        <v>1</v>
      </c>
      <c r="R37" s="417" t="s">
        <v>222</v>
      </c>
      <c r="S37" s="416">
        <v>3000</v>
      </c>
      <c r="T37" s="416">
        <v>10</v>
      </c>
      <c r="U37" s="435">
        <v>1</v>
      </c>
      <c r="V37" s="418">
        <f t="shared" si="15"/>
        <v>300</v>
      </c>
    </row>
    <row r="38" spans="2:22" ht="15" customHeight="1" thickBot="1" x14ac:dyDescent="0.2">
      <c r="B38" s="797"/>
      <c r="C38" s="465"/>
      <c r="D38" s="466"/>
      <c r="E38" s="466"/>
      <c r="F38" s="467"/>
      <c r="G38" s="468"/>
      <c r="H38" s="143"/>
      <c r="I38" s="443" t="s">
        <v>172</v>
      </c>
      <c r="J38" s="444" t="s">
        <v>3</v>
      </c>
      <c r="K38" s="900" t="s">
        <v>173</v>
      </c>
      <c r="L38" s="901"/>
      <c r="M38" s="445" t="s">
        <v>405</v>
      </c>
      <c r="N38" s="446" t="s">
        <v>368</v>
      </c>
      <c r="P38" s="447" t="s">
        <v>177</v>
      </c>
      <c r="Q38" s="432"/>
      <c r="R38" s="432"/>
      <c r="S38" s="432"/>
      <c r="T38" s="432"/>
      <c r="U38" s="448"/>
      <c r="V38" s="433">
        <f>SUM(V25:V37)</f>
        <v>58279.714285714283</v>
      </c>
    </row>
    <row r="39" spans="2:22" ht="15" customHeight="1" x14ac:dyDescent="0.15">
      <c r="B39" s="797"/>
      <c r="C39" s="469"/>
      <c r="D39" s="307"/>
      <c r="E39" s="307"/>
      <c r="F39" s="470"/>
      <c r="G39" s="203"/>
      <c r="H39" s="143"/>
      <c r="I39" s="873" t="s">
        <v>0</v>
      </c>
      <c r="J39" s="141"/>
      <c r="K39" s="885"/>
      <c r="L39" s="885"/>
      <c r="M39" s="307"/>
      <c r="N39" s="203"/>
    </row>
    <row r="40" spans="2:22" ht="15" customHeight="1" thickBot="1" x14ac:dyDescent="0.2">
      <c r="B40" s="797"/>
      <c r="C40" s="471"/>
      <c r="D40" s="472"/>
      <c r="E40" s="473"/>
      <c r="F40" s="474"/>
      <c r="G40" s="475">
        <f t="shared" si="16"/>
        <v>0</v>
      </c>
      <c r="H40" s="143"/>
      <c r="I40" s="902"/>
      <c r="J40" s="141"/>
      <c r="K40" s="885"/>
      <c r="L40" s="885"/>
      <c r="M40" s="307"/>
      <c r="N40" s="203"/>
      <c r="P40" s="116" t="s">
        <v>178</v>
      </c>
      <c r="Q40" s="116"/>
      <c r="R40" s="116"/>
      <c r="S40" s="116"/>
      <c r="T40" s="116"/>
    </row>
    <row r="41" spans="2:22" ht="15" customHeight="1" x14ac:dyDescent="0.15">
      <c r="B41" s="797"/>
      <c r="C41" s="263"/>
      <c r="D41" s="263"/>
      <c r="E41" s="413"/>
      <c r="F41" s="263"/>
      <c r="G41" s="134">
        <f t="shared" si="16"/>
        <v>0</v>
      </c>
      <c r="H41" s="143"/>
      <c r="I41" s="902"/>
      <c r="J41" s="141"/>
      <c r="K41" s="885"/>
      <c r="L41" s="885"/>
      <c r="M41" s="307"/>
      <c r="N41" s="203"/>
      <c r="O41" s="147"/>
      <c r="P41" s="443" t="s">
        <v>171</v>
      </c>
      <c r="Q41" s="892" t="s">
        <v>179</v>
      </c>
      <c r="R41" s="892"/>
      <c r="S41" s="449" t="s">
        <v>182</v>
      </c>
      <c r="T41" s="449" t="s">
        <v>181</v>
      </c>
      <c r="U41" s="450" t="s">
        <v>405</v>
      </c>
      <c r="V41" s="451" t="s">
        <v>368</v>
      </c>
    </row>
    <row r="42" spans="2:22" ht="15" customHeight="1" thickBot="1" x14ac:dyDescent="0.2">
      <c r="B42" s="868"/>
      <c r="C42" s="421" t="s">
        <v>116</v>
      </c>
      <c r="D42" s="421"/>
      <c r="E42" s="421"/>
      <c r="F42" s="421"/>
      <c r="G42" s="422">
        <f>SUM(G29:G41)</f>
        <v>19340</v>
      </c>
      <c r="H42" s="143"/>
      <c r="I42" s="902"/>
      <c r="J42" s="141"/>
      <c r="K42" s="885"/>
      <c r="L42" s="885"/>
      <c r="M42" s="307"/>
      <c r="N42" s="203"/>
      <c r="O42" s="147"/>
      <c r="P42" s="893" t="s">
        <v>180</v>
      </c>
      <c r="Q42" s="200"/>
      <c r="R42" s="212"/>
      <c r="S42" s="201"/>
      <c r="T42" s="213"/>
      <c r="U42" s="201"/>
      <c r="V42" s="203"/>
    </row>
    <row r="43" spans="2:22" ht="15" customHeight="1" thickTop="1" x14ac:dyDescent="0.15">
      <c r="B43" s="867" t="s">
        <v>138</v>
      </c>
      <c r="C43" s="263" t="s">
        <v>637</v>
      </c>
      <c r="D43" s="231">
        <f>+農薬算出基礎!D12/農薬算出基礎!C12*1000/農薬算出基礎!E12</f>
        <v>1.1111111111111112</v>
      </c>
      <c r="E43" s="413" t="s">
        <v>114</v>
      </c>
      <c r="F43" s="263">
        <f>+農薬算出基礎!F12</f>
        <v>2560</v>
      </c>
      <c r="G43" s="134">
        <f>D43*F43</f>
        <v>2844.4444444444443</v>
      </c>
      <c r="H43" s="143"/>
      <c r="I43" s="902"/>
      <c r="J43" s="141"/>
      <c r="K43" s="885"/>
      <c r="L43" s="885"/>
      <c r="M43" s="307"/>
      <c r="N43" s="203"/>
      <c r="O43" s="147"/>
      <c r="P43" s="894"/>
      <c r="Q43" s="200" t="s">
        <v>369</v>
      </c>
      <c r="R43" s="523" t="s">
        <v>571</v>
      </c>
      <c r="S43" s="201"/>
      <c r="T43" s="213"/>
      <c r="U43" s="201">
        <v>10</v>
      </c>
      <c r="V43" s="203">
        <v>6415</v>
      </c>
    </row>
    <row r="44" spans="2:22" ht="15" customHeight="1" x14ac:dyDescent="0.15">
      <c r="B44" s="797"/>
      <c r="C44" s="263" t="s">
        <v>638</v>
      </c>
      <c r="D44" s="231">
        <f>+農薬算出基礎!D13/農薬算出基礎!C13*1000/農薬算出基礎!E13</f>
        <v>0.4</v>
      </c>
      <c r="E44" s="413" t="s">
        <v>114</v>
      </c>
      <c r="F44" s="263">
        <f>+農薬算出基礎!F13</f>
        <v>2380</v>
      </c>
      <c r="G44" s="134">
        <f t="shared" ref="G44:G56" si="18">D44*F44</f>
        <v>952</v>
      </c>
      <c r="H44" s="143"/>
      <c r="I44" s="902"/>
      <c r="J44" s="141"/>
      <c r="K44" s="885"/>
      <c r="L44" s="885"/>
      <c r="M44" s="307"/>
      <c r="N44" s="203"/>
      <c r="O44" s="147"/>
      <c r="P44" s="894"/>
      <c r="Q44" s="200"/>
      <c r="R44" s="212"/>
      <c r="S44" s="201"/>
      <c r="T44" s="213"/>
      <c r="U44" s="201"/>
      <c r="V44" s="203"/>
    </row>
    <row r="45" spans="2:22" ht="15" customHeight="1" x14ac:dyDescent="0.15">
      <c r="B45" s="797"/>
      <c r="C45" s="263" t="s">
        <v>639</v>
      </c>
      <c r="D45" s="231">
        <f>+農薬算出基礎!D14/農薬算出基礎!C14*1000/農薬算出基礎!E14+農薬算出基礎!D18/農薬算出基礎!C18*1000/農薬算出基礎!E18</f>
        <v>0.44999999999999996</v>
      </c>
      <c r="E45" s="413" t="s">
        <v>114</v>
      </c>
      <c r="F45" s="263">
        <f>+農薬算出基礎!F14</f>
        <v>8340</v>
      </c>
      <c r="G45" s="134">
        <f t="shared" si="18"/>
        <v>3752.9999999999995</v>
      </c>
      <c r="H45" s="143"/>
      <c r="I45" s="902"/>
      <c r="J45" s="141"/>
      <c r="K45" s="885"/>
      <c r="L45" s="885"/>
      <c r="M45" s="307"/>
      <c r="N45" s="203"/>
      <c r="O45" s="147"/>
      <c r="P45" s="894"/>
      <c r="Q45" s="200" t="s">
        <v>184</v>
      </c>
      <c r="R45" s="212"/>
      <c r="S45" s="201"/>
      <c r="T45" s="213"/>
      <c r="U45" s="201"/>
      <c r="V45" s="203"/>
    </row>
    <row r="46" spans="2:22" ht="15" customHeight="1" thickBot="1" x14ac:dyDescent="0.2">
      <c r="B46" s="797"/>
      <c r="C46" s="263" t="s">
        <v>640</v>
      </c>
      <c r="D46" s="231">
        <f>+農薬算出基礎!D15/農薬算出基礎!C15*1000/農薬算出基礎!E15</f>
        <v>0.3</v>
      </c>
      <c r="E46" s="413" t="s">
        <v>114</v>
      </c>
      <c r="F46" s="263">
        <f>+農薬算出基礎!F15</f>
        <v>3180</v>
      </c>
      <c r="G46" s="134">
        <f t="shared" si="18"/>
        <v>954</v>
      </c>
      <c r="H46" s="143"/>
      <c r="I46" s="903"/>
      <c r="J46" s="197" t="s">
        <v>117</v>
      </c>
      <c r="K46" s="869"/>
      <c r="L46" s="870"/>
      <c r="M46" s="198"/>
      <c r="N46" s="202">
        <f>SUM(N39:N45)</f>
        <v>0</v>
      </c>
      <c r="O46" s="147"/>
      <c r="P46" s="894"/>
      <c r="Q46" s="200"/>
      <c r="R46" s="212"/>
      <c r="S46" s="201"/>
      <c r="T46" s="213"/>
      <c r="U46" s="201"/>
      <c r="V46" s="203"/>
    </row>
    <row r="47" spans="2:22" ht="15" customHeight="1" thickTop="1" x14ac:dyDescent="0.15">
      <c r="B47" s="797"/>
      <c r="C47" s="263" t="s">
        <v>641</v>
      </c>
      <c r="D47" s="231">
        <f>+農薬算出基礎!D16/農薬算出基礎!C16*1000/農薬算出基礎!E16</f>
        <v>0.4</v>
      </c>
      <c r="E47" s="413" t="s">
        <v>114</v>
      </c>
      <c r="F47" s="263">
        <f>+農薬算出基礎!F16</f>
        <v>4900</v>
      </c>
      <c r="G47" s="134">
        <f t="shared" si="18"/>
        <v>1960</v>
      </c>
      <c r="H47" s="143"/>
      <c r="I47" s="871" t="s">
        <v>174</v>
      </c>
      <c r="J47" s="199" t="s">
        <v>188</v>
      </c>
      <c r="K47" s="896">
        <v>4100</v>
      </c>
      <c r="L47" s="896"/>
      <c r="M47" s="549">
        <v>60</v>
      </c>
      <c r="N47" s="209">
        <f>+K47/M47*10</f>
        <v>683.33333333333326</v>
      </c>
      <c r="O47" s="147"/>
      <c r="P47" s="894"/>
      <c r="Q47" s="200"/>
      <c r="R47" s="212"/>
      <c r="S47" s="201"/>
      <c r="T47" s="213"/>
      <c r="U47" s="201"/>
      <c r="V47" s="203"/>
    </row>
    <row r="48" spans="2:22" ht="15" customHeight="1" thickBot="1" x14ac:dyDescent="0.2">
      <c r="B48" s="797"/>
      <c r="C48" s="263" t="s">
        <v>642</v>
      </c>
      <c r="D48" s="231">
        <f>+農薬算出基礎!D17/農薬算出基礎!C17*1000/農薬算出基礎!E17</f>
        <v>0.4</v>
      </c>
      <c r="E48" s="413" t="s">
        <v>114</v>
      </c>
      <c r="F48" s="263">
        <f>+農薬算出基礎!F17</f>
        <v>3300</v>
      </c>
      <c r="G48" s="134">
        <f t="shared" si="18"/>
        <v>1320</v>
      </c>
      <c r="H48" s="143"/>
      <c r="I48" s="872"/>
      <c r="J48" s="200"/>
      <c r="K48" s="885"/>
      <c r="L48" s="885"/>
      <c r="M48" s="307"/>
      <c r="N48" s="203"/>
      <c r="O48" s="147"/>
      <c r="P48" s="895"/>
      <c r="Q48" s="204" t="s">
        <v>183</v>
      </c>
      <c r="R48" s="205"/>
      <c r="S48" s="205"/>
      <c r="T48" s="205"/>
      <c r="U48" s="205"/>
      <c r="V48" s="206">
        <f>SUM(V42:V47)</f>
        <v>6415</v>
      </c>
    </row>
    <row r="49" spans="2:22" ht="15" customHeight="1" thickTop="1" x14ac:dyDescent="0.15">
      <c r="B49" s="797"/>
      <c r="C49" s="263" t="s">
        <v>643</v>
      </c>
      <c r="D49" s="263"/>
      <c r="E49" s="413"/>
      <c r="F49" s="263"/>
      <c r="G49" s="134">
        <f t="shared" si="18"/>
        <v>0</v>
      </c>
      <c r="H49" s="143"/>
      <c r="I49" s="872"/>
      <c r="J49" s="141"/>
      <c r="K49" s="885"/>
      <c r="L49" s="885"/>
      <c r="M49" s="307"/>
      <c r="N49" s="203"/>
      <c r="O49" s="147"/>
      <c r="P49" s="897" t="s">
        <v>189</v>
      </c>
      <c r="Q49" s="876" t="s">
        <v>190</v>
      </c>
      <c r="R49" s="452"/>
      <c r="S49" s="199"/>
      <c r="T49" s="453"/>
      <c r="U49" s="199"/>
      <c r="V49" s="209"/>
    </row>
    <row r="50" spans="2:22" ht="15" customHeight="1" thickBot="1" x14ac:dyDescent="0.2">
      <c r="B50" s="797"/>
      <c r="C50" s="263" t="s">
        <v>644</v>
      </c>
      <c r="D50" s="263"/>
      <c r="E50" s="263"/>
      <c r="F50" s="263"/>
      <c r="G50" s="134">
        <f t="shared" si="18"/>
        <v>0</v>
      </c>
      <c r="H50" s="143"/>
      <c r="I50" s="884"/>
      <c r="J50" s="197" t="s">
        <v>117</v>
      </c>
      <c r="K50" s="869"/>
      <c r="L50" s="870"/>
      <c r="M50" s="198"/>
      <c r="N50" s="202">
        <f>SUM(N47:N49)</f>
        <v>683.33333333333326</v>
      </c>
      <c r="O50" s="147"/>
      <c r="P50" s="894"/>
      <c r="Q50" s="877"/>
      <c r="R50" s="214"/>
      <c r="S50" s="200"/>
      <c r="T50" s="213"/>
      <c r="U50" s="200"/>
      <c r="V50" s="203"/>
    </row>
    <row r="51" spans="2:22" ht="15" customHeight="1" thickTop="1" x14ac:dyDescent="0.15">
      <c r="B51" s="797"/>
      <c r="C51" s="263"/>
      <c r="D51" s="263"/>
      <c r="E51" s="263"/>
      <c r="F51" s="263"/>
      <c r="G51" s="134">
        <f t="shared" si="18"/>
        <v>0</v>
      </c>
      <c r="H51" s="143"/>
      <c r="I51" s="871" t="s">
        <v>175</v>
      </c>
      <c r="J51" s="199"/>
      <c r="K51" s="896"/>
      <c r="L51" s="896"/>
      <c r="M51" s="308"/>
      <c r="N51" s="209"/>
      <c r="O51" s="147"/>
      <c r="P51" s="894"/>
      <c r="Q51" s="877"/>
      <c r="R51" s="214"/>
      <c r="S51" s="200"/>
      <c r="T51" s="200"/>
      <c r="U51" s="141"/>
      <c r="V51" s="215"/>
    </row>
    <row r="52" spans="2:22" ht="15" customHeight="1" x14ac:dyDescent="0.15">
      <c r="B52" s="797"/>
      <c r="C52" s="263"/>
      <c r="D52" s="263"/>
      <c r="E52" s="263"/>
      <c r="F52" s="263"/>
      <c r="G52" s="134">
        <f t="shared" si="18"/>
        <v>0</v>
      </c>
      <c r="H52" s="143"/>
      <c r="I52" s="872"/>
      <c r="J52" s="200"/>
      <c r="K52" s="885"/>
      <c r="L52" s="885"/>
      <c r="M52" s="307"/>
      <c r="N52" s="203"/>
      <c r="O52" s="147"/>
      <c r="P52" s="894"/>
      <c r="Q52" s="877"/>
      <c r="R52" s="214" t="s">
        <v>188</v>
      </c>
      <c r="S52" s="200">
        <v>15600</v>
      </c>
      <c r="T52" s="213">
        <v>1</v>
      </c>
      <c r="U52" s="200">
        <v>60</v>
      </c>
      <c r="V52" s="203">
        <f>+S52*T52/U52*10</f>
        <v>2600</v>
      </c>
    </row>
    <row r="53" spans="2:22" ht="15" customHeight="1" thickBot="1" x14ac:dyDescent="0.2">
      <c r="B53" s="868"/>
      <c r="C53" s="135" t="s">
        <v>117</v>
      </c>
      <c r="D53" s="136"/>
      <c r="E53" s="136"/>
      <c r="F53" s="136"/>
      <c r="G53" s="137">
        <f>SUM(G43:G52)</f>
        <v>11783.444444444443</v>
      </c>
      <c r="H53" s="143"/>
      <c r="I53" s="872"/>
      <c r="J53" s="141"/>
      <c r="K53" s="885"/>
      <c r="L53" s="885"/>
      <c r="M53" s="307"/>
      <c r="N53" s="203"/>
      <c r="O53" s="147"/>
      <c r="P53" s="894"/>
      <c r="Q53" s="878"/>
      <c r="R53" s="214"/>
      <c r="S53" s="200"/>
      <c r="T53" s="200"/>
      <c r="U53" s="141"/>
      <c r="V53" s="215"/>
    </row>
    <row r="54" spans="2:22" ht="15" customHeight="1" thickTop="1" thickBot="1" x14ac:dyDescent="0.2">
      <c r="B54" s="867" t="s">
        <v>29</v>
      </c>
      <c r="C54" s="263" t="s">
        <v>645</v>
      </c>
      <c r="D54" s="231">
        <f>+農薬算出基礎!D20*2/農薬算出基礎!C20*1000/農薬算出基礎!E20</f>
        <v>9.0909090909090912E-2</v>
      </c>
      <c r="E54" s="413" t="s">
        <v>114</v>
      </c>
      <c r="F54" s="263">
        <v>45740</v>
      </c>
      <c r="G54" s="134">
        <f t="shared" ref="G54" si="19">D54*F54</f>
        <v>4158.181818181818</v>
      </c>
      <c r="H54" s="143"/>
      <c r="I54" s="884"/>
      <c r="J54" s="197" t="s">
        <v>117</v>
      </c>
      <c r="K54" s="869"/>
      <c r="L54" s="870"/>
      <c r="M54" s="198"/>
      <c r="N54" s="202">
        <f>SUM(N51:N53)</f>
        <v>0</v>
      </c>
      <c r="O54" s="147"/>
      <c r="P54" s="894"/>
      <c r="Q54" s="204" t="s">
        <v>183</v>
      </c>
      <c r="R54" s="205"/>
      <c r="S54" s="205"/>
      <c r="T54" s="205"/>
      <c r="U54" s="205"/>
      <c r="V54" s="206">
        <f>SUM(V49:V53)</f>
        <v>2600</v>
      </c>
    </row>
    <row r="55" spans="2:22" ht="15" customHeight="1" thickTop="1" x14ac:dyDescent="0.15">
      <c r="B55" s="797"/>
      <c r="C55" s="263"/>
      <c r="D55" s="263"/>
      <c r="E55" s="263"/>
      <c r="F55" s="263"/>
      <c r="G55" s="134">
        <f t="shared" si="18"/>
        <v>0</v>
      </c>
      <c r="H55" s="143"/>
      <c r="I55" s="871" t="s">
        <v>176</v>
      </c>
      <c r="J55" s="199"/>
      <c r="K55" s="874"/>
      <c r="L55" s="875"/>
      <c r="M55" s="207"/>
      <c r="N55" s="210"/>
      <c r="O55" s="147"/>
      <c r="P55" s="894"/>
      <c r="Q55" s="876" t="s">
        <v>191</v>
      </c>
      <c r="R55" s="452"/>
      <c r="S55" s="199"/>
      <c r="T55" s="453"/>
      <c r="U55" s="199"/>
      <c r="V55" s="209"/>
    </row>
    <row r="56" spans="2:22" ht="15" customHeight="1" x14ac:dyDescent="0.15">
      <c r="B56" s="797"/>
      <c r="C56" s="263"/>
      <c r="D56" s="263"/>
      <c r="E56" s="263"/>
      <c r="F56" s="263"/>
      <c r="G56" s="134">
        <f t="shared" si="18"/>
        <v>0</v>
      </c>
      <c r="H56" s="143"/>
      <c r="I56" s="872"/>
      <c r="J56" s="200"/>
      <c r="K56" s="879"/>
      <c r="L56" s="880"/>
      <c r="M56" s="208"/>
      <c r="N56" s="203"/>
      <c r="O56" s="147"/>
      <c r="P56" s="894"/>
      <c r="Q56" s="877"/>
      <c r="R56" s="214"/>
      <c r="S56" s="200"/>
      <c r="T56" s="213"/>
      <c r="U56" s="200"/>
      <c r="V56" s="203"/>
    </row>
    <row r="57" spans="2:22" ht="14.25" thickBot="1" x14ac:dyDescent="0.2">
      <c r="B57" s="868"/>
      <c r="C57" s="135" t="s">
        <v>117</v>
      </c>
      <c r="D57" s="136"/>
      <c r="E57" s="136"/>
      <c r="F57" s="136"/>
      <c r="G57" s="137">
        <f>SUM(G54:G56)</f>
        <v>4158.181818181818</v>
      </c>
      <c r="I57" s="872"/>
      <c r="J57" s="200"/>
      <c r="K57" s="879"/>
      <c r="L57" s="880"/>
      <c r="M57" s="208"/>
      <c r="N57" s="203"/>
      <c r="O57" s="147"/>
      <c r="P57" s="894"/>
      <c r="Q57" s="877"/>
      <c r="R57" s="214"/>
      <c r="S57" s="200"/>
      <c r="T57" s="200"/>
      <c r="U57" s="141"/>
      <c r="V57" s="215"/>
    </row>
    <row r="58" spans="2:22" ht="13.5" customHeight="1" thickTop="1" x14ac:dyDescent="0.15">
      <c r="B58" s="867" t="s">
        <v>139</v>
      </c>
      <c r="C58" s="263" t="s">
        <v>646</v>
      </c>
      <c r="D58" s="488">
        <f>+農薬算出基礎!G30/農薬算出基礎!E30</f>
        <v>4.0000000000000001E-3</v>
      </c>
      <c r="E58" s="413" t="s">
        <v>119</v>
      </c>
      <c r="F58" s="263">
        <f>+農薬算出基礎!F30</f>
        <v>2250</v>
      </c>
      <c r="G58" s="134">
        <f>D58*F58</f>
        <v>9</v>
      </c>
      <c r="I58" s="872"/>
      <c r="J58" s="200"/>
      <c r="K58" s="310"/>
      <c r="L58" s="311"/>
      <c r="M58" s="208"/>
      <c r="N58" s="203"/>
      <c r="O58" s="147"/>
      <c r="P58" s="894"/>
      <c r="Q58" s="877"/>
      <c r="R58" s="214"/>
      <c r="S58" s="200"/>
      <c r="T58" s="200"/>
      <c r="U58" s="141"/>
      <c r="V58" s="215"/>
    </row>
    <row r="59" spans="2:22" ht="14.25" customHeight="1" x14ac:dyDescent="0.15">
      <c r="B59" s="797"/>
      <c r="C59" s="263" t="s">
        <v>646</v>
      </c>
      <c r="D59" s="231">
        <f>+農薬算出基礎!G29/農薬算出基礎!E29</f>
        <v>4</v>
      </c>
      <c r="E59" s="413" t="s">
        <v>399</v>
      </c>
      <c r="F59" s="263">
        <v>840</v>
      </c>
      <c r="G59" s="134">
        <f>D59*F59</f>
        <v>3360</v>
      </c>
      <c r="I59" s="872"/>
      <c r="J59" s="307" t="s">
        <v>188</v>
      </c>
      <c r="K59" s="882">
        <v>5000</v>
      </c>
      <c r="L59" s="883"/>
      <c r="M59" s="208">
        <v>60</v>
      </c>
      <c r="N59" s="203">
        <f>+K59/M59*10</f>
        <v>833.33333333333326</v>
      </c>
      <c r="O59" s="147"/>
      <c r="P59" s="894"/>
      <c r="Q59" s="877"/>
      <c r="R59" s="214" t="s">
        <v>188</v>
      </c>
      <c r="S59" s="200">
        <v>25000</v>
      </c>
      <c r="T59" s="213">
        <v>1</v>
      </c>
      <c r="U59" s="200">
        <v>60</v>
      </c>
      <c r="V59" s="203">
        <f>+S59*T59/U59*10</f>
        <v>4166.666666666667</v>
      </c>
    </row>
    <row r="60" spans="2:22" x14ac:dyDescent="0.15">
      <c r="B60" s="797"/>
      <c r="C60" s="263" t="s">
        <v>646</v>
      </c>
      <c r="D60" s="231">
        <f>+農薬算出基礎!G25/農薬算出基礎!E25</f>
        <v>1</v>
      </c>
      <c r="E60" s="413" t="s">
        <v>119</v>
      </c>
      <c r="F60" s="263">
        <v>1680</v>
      </c>
      <c r="G60" s="134">
        <f>D60*F60</f>
        <v>1680</v>
      </c>
      <c r="I60" s="872"/>
      <c r="J60" s="200"/>
      <c r="K60" s="879"/>
      <c r="L60" s="880"/>
      <c r="M60" s="208"/>
      <c r="N60" s="211"/>
      <c r="O60" s="147"/>
      <c r="P60" s="894"/>
      <c r="Q60" s="878"/>
      <c r="R60" s="214"/>
      <c r="S60" s="200"/>
      <c r="T60" s="200"/>
      <c r="U60" s="141"/>
      <c r="V60" s="215"/>
    </row>
    <row r="61" spans="2:22" x14ac:dyDescent="0.15">
      <c r="B61" s="797"/>
      <c r="C61" s="263"/>
      <c r="D61" s="231"/>
      <c r="E61" s="413"/>
      <c r="F61" s="263"/>
      <c r="G61" s="134">
        <f>D61*F61</f>
        <v>0</v>
      </c>
      <c r="I61" s="873"/>
      <c r="J61" s="454" t="s">
        <v>117</v>
      </c>
      <c r="K61" s="886"/>
      <c r="L61" s="887"/>
      <c r="M61" s="455"/>
      <c r="N61" s="456">
        <f>SUM(N55:N60)</f>
        <v>833.33333333333326</v>
      </c>
      <c r="O61" s="147"/>
      <c r="P61" s="898"/>
      <c r="Q61" s="457" t="s">
        <v>183</v>
      </c>
      <c r="R61" s="458"/>
      <c r="S61" s="458"/>
      <c r="T61" s="458"/>
      <c r="U61" s="458"/>
      <c r="V61" s="216">
        <f>SUM(V55:V60)</f>
        <v>4166.666666666667</v>
      </c>
    </row>
    <row r="62" spans="2:22" ht="14.25" thickBot="1" x14ac:dyDescent="0.2">
      <c r="B62" s="881"/>
      <c r="C62" s="138" t="s">
        <v>120</v>
      </c>
      <c r="D62" s="139"/>
      <c r="E62" s="139"/>
      <c r="F62" s="139"/>
      <c r="G62" s="140">
        <f>SUM(G59:G61)</f>
        <v>5040</v>
      </c>
      <c r="I62" s="888" t="s">
        <v>177</v>
      </c>
      <c r="J62" s="889"/>
      <c r="K62" s="890"/>
      <c r="L62" s="891"/>
      <c r="M62" s="448"/>
      <c r="N62" s="459">
        <f>SUM(N46,N50,N54,N61)</f>
        <v>1516.6666666666665</v>
      </c>
      <c r="O62" s="147"/>
      <c r="P62" s="865" t="s">
        <v>177</v>
      </c>
      <c r="Q62" s="866"/>
      <c r="R62" s="432"/>
      <c r="S62" s="432"/>
      <c r="T62" s="432"/>
      <c r="U62" s="432"/>
      <c r="V62" s="459">
        <f>SUM(V48,V54,V61)</f>
        <v>13181.666666666668</v>
      </c>
    </row>
    <row r="63" spans="2:22" x14ac:dyDescent="0.15">
      <c r="O63" s="147"/>
      <c r="V63" s="29"/>
    </row>
    <row r="64" spans="2:22" x14ac:dyDescent="0.15">
      <c r="B64" s="573" t="s">
        <v>344</v>
      </c>
      <c r="C64" s="573"/>
      <c r="D64" s="573"/>
      <c r="E64" s="573"/>
      <c r="I64" s="147"/>
      <c r="J64" s="147"/>
      <c r="K64" s="147"/>
      <c r="L64" s="147"/>
      <c r="M64" s="147"/>
      <c r="N64" s="147"/>
      <c r="O64" s="147"/>
    </row>
    <row r="65" spans="2:15" x14ac:dyDescent="0.15">
      <c r="B65" s="573" t="s">
        <v>345</v>
      </c>
      <c r="C65" s="573"/>
      <c r="D65" s="573"/>
      <c r="E65" s="573"/>
      <c r="I65" s="147"/>
      <c r="J65" s="147"/>
      <c r="K65" s="147"/>
      <c r="L65" s="147"/>
      <c r="M65" s="147"/>
      <c r="N65" s="147"/>
      <c r="O65" s="147"/>
    </row>
    <row r="66" spans="2:15" x14ac:dyDescent="0.15">
      <c r="B66" s="573" t="s">
        <v>346</v>
      </c>
      <c r="C66" s="573"/>
      <c r="D66" s="573"/>
      <c r="E66" s="573"/>
      <c r="I66" s="147"/>
      <c r="J66" s="147"/>
      <c r="K66" s="147"/>
      <c r="L66" s="147"/>
      <c r="M66" s="147"/>
      <c r="N66" s="147"/>
      <c r="O66" s="147"/>
    </row>
    <row r="67" spans="2:15" x14ac:dyDescent="0.15">
      <c r="B67" s="573"/>
      <c r="C67" s="573"/>
      <c r="D67" s="573"/>
      <c r="E67" s="573"/>
      <c r="I67" s="147"/>
      <c r="J67" s="147"/>
      <c r="K67" s="147"/>
      <c r="L67" s="147"/>
      <c r="M67" s="147"/>
      <c r="N67" s="147"/>
      <c r="O67" s="147"/>
    </row>
    <row r="68" spans="2:15" x14ac:dyDescent="0.15">
      <c r="I68" s="147"/>
      <c r="J68" s="147"/>
      <c r="K68" s="147"/>
      <c r="L68" s="147"/>
      <c r="M68" s="147"/>
      <c r="N68" s="147"/>
      <c r="O68" s="147"/>
    </row>
    <row r="69" spans="2:15" x14ac:dyDescent="0.15">
      <c r="I69" s="147"/>
      <c r="J69" s="147"/>
      <c r="K69" s="147"/>
      <c r="L69" s="147"/>
      <c r="M69" s="147"/>
      <c r="N69" s="147"/>
      <c r="O69" s="147"/>
    </row>
    <row r="70" spans="2:15" x14ac:dyDescent="0.15">
      <c r="I70" s="147"/>
      <c r="J70" s="147"/>
      <c r="K70" s="147"/>
      <c r="L70" s="147"/>
      <c r="M70" s="147"/>
      <c r="N70" s="147"/>
      <c r="O70" s="147"/>
    </row>
    <row r="71" spans="2:15" x14ac:dyDescent="0.15">
      <c r="I71" s="147"/>
      <c r="J71" s="147"/>
      <c r="K71" s="147"/>
      <c r="L71" s="147"/>
      <c r="M71" s="147"/>
      <c r="N71" s="147"/>
      <c r="O71" s="147"/>
    </row>
    <row r="72" spans="2:15" x14ac:dyDescent="0.15">
      <c r="I72" s="147"/>
      <c r="J72" s="147"/>
      <c r="K72" s="147"/>
      <c r="L72" s="147"/>
      <c r="M72" s="147"/>
      <c r="N72" s="147"/>
      <c r="O72" s="147"/>
    </row>
    <row r="73" spans="2:15" x14ac:dyDescent="0.15">
      <c r="I73" s="147"/>
      <c r="J73" s="147"/>
      <c r="K73" s="147"/>
      <c r="L73" s="147"/>
      <c r="M73" s="147"/>
      <c r="N73" s="147"/>
      <c r="O73" s="147"/>
    </row>
    <row r="74" spans="2:15" x14ac:dyDescent="0.15">
      <c r="I74" s="147"/>
      <c r="J74" s="147"/>
      <c r="K74" s="147"/>
      <c r="L74" s="147"/>
      <c r="M74" s="147"/>
      <c r="N74" s="147"/>
      <c r="O74" s="147"/>
    </row>
    <row r="75" spans="2:15" x14ac:dyDescent="0.15">
      <c r="I75" s="147"/>
      <c r="J75" s="147"/>
      <c r="K75" s="147"/>
      <c r="L75" s="147"/>
      <c r="M75" s="147"/>
      <c r="N75" s="147"/>
      <c r="O75" s="147"/>
    </row>
    <row r="76" spans="2:15" x14ac:dyDescent="0.15">
      <c r="I76" s="147"/>
      <c r="J76" s="147"/>
      <c r="K76" s="147"/>
      <c r="L76" s="147"/>
      <c r="M76" s="147"/>
      <c r="N76" s="147"/>
      <c r="O76" s="147"/>
    </row>
    <row r="77" spans="2:15" x14ac:dyDescent="0.15">
      <c r="I77" s="147"/>
      <c r="J77" s="147"/>
      <c r="K77" s="147"/>
      <c r="L77" s="147"/>
      <c r="M77" s="147"/>
      <c r="N77" s="147"/>
      <c r="O77" s="147"/>
    </row>
    <row r="78" spans="2:15" x14ac:dyDescent="0.15">
      <c r="I78" s="147"/>
      <c r="J78" s="147"/>
      <c r="K78" s="147"/>
      <c r="L78" s="147"/>
      <c r="M78" s="147"/>
      <c r="N78" s="147"/>
      <c r="O78" s="147"/>
    </row>
    <row r="79" spans="2:15" x14ac:dyDescent="0.15">
      <c r="I79" s="147"/>
      <c r="J79" s="147"/>
      <c r="K79" s="147"/>
      <c r="L79" s="147"/>
      <c r="M79" s="147"/>
      <c r="N79" s="147"/>
      <c r="O79" s="147"/>
    </row>
    <row r="80" spans="2:15" x14ac:dyDescent="0.15">
      <c r="I80" s="147"/>
      <c r="J80" s="147"/>
      <c r="K80" s="147"/>
      <c r="L80" s="147"/>
      <c r="M80" s="147"/>
      <c r="N80" s="147"/>
      <c r="O80" s="147"/>
    </row>
    <row r="81" spans="2:15" x14ac:dyDescent="0.15">
      <c r="I81" s="147"/>
      <c r="J81" s="147"/>
      <c r="K81" s="147"/>
      <c r="L81" s="147"/>
      <c r="M81" s="147"/>
      <c r="N81" s="147"/>
      <c r="O81" s="147"/>
    </row>
    <row r="82" spans="2:15" x14ac:dyDescent="0.15">
      <c r="I82" s="147"/>
      <c r="J82" s="147"/>
      <c r="K82" s="147"/>
      <c r="L82" s="147"/>
      <c r="M82" s="147"/>
      <c r="N82" s="147"/>
      <c r="O82" s="147"/>
    </row>
    <row r="83" spans="2:15" x14ac:dyDescent="0.15">
      <c r="I83" s="147"/>
      <c r="J83" s="147"/>
      <c r="K83" s="147"/>
      <c r="L83" s="147"/>
      <c r="M83" s="147"/>
      <c r="N83" s="147"/>
      <c r="O83" s="147"/>
    </row>
    <row r="84" spans="2:15" x14ac:dyDescent="0.15">
      <c r="I84" s="147"/>
      <c r="J84" s="147"/>
      <c r="K84" s="147"/>
      <c r="L84" s="147"/>
      <c r="M84" s="147"/>
      <c r="N84" s="147"/>
      <c r="O84" s="147"/>
    </row>
    <row r="85" spans="2:15" x14ac:dyDescent="0.15">
      <c r="I85" s="147"/>
      <c r="J85" s="147"/>
      <c r="K85" s="147"/>
      <c r="L85" s="147"/>
      <c r="M85" s="147"/>
      <c r="N85" s="147"/>
      <c r="O85" s="147"/>
    </row>
    <row r="86" spans="2:15" x14ac:dyDescent="0.15">
      <c r="I86" s="147"/>
      <c r="J86" s="147"/>
      <c r="K86" s="147"/>
      <c r="L86" s="147"/>
      <c r="M86" s="147"/>
      <c r="N86" s="147"/>
      <c r="O86" s="147"/>
    </row>
    <row r="87" spans="2:15" x14ac:dyDescent="0.15">
      <c r="I87" s="147"/>
      <c r="J87" s="147"/>
      <c r="K87" s="147"/>
      <c r="L87" s="147"/>
      <c r="M87" s="147"/>
      <c r="N87" s="147"/>
      <c r="O87" s="147"/>
    </row>
    <row r="88" spans="2:15" x14ac:dyDescent="0.15">
      <c r="B88" s="142"/>
      <c r="C88" s="143"/>
      <c r="D88" s="143"/>
      <c r="E88" s="143"/>
      <c r="F88" s="143"/>
      <c r="I88" s="147"/>
      <c r="J88" s="147"/>
      <c r="K88" s="147"/>
      <c r="L88" s="147"/>
      <c r="M88" s="147"/>
      <c r="N88" s="147"/>
      <c r="O88" s="147"/>
    </row>
    <row r="89" spans="2:15" x14ac:dyDescent="0.15">
      <c r="B89" s="142"/>
      <c r="C89" s="143"/>
      <c r="D89" s="143"/>
      <c r="E89" s="143"/>
      <c r="F89" s="143"/>
      <c r="I89" s="147"/>
      <c r="J89" s="147"/>
      <c r="K89" s="147"/>
      <c r="L89" s="147"/>
      <c r="M89" s="147"/>
      <c r="N89" s="147"/>
      <c r="O89" s="147"/>
    </row>
    <row r="90" spans="2:15" x14ac:dyDescent="0.15">
      <c r="I90" s="147"/>
      <c r="J90" s="147"/>
      <c r="K90" s="147"/>
      <c r="L90" s="147"/>
      <c r="M90" s="147"/>
      <c r="N90" s="147"/>
      <c r="O90" s="147"/>
    </row>
    <row r="91" spans="2:15" x14ac:dyDescent="0.15">
      <c r="I91" s="147"/>
      <c r="J91" s="147"/>
      <c r="K91" s="147"/>
      <c r="L91" s="147"/>
      <c r="M91" s="147"/>
      <c r="N91" s="147"/>
      <c r="O91" s="147"/>
    </row>
    <row r="92" spans="2:15" x14ac:dyDescent="0.15">
      <c r="I92" s="147"/>
      <c r="J92" s="147"/>
      <c r="K92" s="147"/>
      <c r="L92" s="147"/>
      <c r="M92" s="147"/>
      <c r="N92" s="147"/>
      <c r="O92" s="147"/>
    </row>
    <row r="93" spans="2:15" x14ac:dyDescent="0.15">
      <c r="I93" s="147"/>
      <c r="J93" s="147"/>
      <c r="K93" s="147"/>
      <c r="L93" s="147"/>
      <c r="M93" s="147"/>
      <c r="N93" s="147"/>
      <c r="O93" s="147"/>
    </row>
    <row r="94" spans="2:15" x14ac:dyDescent="0.15">
      <c r="I94" s="147"/>
      <c r="J94" s="147"/>
      <c r="K94" s="147"/>
      <c r="L94" s="147"/>
      <c r="M94" s="147"/>
      <c r="N94" s="147"/>
      <c r="O94" s="147"/>
    </row>
    <row r="95" spans="2:15" x14ac:dyDescent="0.15">
      <c r="I95" s="147"/>
      <c r="J95" s="147"/>
      <c r="K95" s="147"/>
      <c r="L95" s="147"/>
      <c r="M95" s="147"/>
      <c r="N95" s="147"/>
      <c r="O95" s="147"/>
    </row>
    <row r="96" spans="2:15" x14ac:dyDescent="0.15">
      <c r="I96" s="147"/>
      <c r="J96" s="147"/>
      <c r="K96" s="147"/>
      <c r="L96" s="147"/>
      <c r="M96" s="147"/>
      <c r="N96" s="147"/>
      <c r="O96" s="147"/>
    </row>
    <row r="97" spans="9:15" x14ac:dyDescent="0.15">
      <c r="I97" s="147"/>
      <c r="J97" s="147"/>
      <c r="K97" s="147"/>
      <c r="L97" s="147"/>
      <c r="M97" s="147"/>
      <c r="N97" s="147"/>
      <c r="O97" s="147"/>
    </row>
    <row r="98" spans="9:15" x14ac:dyDescent="0.15">
      <c r="I98" s="147"/>
      <c r="J98" s="147"/>
      <c r="K98" s="147"/>
      <c r="L98" s="147"/>
      <c r="M98" s="147"/>
      <c r="N98" s="147"/>
      <c r="O98" s="147"/>
    </row>
    <row r="99" spans="9:15" x14ac:dyDescent="0.15">
      <c r="I99" s="147"/>
      <c r="J99" s="147"/>
      <c r="K99" s="147"/>
      <c r="L99" s="147"/>
      <c r="M99" s="147"/>
      <c r="N99" s="147"/>
      <c r="O99" s="147"/>
    </row>
    <row r="100" spans="9:15" x14ac:dyDescent="0.15">
      <c r="I100" s="147"/>
      <c r="J100" s="147"/>
      <c r="K100" s="147"/>
      <c r="L100" s="147"/>
      <c r="M100" s="147"/>
      <c r="N100" s="147"/>
      <c r="O100" s="147"/>
    </row>
    <row r="101" spans="9:15" x14ac:dyDescent="0.15">
      <c r="I101" s="147"/>
      <c r="J101" s="147"/>
      <c r="K101" s="147"/>
      <c r="L101" s="147"/>
      <c r="M101" s="147"/>
      <c r="N101" s="147"/>
      <c r="O101" s="147"/>
    </row>
    <row r="102" spans="9:15" x14ac:dyDescent="0.15">
      <c r="I102" s="147"/>
      <c r="J102" s="147"/>
      <c r="K102" s="147"/>
      <c r="L102" s="147"/>
      <c r="M102" s="147"/>
      <c r="N102" s="147"/>
      <c r="O102" s="147"/>
    </row>
    <row r="103" spans="9:15" x14ac:dyDescent="0.15">
      <c r="I103" s="147"/>
      <c r="J103" s="147"/>
      <c r="K103" s="147"/>
      <c r="L103" s="147"/>
      <c r="M103" s="147"/>
      <c r="N103" s="147"/>
      <c r="O103" s="147"/>
    </row>
    <row r="104" spans="9:15" x14ac:dyDescent="0.15">
      <c r="I104" s="147"/>
      <c r="J104" s="147"/>
      <c r="K104" s="147"/>
      <c r="L104" s="147"/>
      <c r="M104" s="147"/>
      <c r="N104" s="147"/>
      <c r="O104" s="147"/>
    </row>
    <row r="105" spans="9:15" x14ac:dyDescent="0.15">
      <c r="I105" s="147"/>
      <c r="J105" s="147"/>
      <c r="K105" s="147"/>
      <c r="L105" s="147"/>
      <c r="M105" s="147"/>
      <c r="N105" s="147"/>
      <c r="O105" s="147"/>
    </row>
    <row r="106" spans="9:15" x14ac:dyDescent="0.15">
      <c r="I106" s="147"/>
      <c r="J106" s="147"/>
      <c r="K106" s="147"/>
      <c r="L106" s="147"/>
      <c r="M106" s="147"/>
      <c r="N106" s="147"/>
      <c r="O106" s="147"/>
    </row>
    <row r="107" spans="9:15" x14ac:dyDescent="0.15">
      <c r="I107" s="147"/>
      <c r="J107" s="147"/>
      <c r="K107" s="147"/>
      <c r="L107" s="147"/>
      <c r="M107" s="147"/>
      <c r="N107" s="147"/>
      <c r="O107" s="147"/>
    </row>
    <row r="108" spans="9:15" x14ac:dyDescent="0.15">
      <c r="I108" s="147"/>
      <c r="J108" s="147"/>
      <c r="K108" s="147"/>
      <c r="L108" s="147"/>
      <c r="M108" s="147"/>
      <c r="N108" s="147"/>
      <c r="O108" s="147"/>
    </row>
    <row r="109" spans="9:15" x14ac:dyDescent="0.15">
      <c r="I109" s="147"/>
      <c r="J109" s="147"/>
      <c r="K109" s="147"/>
      <c r="L109" s="147"/>
      <c r="M109" s="147"/>
      <c r="N109" s="147"/>
      <c r="O109" s="147"/>
    </row>
    <row r="110" spans="9:15" x14ac:dyDescent="0.15">
      <c r="I110" s="147"/>
      <c r="J110" s="147"/>
      <c r="K110" s="147"/>
      <c r="L110" s="147"/>
      <c r="M110" s="147"/>
      <c r="N110" s="147"/>
      <c r="O110" s="147"/>
    </row>
    <row r="111" spans="9:15" x14ac:dyDescent="0.15">
      <c r="I111" s="147"/>
      <c r="J111" s="147"/>
      <c r="K111" s="147"/>
      <c r="L111" s="147"/>
      <c r="M111" s="147"/>
      <c r="N111" s="147"/>
      <c r="O111" s="147"/>
    </row>
    <row r="112" spans="9:15" x14ac:dyDescent="0.15">
      <c r="I112" s="147"/>
      <c r="J112" s="147"/>
      <c r="K112" s="147"/>
      <c r="L112" s="147"/>
      <c r="M112" s="147"/>
      <c r="N112" s="147"/>
      <c r="O112" s="147"/>
    </row>
    <row r="113" spans="9:15" x14ac:dyDescent="0.15">
      <c r="I113" s="147"/>
      <c r="J113" s="147"/>
      <c r="K113" s="147"/>
      <c r="L113" s="147"/>
      <c r="M113" s="147"/>
      <c r="N113" s="147"/>
      <c r="O113" s="147"/>
    </row>
    <row r="114" spans="9:15" x14ac:dyDescent="0.15">
      <c r="I114" s="147"/>
      <c r="J114" s="147"/>
      <c r="K114" s="147"/>
      <c r="L114" s="147"/>
      <c r="M114" s="147"/>
      <c r="N114" s="147"/>
      <c r="O114" s="147"/>
    </row>
    <row r="115" spans="9:15" x14ac:dyDescent="0.15">
      <c r="I115" s="147"/>
      <c r="J115" s="147"/>
      <c r="K115" s="147"/>
      <c r="L115" s="147"/>
      <c r="M115" s="147"/>
      <c r="N115" s="147"/>
      <c r="O115" s="147"/>
    </row>
    <row r="116" spans="9:15" x14ac:dyDescent="0.15">
      <c r="I116" s="147"/>
      <c r="J116" s="147"/>
      <c r="K116" s="147"/>
      <c r="L116" s="147"/>
      <c r="M116" s="147"/>
      <c r="N116" s="147"/>
      <c r="O116" s="147"/>
    </row>
    <row r="117" spans="9:15" x14ac:dyDescent="0.15">
      <c r="I117" s="147"/>
      <c r="J117" s="147"/>
      <c r="K117" s="147"/>
      <c r="L117" s="147"/>
      <c r="M117" s="147"/>
      <c r="N117" s="147"/>
      <c r="O117" s="147"/>
    </row>
    <row r="118" spans="9:15" x14ac:dyDescent="0.15">
      <c r="I118" s="147"/>
      <c r="J118" s="147"/>
      <c r="K118" s="147"/>
      <c r="L118" s="147"/>
      <c r="M118" s="147"/>
      <c r="N118" s="147"/>
      <c r="O118" s="147"/>
    </row>
    <row r="119" spans="9:15" x14ac:dyDescent="0.15">
      <c r="I119" s="147"/>
      <c r="J119" s="147"/>
      <c r="K119" s="147"/>
      <c r="L119" s="147"/>
      <c r="M119" s="147"/>
      <c r="N119" s="147"/>
      <c r="O119" s="147"/>
    </row>
    <row r="120" spans="9:15" x14ac:dyDescent="0.15">
      <c r="I120" s="147"/>
      <c r="J120" s="147"/>
      <c r="K120" s="147"/>
      <c r="L120" s="147"/>
      <c r="M120" s="147"/>
      <c r="N120" s="147"/>
      <c r="O120" s="147"/>
    </row>
    <row r="121" spans="9:15" x14ac:dyDescent="0.15">
      <c r="I121" s="147"/>
      <c r="J121" s="147"/>
      <c r="K121" s="147"/>
      <c r="L121" s="147"/>
      <c r="M121" s="147"/>
      <c r="N121" s="147"/>
      <c r="O121" s="147"/>
    </row>
    <row r="122" spans="9:15" x14ac:dyDescent="0.15">
      <c r="I122" s="147"/>
      <c r="J122" s="147"/>
      <c r="K122" s="147"/>
      <c r="L122" s="147"/>
      <c r="M122" s="147"/>
      <c r="N122" s="147"/>
      <c r="O122" s="147"/>
    </row>
    <row r="123" spans="9:15" x14ac:dyDescent="0.15">
      <c r="I123" s="147"/>
      <c r="J123" s="147"/>
      <c r="K123" s="147"/>
      <c r="L123" s="147"/>
      <c r="M123" s="147"/>
      <c r="N123" s="147"/>
      <c r="O123" s="147"/>
    </row>
    <row r="124" spans="9:15" x14ac:dyDescent="0.15">
      <c r="I124" s="147"/>
      <c r="J124" s="147"/>
      <c r="K124" s="147"/>
      <c r="L124" s="147"/>
      <c r="M124" s="147"/>
      <c r="N124" s="147"/>
      <c r="O124" s="147"/>
    </row>
    <row r="125" spans="9:15" x14ac:dyDescent="0.15">
      <c r="I125" s="147"/>
      <c r="J125" s="147"/>
      <c r="K125" s="147"/>
      <c r="L125" s="147"/>
      <c r="M125" s="147"/>
      <c r="N125" s="147"/>
      <c r="O125" s="147"/>
    </row>
    <row r="126" spans="9:15" x14ac:dyDescent="0.15">
      <c r="I126" s="147"/>
      <c r="J126" s="147"/>
      <c r="K126" s="147"/>
      <c r="L126" s="147"/>
      <c r="M126" s="147"/>
      <c r="N126" s="147"/>
      <c r="O126" s="147"/>
    </row>
    <row r="127" spans="9:15" x14ac:dyDescent="0.15">
      <c r="I127" s="147"/>
      <c r="J127" s="147"/>
      <c r="K127" s="147"/>
      <c r="L127" s="147"/>
      <c r="M127" s="147"/>
      <c r="N127" s="147"/>
      <c r="O127" s="147"/>
    </row>
    <row r="128" spans="9:15" x14ac:dyDescent="0.15">
      <c r="I128" s="147"/>
      <c r="J128" s="147"/>
      <c r="K128" s="147"/>
      <c r="L128" s="147"/>
      <c r="M128" s="147"/>
      <c r="N128" s="147"/>
      <c r="O128" s="147"/>
    </row>
    <row r="129" spans="9:15" x14ac:dyDescent="0.15">
      <c r="I129" s="147"/>
      <c r="J129" s="147"/>
      <c r="K129" s="147"/>
      <c r="L129" s="147"/>
      <c r="M129" s="147"/>
      <c r="N129" s="147"/>
      <c r="O129" s="147"/>
    </row>
    <row r="130" spans="9:15" x14ac:dyDescent="0.15">
      <c r="I130" s="147"/>
      <c r="J130" s="147"/>
      <c r="K130" s="147"/>
      <c r="L130" s="147"/>
      <c r="M130" s="147"/>
      <c r="N130" s="147"/>
      <c r="O130" s="147"/>
    </row>
    <row r="131" spans="9:15" x14ac:dyDescent="0.15">
      <c r="I131" s="147"/>
      <c r="J131" s="147"/>
      <c r="K131" s="147"/>
      <c r="L131" s="147"/>
      <c r="M131" s="147"/>
      <c r="N131" s="147"/>
      <c r="O131" s="147"/>
    </row>
    <row r="132" spans="9:15" x14ac:dyDescent="0.15">
      <c r="I132" s="147"/>
      <c r="J132" s="147"/>
      <c r="K132" s="147"/>
      <c r="L132" s="147"/>
      <c r="M132" s="147"/>
      <c r="N132" s="147"/>
      <c r="O132" s="147"/>
    </row>
    <row r="133" spans="9:15" x14ac:dyDescent="0.15">
      <c r="I133" s="147"/>
      <c r="J133" s="147"/>
      <c r="K133" s="147"/>
      <c r="L133" s="147"/>
      <c r="M133" s="147"/>
      <c r="N133" s="147"/>
      <c r="O133" s="147"/>
    </row>
    <row r="134" spans="9:15" x14ac:dyDescent="0.15">
      <c r="I134" s="147"/>
      <c r="J134" s="147"/>
      <c r="K134" s="147"/>
      <c r="L134" s="147"/>
      <c r="M134" s="147"/>
      <c r="N134" s="147"/>
      <c r="O134" s="147"/>
    </row>
    <row r="135" spans="9:15" x14ac:dyDescent="0.15">
      <c r="I135" s="147"/>
      <c r="J135" s="147"/>
      <c r="K135" s="147"/>
      <c r="L135" s="147"/>
      <c r="M135" s="147"/>
      <c r="N135" s="147"/>
      <c r="O135" s="147"/>
    </row>
    <row r="136" spans="9:15" x14ac:dyDescent="0.15">
      <c r="I136" s="147"/>
      <c r="J136" s="147"/>
      <c r="K136" s="147"/>
      <c r="L136" s="147"/>
      <c r="M136" s="147"/>
      <c r="N136" s="147"/>
      <c r="O136" s="147"/>
    </row>
    <row r="137" spans="9:15" x14ac:dyDescent="0.15">
      <c r="I137" s="147"/>
      <c r="J137" s="147"/>
      <c r="K137" s="147"/>
      <c r="L137" s="147"/>
      <c r="M137" s="147"/>
      <c r="N137" s="147"/>
      <c r="O137" s="147"/>
    </row>
    <row r="138" spans="9:15" x14ac:dyDescent="0.15">
      <c r="I138" s="147"/>
      <c r="J138" s="147"/>
      <c r="K138" s="147"/>
      <c r="L138" s="147"/>
      <c r="M138" s="147"/>
      <c r="N138" s="147"/>
      <c r="O138" s="147"/>
    </row>
    <row r="139" spans="9:15" x14ac:dyDescent="0.15">
      <c r="I139" s="147"/>
      <c r="J139" s="147"/>
      <c r="K139" s="147"/>
      <c r="L139" s="147"/>
      <c r="M139" s="147"/>
      <c r="N139" s="147"/>
      <c r="O139" s="147"/>
    </row>
    <row r="140" spans="9:15" x14ac:dyDescent="0.15">
      <c r="I140" s="147"/>
      <c r="J140" s="147"/>
      <c r="K140" s="147"/>
      <c r="L140" s="147"/>
      <c r="M140" s="147"/>
      <c r="N140" s="147"/>
      <c r="O140" s="147"/>
    </row>
    <row r="141" spans="9:15" x14ac:dyDescent="0.15">
      <c r="I141" s="147"/>
      <c r="J141" s="147"/>
      <c r="K141" s="147"/>
      <c r="L141" s="147"/>
      <c r="M141" s="147"/>
      <c r="N141" s="147"/>
      <c r="O141" s="147"/>
    </row>
    <row r="142" spans="9:15" x14ac:dyDescent="0.15">
      <c r="I142" s="147"/>
      <c r="J142" s="147"/>
      <c r="K142" s="147"/>
      <c r="L142" s="147"/>
      <c r="M142" s="147"/>
      <c r="N142" s="147"/>
      <c r="O142" s="147"/>
    </row>
    <row r="143" spans="9:15" x14ac:dyDescent="0.15">
      <c r="I143" s="147"/>
      <c r="J143" s="147"/>
      <c r="K143" s="147"/>
      <c r="L143" s="147"/>
      <c r="M143" s="147"/>
      <c r="N143" s="147"/>
      <c r="O143" s="147"/>
    </row>
    <row r="144" spans="9:15" x14ac:dyDescent="0.15">
      <c r="I144" s="147"/>
      <c r="J144" s="147"/>
      <c r="K144" s="147"/>
      <c r="L144" s="147"/>
      <c r="M144" s="147"/>
      <c r="N144" s="147"/>
    </row>
    <row r="145" spans="9:14" x14ac:dyDescent="0.15">
      <c r="I145" s="147"/>
      <c r="J145" s="147"/>
      <c r="K145" s="147"/>
      <c r="L145" s="147"/>
      <c r="M145" s="147"/>
      <c r="N145" s="147"/>
    </row>
    <row r="146" spans="9:14" x14ac:dyDescent="0.15">
      <c r="I146" s="147"/>
      <c r="J146" s="147"/>
      <c r="K146" s="147"/>
      <c r="L146" s="147"/>
      <c r="M146" s="147"/>
      <c r="N146" s="147"/>
    </row>
    <row r="147" spans="9:14" x14ac:dyDescent="0.15">
      <c r="I147" s="147"/>
      <c r="J147" s="147"/>
      <c r="K147" s="147"/>
      <c r="L147" s="147"/>
      <c r="M147" s="147"/>
      <c r="N147" s="147"/>
    </row>
    <row r="148" spans="9:14" x14ac:dyDescent="0.15">
      <c r="I148" s="147"/>
      <c r="J148" s="147"/>
      <c r="K148" s="147"/>
      <c r="L148" s="147"/>
      <c r="M148" s="147"/>
      <c r="N148" s="147"/>
    </row>
    <row r="149" spans="9:14" x14ac:dyDescent="0.15">
      <c r="I149" s="147"/>
      <c r="J149" s="147"/>
      <c r="K149" s="147"/>
      <c r="L149" s="147"/>
      <c r="M149" s="147"/>
      <c r="N149" s="147"/>
    </row>
    <row r="150" spans="9:14" x14ac:dyDescent="0.15">
      <c r="I150" s="147"/>
      <c r="J150" s="147"/>
      <c r="K150" s="147"/>
      <c r="L150" s="147"/>
      <c r="M150" s="147"/>
      <c r="N150" s="147"/>
    </row>
    <row r="151" spans="9:14" x14ac:dyDescent="0.15">
      <c r="I151" s="147"/>
      <c r="J151" s="147"/>
      <c r="K151" s="147"/>
      <c r="L151" s="147"/>
      <c r="M151" s="147"/>
      <c r="N151" s="147"/>
    </row>
    <row r="152" spans="9:14" x14ac:dyDescent="0.15">
      <c r="I152" s="147"/>
      <c r="J152" s="147"/>
      <c r="K152" s="147"/>
      <c r="L152" s="147"/>
      <c r="M152" s="147"/>
      <c r="N152" s="147"/>
    </row>
    <row r="153" spans="9:14" x14ac:dyDescent="0.15">
      <c r="I153" s="147"/>
      <c r="J153" s="147"/>
      <c r="K153" s="147"/>
      <c r="L153" s="147"/>
      <c r="M153" s="147"/>
      <c r="N153" s="147"/>
    </row>
    <row r="154" spans="9:14" x14ac:dyDescent="0.15">
      <c r="I154" s="147"/>
      <c r="J154" s="147"/>
      <c r="K154" s="147"/>
      <c r="L154" s="147"/>
      <c r="M154" s="147"/>
      <c r="N154" s="147"/>
    </row>
    <row r="155" spans="9:14" x14ac:dyDescent="0.15">
      <c r="I155" s="147"/>
      <c r="J155" s="147"/>
      <c r="K155" s="147"/>
      <c r="L155" s="147"/>
      <c r="M155" s="147"/>
      <c r="N155" s="147"/>
    </row>
    <row r="156" spans="9:14" x14ac:dyDescent="0.15">
      <c r="I156" s="147"/>
      <c r="J156" s="147"/>
      <c r="K156" s="147"/>
      <c r="L156" s="147"/>
      <c r="M156" s="147"/>
      <c r="N156" s="147"/>
    </row>
    <row r="157" spans="9:14" x14ac:dyDescent="0.15">
      <c r="I157" s="147"/>
      <c r="J157" s="147"/>
      <c r="K157" s="147"/>
      <c r="L157" s="147"/>
      <c r="M157" s="147"/>
      <c r="N157" s="147"/>
    </row>
    <row r="158" spans="9:14" x14ac:dyDescent="0.15">
      <c r="I158" s="147"/>
      <c r="J158" s="147"/>
      <c r="K158" s="147"/>
      <c r="L158" s="147"/>
      <c r="M158" s="147"/>
      <c r="N158" s="147"/>
    </row>
    <row r="159" spans="9:14" x14ac:dyDescent="0.15">
      <c r="I159" s="147"/>
      <c r="J159" s="147"/>
      <c r="K159" s="147"/>
      <c r="L159" s="147"/>
      <c r="M159" s="147"/>
      <c r="N159" s="147"/>
    </row>
    <row r="160" spans="9:14" x14ac:dyDescent="0.15">
      <c r="J160" s="147"/>
      <c r="K160" s="147"/>
      <c r="L160" s="147"/>
      <c r="M160" s="147"/>
      <c r="N160" s="147"/>
    </row>
    <row r="161" spans="10:14" x14ac:dyDescent="0.15">
      <c r="J161" s="147"/>
      <c r="K161" s="147"/>
      <c r="L161" s="147"/>
      <c r="M161" s="147"/>
      <c r="N161" s="147"/>
    </row>
    <row r="177" spans="15:15" x14ac:dyDescent="0.15">
      <c r="O177" s="147"/>
    </row>
    <row r="178" spans="15:15" x14ac:dyDescent="0.15">
      <c r="O178" s="147"/>
    </row>
    <row r="179" spans="15:15" x14ac:dyDescent="0.15">
      <c r="O179" s="147"/>
    </row>
    <row r="180" spans="15:15" x14ac:dyDescent="0.15">
      <c r="O180" s="147"/>
    </row>
    <row r="181" spans="15:15" x14ac:dyDescent="0.15">
      <c r="O181" s="147"/>
    </row>
    <row r="182" spans="15:15" x14ac:dyDescent="0.15">
      <c r="O182" s="147"/>
    </row>
    <row r="183" spans="15:15" x14ac:dyDescent="0.15">
      <c r="O183" s="147"/>
    </row>
    <row r="184" spans="15:15" x14ac:dyDescent="0.15">
      <c r="O184" s="147"/>
    </row>
    <row r="185" spans="15:15" x14ac:dyDescent="0.15">
      <c r="O185" s="147"/>
    </row>
    <row r="186" spans="15:15" x14ac:dyDescent="0.15">
      <c r="O186" s="147"/>
    </row>
    <row r="187" spans="15:15" x14ac:dyDescent="0.15">
      <c r="O187" s="147"/>
    </row>
    <row r="188" spans="15:15" x14ac:dyDescent="0.15">
      <c r="O188" s="147"/>
    </row>
    <row r="189" spans="15:15" x14ac:dyDescent="0.15">
      <c r="O189" s="147"/>
    </row>
    <row r="190" spans="15:15" x14ac:dyDescent="0.15">
      <c r="O190" s="147"/>
    </row>
    <row r="191" spans="15:15" x14ac:dyDescent="0.15">
      <c r="O191" s="147"/>
    </row>
    <row r="192" spans="15:15" x14ac:dyDescent="0.15">
      <c r="O192" s="147"/>
    </row>
    <row r="193" spans="15:15" x14ac:dyDescent="0.15">
      <c r="O193" s="147"/>
    </row>
    <row r="194" spans="15:15" x14ac:dyDescent="0.15">
      <c r="O194" s="147"/>
    </row>
    <row r="195" spans="15:15" x14ac:dyDescent="0.15">
      <c r="O195" s="147"/>
    </row>
    <row r="196" spans="15:15" x14ac:dyDescent="0.15">
      <c r="O196" s="147"/>
    </row>
  </sheetData>
  <mergeCells count="72">
    <mergeCell ref="B5:B7"/>
    <mergeCell ref="T5:U5"/>
    <mergeCell ref="I6:I11"/>
    <mergeCell ref="T6:U6"/>
    <mergeCell ref="T7:U7"/>
    <mergeCell ref="I4:I5"/>
    <mergeCell ref="J4:J5"/>
    <mergeCell ref="M4:M5"/>
    <mergeCell ref="N4:N5"/>
    <mergeCell ref="T4:U4"/>
    <mergeCell ref="B8:B12"/>
    <mergeCell ref="T8:U8"/>
    <mergeCell ref="T9:U9"/>
    <mergeCell ref="T10:U10"/>
    <mergeCell ref="T11:U11"/>
    <mergeCell ref="I12:I16"/>
    <mergeCell ref="T12:U12"/>
    <mergeCell ref="B13:B17"/>
    <mergeCell ref="T13:U13"/>
    <mergeCell ref="T14:U14"/>
    <mergeCell ref="T15:U15"/>
    <mergeCell ref="T16:U16"/>
    <mergeCell ref="I17:I20"/>
    <mergeCell ref="T17:U17"/>
    <mergeCell ref="B18:B21"/>
    <mergeCell ref="T18:U18"/>
    <mergeCell ref="T19:U19"/>
    <mergeCell ref="T20:U20"/>
    <mergeCell ref="I21:I24"/>
    <mergeCell ref="T21:U21"/>
    <mergeCell ref="B22:B25"/>
    <mergeCell ref="I25:I28"/>
    <mergeCell ref="K51:L51"/>
    <mergeCell ref="B29:B42"/>
    <mergeCell ref="I29:I32"/>
    <mergeCell ref="K38:L38"/>
    <mergeCell ref="I39:I46"/>
    <mergeCell ref="K39:L39"/>
    <mergeCell ref="K40:L40"/>
    <mergeCell ref="K41:L41"/>
    <mergeCell ref="K62:L62"/>
    <mergeCell ref="Q41:R41"/>
    <mergeCell ref="K42:L42"/>
    <mergeCell ref="P42:P48"/>
    <mergeCell ref="B43:B53"/>
    <mergeCell ref="K43:L43"/>
    <mergeCell ref="K44:L44"/>
    <mergeCell ref="K45:L45"/>
    <mergeCell ref="K46:L46"/>
    <mergeCell ref="I47:I50"/>
    <mergeCell ref="K47:L47"/>
    <mergeCell ref="K48:L48"/>
    <mergeCell ref="K49:L49"/>
    <mergeCell ref="P49:P61"/>
    <mergeCell ref="Q49:Q53"/>
    <mergeCell ref="K50:L50"/>
    <mergeCell ref="P62:Q62"/>
    <mergeCell ref="B54:B57"/>
    <mergeCell ref="K54:L54"/>
    <mergeCell ref="I55:I61"/>
    <mergeCell ref="K55:L55"/>
    <mergeCell ref="Q55:Q60"/>
    <mergeCell ref="K56:L56"/>
    <mergeCell ref="K57:L57"/>
    <mergeCell ref="K59:L59"/>
    <mergeCell ref="K60:L60"/>
    <mergeCell ref="I51:I54"/>
    <mergeCell ref="B58:B62"/>
    <mergeCell ref="K52:L52"/>
    <mergeCell ref="K53:L53"/>
    <mergeCell ref="K61:L61"/>
    <mergeCell ref="I62:J62"/>
  </mergeCells>
  <phoneticPr fontId="4"/>
  <pageMargins left="0.78740157480314965" right="0.78740157480314965" top="0.78740157480314965" bottom="0.78740157480314965" header="0.39370078740157483" footer="0.39370078740157483"/>
  <pageSetup paperSize="9" scale="57" orientation="landscape" horizontalDpi="4294967293" verticalDpi="300" r:id="rId1"/>
  <headerFooter alignWithMargins="0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Y196"/>
  <sheetViews>
    <sheetView view="pageBreakPreview" topLeftCell="A14" zoomScale="60" zoomScaleNormal="100" workbookViewId="0">
      <selection activeCell="AR26" sqref="AR26"/>
    </sheetView>
  </sheetViews>
  <sheetFormatPr defaultRowHeight="13.5" x14ac:dyDescent="0.15"/>
  <cols>
    <col min="1" max="1" width="1.625" style="29" customWidth="1"/>
    <col min="2" max="2" width="3.625" style="29" customWidth="1"/>
    <col min="3" max="3" width="15.625" style="29" customWidth="1"/>
    <col min="4" max="7" width="8.625" style="29" customWidth="1"/>
    <col min="8" max="8" width="1.625" style="147" customWidth="1"/>
    <col min="9" max="9" width="3.625" style="29" customWidth="1"/>
    <col min="10" max="10" width="15.625" style="29" customWidth="1"/>
    <col min="11" max="14" width="8.625" style="29" customWidth="1"/>
    <col min="15" max="15" width="3.5" style="29" customWidth="1"/>
    <col min="16" max="16" width="15.625" style="127" customWidth="1"/>
    <col min="17" max="17" width="8.625" style="29" customWidth="1"/>
    <col min="18" max="18" width="8.625" style="30" customWidth="1"/>
    <col min="19" max="21" width="8.625" style="29" customWidth="1"/>
    <col min="22" max="22" width="10.625" style="30" customWidth="1"/>
    <col min="23" max="262" width="9" style="29"/>
    <col min="263" max="263" width="1.375" style="29" customWidth="1"/>
    <col min="264" max="264" width="3.5" style="29" customWidth="1"/>
    <col min="265" max="265" width="22.125" style="29" customWidth="1"/>
    <col min="266" max="266" width="9.75" style="29" customWidth="1"/>
    <col min="267" max="267" width="7.375" style="29" customWidth="1"/>
    <col min="268" max="268" width="9" style="29"/>
    <col min="269" max="269" width="9.25" style="29" customWidth="1"/>
    <col min="270" max="270" width="3.5" style="29" customWidth="1"/>
    <col min="271" max="272" width="12.625" style="29" customWidth="1"/>
    <col min="273" max="273" width="9" style="29"/>
    <col min="274" max="274" width="7.75" style="29" customWidth="1"/>
    <col min="275" max="275" width="13.125" style="29" customWidth="1"/>
    <col min="276" max="276" width="6.125" style="29" customWidth="1"/>
    <col min="277" max="277" width="9.75" style="29" customWidth="1"/>
    <col min="278" max="278" width="1.375" style="29" customWidth="1"/>
    <col min="279" max="518" width="9" style="29"/>
    <col min="519" max="519" width="1.375" style="29" customWidth="1"/>
    <col min="520" max="520" width="3.5" style="29" customWidth="1"/>
    <col min="521" max="521" width="22.125" style="29" customWidth="1"/>
    <col min="522" max="522" width="9.75" style="29" customWidth="1"/>
    <col min="523" max="523" width="7.375" style="29" customWidth="1"/>
    <col min="524" max="524" width="9" style="29"/>
    <col min="525" max="525" width="9.25" style="29" customWidth="1"/>
    <col min="526" max="526" width="3.5" style="29" customWidth="1"/>
    <col min="527" max="528" width="12.625" style="29" customWidth="1"/>
    <col min="529" max="529" width="9" style="29"/>
    <col min="530" max="530" width="7.75" style="29" customWidth="1"/>
    <col min="531" max="531" width="13.125" style="29" customWidth="1"/>
    <col min="532" max="532" width="6.125" style="29" customWidth="1"/>
    <col min="533" max="533" width="9.75" style="29" customWidth="1"/>
    <col min="534" max="534" width="1.375" style="29" customWidth="1"/>
    <col min="535" max="774" width="9" style="29"/>
    <col min="775" max="775" width="1.375" style="29" customWidth="1"/>
    <col min="776" max="776" width="3.5" style="29" customWidth="1"/>
    <col min="777" max="777" width="22.125" style="29" customWidth="1"/>
    <col min="778" max="778" width="9.75" style="29" customWidth="1"/>
    <col min="779" max="779" width="7.375" style="29" customWidth="1"/>
    <col min="780" max="780" width="9" style="29"/>
    <col min="781" max="781" width="9.25" style="29" customWidth="1"/>
    <col min="782" max="782" width="3.5" style="29" customWidth="1"/>
    <col min="783" max="784" width="12.625" style="29" customWidth="1"/>
    <col min="785" max="785" width="9" style="29"/>
    <col min="786" max="786" width="7.75" style="29" customWidth="1"/>
    <col min="787" max="787" width="13.125" style="29" customWidth="1"/>
    <col min="788" max="788" width="6.125" style="29" customWidth="1"/>
    <col min="789" max="789" width="9.75" style="29" customWidth="1"/>
    <col min="790" max="790" width="1.375" style="29" customWidth="1"/>
    <col min="791" max="1030" width="9" style="29"/>
    <col min="1031" max="1031" width="1.375" style="29" customWidth="1"/>
    <col min="1032" max="1032" width="3.5" style="29" customWidth="1"/>
    <col min="1033" max="1033" width="22.125" style="29" customWidth="1"/>
    <col min="1034" max="1034" width="9.75" style="29" customWidth="1"/>
    <col min="1035" max="1035" width="7.375" style="29" customWidth="1"/>
    <col min="1036" max="1036" width="9" style="29"/>
    <col min="1037" max="1037" width="9.25" style="29" customWidth="1"/>
    <col min="1038" max="1038" width="3.5" style="29" customWidth="1"/>
    <col min="1039" max="1040" width="12.625" style="29" customWidth="1"/>
    <col min="1041" max="1041" width="9" style="29"/>
    <col min="1042" max="1042" width="7.75" style="29" customWidth="1"/>
    <col min="1043" max="1043" width="13.125" style="29" customWidth="1"/>
    <col min="1044" max="1044" width="6.125" style="29" customWidth="1"/>
    <col min="1045" max="1045" width="9.75" style="29" customWidth="1"/>
    <col min="1046" max="1046" width="1.375" style="29" customWidth="1"/>
    <col min="1047" max="1286" width="9" style="29"/>
    <col min="1287" max="1287" width="1.375" style="29" customWidth="1"/>
    <col min="1288" max="1288" width="3.5" style="29" customWidth="1"/>
    <col min="1289" max="1289" width="22.125" style="29" customWidth="1"/>
    <col min="1290" max="1290" width="9.75" style="29" customWidth="1"/>
    <col min="1291" max="1291" width="7.375" style="29" customWidth="1"/>
    <col min="1292" max="1292" width="9" style="29"/>
    <col min="1293" max="1293" width="9.25" style="29" customWidth="1"/>
    <col min="1294" max="1294" width="3.5" style="29" customWidth="1"/>
    <col min="1295" max="1296" width="12.625" style="29" customWidth="1"/>
    <col min="1297" max="1297" width="9" style="29"/>
    <col min="1298" max="1298" width="7.75" style="29" customWidth="1"/>
    <col min="1299" max="1299" width="13.125" style="29" customWidth="1"/>
    <col min="1300" max="1300" width="6.125" style="29" customWidth="1"/>
    <col min="1301" max="1301" width="9.75" style="29" customWidth="1"/>
    <col min="1302" max="1302" width="1.375" style="29" customWidth="1"/>
    <col min="1303" max="1542" width="9" style="29"/>
    <col min="1543" max="1543" width="1.375" style="29" customWidth="1"/>
    <col min="1544" max="1544" width="3.5" style="29" customWidth="1"/>
    <col min="1545" max="1545" width="22.125" style="29" customWidth="1"/>
    <col min="1546" max="1546" width="9.75" style="29" customWidth="1"/>
    <col min="1547" max="1547" width="7.375" style="29" customWidth="1"/>
    <col min="1548" max="1548" width="9" style="29"/>
    <col min="1549" max="1549" width="9.25" style="29" customWidth="1"/>
    <col min="1550" max="1550" width="3.5" style="29" customWidth="1"/>
    <col min="1551" max="1552" width="12.625" style="29" customWidth="1"/>
    <col min="1553" max="1553" width="9" style="29"/>
    <col min="1554" max="1554" width="7.75" style="29" customWidth="1"/>
    <col min="1555" max="1555" width="13.125" style="29" customWidth="1"/>
    <col min="1556" max="1556" width="6.125" style="29" customWidth="1"/>
    <col min="1557" max="1557" width="9.75" style="29" customWidth="1"/>
    <col min="1558" max="1558" width="1.375" style="29" customWidth="1"/>
    <col min="1559" max="1798" width="9" style="29"/>
    <col min="1799" max="1799" width="1.375" style="29" customWidth="1"/>
    <col min="1800" max="1800" width="3.5" style="29" customWidth="1"/>
    <col min="1801" max="1801" width="22.125" style="29" customWidth="1"/>
    <col min="1802" max="1802" width="9.75" style="29" customWidth="1"/>
    <col min="1803" max="1803" width="7.375" style="29" customWidth="1"/>
    <col min="1804" max="1804" width="9" style="29"/>
    <col min="1805" max="1805" width="9.25" style="29" customWidth="1"/>
    <col min="1806" max="1806" width="3.5" style="29" customWidth="1"/>
    <col min="1807" max="1808" width="12.625" style="29" customWidth="1"/>
    <col min="1809" max="1809" width="9" style="29"/>
    <col min="1810" max="1810" width="7.75" style="29" customWidth="1"/>
    <col min="1811" max="1811" width="13.125" style="29" customWidth="1"/>
    <col min="1812" max="1812" width="6.125" style="29" customWidth="1"/>
    <col min="1813" max="1813" width="9.75" style="29" customWidth="1"/>
    <col min="1814" max="1814" width="1.375" style="29" customWidth="1"/>
    <col min="1815" max="2054" width="9" style="29"/>
    <col min="2055" max="2055" width="1.375" style="29" customWidth="1"/>
    <col min="2056" max="2056" width="3.5" style="29" customWidth="1"/>
    <col min="2057" max="2057" width="22.125" style="29" customWidth="1"/>
    <col min="2058" max="2058" width="9.75" style="29" customWidth="1"/>
    <col min="2059" max="2059" width="7.375" style="29" customWidth="1"/>
    <col min="2060" max="2060" width="9" style="29"/>
    <col min="2061" max="2061" width="9.25" style="29" customWidth="1"/>
    <col min="2062" max="2062" width="3.5" style="29" customWidth="1"/>
    <col min="2063" max="2064" width="12.625" style="29" customWidth="1"/>
    <col min="2065" max="2065" width="9" style="29"/>
    <col min="2066" max="2066" width="7.75" style="29" customWidth="1"/>
    <col min="2067" max="2067" width="13.125" style="29" customWidth="1"/>
    <col min="2068" max="2068" width="6.125" style="29" customWidth="1"/>
    <col min="2069" max="2069" width="9.75" style="29" customWidth="1"/>
    <col min="2070" max="2070" width="1.375" style="29" customWidth="1"/>
    <col min="2071" max="2310" width="9" style="29"/>
    <col min="2311" max="2311" width="1.375" style="29" customWidth="1"/>
    <col min="2312" max="2312" width="3.5" style="29" customWidth="1"/>
    <col min="2313" max="2313" width="22.125" style="29" customWidth="1"/>
    <col min="2314" max="2314" width="9.75" style="29" customWidth="1"/>
    <col min="2315" max="2315" width="7.375" style="29" customWidth="1"/>
    <col min="2316" max="2316" width="9" style="29"/>
    <col min="2317" max="2317" width="9.25" style="29" customWidth="1"/>
    <col min="2318" max="2318" width="3.5" style="29" customWidth="1"/>
    <col min="2319" max="2320" width="12.625" style="29" customWidth="1"/>
    <col min="2321" max="2321" width="9" style="29"/>
    <col min="2322" max="2322" width="7.75" style="29" customWidth="1"/>
    <col min="2323" max="2323" width="13.125" style="29" customWidth="1"/>
    <col min="2324" max="2324" width="6.125" style="29" customWidth="1"/>
    <col min="2325" max="2325" width="9.75" style="29" customWidth="1"/>
    <col min="2326" max="2326" width="1.375" style="29" customWidth="1"/>
    <col min="2327" max="2566" width="9" style="29"/>
    <col min="2567" max="2567" width="1.375" style="29" customWidth="1"/>
    <col min="2568" max="2568" width="3.5" style="29" customWidth="1"/>
    <col min="2569" max="2569" width="22.125" style="29" customWidth="1"/>
    <col min="2570" max="2570" width="9.75" style="29" customWidth="1"/>
    <col min="2571" max="2571" width="7.375" style="29" customWidth="1"/>
    <col min="2572" max="2572" width="9" style="29"/>
    <col min="2573" max="2573" width="9.25" style="29" customWidth="1"/>
    <col min="2574" max="2574" width="3.5" style="29" customWidth="1"/>
    <col min="2575" max="2576" width="12.625" style="29" customWidth="1"/>
    <col min="2577" max="2577" width="9" style="29"/>
    <col min="2578" max="2578" width="7.75" style="29" customWidth="1"/>
    <col min="2579" max="2579" width="13.125" style="29" customWidth="1"/>
    <col min="2580" max="2580" width="6.125" style="29" customWidth="1"/>
    <col min="2581" max="2581" width="9.75" style="29" customWidth="1"/>
    <col min="2582" max="2582" width="1.375" style="29" customWidth="1"/>
    <col min="2583" max="2822" width="9" style="29"/>
    <col min="2823" max="2823" width="1.375" style="29" customWidth="1"/>
    <col min="2824" max="2824" width="3.5" style="29" customWidth="1"/>
    <col min="2825" max="2825" width="22.125" style="29" customWidth="1"/>
    <col min="2826" max="2826" width="9.75" style="29" customWidth="1"/>
    <col min="2827" max="2827" width="7.375" style="29" customWidth="1"/>
    <col min="2828" max="2828" width="9" style="29"/>
    <col min="2829" max="2829" width="9.25" style="29" customWidth="1"/>
    <col min="2830" max="2830" width="3.5" style="29" customWidth="1"/>
    <col min="2831" max="2832" width="12.625" style="29" customWidth="1"/>
    <col min="2833" max="2833" width="9" style="29"/>
    <col min="2834" max="2834" width="7.75" style="29" customWidth="1"/>
    <col min="2835" max="2835" width="13.125" style="29" customWidth="1"/>
    <col min="2836" max="2836" width="6.125" style="29" customWidth="1"/>
    <col min="2837" max="2837" width="9.75" style="29" customWidth="1"/>
    <col min="2838" max="2838" width="1.375" style="29" customWidth="1"/>
    <col min="2839" max="3078" width="9" style="29"/>
    <col min="3079" max="3079" width="1.375" style="29" customWidth="1"/>
    <col min="3080" max="3080" width="3.5" style="29" customWidth="1"/>
    <col min="3081" max="3081" width="22.125" style="29" customWidth="1"/>
    <col min="3082" max="3082" width="9.75" style="29" customWidth="1"/>
    <col min="3083" max="3083" width="7.375" style="29" customWidth="1"/>
    <col min="3084" max="3084" width="9" style="29"/>
    <col min="3085" max="3085" width="9.25" style="29" customWidth="1"/>
    <col min="3086" max="3086" width="3.5" style="29" customWidth="1"/>
    <col min="3087" max="3088" width="12.625" style="29" customWidth="1"/>
    <col min="3089" max="3089" width="9" style="29"/>
    <col min="3090" max="3090" width="7.75" style="29" customWidth="1"/>
    <col min="3091" max="3091" width="13.125" style="29" customWidth="1"/>
    <col min="3092" max="3092" width="6.125" style="29" customWidth="1"/>
    <col min="3093" max="3093" width="9.75" style="29" customWidth="1"/>
    <col min="3094" max="3094" width="1.375" style="29" customWidth="1"/>
    <col min="3095" max="3334" width="9" style="29"/>
    <col min="3335" max="3335" width="1.375" style="29" customWidth="1"/>
    <col min="3336" max="3336" width="3.5" style="29" customWidth="1"/>
    <col min="3337" max="3337" width="22.125" style="29" customWidth="1"/>
    <col min="3338" max="3338" width="9.75" style="29" customWidth="1"/>
    <col min="3339" max="3339" width="7.375" style="29" customWidth="1"/>
    <col min="3340" max="3340" width="9" style="29"/>
    <col min="3341" max="3341" width="9.25" style="29" customWidth="1"/>
    <col min="3342" max="3342" width="3.5" style="29" customWidth="1"/>
    <col min="3343" max="3344" width="12.625" style="29" customWidth="1"/>
    <col min="3345" max="3345" width="9" style="29"/>
    <col min="3346" max="3346" width="7.75" style="29" customWidth="1"/>
    <col min="3347" max="3347" width="13.125" style="29" customWidth="1"/>
    <col min="3348" max="3348" width="6.125" style="29" customWidth="1"/>
    <col min="3349" max="3349" width="9.75" style="29" customWidth="1"/>
    <col min="3350" max="3350" width="1.375" style="29" customWidth="1"/>
    <col min="3351" max="3590" width="9" style="29"/>
    <col min="3591" max="3591" width="1.375" style="29" customWidth="1"/>
    <col min="3592" max="3592" width="3.5" style="29" customWidth="1"/>
    <col min="3593" max="3593" width="22.125" style="29" customWidth="1"/>
    <col min="3594" max="3594" width="9.75" style="29" customWidth="1"/>
    <col min="3595" max="3595" width="7.375" style="29" customWidth="1"/>
    <col min="3596" max="3596" width="9" style="29"/>
    <col min="3597" max="3597" width="9.25" style="29" customWidth="1"/>
    <col min="3598" max="3598" width="3.5" style="29" customWidth="1"/>
    <col min="3599" max="3600" width="12.625" style="29" customWidth="1"/>
    <col min="3601" max="3601" width="9" style="29"/>
    <col min="3602" max="3602" width="7.75" style="29" customWidth="1"/>
    <col min="3603" max="3603" width="13.125" style="29" customWidth="1"/>
    <col min="3604" max="3604" width="6.125" style="29" customWidth="1"/>
    <col min="3605" max="3605" width="9.75" style="29" customWidth="1"/>
    <col min="3606" max="3606" width="1.375" style="29" customWidth="1"/>
    <col min="3607" max="3846" width="9" style="29"/>
    <col min="3847" max="3847" width="1.375" style="29" customWidth="1"/>
    <col min="3848" max="3848" width="3.5" style="29" customWidth="1"/>
    <col min="3849" max="3849" width="22.125" style="29" customWidth="1"/>
    <col min="3850" max="3850" width="9.75" style="29" customWidth="1"/>
    <col min="3851" max="3851" width="7.375" style="29" customWidth="1"/>
    <col min="3852" max="3852" width="9" style="29"/>
    <col min="3853" max="3853" width="9.25" style="29" customWidth="1"/>
    <col min="3854" max="3854" width="3.5" style="29" customWidth="1"/>
    <col min="3855" max="3856" width="12.625" style="29" customWidth="1"/>
    <col min="3857" max="3857" width="9" style="29"/>
    <col min="3858" max="3858" width="7.75" style="29" customWidth="1"/>
    <col min="3859" max="3859" width="13.125" style="29" customWidth="1"/>
    <col min="3860" max="3860" width="6.125" style="29" customWidth="1"/>
    <col min="3861" max="3861" width="9.75" style="29" customWidth="1"/>
    <col min="3862" max="3862" width="1.375" style="29" customWidth="1"/>
    <col min="3863" max="4102" width="9" style="29"/>
    <col min="4103" max="4103" width="1.375" style="29" customWidth="1"/>
    <col min="4104" max="4104" width="3.5" style="29" customWidth="1"/>
    <col min="4105" max="4105" width="22.125" style="29" customWidth="1"/>
    <col min="4106" max="4106" width="9.75" style="29" customWidth="1"/>
    <col min="4107" max="4107" width="7.375" style="29" customWidth="1"/>
    <col min="4108" max="4108" width="9" style="29"/>
    <col min="4109" max="4109" width="9.25" style="29" customWidth="1"/>
    <col min="4110" max="4110" width="3.5" style="29" customWidth="1"/>
    <col min="4111" max="4112" width="12.625" style="29" customWidth="1"/>
    <col min="4113" max="4113" width="9" style="29"/>
    <col min="4114" max="4114" width="7.75" style="29" customWidth="1"/>
    <col min="4115" max="4115" width="13.125" style="29" customWidth="1"/>
    <col min="4116" max="4116" width="6.125" style="29" customWidth="1"/>
    <col min="4117" max="4117" width="9.75" style="29" customWidth="1"/>
    <col min="4118" max="4118" width="1.375" style="29" customWidth="1"/>
    <col min="4119" max="4358" width="9" style="29"/>
    <col min="4359" max="4359" width="1.375" style="29" customWidth="1"/>
    <col min="4360" max="4360" width="3.5" style="29" customWidth="1"/>
    <col min="4361" max="4361" width="22.125" style="29" customWidth="1"/>
    <col min="4362" max="4362" width="9.75" style="29" customWidth="1"/>
    <col min="4363" max="4363" width="7.375" style="29" customWidth="1"/>
    <col min="4364" max="4364" width="9" style="29"/>
    <col min="4365" max="4365" width="9.25" style="29" customWidth="1"/>
    <col min="4366" max="4366" width="3.5" style="29" customWidth="1"/>
    <col min="4367" max="4368" width="12.625" style="29" customWidth="1"/>
    <col min="4369" max="4369" width="9" style="29"/>
    <col min="4370" max="4370" width="7.75" style="29" customWidth="1"/>
    <col min="4371" max="4371" width="13.125" style="29" customWidth="1"/>
    <col min="4372" max="4372" width="6.125" style="29" customWidth="1"/>
    <col min="4373" max="4373" width="9.75" style="29" customWidth="1"/>
    <col min="4374" max="4374" width="1.375" style="29" customWidth="1"/>
    <col min="4375" max="4614" width="9" style="29"/>
    <col min="4615" max="4615" width="1.375" style="29" customWidth="1"/>
    <col min="4616" max="4616" width="3.5" style="29" customWidth="1"/>
    <col min="4617" max="4617" width="22.125" style="29" customWidth="1"/>
    <col min="4618" max="4618" width="9.75" style="29" customWidth="1"/>
    <col min="4619" max="4619" width="7.375" style="29" customWidth="1"/>
    <col min="4620" max="4620" width="9" style="29"/>
    <col min="4621" max="4621" width="9.25" style="29" customWidth="1"/>
    <col min="4622" max="4622" width="3.5" style="29" customWidth="1"/>
    <col min="4623" max="4624" width="12.625" style="29" customWidth="1"/>
    <col min="4625" max="4625" width="9" style="29"/>
    <col min="4626" max="4626" width="7.75" style="29" customWidth="1"/>
    <col min="4627" max="4627" width="13.125" style="29" customWidth="1"/>
    <col min="4628" max="4628" width="6.125" style="29" customWidth="1"/>
    <col min="4629" max="4629" width="9.75" style="29" customWidth="1"/>
    <col min="4630" max="4630" width="1.375" style="29" customWidth="1"/>
    <col min="4631" max="4870" width="9" style="29"/>
    <col min="4871" max="4871" width="1.375" style="29" customWidth="1"/>
    <col min="4872" max="4872" width="3.5" style="29" customWidth="1"/>
    <col min="4873" max="4873" width="22.125" style="29" customWidth="1"/>
    <col min="4874" max="4874" width="9.75" style="29" customWidth="1"/>
    <col min="4875" max="4875" width="7.375" style="29" customWidth="1"/>
    <col min="4876" max="4876" width="9" style="29"/>
    <col min="4877" max="4877" width="9.25" style="29" customWidth="1"/>
    <col min="4878" max="4878" width="3.5" style="29" customWidth="1"/>
    <col min="4879" max="4880" width="12.625" style="29" customWidth="1"/>
    <col min="4881" max="4881" width="9" style="29"/>
    <col min="4882" max="4882" width="7.75" style="29" customWidth="1"/>
    <col min="4883" max="4883" width="13.125" style="29" customWidth="1"/>
    <col min="4884" max="4884" width="6.125" style="29" customWidth="1"/>
    <col min="4885" max="4885" width="9.75" style="29" customWidth="1"/>
    <col min="4886" max="4886" width="1.375" style="29" customWidth="1"/>
    <col min="4887" max="5126" width="9" style="29"/>
    <col min="5127" max="5127" width="1.375" style="29" customWidth="1"/>
    <col min="5128" max="5128" width="3.5" style="29" customWidth="1"/>
    <col min="5129" max="5129" width="22.125" style="29" customWidth="1"/>
    <col min="5130" max="5130" width="9.75" style="29" customWidth="1"/>
    <col min="5131" max="5131" width="7.375" style="29" customWidth="1"/>
    <col min="5132" max="5132" width="9" style="29"/>
    <col min="5133" max="5133" width="9.25" style="29" customWidth="1"/>
    <col min="5134" max="5134" width="3.5" style="29" customWidth="1"/>
    <col min="5135" max="5136" width="12.625" style="29" customWidth="1"/>
    <col min="5137" max="5137" width="9" style="29"/>
    <col min="5138" max="5138" width="7.75" style="29" customWidth="1"/>
    <col min="5139" max="5139" width="13.125" style="29" customWidth="1"/>
    <col min="5140" max="5140" width="6.125" style="29" customWidth="1"/>
    <col min="5141" max="5141" width="9.75" style="29" customWidth="1"/>
    <col min="5142" max="5142" width="1.375" style="29" customWidth="1"/>
    <col min="5143" max="5382" width="9" style="29"/>
    <col min="5383" max="5383" width="1.375" style="29" customWidth="1"/>
    <col min="5384" max="5384" width="3.5" style="29" customWidth="1"/>
    <col min="5385" max="5385" width="22.125" style="29" customWidth="1"/>
    <col min="5386" max="5386" width="9.75" style="29" customWidth="1"/>
    <col min="5387" max="5387" width="7.375" style="29" customWidth="1"/>
    <col min="5388" max="5388" width="9" style="29"/>
    <col min="5389" max="5389" width="9.25" style="29" customWidth="1"/>
    <col min="5390" max="5390" width="3.5" style="29" customWidth="1"/>
    <col min="5391" max="5392" width="12.625" style="29" customWidth="1"/>
    <col min="5393" max="5393" width="9" style="29"/>
    <col min="5394" max="5394" width="7.75" style="29" customWidth="1"/>
    <col min="5395" max="5395" width="13.125" style="29" customWidth="1"/>
    <col min="5396" max="5396" width="6.125" style="29" customWidth="1"/>
    <col min="5397" max="5397" width="9.75" style="29" customWidth="1"/>
    <col min="5398" max="5398" width="1.375" style="29" customWidth="1"/>
    <col min="5399" max="5638" width="9" style="29"/>
    <col min="5639" max="5639" width="1.375" style="29" customWidth="1"/>
    <col min="5640" max="5640" width="3.5" style="29" customWidth="1"/>
    <col min="5641" max="5641" width="22.125" style="29" customWidth="1"/>
    <col min="5642" max="5642" width="9.75" style="29" customWidth="1"/>
    <col min="5643" max="5643" width="7.375" style="29" customWidth="1"/>
    <col min="5644" max="5644" width="9" style="29"/>
    <col min="5645" max="5645" width="9.25" style="29" customWidth="1"/>
    <col min="5646" max="5646" width="3.5" style="29" customWidth="1"/>
    <col min="5647" max="5648" width="12.625" style="29" customWidth="1"/>
    <col min="5649" max="5649" width="9" style="29"/>
    <col min="5650" max="5650" width="7.75" style="29" customWidth="1"/>
    <col min="5651" max="5651" width="13.125" style="29" customWidth="1"/>
    <col min="5652" max="5652" width="6.125" style="29" customWidth="1"/>
    <col min="5653" max="5653" width="9.75" style="29" customWidth="1"/>
    <col min="5654" max="5654" width="1.375" style="29" customWidth="1"/>
    <col min="5655" max="5894" width="9" style="29"/>
    <col min="5895" max="5895" width="1.375" style="29" customWidth="1"/>
    <col min="5896" max="5896" width="3.5" style="29" customWidth="1"/>
    <col min="5897" max="5897" width="22.125" style="29" customWidth="1"/>
    <col min="5898" max="5898" width="9.75" style="29" customWidth="1"/>
    <col min="5899" max="5899" width="7.375" style="29" customWidth="1"/>
    <col min="5900" max="5900" width="9" style="29"/>
    <col min="5901" max="5901" width="9.25" style="29" customWidth="1"/>
    <col min="5902" max="5902" width="3.5" style="29" customWidth="1"/>
    <col min="5903" max="5904" width="12.625" style="29" customWidth="1"/>
    <col min="5905" max="5905" width="9" style="29"/>
    <col min="5906" max="5906" width="7.75" style="29" customWidth="1"/>
    <col min="5907" max="5907" width="13.125" style="29" customWidth="1"/>
    <col min="5908" max="5908" width="6.125" style="29" customWidth="1"/>
    <col min="5909" max="5909" width="9.75" style="29" customWidth="1"/>
    <col min="5910" max="5910" width="1.375" style="29" customWidth="1"/>
    <col min="5911" max="6150" width="9" style="29"/>
    <col min="6151" max="6151" width="1.375" style="29" customWidth="1"/>
    <col min="6152" max="6152" width="3.5" style="29" customWidth="1"/>
    <col min="6153" max="6153" width="22.125" style="29" customWidth="1"/>
    <col min="6154" max="6154" width="9.75" style="29" customWidth="1"/>
    <col min="6155" max="6155" width="7.375" style="29" customWidth="1"/>
    <col min="6156" max="6156" width="9" style="29"/>
    <col min="6157" max="6157" width="9.25" style="29" customWidth="1"/>
    <col min="6158" max="6158" width="3.5" style="29" customWidth="1"/>
    <col min="6159" max="6160" width="12.625" style="29" customWidth="1"/>
    <col min="6161" max="6161" width="9" style="29"/>
    <col min="6162" max="6162" width="7.75" style="29" customWidth="1"/>
    <col min="6163" max="6163" width="13.125" style="29" customWidth="1"/>
    <col min="6164" max="6164" width="6.125" style="29" customWidth="1"/>
    <col min="6165" max="6165" width="9.75" style="29" customWidth="1"/>
    <col min="6166" max="6166" width="1.375" style="29" customWidth="1"/>
    <col min="6167" max="6406" width="9" style="29"/>
    <col min="6407" max="6407" width="1.375" style="29" customWidth="1"/>
    <col min="6408" max="6408" width="3.5" style="29" customWidth="1"/>
    <col min="6409" max="6409" width="22.125" style="29" customWidth="1"/>
    <col min="6410" max="6410" width="9.75" style="29" customWidth="1"/>
    <col min="6411" max="6411" width="7.375" style="29" customWidth="1"/>
    <col min="6412" max="6412" width="9" style="29"/>
    <col min="6413" max="6413" width="9.25" style="29" customWidth="1"/>
    <col min="6414" max="6414" width="3.5" style="29" customWidth="1"/>
    <col min="6415" max="6416" width="12.625" style="29" customWidth="1"/>
    <col min="6417" max="6417" width="9" style="29"/>
    <col min="6418" max="6418" width="7.75" style="29" customWidth="1"/>
    <col min="6419" max="6419" width="13.125" style="29" customWidth="1"/>
    <col min="6420" max="6420" width="6.125" style="29" customWidth="1"/>
    <col min="6421" max="6421" width="9.75" style="29" customWidth="1"/>
    <col min="6422" max="6422" width="1.375" style="29" customWidth="1"/>
    <col min="6423" max="6662" width="9" style="29"/>
    <col min="6663" max="6663" width="1.375" style="29" customWidth="1"/>
    <col min="6664" max="6664" width="3.5" style="29" customWidth="1"/>
    <col min="6665" max="6665" width="22.125" style="29" customWidth="1"/>
    <col min="6666" max="6666" width="9.75" style="29" customWidth="1"/>
    <col min="6667" max="6667" width="7.375" style="29" customWidth="1"/>
    <col min="6668" max="6668" width="9" style="29"/>
    <col min="6669" max="6669" width="9.25" style="29" customWidth="1"/>
    <col min="6670" max="6670" width="3.5" style="29" customWidth="1"/>
    <col min="6671" max="6672" width="12.625" style="29" customWidth="1"/>
    <col min="6673" max="6673" width="9" style="29"/>
    <col min="6674" max="6674" width="7.75" style="29" customWidth="1"/>
    <col min="6675" max="6675" width="13.125" style="29" customWidth="1"/>
    <col min="6676" max="6676" width="6.125" style="29" customWidth="1"/>
    <col min="6677" max="6677" width="9.75" style="29" customWidth="1"/>
    <col min="6678" max="6678" width="1.375" style="29" customWidth="1"/>
    <col min="6679" max="6918" width="9" style="29"/>
    <col min="6919" max="6919" width="1.375" style="29" customWidth="1"/>
    <col min="6920" max="6920" width="3.5" style="29" customWidth="1"/>
    <col min="6921" max="6921" width="22.125" style="29" customWidth="1"/>
    <col min="6922" max="6922" width="9.75" style="29" customWidth="1"/>
    <col min="6923" max="6923" width="7.375" style="29" customWidth="1"/>
    <col min="6924" max="6924" width="9" style="29"/>
    <col min="6925" max="6925" width="9.25" style="29" customWidth="1"/>
    <col min="6926" max="6926" width="3.5" style="29" customWidth="1"/>
    <col min="6927" max="6928" width="12.625" style="29" customWidth="1"/>
    <col min="6929" max="6929" width="9" style="29"/>
    <col min="6930" max="6930" width="7.75" style="29" customWidth="1"/>
    <col min="6931" max="6931" width="13.125" style="29" customWidth="1"/>
    <col min="6932" max="6932" width="6.125" style="29" customWidth="1"/>
    <col min="6933" max="6933" width="9.75" style="29" customWidth="1"/>
    <col min="6934" max="6934" width="1.375" style="29" customWidth="1"/>
    <col min="6935" max="7174" width="9" style="29"/>
    <col min="7175" max="7175" width="1.375" style="29" customWidth="1"/>
    <col min="7176" max="7176" width="3.5" style="29" customWidth="1"/>
    <col min="7177" max="7177" width="22.125" style="29" customWidth="1"/>
    <col min="7178" max="7178" width="9.75" style="29" customWidth="1"/>
    <col min="7179" max="7179" width="7.375" style="29" customWidth="1"/>
    <col min="7180" max="7180" width="9" style="29"/>
    <col min="7181" max="7181" width="9.25" style="29" customWidth="1"/>
    <col min="7182" max="7182" width="3.5" style="29" customWidth="1"/>
    <col min="7183" max="7184" width="12.625" style="29" customWidth="1"/>
    <col min="7185" max="7185" width="9" style="29"/>
    <col min="7186" max="7186" width="7.75" style="29" customWidth="1"/>
    <col min="7187" max="7187" width="13.125" style="29" customWidth="1"/>
    <col min="7188" max="7188" width="6.125" style="29" customWidth="1"/>
    <col min="7189" max="7189" width="9.75" style="29" customWidth="1"/>
    <col min="7190" max="7190" width="1.375" style="29" customWidth="1"/>
    <col min="7191" max="7430" width="9" style="29"/>
    <col min="7431" max="7431" width="1.375" style="29" customWidth="1"/>
    <col min="7432" max="7432" width="3.5" style="29" customWidth="1"/>
    <col min="7433" max="7433" width="22.125" style="29" customWidth="1"/>
    <col min="7434" max="7434" width="9.75" style="29" customWidth="1"/>
    <col min="7435" max="7435" width="7.375" style="29" customWidth="1"/>
    <col min="7436" max="7436" width="9" style="29"/>
    <col min="7437" max="7437" width="9.25" style="29" customWidth="1"/>
    <col min="7438" max="7438" width="3.5" style="29" customWidth="1"/>
    <col min="7439" max="7440" width="12.625" style="29" customWidth="1"/>
    <col min="7441" max="7441" width="9" style="29"/>
    <col min="7442" max="7442" width="7.75" style="29" customWidth="1"/>
    <col min="7443" max="7443" width="13.125" style="29" customWidth="1"/>
    <col min="7444" max="7444" width="6.125" style="29" customWidth="1"/>
    <col min="7445" max="7445" width="9.75" style="29" customWidth="1"/>
    <col min="7446" max="7446" width="1.375" style="29" customWidth="1"/>
    <col min="7447" max="7686" width="9" style="29"/>
    <col min="7687" max="7687" width="1.375" style="29" customWidth="1"/>
    <col min="7688" max="7688" width="3.5" style="29" customWidth="1"/>
    <col min="7689" max="7689" width="22.125" style="29" customWidth="1"/>
    <col min="7690" max="7690" width="9.75" style="29" customWidth="1"/>
    <col min="7691" max="7691" width="7.375" style="29" customWidth="1"/>
    <col min="7692" max="7692" width="9" style="29"/>
    <col min="7693" max="7693" width="9.25" style="29" customWidth="1"/>
    <col min="7694" max="7694" width="3.5" style="29" customWidth="1"/>
    <col min="7695" max="7696" width="12.625" style="29" customWidth="1"/>
    <col min="7697" max="7697" width="9" style="29"/>
    <col min="7698" max="7698" width="7.75" style="29" customWidth="1"/>
    <col min="7699" max="7699" width="13.125" style="29" customWidth="1"/>
    <col min="7700" max="7700" width="6.125" style="29" customWidth="1"/>
    <col min="7701" max="7701" width="9.75" style="29" customWidth="1"/>
    <col min="7702" max="7702" width="1.375" style="29" customWidth="1"/>
    <col min="7703" max="7942" width="9" style="29"/>
    <col min="7943" max="7943" width="1.375" style="29" customWidth="1"/>
    <col min="7944" max="7944" width="3.5" style="29" customWidth="1"/>
    <col min="7945" max="7945" width="22.125" style="29" customWidth="1"/>
    <col min="7946" max="7946" width="9.75" style="29" customWidth="1"/>
    <col min="7947" max="7947" width="7.375" style="29" customWidth="1"/>
    <col min="7948" max="7948" width="9" style="29"/>
    <col min="7949" max="7949" width="9.25" style="29" customWidth="1"/>
    <col min="7950" max="7950" width="3.5" style="29" customWidth="1"/>
    <col min="7951" max="7952" width="12.625" style="29" customWidth="1"/>
    <col min="7953" max="7953" width="9" style="29"/>
    <col min="7954" max="7954" width="7.75" style="29" customWidth="1"/>
    <col min="7955" max="7955" width="13.125" style="29" customWidth="1"/>
    <col min="7956" max="7956" width="6.125" style="29" customWidth="1"/>
    <col min="7957" max="7957" width="9.75" style="29" customWidth="1"/>
    <col min="7958" max="7958" width="1.375" style="29" customWidth="1"/>
    <col min="7959" max="8198" width="9" style="29"/>
    <col min="8199" max="8199" width="1.375" style="29" customWidth="1"/>
    <col min="8200" max="8200" width="3.5" style="29" customWidth="1"/>
    <col min="8201" max="8201" width="22.125" style="29" customWidth="1"/>
    <col min="8202" max="8202" width="9.75" style="29" customWidth="1"/>
    <col min="8203" max="8203" width="7.375" style="29" customWidth="1"/>
    <col min="8204" max="8204" width="9" style="29"/>
    <col min="8205" max="8205" width="9.25" style="29" customWidth="1"/>
    <col min="8206" max="8206" width="3.5" style="29" customWidth="1"/>
    <col min="8207" max="8208" width="12.625" style="29" customWidth="1"/>
    <col min="8209" max="8209" width="9" style="29"/>
    <col min="8210" max="8210" width="7.75" style="29" customWidth="1"/>
    <col min="8211" max="8211" width="13.125" style="29" customWidth="1"/>
    <col min="8212" max="8212" width="6.125" style="29" customWidth="1"/>
    <col min="8213" max="8213" width="9.75" style="29" customWidth="1"/>
    <col min="8214" max="8214" width="1.375" style="29" customWidth="1"/>
    <col min="8215" max="8454" width="9" style="29"/>
    <col min="8455" max="8455" width="1.375" style="29" customWidth="1"/>
    <col min="8456" max="8456" width="3.5" style="29" customWidth="1"/>
    <col min="8457" max="8457" width="22.125" style="29" customWidth="1"/>
    <col min="8458" max="8458" width="9.75" style="29" customWidth="1"/>
    <col min="8459" max="8459" width="7.375" style="29" customWidth="1"/>
    <col min="8460" max="8460" width="9" style="29"/>
    <col min="8461" max="8461" width="9.25" style="29" customWidth="1"/>
    <col min="8462" max="8462" width="3.5" style="29" customWidth="1"/>
    <col min="8463" max="8464" width="12.625" style="29" customWidth="1"/>
    <col min="8465" max="8465" width="9" style="29"/>
    <col min="8466" max="8466" width="7.75" style="29" customWidth="1"/>
    <col min="8467" max="8467" width="13.125" style="29" customWidth="1"/>
    <col min="8468" max="8468" width="6.125" style="29" customWidth="1"/>
    <col min="8469" max="8469" width="9.75" style="29" customWidth="1"/>
    <col min="8470" max="8470" width="1.375" style="29" customWidth="1"/>
    <col min="8471" max="8710" width="9" style="29"/>
    <col min="8711" max="8711" width="1.375" style="29" customWidth="1"/>
    <col min="8712" max="8712" width="3.5" style="29" customWidth="1"/>
    <col min="8713" max="8713" width="22.125" style="29" customWidth="1"/>
    <col min="8714" max="8714" width="9.75" style="29" customWidth="1"/>
    <col min="8715" max="8715" width="7.375" style="29" customWidth="1"/>
    <col min="8716" max="8716" width="9" style="29"/>
    <col min="8717" max="8717" width="9.25" style="29" customWidth="1"/>
    <col min="8718" max="8718" width="3.5" style="29" customWidth="1"/>
    <col min="8719" max="8720" width="12.625" style="29" customWidth="1"/>
    <col min="8721" max="8721" width="9" style="29"/>
    <col min="8722" max="8722" width="7.75" style="29" customWidth="1"/>
    <col min="8723" max="8723" width="13.125" style="29" customWidth="1"/>
    <col min="8724" max="8724" width="6.125" style="29" customWidth="1"/>
    <col min="8725" max="8725" width="9.75" style="29" customWidth="1"/>
    <col min="8726" max="8726" width="1.375" style="29" customWidth="1"/>
    <col min="8727" max="8966" width="9" style="29"/>
    <col min="8967" max="8967" width="1.375" style="29" customWidth="1"/>
    <col min="8968" max="8968" width="3.5" style="29" customWidth="1"/>
    <col min="8969" max="8969" width="22.125" style="29" customWidth="1"/>
    <col min="8970" max="8970" width="9.75" style="29" customWidth="1"/>
    <col min="8971" max="8971" width="7.375" style="29" customWidth="1"/>
    <col min="8972" max="8972" width="9" style="29"/>
    <col min="8973" max="8973" width="9.25" style="29" customWidth="1"/>
    <col min="8974" max="8974" width="3.5" style="29" customWidth="1"/>
    <col min="8975" max="8976" width="12.625" style="29" customWidth="1"/>
    <col min="8977" max="8977" width="9" style="29"/>
    <col min="8978" max="8978" width="7.75" style="29" customWidth="1"/>
    <col min="8979" max="8979" width="13.125" style="29" customWidth="1"/>
    <col min="8980" max="8980" width="6.125" style="29" customWidth="1"/>
    <col min="8981" max="8981" width="9.75" style="29" customWidth="1"/>
    <col min="8982" max="8982" width="1.375" style="29" customWidth="1"/>
    <col min="8983" max="9222" width="9" style="29"/>
    <col min="9223" max="9223" width="1.375" style="29" customWidth="1"/>
    <col min="9224" max="9224" width="3.5" style="29" customWidth="1"/>
    <col min="9225" max="9225" width="22.125" style="29" customWidth="1"/>
    <col min="9226" max="9226" width="9.75" style="29" customWidth="1"/>
    <col min="9227" max="9227" width="7.375" style="29" customWidth="1"/>
    <col min="9228" max="9228" width="9" style="29"/>
    <col min="9229" max="9229" width="9.25" style="29" customWidth="1"/>
    <col min="9230" max="9230" width="3.5" style="29" customWidth="1"/>
    <col min="9231" max="9232" width="12.625" style="29" customWidth="1"/>
    <col min="9233" max="9233" width="9" style="29"/>
    <col min="9234" max="9234" width="7.75" style="29" customWidth="1"/>
    <col min="9235" max="9235" width="13.125" style="29" customWidth="1"/>
    <col min="9236" max="9236" width="6.125" style="29" customWidth="1"/>
    <col min="9237" max="9237" width="9.75" style="29" customWidth="1"/>
    <col min="9238" max="9238" width="1.375" style="29" customWidth="1"/>
    <col min="9239" max="9478" width="9" style="29"/>
    <col min="9479" max="9479" width="1.375" style="29" customWidth="1"/>
    <col min="9480" max="9480" width="3.5" style="29" customWidth="1"/>
    <col min="9481" max="9481" width="22.125" style="29" customWidth="1"/>
    <col min="9482" max="9482" width="9.75" style="29" customWidth="1"/>
    <col min="9483" max="9483" width="7.375" style="29" customWidth="1"/>
    <col min="9484" max="9484" width="9" style="29"/>
    <col min="9485" max="9485" width="9.25" style="29" customWidth="1"/>
    <col min="9486" max="9486" width="3.5" style="29" customWidth="1"/>
    <col min="9487" max="9488" width="12.625" style="29" customWidth="1"/>
    <col min="9489" max="9489" width="9" style="29"/>
    <col min="9490" max="9490" width="7.75" style="29" customWidth="1"/>
    <col min="9491" max="9491" width="13.125" style="29" customWidth="1"/>
    <col min="9492" max="9492" width="6.125" style="29" customWidth="1"/>
    <col min="9493" max="9493" width="9.75" style="29" customWidth="1"/>
    <col min="9494" max="9494" width="1.375" style="29" customWidth="1"/>
    <col min="9495" max="9734" width="9" style="29"/>
    <col min="9735" max="9735" width="1.375" style="29" customWidth="1"/>
    <col min="9736" max="9736" width="3.5" style="29" customWidth="1"/>
    <col min="9737" max="9737" width="22.125" style="29" customWidth="1"/>
    <col min="9738" max="9738" width="9.75" style="29" customWidth="1"/>
    <col min="9739" max="9739" width="7.375" style="29" customWidth="1"/>
    <col min="9740" max="9740" width="9" style="29"/>
    <col min="9741" max="9741" width="9.25" style="29" customWidth="1"/>
    <col min="9742" max="9742" width="3.5" style="29" customWidth="1"/>
    <col min="9743" max="9744" width="12.625" style="29" customWidth="1"/>
    <col min="9745" max="9745" width="9" style="29"/>
    <col min="9746" max="9746" width="7.75" style="29" customWidth="1"/>
    <col min="9747" max="9747" width="13.125" style="29" customWidth="1"/>
    <col min="9748" max="9748" width="6.125" style="29" customWidth="1"/>
    <col min="9749" max="9749" width="9.75" style="29" customWidth="1"/>
    <col min="9750" max="9750" width="1.375" style="29" customWidth="1"/>
    <col min="9751" max="9990" width="9" style="29"/>
    <col min="9991" max="9991" width="1.375" style="29" customWidth="1"/>
    <col min="9992" max="9992" width="3.5" style="29" customWidth="1"/>
    <col min="9993" max="9993" width="22.125" style="29" customWidth="1"/>
    <col min="9994" max="9994" width="9.75" style="29" customWidth="1"/>
    <col min="9995" max="9995" width="7.375" style="29" customWidth="1"/>
    <col min="9996" max="9996" width="9" style="29"/>
    <col min="9997" max="9997" width="9.25" style="29" customWidth="1"/>
    <col min="9998" max="9998" width="3.5" style="29" customWidth="1"/>
    <col min="9999" max="10000" width="12.625" style="29" customWidth="1"/>
    <col min="10001" max="10001" width="9" style="29"/>
    <col min="10002" max="10002" width="7.75" style="29" customWidth="1"/>
    <col min="10003" max="10003" width="13.125" style="29" customWidth="1"/>
    <col min="10004" max="10004" width="6.125" style="29" customWidth="1"/>
    <col min="10005" max="10005" width="9.75" style="29" customWidth="1"/>
    <col min="10006" max="10006" width="1.375" style="29" customWidth="1"/>
    <col min="10007" max="10246" width="9" style="29"/>
    <col min="10247" max="10247" width="1.375" style="29" customWidth="1"/>
    <col min="10248" max="10248" width="3.5" style="29" customWidth="1"/>
    <col min="10249" max="10249" width="22.125" style="29" customWidth="1"/>
    <col min="10250" max="10250" width="9.75" style="29" customWidth="1"/>
    <col min="10251" max="10251" width="7.375" style="29" customWidth="1"/>
    <col min="10252" max="10252" width="9" style="29"/>
    <col min="10253" max="10253" width="9.25" style="29" customWidth="1"/>
    <col min="10254" max="10254" width="3.5" style="29" customWidth="1"/>
    <col min="10255" max="10256" width="12.625" style="29" customWidth="1"/>
    <col min="10257" max="10257" width="9" style="29"/>
    <col min="10258" max="10258" width="7.75" style="29" customWidth="1"/>
    <col min="10259" max="10259" width="13.125" style="29" customWidth="1"/>
    <col min="10260" max="10260" width="6.125" style="29" customWidth="1"/>
    <col min="10261" max="10261" width="9.75" style="29" customWidth="1"/>
    <col min="10262" max="10262" width="1.375" style="29" customWidth="1"/>
    <col min="10263" max="10502" width="9" style="29"/>
    <col min="10503" max="10503" width="1.375" style="29" customWidth="1"/>
    <col min="10504" max="10504" width="3.5" style="29" customWidth="1"/>
    <col min="10505" max="10505" width="22.125" style="29" customWidth="1"/>
    <col min="10506" max="10506" width="9.75" style="29" customWidth="1"/>
    <col min="10507" max="10507" width="7.375" style="29" customWidth="1"/>
    <col min="10508" max="10508" width="9" style="29"/>
    <col min="10509" max="10509" width="9.25" style="29" customWidth="1"/>
    <col min="10510" max="10510" width="3.5" style="29" customWidth="1"/>
    <col min="10511" max="10512" width="12.625" style="29" customWidth="1"/>
    <col min="10513" max="10513" width="9" style="29"/>
    <col min="10514" max="10514" width="7.75" style="29" customWidth="1"/>
    <col min="10515" max="10515" width="13.125" style="29" customWidth="1"/>
    <col min="10516" max="10516" width="6.125" style="29" customWidth="1"/>
    <col min="10517" max="10517" width="9.75" style="29" customWidth="1"/>
    <col min="10518" max="10518" width="1.375" style="29" customWidth="1"/>
    <col min="10519" max="10758" width="9" style="29"/>
    <col min="10759" max="10759" width="1.375" style="29" customWidth="1"/>
    <col min="10760" max="10760" width="3.5" style="29" customWidth="1"/>
    <col min="10761" max="10761" width="22.125" style="29" customWidth="1"/>
    <col min="10762" max="10762" width="9.75" style="29" customWidth="1"/>
    <col min="10763" max="10763" width="7.375" style="29" customWidth="1"/>
    <col min="10764" max="10764" width="9" style="29"/>
    <col min="10765" max="10765" width="9.25" style="29" customWidth="1"/>
    <col min="10766" max="10766" width="3.5" style="29" customWidth="1"/>
    <col min="10767" max="10768" width="12.625" style="29" customWidth="1"/>
    <col min="10769" max="10769" width="9" style="29"/>
    <col min="10770" max="10770" width="7.75" style="29" customWidth="1"/>
    <col min="10771" max="10771" width="13.125" style="29" customWidth="1"/>
    <col min="10772" max="10772" width="6.125" style="29" customWidth="1"/>
    <col min="10773" max="10773" width="9.75" style="29" customWidth="1"/>
    <col min="10774" max="10774" width="1.375" style="29" customWidth="1"/>
    <col min="10775" max="11014" width="9" style="29"/>
    <col min="11015" max="11015" width="1.375" style="29" customWidth="1"/>
    <col min="11016" max="11016" width="3.5" style="29" customWidth="1"/>
    <col min="11017" max="11017" width="22.125" style="29" customWidth="1"/>
    <col min="11018" max="11018" width="9.75" style="29" customWidth="1"/>
    <col min="11019" max="11019" width="7.375" style="29" customWidth="1"/>
    <col min="11020" max="11020" width="9" style="29"/>
    <col min="11021" max="11021" width="9.25" style="29" customWidth="1"/>
    <col min="11022" max="11022" width="3.5" style="29" customWidth="1"/>
    <col min="11023" max="11024" width="12.625" style="29" customWidth="1"/>
    <col min="11025" max="11025" width="9" style="29"/>
    <col min="11026" max="11026" width="7.75" style="29" customWidth="1"/>
    <col min="11027" max="11027" width="13.125" style="29" customWidth="1"/>
    <col min="11028" max="11028" width="6.125" style="29" customWidth="1"/>
    <col min="11029" max="11029" width="9.75" style="29" customWidth="1"/>
    <col min="11030" max="11030" width="1.375" style="29" customWidth="1"/>
    <col min="11031" max="11270" width="9" style="29"/>
    <col min="11271" max="11271" width="1.375" style="29" customWidth="1"/>
    <col min="11272" max="11272" width="3.5" style="29" customWidth="1"/>
    <col min="11273" max="11273" width="22.125" style="29" customWidth="1"/>
    <col min="11274" max="11274" width="9.75" style="29" customWidth="1"/>
    <col min="11275" max="11275" width="7.375" style="29" customWidth="1"/>
    <col min="11276" max="11276" width="9" style="29"/>
    <col min="11277" max="11277" width="9.25" style="29" customWidth="1"/>
    <col min="11278" max="11278" width="3.5" style="29" customWidth="1"/>
    <col min="11279" max="11280" width="12.625" style="29" customWidth="1"/>
    <col min="11281" max="11281" width="9" style="29"/>
    <col min="11282" max="11282" width="7.75" style="29" customWidth="1"/>
    <col min="11283" max="11283" width="13.125" style="29" customWidth="1"/>
    <col min="11284" max="11284" width="6.125" style="29" customWidth="1"/>
    <col min="11285" max="11285" width="9.75" style="29" customWidth="1"/>
    <col min="11286" max="11286" width="1.375" style="29" customWidth="1"/>
    <col min="11287" max="11526" width="9" style="29"/>
    <col min="11527" max="11527" width="1.375" style="29" customWidth="1"/>
    <col min="11528" max="11528" width="3.5" style="29" customWidth="1"/>
    <col min="11529" max="11529" width="22.125" style="29" customWidth="1"/>
    <col min="11530" max="11530" width="9.75" style="29" customWidth="1"/>
    <col min="11531" max="11531" width="7.375" style="29" customWidth="1"/>
    <col min="11532" max="11532" width="9" style="29"/>
    <col min="11533" max="11533" width="9.25" style="29" customWidth="1"/>
    <col min="11534" max="11534" width="3.5" style="29" customWidth="1"/>
    <col min="11535" max="11536" width="12.625" style="29" customWidth="1"/>
    <col min="11537" max="11537" width="9" style="29"/>
    <col min="11538" max="11538" width="7.75" style="29" customWidth="1"/>
    <col min="11539" max="11539" width="13.125" style="29" customWidth="1"/>
    <col min="11540" max="11540" width="6.125" style="29" customWidth="1"/>
    <col min="11541" max="11541" width="9.75" style="29" customWidth="1"/>
    <col min="11542" max="11542" width="1.375" style="29" customWidth="1"/>
    <col min="11543" max="11782" width="9" style="29"/>
    <col min="11783" max="11783" width="1.375" style="29" customWidth="1"/>
    <col min="11784" max="11784" width="3.5" style="29" customWidth="1"/>
    <col min="11785" max="11785" width="22.125" style="29" customWidth="1"/>
    <col min="11786" max="11786" width="9.75" style="29" customWidth="1"/>
    <col min="11787" max="11787" width="7.375" style="29" customWidth="1"/>
    <col min="11788" max="11788" width="9" style="29"/>
    <col min="11789" max="11789" width="9.25" style="29" customWidth="1"/>
    <col min="11790" max="11790" width="3.5" style="29" customWidth="1"/>
    <col min="11791" max="11792" width="12.625" style="29" customWidth="1"/>
    <col min="11793" max="11793" width="9" style="29"/>
    <col min="11794" max="11794" width="7.75" style="29" customWidth="1"/>
    <col min="11795" max="11795" width="13.125" style="29" customWidth="1"/>
    <col min="11796" max="11796" width="6.125" style="29" customWidth="1"/>
    <col min="11797" max="11797" width="9.75" style="29" customWidth="1"/>
    <col min="11798" max="11798" width="1.375" style="29" customWidth="1"/>
    <col min="11799" max="12038" width="9" style="29"/>
    <col min="12039" max="12039" width="1.375" style="29" customWidth="1"/>
    <col min="12040" max="12040" width="3.5" style="29" customWidth="1"/>
    <col min="12041" max="12041" width="22.125" style="29" customWidth="1"/>
    <col min="12042" max="12042" width="9.75" style="29" customWidth="1"/>
    <col min="12043" max="12043" width="7.375" style="29" customWidth="1"/>
    <col min="12044" max="12044" width="9" style="29"/>
    <col min="12045" max="12045" width="9.25" style="29" customWidth="1"/>
    <col min="12046" max="12046" width="3.5" style="29" customWidth="1"/>
    <col min="12047" max="12048" width="12.625" style="29" customWidth="1"/>
    <col min="12049" max="12049" width="9" style="29"/>
    <col min="12050" max="12050" width="7.75" style="29" customWidth="1"/>
    <col min="12051" max="12051" width="13.125" style="29" customWidth="1"/>
    <col min="12052" max="12052" width="6.125" style="29" customWidth="1"/>
    <col min="12053" max="12053" width="9.75" style="29" customWidth="1"/>
    <col min="12054" max="12054" width="1.375" style="29" customWidth="1"/>
    <col min="12055" max="12294" width="9" style="29"/>
    <col min="12295" max="12295" width="1.375" style="29" customWidth="1"/>
    <col min="12296" max="12296" width="3.5" style="29" customWidth="1"/>
    <col min="12297" max="12297" width="22.125" style="29" customWidth="1"/>
    <col min="12298" max="12298" width="9.75" style="29" customWidth="1"/>
    <col min="12299" max="12299" width="7.375" style="29" customWidth="1"/>
    <col min="12300" max="12300" width="9" style="29"/>
    <col min="12301" max="12301" width="9.25" style="29" customWidth="1"/>
    <col min="12302" max="12302" width="3.5" style="29" customWidth="1"/>
    <col min="12303" max="12304" width="12.625" style="29" customWidth="1"/>
    <col min="12305" max="12305" width="9" style="29"/>
    <col min="12306" max="12306" width="7.75" style="29" customWidth="1"/>
    <col min="12307" max="12307" width="13.125" style="29" customWidth="1"/>
    <col min="12308" max="12308" width="6.125" style="29" customWidth="1"/>
    <col min="12309" max="12309" width="9.75" style="29" customWidth="1"/>
    <col min="12310" max="12310" width="1.375" style="29" customWidth="1"/>
    <col min="12311" max="12550" width="9" style="29"/>
    <col min="12551" max="12551" width="1.375" style="29" customWidth="1"/>
    <col min="12552" max="12552" width="3.5" style="29" customWidth="1"/>
    <col min="12553" max="12553" width="22.125" style="29" customWidth="1"/>
    <col min="12554" max="12554" width="9.75" style="29" customWidth="1"/>
    <col min="12555" max="12555" width="7.375" style="29" customWidth="1"/>
    <col min="12556" max="12556" width="9" style="29"/>
    <col min="12557" max="12557" width="9.25" style="29" customWidth="1"/>
    <col min="12558" max="12558" width="3.5" style="29" customWidth="1"/>
    <col min="12559" max="12560" width="12.625" style="29" customWidth="1"/>
    <col min="12561" max="12561" width="9" style="29"/>
    <col min="12562" max="12562" width="7.75" style="29" customWidth="1"/>
    <col min="12563" max="12563" width="13.125" style="29" customWidth="1"/>
    <col min="12564" max="12564" width="6.125" style="29" customWidth="1"/>
    <col min="12565" max="12565" width="9.75" style="29" customWidth="1"/>
    <col min="12566" max="12566" width="1.375" style="29" customWidth="1"/>
    <col min="12567" max="12806" width="9" style="29"/>
    <col min="12807" max="12807" width="1.375" style="29" customWidth="1"/>
    <col min="12808" max="12808" width="3.5" style="29" customWidth="1"/>
    <col min="12809" max="12809" width="22.125" style="29" customWidth="1"/>
    <col min="12810" max="12810" width="9.75" style="29" customWidth="1"/>
    <col min="12811" max="12811" width="7.375" style="29" customWidth="1"/>
    <col min="12812" max="12812" width="9" style="29"/>
    <col min="12813" max="12813" width="9.25" style="29" customWidth="1"/>
    <col min="12814" max="12814" width="3.5" style="29" customWidth="1"/>
    <col min="12815" max="12816" width="12.625" style="29" customWidth="1"/>
    <col min="12817" max="12817" width="9" style="29"/>
    <col min="12818" max="12818" width="7.75" style="29" customWidth="1"/>
    <col min="12819" max="12819" width="13.125" style="29" customWidth="1"/>
    <col min="12820" max="12820" width="6.125" style="29" customWidth="1"/>
    <col min="12821" max="12821" width="9.75" style="29" customWidth="1"/>
    <col min="12822" max="12822" width="1.375" style="29" customWidth="1"/>
    <col min="12823" max="13062" width="9" style="29"/>
    <col min="13063" max="13063" width="1.375" style="29" customWidth="1"/>
    <col min="13064" max="13064" width="3.5" style="29" customWidth="1"/>
    <col min="13065" max="13065" width="22.125" style="29" customWidth="1"/>
    <col min="13066" max="13066" width="9.75" style="29" customWidth="1"/>
    <col min="13067" max="13067" width="7.375" style="29" customWidth="1"/>
    <col min="13068" max="13068" width="9" style="29"/>
    <col min="13069" max="13069" width="9.25" style="29" customWidth="1"/>
    <col min="13070" max="13070" width="3.5" style="29" customWidth="1"/>
    <col min="13071" max="13072" width="12.625" style="29" customWidth="1"/>
    <col min="13073" max="13073" width="9" style="29"/>
    <col min="13074" max="13074" width="7.75" style="29" customWidth="1"/>
    <col min="13075" max="13075" width="13.125" style="29" customWidth="1"/>
    <col min="13076" max="13076" width="6.125" style="29" customWidth="1"/>
    <col min="13077" max="13077" width="9.75" style="29" customWidth="1"/>
    <col min="13078" max="13078" width="1.375" style="29" customWidth="1"/>
    <col min="13079" max="13318" width="9" style="29"/>
    <col min="13319" max="13319" width="1.375" style="29" customWidth="1"/>
    <col min="13320" max="13320" width="3.5" style="29" customWidth="1"/>
    <col min="13321" max="13321" width="22.125" style="29" customWidth="1"/>
    <col min="13322" max="13322" width="9.75" style="29" customWidth="1"/>
    <col min="13323" max="13323" width="7.375" style="29" customWidth="1"/>
    <col min="13324" max="13324" width="9" style="29"/>
    <col min="13325" max="13325" width="9.25" style="29" customWidth="1"/>
    <col min="13326" max="13326" width="3.5" style="29" customWidth="1"/>
    <col min="13327" max="13328" width="12.625" style="29" customWidth="1"/>
    <col min="13329" max="13329" width="9" style="29"/>
    <col min="13330" max="13330" width="7.75" style="29" customWidth="1"/>
    <col min="13331" max="13331" width="13.125" style="29" customWidth="1"/>
    <col min="13332" max="13332" width="6.125" style="29" customWidth="1"/>
    <col min="13333" max="13333" width="9.75" style="29" customWidth="1"/>
    <col min="13334" max="13334" width="1.375" style="29" customWidth="1"/>
    <col min="13335" max="13574" width="9" style="29"/>
    <col min="13575" max="13575" width="1.375" style="29" customWidth="1"/>
    <col min="13576" max="13576" width="3.5" style="29" customWidth="1"/>
    <col min="13577" max="13577" width="22.125" style="29" customWidth="1"/>
    <col min="13578" max="13578" width="9.75" style="29" customWidth="1"/>
    <col min="13579" max="13579" width="7.375" style="29" customWidth="1"/>
    <col min="13580" max="13580" width="9" style="29"/>
    <col min="13581" max="13581" width="9.25" style="29" customWidth="1"/>
    <col min="13582" max="13582" width="3.5" style="29" customWidth="1"/>
    <col min="13583" max="13584" width="12.625" style="29" customWidth="1"/>
    <col min="13585" max="13585" width="9" style="29"/>
    <col min="13586" max="13586" width="7.75" style="29" customWidth="1"/>
    <col min="13587" max="13587" width="13.125" style="29" customWidth="1"/>
    <col min="13588" max="13588" width="6.125" style="29" customWidth="1"/>
    <col min="13589" max="13589" width="9.75" style="29" customWidth="1"/>
    <col min="13590" max="13590" width="1.375" style="29" customWidth="1"/>
    <col min="13591" max="13830" width="9" style="29"/>
    <col min="13831" max="13831" width="1.375" style="29" customWidth="1"/>
    <col min="13832" max="13832" width="3.5" style="29" customWidth="1"/>
    <col min="13833" max="13833" width="22.125" style="29" customWidth="1"/>
    <col min="13834" max="13834" width="9.75" style="29" customWidth="1"/>
    <col min="13835" max="13835" width="7.375" style="29" customWidth="1"/>
    <col min="13836" max="13836" width="9" style="29"/>
    <col min="13837" max="13837" width="9.25" style="29" customWidth="1"/>
    <col min="13838" max="13838" width="3.5" style="29" customWidth="1"/>
    <col min="13839" max="13840" width="12.625" style="29" customWidth="1"/>
    <col min="13841" max="13841" width="9" style="29"/>
    <col min="13842" max="13842" width="7.75" style="29" customWidth="1"/>
    <col min="13843" max="13843" width="13.125" style="29" customWidth="1"/>
    <col min="13844" max="13844" width="6.125" style="29" customWidth="1"/>
    <col min="13845" max="13845" width="9.75" style="29" customWidth="1"/>
    <col min="13846" max="13846" width="1.375" style="29" customWidth="1"/>
    <col min="13847" max="14086" width="9" style="29"/>
    <col min="14087" max="14087" width="1.375" style="29" customWidth="1"/>
    <col min="14088" max="14088" width="3.5" style="29" customWidth="1"/>
    <col min="14089" max="14089" width="22.125" style="29" customWidth="1"/>
    <col min="14090" max="14090" width="9.75" style="29" customWidth="1"/>
    <col min="14091" max="14091" width="7.375" style="29" customWidth="1"/>
    <col min="14092" max="14092" width="9" style="29"/>
    <col min="14093" max="14093" width="9.25" style="29" customWidth="1"/>
    <col min="14094" max="14094" width="3.5" style="29" customWidth="1"/>
    <col min="14095" max="14096" width="12.625" style="29" customWidth="1"/>
    <col min="14097" max="14097" width="9" style="29"/>
    <col min="14098" max="14098" width="7.75" style="29" customWidth="1"/>
    <col min="14099" max="14099" width="13.125" style="29" customWidth="1"/>
    <col min="14100" max="14100" width="6.125" style="29" customWidth="1"/>
    <col min="14101" max="14101" width="9.75" style="29" customWidth="1"/>
    <col min="14102" max="14102" width="1.375" style="29" customWidth="1"/>
    <col min="14103" max="14342" width="9" style="29"/>
    <col min="14343" max="14343" width="1.375" style="29" customWidth="1"/>
    <col min="14344" max="14344" width="3.5" style="29" customWidth="1"/>
    <col min="14345" max="14345" width="22.125" style="29" customWidth="1"/>
    <col min="14346" max="14346" width="9.75" style="29" customWidth="1"/>
    <col min="14347" max="14347" width="7.375" style="29" customWidth="1"/>
    <col min="14348" max="14348" width="9" style="29"/>
    <col min="14349" max="14349" width="9.25" style="29" customWidth="1"/>
    <col min="14350" max="14350" width="3.5" style="29" customWidth="1"/>
    <col min="14351" max="14352" width="12.625" style="29" customWidth="1"/>
    <col min="14353" max="14353" width="9" style="29"/>
    <col min="14354" max="14354" width="7.75" style="29" customWidth="1"/>
    <col min="14355" max="14355" width="13.125" style="29" customWidth="1"/>
    <col min="14356" max="14356" width="6.125" style="29" customWidth="1"/>
    <col min="14357" max="14357" width="9.75" style="29" customWidth="1"/>
    <col min="14358" max="14358" width="1.375" style="29" customWidth="1"/>
    <col min="14359" max="14598" width="9" style="29"/>
    <col min="14599" max="14599" width="1.375" style="29" customWidth="1"/>
    <col min="14600" max="14600" width="3.5" style="29" customWidth="1"/>
    <col min="14601" max="14601" width="22.125" style="29" customWidth="1"/>
    <col min="14602" max="14602" width="9.75" style="29" customWidth="1"/>
    <col min="14603" max="14603" width="7.375" style="29" customWidth="1"/>
    <col min="14604" max="14604" width="9" style="29"/>
    <col min="14605" max="14605" width="9.25" style="29" customWidth="1"/>
    <col min="14606" max="14606" width="3.5" style="29" customWidth="1"/>
    <col min="14607" max="14608" width="12.625" style="29" customWidth="1"/>
    <col min="14609" max="14609" width="9" style="29"/>
    <col min="14610" max="14610" width="7.75" style="29" customWidth="1"/>
    <col min="14611" max="14611" width="13.125" style="29" customWidth="1"/>
    <col min="14612" max="14612" width="6.125" style="29" customWidth="1"/>
    <col min="14613" max="14613" width="9.75" style="29" customWidth="1"/>
    <col min="14614" max="14614" width="1.375" style="29" customWidth="1"/>
    <col min="14615" max="14854" width="9" style="29"/>
    <col min="14855" max="14855" width="1.375" style="29" customWidth="1"/>
    <col min="14856" max="14856" width="3.5" style="29" customWidth="1"/>
    <col min="14857" max="14857" width="22.125" style="29" customWidth="1"/>
    <col min="14858" max="14858" width="9.75" style="29" customWidth="1"/>
    <col min="14859" max="14859" width="7.375" style="29" customWidth="1"/>
    <col min="14860" max="14860" width="9" style="29"/>
    <col min="14861" max="14861" width="9.25" style="29" customWidth="1"/>
    <col min="14862" max="14862" width="3.5" style="29" customWidth="1"/>
    <col min="14863" max="14864" width="12.625" style="29" customWidth="1"/>
    <col min="14865" max="14865" width="9" style="29"/>
    <col min="14866" max="14866" width="7.75" style="29" customWidth="1"/>
    <col min="14867" max="14867" width="13.125" style="29" customWidth="1"/>
    <col min="14868" max="14868" width="6.125" style="29" customWidth="1"/>
    <col min="14869" max="14869" width="9.75" style="29" customWidth="1"/>
    <col min="14870" max="14870" width="1.375" style="29" customWidth="1"/>
    <col min="14871" max="15110" width="9" style="29"/>
    <col min="15111" max="15111" width="1.375" style="29" customWidth="1"/>
    <col min="15112" max="15112" width="3.5" style="29" customWidth="1"/>
    <col min="15113" max="15113" width="22.125" style="29" customWidth="1"/>
    <col min="15114" max="15114" width="9.75" style="29" customWidth="1"/>
    <col min="15115" max="15115" width="7.375" style="29" customWidth="1"/>
    <col min="15116" max="15116" width="9" style="29"/>
    <col min="15117" max="15117" width="9.25" style="29" customWidth="1"/>
    <col min="15118" max="15118" width="3.5" style="29" customWidth="1"/>
    <col min="15119" max="15120" width="12.625" style="29" customWidth="1"/>
    <col min="15121" max="15121" width="9" style="29"/>
    <col min="15122" max="15122" width="7.75" style="29" customWidth="1"/>
    <col min="15123" max="15123" width="13.125" style="29" customWidth="1"/>
    <col min="15124" max="15124" width="6.125" style="29" customWidth="1"/>
    <col min="15125" max="15125" width="9.75" style="29" customWidth="1"/>
    <col min="15126" max="15126" width="1.375" style="29" customWidth="1"/>
    <col min="15127" max="15366" width="9" style="29"/>
    <col min="15367" max="15367" width="1.375" style="29" customWidth="1"/>
    <col min="15368" max="15368" width="3.5" style="29" customWidth="1"/>
    <col min="15369" max="15369" width="22.125" style="29" customWidth="1"/>
    <col min="15370" max="15370" width="9.75" style="29" customWidth="1"/>
    <col min="15371" max="15371" width="7.375" style="29" customWidth="1"/>
    <col min="15372" max="15372" width="9" style="29"/>
    <col min="15373" max="15373" width="9.25" style="29" customWidth="1"/>
    <col min="15374" max="15374" width="3.5" style="29" customWidth="1"/>
    <col min="15375" max="15376" width="12.625" style="29" customWidth="1"/>
    <col min="15377" max="15377" width="9" style="29"/>
    <col min="15378" max="15378" width="7.75" style="29" customWidth="1"/>
    <col min="15379" max="15379" width="13.125" style="29" customWidth="1"/>
    <col min="15380" max="15380" width="6.125" style="29" customWidth="1"/>
    <col min="15381" max="15381" width="9.75" style="29" customWidth="1"/>
    <col min="15382" max="15382" width="1.375" style="29" customWidth="1"/>
    <col min="15383" max="15622" width="9" style="29"/>
    <col min="15623" max="15623" width="1.375" style="29" customWidth="1"/>
    <col min="15624" max="15624" width="3.5" style="29" customWidth="1"/>
    <col min="15625" max="15625" width="22.125" style="29" customWidth="1"/>
    <col min="15626" max="15626" width="9.75" style="29" customWidth="1"/>
    <col min="15627" max="15627" width="7.375" style="29" customWidth="1"/>
    <col min="15628" max="15628" width="9" style="29"/>
    <col min="15629" max="15629" width="9.25" style="29" customWidth="1"/>
    <col min="15630" max="15630" width="3.5" style="29" customWidth="1"/>
    <col min="15631" max="15632" width="12.625" style="29" customWidth="1"/>
    <col min="15633" max="15633" width="9" style="29"/>
    <col min="15634" max="15634" width="7.75" style="29" customWidth="1"/>
    <col min="15635" max="15635" width="13.125" style="29" customWidth="1"/>
    <col min="15636" max="15636" width="6.125" style="29" customWidth="1"/>
    <col min="15637" max="15637" width="9.75" style="29" customWidth="1"/>
    <col min="15638" max="15638" width="1.375" style="29" customWidth="1"/>
    <col min="15639" max="15878" width="9" style="29"/>
    <col min="15879" max="15879" width="1.375" style="29" customWidth="1"/>
    <col min="15880" max="15880" width="3.5" style="29" customWidth="1"/>
    <col min="15881" max="15881" width="22.125" style="29" customWidth="1"/>
    <col min="15882" max="15882" width="9.75" style="29" customWidth="1"/>
    <col min="15883" max="15883" width="7.375" style="29" customWidth="1"/>
    <col min="15884" max="15884" width="9" style="29"/>
    <col min="15885" max="15885" width="9.25" style="29" customWidth="1"/>
    <col min="15886" max="15886" width="3.5" style="29" customWidth="1"/>
    <col min="15887" max="15888" width="12.625" style="29" customWidth="1"/>
    <col min="15889" max="15889" width="9" style="29"/>
    <col min="15890" max="15890" width="7.75" style="29" customWidth="1"/>
    <col min="15891" max="15891" width="13.125" style="29" customWidth="1"/>
    <col min="15892" max="15892" width="6.125" style="29" customWidth="1"/>
    <col min="15893" max="15893" width="9.75" style="29" customWidth="1"/>
    <col min="15894" max="15894" width="1.375" style="29" customWidth="1"/>
    <col min="15895" max="16134" width="9" style="29"/>
    <col min="16135" max="16135" width="1.375" style="29" customWidth="1"/>
    <col min="16136" max="16136" width="3.5" style="29" customWidth="1"/>
    <col min="16137" max="16137" width="22.125" style="29" customWidth="1"/>
    <col min="16138" max="16138" width="9.75" style="29" customWidth="1"/>
    <col min="16139" max="16139" width="7.375" style="29" customWidth="1"/>
    <col min="16140" max="16140" width="9" style="29"/>
    <col min="16141" max="16141" width="9.25" style="29" customWidth="1"/>
    <col min="16142" max="16142" width="3.5" style="29" customWidth="1"/>
    <col min="16143" max="16144" width="12.625" style="29" customWidth="1"/>
    <col min="16145" max="16145" width="9" style="29"/>
    <col min="16146" max="16146" width="7.75" style="29" customWidth="1"/>
    <col min="16147" max="16147" width="13.125" style="29" customWidth="1"/>
    <col min="16148" max="16148" width="6.125" style="29" customWidth="1"/>
    <col min="16149" max="16149" width="9.75" style="29" customWidth="1"/>
    <col min="16150" max="16150" width="1.375" style="29" customWidth="1"/>
    <col min="16151" max="16384" width="9" style="29"/>
  </cols>
  <sheetData>
    <row r="1" spans="2:25" ht="9.9499999999999993" customHeight="1" x14ac:dyDescent="0.15"/>
    <row r="2" spans="2:25" ht="24.95" customHeight="1" x14ac:dyDescent="0.15">
      <c r="B2" s="1" t="s">
        <v>468</v>
      </c>
      <c r="C2" s="31"/>
      <c r="D2" s="4"/>
      <c r="E2" s="4"/>
      <c r="F2" s="31"/>
      <c r="G2" s="100"/>
      <c r="H2" s="110"/>
      <c r="I2" s="100"/>
      <c r="J2" s="100"/>
      <c r="K2" s="100"/>
      <c r="L2" s="100"/>
      <c r="M2" s="100"/>
      <c r="N2" s="100"/>
      <c r="O2" s="4"/>
    </row>
    <row r="3" spans="2:25" ht="15" customHeight="1" thickBot="1" x14ac:dyDescent="0.2">
      <c r="B3" s="29" t="s">
        <v>164</v>
      </c>
      <c r="I3" s="4" t="s">
        <v>165</v>
      </c>
      <c r="P3" s="29" t="s">
        <v>186</v>
      </c>
    </row>
    <row r="4" spans="2:25" ht="15" customHeight="1" x14ac:dyDescent="0.15">
      <c r="B4" s="406" t="s">
        <v>70</v>
      </c>
      <c r="C4" s="407" t="s">
        <v>140</v>
      </c>
      <c r="D4" s="407" t="s">
        <v>110</v>
      </c>
      <c r="E4" s="407" t="s">
        <v>111</v>
      </c>
      <c r="F4" s="407" t="s">
        <v>21</v>
      </c>
      <c r="G4" s="408" t="s">
        <v>112</v>
      </c>
      <c r="H4" s="142"/>
      <c r="I4" s="908" t="s">
        <v>70</v>
      </c>
      <c r="J4" s="910" t="s">
        <v>143</v>
      </c>
      <c r="K4" s="409" t="s">
        <v>347</v>
      </c>
      <c r="L4" s="409" t="s">
        <v>113</v>
      </c>
      <c r="M4" s="910" t="s">
        <v>21</v>
      </c>
      <c r="N4" s="912" t="s">
        <v>112</v>
      </c>
      <c r="O4" s="149"/>
      <c r="P4" s="410" t="s">
        <v>146</v>
      </c>
      <c r="Q4" s="411" t="s">
        <v>147</v>
      </c>
      <c r="R4" s="411" t="s">
        <v>148</v>
      </c>
      <c r="S4" s="411" t="s">
        <v>304</v>
      </c>
      <c r="T4" s="914" t="s">
        <v>149</v>
      </c>
      <c r="U4" s="915"/>
      <c r="V4" s="412" t="s">
        <v>150</v>
      </c>
      <c r="W4" s="29" t="s">
        <v>305</v>
      </c>
      <c r="X4" s="29" t="s">
        <v>306</v>
      </c>
    </row>
    <row r="5" spans="2:25" ht="15" customHeight="1" x14ac:dyDescent="0.15">
      <c r="B5" s="899" t="s">
        <v>135</v>
      </c>
      <c r="C5" s="263" t="s">
        <v>294</v>
      </c>
      <c r="D5" s="263">
        <f>+肥料算出基礎!C4/1000</f>
        <v>3</v>
      </c>
      <c r="E5" s="413" t="s">
        <v>307</v>
      </c>
      <c r="F5" s="263">
        <f>+肥料算出基礎!K4/2</f>
        <v>22160</v>
      </c>
      <c r="G5" s="414">
        <f>D5*F5</f>
        <v>66480</v>
      </c>
      <c r="H5" s="143"/>
      <c r="I5" s="909"/>
      <c r="J5" s="911"/>
      <c r="K5" s="146" t="s">
        <v>115</v>
      </c>
      <c r="L5" s="309" t="s">
        <v>247</v>
      </c>
      <c r="M5" s="911"/>
      <c r="N5" s="913"/>
      <c r="O5" s="149"/>
      <c r="P5" s="415" t="s">
        <v>308</v>
      </c>
      <c r="Q5" s="416">
        <v>3</v>
      </c>
      <c r="R5" s="417" t="s">
        <v>309</v>
      </c>
      <c r="S5" s="416">
        <f>ROUNDDOWN(W5*1.1,-1)</f>
        <v>2290</v>
      </c>
      <c r="T5" s="904">
        <v>5</v>
      </c>
      <c r="U5" s="905"/>
      <c r="V5" s="418">
        <f>Q5*S5/T5</f>
        <v>1374</v>
      </c>
      <c r="W5" s="29">
        <v>2088</v>
      </c>
      <c r="X5" s="29">
        <v>500</v>
      </c>
      <c r="Y5" s="29" t="s">
        <v>310</v>
      </c>
    </row>
    <row r="6" spans="2:25" ht="15" customHeight="1" x14ac:dyDescent="0.15">
      <c r="B6" s="797"/>
      <c r="C6" s="263"/>
      <c r="D6" s="263"/>
      <c r="E6" s="413"/>
      <c r="F6" s="263"/>
      <c r="G6" s="134">
        <f t="shared" ref="G6" si="0">D6*F6</f>
        <v>0</v>
      </c>
      <c r="H6" s="143"/>
      <c r="I6" s="907" t="s">
        <v>142</v>
      </c>
      <c r="J6" s="263" t="s">
        <v>348</v>
      </c>
      <c r="K6" s="419">
        <v>9</v>
      </c>
      <c r="L6" s="419">
        <v>1</v>
      </c>
      <c r="M6" s="419">
        <v>84.7</v>
      </c>
      <c r="N6" s="134">
        <f>K6*L6*M6</f>
        <v>762.30000000000007</v>
      </c>
      <c r="O6" s="149"/>
      <c r="P6" s="415" t="s">
        <v>349</v>
      </c>
      <c r="Q6" s="416">
        <v>5</v>
      </c>
      <c r="R6" s="417" t="s">
        <v>309</v>
      </c>
      <c r="S6" s="416">
        <f t="shared" ref="S6:S9" si="1">ROUNDDOWN(W6*1.1,-1)</f>
        <v>2560</v>
      </c>
      <c r="T6" s="904">
        <v>1</v>
      </c>
      <c r="U6" s="905"/>
      <c r="V6" s="418">
        <f t="shared" ref="V6:V8" si="2">Q6*S6/T6</f>
        <v>12800</v>
      </c>
      <c r="W6" s="29">
        <v>2333</v>
      </c>
      <c r="X6" s="29">
        <v>100</v>
      </c>
      <c r="Y6" s="29" t="s">
        <v>310</v>
      </c>
    </row>
    <row r="7" spans="2:25" ht="15" customHeight="1" thickBot="1" x14ac:dyDescent="0.2">
      <c r="B7" s="868"/>
      <c r="C7" s="421" t="s">
        <v>116</v>
      </c>
      <c r="D7" s="421"/>
      <c r="E7" s="421"/>
      <c r="F7" s="421"/>
      <c r="G7" s="422">
        <f>SUM(G5:G6)</f>
        <v>66480</v>
      </c>
      <c r="H7" s="143"/>
      <c r="I7" s="797"/>
      <c r="J7" s="263" t="s">
        <v>350</v>
      </c>
      <c r="K7" s="419">
        <v>6</v>
      </c>
      <c r="L7" s="419">
        <v>3</v>
      </c>
      <c r="M7" s="419">
        <v>84.7</v>
      </c>
      <c r="N7" s="134">
        <f t="shared" ref="N7:N10" si="3">K7*L7*M7</f>
        <v>1524.6000000000001</v>
      </c>
      <c r="O7" s="149"/>
      <c r="P7" s="415" t="s">
        <v>351</v>
      </c>
      <c r="Q7" s="416">
        <v>8</v>
      </c>
      <c r="R7" s="417" t="s">
        <v>352</v>
      </c>
      <c r="S7" s="416">
        <f t="shared" si="1"/>
        <v>2240</v>
      </c>
      <c r="T7" s="904">
        <v>5</v>
      </c>
      <c r="U7" s="905"/>
      <c r="V7" s="418">
        <f t="shared" si="2"/>
        <v>3584</v>
      </c>
      <c r="W7" s="29">
        <v>2042</v>
      </c>
      <c r="X7" s="29">
        <v>200</v>
      </c>
      <c r="Y7" s="29" t="s">
        <v>353</v>
      </c>
    </row>
    <row r="8" spans="2:25" ht="15" customHeight="1" thickTop="1" x14ac:dyDescent="0.15">
      <c r="B8" s="867" t="s">
        <v>133</v>
      </c>
      <c r="C8" s="263" t="s">
        <v>370</v>
      </c>
      <c r="D8" s="231">
        <f>+肥料算出基礎!C5/肥料算出基礎!J5</f>
        <v>0.75</v>
      </c>
      <c r="E8" s="413" t="s">
        <v>114</v>
      </c>
      <c r="F8" s="263">
        <f>+肥料算出基礎!K7</f>
        <v>860</v>
      </c>
      <c r="G8" s="134">
        <f>D8*F8</f>
        <v>645</v>
      </c>
      <c r="H8" s="143"/>
      <c r="I8" s="797"/>
      <c r="J8" s="263" t="s">
        <v>354</v>
      </c>
      <c r="K8" s="419">
        <v>6</v>
      </c>
      <c r="L8" s="419">
        <v>3</v>
      </c>
      <c r="M8" s="419">
        <v>84.7</v>
      </c>
      <c r="N8" s="134">
        <f t="shared" si="3"/>
        <v>1524.6000000000001</v>
      </c>
      <c r="O8" s="149"/>
      <c r="P8" s="415" t="s">
        <v>311</v>
      </c>
      <c r="Q8" s="416">
        <v>0.3</v>
      </c>
      <c r="R8" s="417" t="s">
        <v>312</v>
      </c>
      <c r="S8" s="416">
        <f t="shared" si="1"/>
        <v>1180</v>
      </c>
      <c r="T8" s="904">
        <v>1</v>
      </c>
      <c r="U8" s="905"/>
      <c r="V8" s="418">
        <f t="shared" si="2"/>
        <v>354</v>
      </c>
      <c r="W8" s="29">
        <v>1080</v>
      </c>
      <c r="X8" s="29">
        <v>10</v>
      </c>
      <c r="Y8" s="29" t="s">
        <v>313</v>
      </c>
    </row>
    <row r="9" spans="2:25" ht="15" customHeight="1" x14ac:dyDescent="0.15">
      <c r="B9" s="797"/>
      <c r="C9" s="263" t="s">
        <v>371</v>
      </c>
      <c r="D9" s="263">
        <f>+肥料算出基礎!C6/肥料算出基礎!J6</f>
        <v>2</v>
      </c>
      <c r="E9" s="413" t="s">
        <v>114</v>
      </c>
      <c r="F9" s="263">
        <v>730</v>
      </c>
      <c r="G9" s="134">
        <f>D9*F9</f>
        <v>1460</v>
      </c>
      <c r="H9" s="143"/>
      <c r="I9" s="797"/>
      <c r="J9" s="263"/>
      <c r="K9" s="419"/>
      <c r="L9" s="419"/>
      <c r="M9" s="419"/>
      <c r="N9" s="134"/>
      <c r="O9" s="149"/>
      <c r="P9" s="415" t="s">
        <v>314</v>
      </c>
      <c r="Q9" s="416">
        <v>49</v>
      </c>
      <c r="R9" s="417" t="s">
        <v>312</v>
      </c>
      <c r="S9" s="416">
        <f t="shared" si="1"/>
        <v>370</v>
      </c>
      <c r="T9" s="904">
        <v>1</v>
      </c>
      <c r="U9" s="905"/>
      <c r="V9" s="418">
        <f>Q9*S9/T9</f>
        <v>18130</v>
      </c>
      <c r="W9" s="29">
        <v>337</v>
      </c>
      <c r="X9" s="29">
        <v>100</v>
      </c>
      <c r="Y9" s="29" t="s">
        <v>315</v>
      </c>
    </row>
    <row r="10" spans="2:25" ht="15" customHeight="1" x14ac:dyDescent="0.15">
      <c r="B10" s="797"/>
      <c r="C10" s="263" t="s">
        <v>372</v>
      </c>
      <c r="D10" s="263">
        <f>+肥料算出基礎!C8/肥料算出基礎!J8</f>
        <v>2</v>
      </c>
      <c r="E10" s="413" t="s">
        <v>114</v>
      </c>
      <c r="F10" s="263">
        <f>+肥料算出基礎!K10</f>
        <v>4930</v>
      </c>
      <c r="G10" s="134">
        <f>D10*F10</f>
        <v>9860</v>
      </c>
      <c r="H10" s="143"/>
      <c r="I10" s="797"/>
      <c r="J10" s="263"/>
      <c r="K10" s="419"/>
      <c r="L10" s="419"/>
      <c r="M10" s="419"/>
      <c r="N10" s="134">
        <f t="shared" si="3"/>
        <v>0</v>
      </c>
      <c r="O10" s="460"/>
      <c r="P10" s="127" t="s">
        <v>355</v>
      </c>
      <c r="Q10" s="420">
        <v>0.4</v>
      </c>
      <c r="R10" s="417" t="s">
        <v>309</v>
      </c>
      <c r="S10" s="416">
        <v>64600</v>
      </c>
      <c r="T10" s="904">
        <v>5</v>
      </c>
      <c r="U10" s="905"/>
      <c r="V10" s="418">
        <f>Q10*S10/T10</f>
        <v>5168</v>
      </c>
      <c r="X10" s="29" t="s">
        <v>356</v>
      </c>
    </row>
    <row r="11" spans="2:25" ht="15" customHeight="1" thickBot="1" x14ac:dyDescent="0.2">
      <c r="B11" s="797"/>
      <c r="C11" s="263" t="s">
        <v>373</v>
      </c>
      <c r="D11" s="263">
        <f>+肥料算出基礎!C7/肥料算出基礎!J7</f>
        <v>2</v>
      </c>
      <c r="E11" s="413" t="s">
        <v>114</v>
      </c>
      <c r="F11" s="263">
        <f>+肥料算出基礎!K9</f>
        <v>4410</v>
      </c>
      <c r="G11" s="134">
        <f>D11*F11</f>
        <v>8820</v>
      </c>
      <c r="H11" s="143"/>
      <c r="I11" s="868"/>
      <c r="J11" s="426" t="s">
        <v>357</v>
      </c>
      <c r="K11" s="427">
        <f t="shared" ref="K11:L11" si="4">SUM(K6:K10)</f>
        <v>21</v>
      </c>
      <c r="L11" s="427">
        <f t="shared" si="4"/>
        <v>7</v>
      </c>
      <c r="M11" s="427"/>
      <c r="N11" s="428">
        <f>SUM(N6:N10)</f>
        <v>3811.5</v>
      </c>
      <c r="O11" s="149"/>
      <c r="P11" s="415" t="s">
        <v>316</v>
      </c>
      <c r="Q11" s="420">
        <v>2.6</v>
      </c>
      <c r="R11" s="417" t="s">
        <v>309</v>
      </c>
      <c r="S11" s="416">
        <f>ROUNDDOWN(W11*1.1,-1)</f>
        <v>6220</v>
      </c>
      <c r="T11" s="904">
        <v>5</v>
      </c>
      <c r="U11" s="905"/>
      <c r="V11" s="418">
        <f>Q11*S11/T11</f>
        <v>3234.4</v>
      </c>
      <c r="W11" s="29">
        <v>5657</v>
      </c>
      <c r="X11" s="29" t="s">
        <v>317</v>
      </c>
    </row>
    <row r="12" spans="2:25" ht="15" customHeight="1" thickTop="1" thickBot="1" x14ac:dyDescent="0.2">
      <c r="B12" s="868"/>
      <c r="C12" s="135" t="s">
        <v>117</v>
      </c>
      <c r="D12" s="136"/>
      <c r="E12" s="136"/>
      <c r="F12" s="136"/>
      <c r="G12" s="137">
        <f>SUM(G8:G11)</f>
        <v>20785</v>
      </c>
      <c r="H12" s="143"/>
      <c r="I12" s="867" t="s">
        <v>358</v>
      </c>
      <c r="J12" s="263" t="s">
        <v>318</v>
      </c>
      <c r="K12" s="419">
        <v>25</v>
      </c>
      <c r="L12" s="419">
        <v>1</v>
      </c>
      <c r="M12" s="419">
        <v>158.4</v>
      </c>
      <c r="N12" s="134">
        <f>K12*L12*M12</f>
        <v>3960</v>
      </c>
      <c r="O12" s="149"/>
      <c r="P12" s="415"/>
      <c r="Q12" s="416"/>
      <c r="R12" s="417"/>
      <c r="S12" s="416"/>
      <c r="T12" s="904"/>
      <c r="U12" s="905"/>
      <c r="V12" s="418"/>
    </row>
    <row r="13" spans="2:25" ht="15" customHeight="1" thickTop="1" x14ac:dyDescent="0.15">
      <c r="B13" s="867" t="s">
        <v>134</v>
      </c>
      <c r="C13" s="263" t="s">
        <v>374</v>
      </c>
      <c r="D13" s="231">
        <f>+肥料算出基礎!C5/肥料算出基礎!J5</f>
        <v>0.75</v>
      </c>
      <c r="E13" s="413" t="s">
        <v>114</v>
      </c>
      <c r="F13" s="263">
        <f>+肥料算出基礎!K5</f>
        <v>3200</v>
      </c>
      <c r="G13" s="134">
        <f>D13*F13</f>
        <v>2400</v>
      </c>
      <c r="H13" s="143"/>
      <c r="I13" s="797"/>
      <c r="J13" s="263" t="s">
        <v>319</v>
      </c>
      <c r="K13" s="419">
        <v>10</v>
      </c>
      <c r="L13" s="419">
        <v>1</v>
      </c>
      <c r="M13" s="419">
        <v>158.4</v>
      </c>
      <c r="N13" s="134">
        <f t="shared" ref="N13:N15" si="5">K13*L13*M13</f>
        <v>1584</v>
      </c>
      <c r="O13" s="149"/>
      <c r="P13" s="415"/>
      <c r="Q13" s="416"/>
      <c r="R13" s="417"/>
      <c r="S13" s="416"/>
      <c r="T13" s="904"/>
      <c r="U13" s="905"/>
      <c r="V13" s="418"/>
    </row>
    <row r="14" spans="2:25" ht="15" customHeight="1" x14ac:dyDescent="0.15">
      <c r="B14" s="797"/>
      <c r="C14" s="263" t="s">
        <v>375</v>
      </c>
      <c r="D14" s="263">
        <f>+肥料算出基礎!C6/肥料算出基礎!J6</f>
        <v>2</v>
      </c>
      <c r="E14" s="413" t="s">
        <v>114</v>
      </c>
      <c r="F14" s="263">
        <f>+肥料算出基礎!K6</f>
        <v>2880</v>
      </c>
      <c r="G14" s="134">
        <f>D14*F14</f>
        <v>5760</v>
      </c>
      <c r="H14" s="143"/>
      <c r="I14" s="797"/>
      <c r="J14" s="263" t="s">
        <v>320</v>
      </c>
      <c r="K14" s="419">
        <v>5</v>
      </c>
      <c r="L14" s="419">
        <v>1</v>
      </c>
      <c r="M14" s="419">
        <v>158.4</v>
      </c>
      <c r="N14" s="134">
        <f t="shared" si="5"/>
        <v>792</v>
      </c>
      <c r="O14" s="149"/>
      <c r="P14" s="415"/>
      <c r="Q14" s="416"/>
      <c r="R14" s="417"/>
      <c r="S14" s="416"/>
      <c r="T14" s="904"/>
      <c r="U14" s="905"/>
      <c r="V14" s="418"/>
    </row>
    <row r="15" spans="2:25" ht="15" customHeight="1" x14ac:dyDescent="0.15">
      <c r="B15" s="797"/>
      <c r="C15" s="263"/>
      <c r="D15" s="263"/>
      <c r="E15" s="413"/>
      <c r="F15" s="263"/>
      <c r="G15" s="134">
        <f>D15*F15</f>
        <v>0</v>
      </c>
      <c r="H15" s="143"/>
      <c r="I15" s="797"/>
      <c r="J15" s="263" t="s">
        <v>321</v>
      </c>
      <c r="K15" s="419">
        <v>50</v>
      </c>
      <c r="L15" s="419">
        <v>1</v>
      </c>
      <c r="M15" s="419">
        <v>158.4</v>
      </c>
      <c r="N15" s="134">
        <f t="shared" si="5"/>
        <v>7920</v>
      </c>
      <c r="O15" s="149"/>
      <c r="P15" s="415"/>
      <c r="Q15" s="416"/>
      <c r="R15" s="417"/>
      <c r="S15" s="416"/>
      <c r="T15" s="904"/>
      <c r="U15" s="905"/>
      <c r="V15" s="418"/>
    </row>
    <row r="16" spans="2:25" ht="15" customHeight="1" thickBot="1" x14ac:dyDescent="0.2">
      <c r="B16" s="797"/>
      <c r="C16" s="263"/>
      <c r="D16" s="263"/>
      <c r="E16" s="263"/>
      <c r="F16" s="263"/>
      <c r="G16" s="134">
        <f t="shared" ref="G16" si="6">D16*F16</f>
        <v>0</v>
      </c>
      <c r="H16" s="143"/>
      <c r="I16" s="868"/>
      <c r="J16" s="426" t="s">
        <v>359</v>
      </c>
      <c r="K16" s="427">
        <f t="shared" ref="K16:L16" si="7">SUM(K12:K15)</f>
        <v>90</v>
      </c>
      <c r="L16" s="427">
        <f t="shared" si="7"/>
        <v>4</v>
      </c>
      <c r="M16" s="427"/>
      <c r="N16" s="428">
        <f>SUM(N12:N15)</f>
        <v>14256</v>
      </c>
      <c r="O16" s="149"/>
      <c r="P16" s="415"/>
      <c r="Q16" s="416"/>
      <c r="R16" s="417"/>
      <c r="S16" s="416"/>
      <c r="T16" s="904"/>
      <c r="U16" s="905"/>
      <c r="V16" s="418"/>
    </row>
    <row r="17" spans="2:25" ht="15" customHeight="1" thickTop="1" thickBot="1" x14ac:dyDescent="0.2">
      <c r="B17" s="868"/>
      <c r="C17" s="135" t="s">
        <v>117</v>
      </c>
      <c r="D17" s="136"/>
      <c r="E17" s="136"/>
      <c r="F17" s="136"/>
      <c r="G17" s="137">
        <f>SUM(G13:G16)</f>
        <v>8160</v>
      </c>
      <c r="H17" s="143"/>
      <c r="I17" s="867" t="s">
        <v>144</v>
      </c>
      <c r="J17" s="263" t="s">
        <v>322</v>
      </c>
      <c r="K17" s="419">
        <v>22</v>
      </c>
      <c r="L17" s="419">
        <v>0.5</v>
      </c>
      <c r="M17" s="419">
        <v>168.4</v>
      </c>
      <c r="N17" s="134">
        <f>K17*L17*M17</f>
        <v>1852.4</v>
      </c>
      <c r="O17" s="149"/>
      <c r="P17" s="415"/>
      <c r="Q17" s="416"/>
      <c r="R17" s="417"/>
      <c r="S17" s="416"/>
      <c r="T17" s="904"/>
      <c r="U17" s="905"/>
      <c r="V17" s="418"/>
    </row>
    <row r="18" spans="2:25" ht="15" customHeight="1" thickTop="1" x14ac:dyDescent="0.15">
      <c r="B18" s="867" t="s">
        <v>136</v>
      </c>
      <c r="C18" s="263" t="s">
        <v>376</v>
      </c>
      <c r="D18" s="231">
        <f>+肥料算出基礎!C11/肥料算出基礎!J11</f>
        <v>0.19999999999999998</v>
      </c>
      <c r="E18" s="413" t="s">
        <v>119</v>
      </c>
      <c r="F18" s="263">
        <f>+肥料算出基礎!K11</f>
        <v>8250</v>
      </c>
      <c r="G18" s="134">
        <f t="shared" ref="G18" si="8">D18*F18</f>
        <v>1649.9999999999998</v>
      </c>
      <c r="H18" s="143"/>
      <c r="I18" s="797"/>
      <c r="J18" s="263"/>
      <c r="K18" s="419"/>
      <c r="L18" s="419"/>
      <c r="M18" s="419"/>
      <c r="N18" s="134">
        <f t="shared" ref="N18:N19" si="9">K18*L18*M18</f>
        <v>0</v>
      </c>
      <c r="O18" s="149"/>
      <c r="P18" s="415"/>
      <c r="Q18" s="416"/>
      <c r="R18" s="417"/>
      <c r="S18" s="416"/>
      <c r="T18" s="904"/>
      <c r="U18" s="905"/>
      <c r="V18" s="418"/>
    </row>
    <row r="19" spans="2:25" ht="15" customHeight="1" x14ac:dyDescent="0.15">
      <c r="B19" s="797"/>
      <c r="C19" s="263"/>
      <c r="D19" s="263"/>
      <c r="E19" s="413"/>
      <c r="F19" s="263"/>
      <c r="G19" s="134">
        <f>D19*F19</f>
        <v>0</v>
      </c>
      <c r="H19" s="143"/>
      <c r="I19" s="797"/>
      <c r="J19" s="263"/>
      <c r="K19" s="419"/>
      <c r="L19" s="419"/>
      <c r="M19" s="419"/>
      <c r="N19" s="134">
        <f t="shared" si="9"/>
        <v>0</v>
      </c>
      <c r="O19" s="149"/>
      <c r="P19" s="415"/>
      <c r="Q19" s="416"/>
      <c r="R19" s="417"/>
      <c r="S19" s="416"/>
      <c r="T19" s="904"/>
      <c r="U19" s="905"/>
      <c r="V19" s="418"/>
    </row>
    <row r="20" spans="2:25" ht="15" customHeight="1" thickBot="1" x14ac:dyDescent="0.2">
      <c r="B20" s="797"/>
      <c r="C20" s="263"/>
      <c r="D20" s="263"/>
      <c r="E20" s="263"/>
      <c r="F20" s="263"/>
      <c r="G20" s="134">
        <f t="shared" ref="G20" si="10">D20*F20</f>
        <v>0</v>
      </c>
      <c r="H20" s="143"/>
      <c r="I20" s="868"/>
      <c r="J20" s="426" t="s">
        <v>323</v>
      </c>
      <c r="K20" s="427">
        <f>SUM(K17:K19)</f>
        <v>22</v>
      </c>
      <c r="L20" s="429">
        <f>SUM(L17:L19)</f>
        <v>0.5</v>
      </c>
      <c r="M20" s="430"/>
      <c r="N20" s="428">
        <f>SUM(N17:N19)</f>
        <v>1852.4</v>
      </c>
      <c r="O20" s="149"/>
      <c r="P20" s="415"/>
      <c r="Q20" s="416"/>
      <c r="R20" s="417"/>
      <c r="S20" s="416"/>
      <c r="T20" s="904"/>
      <c r="U20" s="905"/>
      <c r="V20" s="418"/>
    </row>
    <row r="21" spans="2:25" ht="15" customHeight="1" thickTop="1" thickBot="1" x14ac:dyDescent="0.2">
      <c r="B21" s="868"/>
      <c r="C21" s="135" t="s">
        <v>117</v>
      </c>
      <c r="D21" s="136"/>
      <c r="E21" s="136"/>
      <c r="F21" s="136"/>
      <c r="G21" s="137">
        <f>SUM(G18:G20)</f>
        <v>1649.9999999999998</v>
      </c>
      <c r="H21" s="143"/>
      <c r="I21" s="867" t="s">
        <v>145</v>
      </c>
      <c r="J21" s="263"/>
      <c r="K21" s="419"/>
      <c r="L21" s="419"/>
      <c r="M21" s="419"/>
      <c r="N21" s="134">
        <f>K21*L21*M21</f>
        <v>0</v>
      </c>
      <c r="O21" s="149"/>
      <c r="P21" s="431" t="s">
        <v>26</v>
      </c>
      <c r="Q21" s="432"/>
      <c r="R21" s="432"/>
      <c r="S21" s="432"/>
      <c r="T21" s="906"/>
      <c r="U21" s="889"/>
      <c r="V21" s="433">
        <f>SUM(V5:V20)</f>
        <v>44644.4</v>
      </c>
    </row>
    <row r="22" spans="2:25" ht="15" customHeight="1" thickTop="1" x14ac:dyDescent="0.15">
      <c r="B22" s="867" t="s">
        <v>137</v>
      </c>
      <c r="C22" s="263"/>
      <c r="D22" s="263"/>
      <c r="E22" s="413"/>
      <c r="F22" s="263"/>
      <c r="G22" s="134">
        <f>D22*F22</f>
        <v>0</v>
      </c>
      <c r="H22" s="143"/>
      <c r="I22" s="797"/>
      <c r="J22" s="263"/>
      <c r="K22" s="419"/>
      <c r="L22" s="419"/>
      <c r="M22" s="419"/>
      <c r="N22" s="134">
        <f t="shared" ref="N22:N23" si="11">K22*L22*M22</f>
        <v>0</v>
      </c>
      <c r="O22" s="149"/>
    </row>
    <row r="23" spans="2:25" ht="15" customHeight="1" thickBot="1" x14ac:dyDescent="0.2">
      <c r="B23" s="797"/>
      <c r="C23" s="263"/>
      <c r="D23" s="263"/>
      <c r="E23" s="413"/>
      <c r="F23" s="263"/>
      <c r="G23" s="134">
        <f>D23*F23</f>
        <v>0</v>
      </c>
      <c r="H23" s="143"/>
      <c r="I23" s="797"/>
      <c r="J23" s="263"/>
      <c r="K23" s="419"/>
      <c r="L23" s="419"/>
      <c r="M23" s="419"/>
      <c r="N23" s="134">
        <f t="shared" si="11"/>
        <v>0</v>
      </c>
      <c r="O23" s="149"/>
      <c r="P23" s="29" t="s">
        <v>187</v>
      </c>
    </row>
    <row r="24" spans="2:25" ht="15" customHeight="1" thickBot="1" x14ac:dyDescent="0.2">
      <c r="B24" s="797"/>
      <c r="C24" s="263"/>
      <c r="D24" s="263"/>
      <c r="E24" s="413"/>
      <c r="F24" s="263"/>
      <c r="G24" s="134">
        <f>D24*F24</f>
        <v>0</v>
      </c>
      <c r="H24" s="143"/>
      <c r="I24" s="868"/>
      <c r="J24" s="426" t="s">
        <v>360</v>
      </c>
      <c r="K24" s="427">
        <f>SUM(K21:K23)</f>
        <v>0</v>
      </c>
      <c r="L24" s="429">
        <f>SUM(L21:L23)</f>
        <v>0</v>
      </c>
      <c r="M24" s="430"/>
      <c r="N24" s="428">
        <f>SUM(N21:N23)</f>
        <v>0</v>
      </c>
      <c r="O24" s="149"/>
      <c r="P24" s="410" t="s">
        <v>151</v>
      </c>
      <c r="Q24" s="411" t="s">
        <v>147</v>
      </c>
      <c r="R24" s="411" t="s">
        <v>148</v>
      </c>
      <c r="S24" s="411" t="s">
        <v>304</v>
      </c>
      <c r="T24" s="411" t="s">
        <v>149</v>
      </c>
      <c r="U24" s="434" t="s">
        <v>405</v>
      </c>
      <c r="V24" s="412" t="s">
        <v>150</v>
      </c>
      <c r="W24" s="29" t="s">
        <v>254</v>
      </c>
      <c r="X24" s="29" t="s">
        <v>324</v>
      </c>
    </row>
    <row r="25" spans="2:25" ht="15" customHeight="1" thickTop="1" thickBot="1" x14ac:dyDescent="0.2">
      <c r="B25" s="881"/>
      <c r="C25" s="138" t="s">
        <v>120</v>
      </c>
      <c r="D25" s="139"/>
      <c r="E25" s="139"/>
      <c r="F25" s="145"/>
      <c r="G25" s="140">
        <f>SUM(G22:G24)</f>
        <v>0</v>
      </c>
      <c r="I25" s="867" t="s">
        <v>225</v>
      </c>
      <c r="J25" s="263"/>
      <c r="K25" s="419"/>
      <c r="L25" s="419"/>
      <c r="M25" s="419"/>
      <c r="N25" s="134">
        <f>K25*L25*M25</f>
        <v>0</v>
      </c>
      <c r="O25" s="149"/>
      <c r="P25" s="415" t="s">
        <v>361</v>
      </c>
      <c r="Q25" s="416">
        <v>1</v>
      </c>
      <c r="R25" s="417" t="s">
        <v>406</v>
      </c>
      <c r="S25" s="416">
        <v>5160</v>
      </c>
      <c r="T25" s="416">
        <v>2</v>
      </c>
      <c r="U25" s="435">
        <v>20</v>
      </c>
      <c r="V25" s="418">
        <f>Q25*S25/T25/U25*10</f>
        <v>1290</v>
      </c>
      <c r="W25" s="29">
        <v>4692</v>
      </c>
      <c r="X25" s="461">
        <v>0.5</v>
      </c>
    </row>
    <row r="26" spans="2:25" ht="15" customHeight="1" x14ac:dyDescent="0.15">
      <c r="H26" s="144"/>
      <c r="I26" s="797"/>
      <c r="J26" s="263"/>
      <c r="K26" s="419"/>
      <c r="L26" s="419"/>
      <c r="M26" s="419"/>
      <c r="N26" s="134">
        <f t="shared" ref="N26:N27" si="12">K26*L26*M26</f>
        <v>0</v>
      </c>
      <c r="O26" s="149"/>
      <c r="P26" s="415" t="s">
        <v>326</v>
      </c>
      <c r="Q26" s="416">
        <v>1</v>
      </c>
      <c r="R26" s="417" t="s">
        <v>407</v>
      </c>
      <c r="S26" s="416">
        <v>3390</v>
      </c>
      <c r="T26" s="416">
        <v>2</v>
      </c>
      <c r="U26" s="435">
        <v>20</v>
      </c>
      <c r="V26" s="418">
        <f t="shared" ref="V26:V37" si="13">Q26*S26/T26/U26*10</f>
        <v>847.5</v>
      </c>
      <c r="W26" s="29">
        <v>3086</v>
      </c>
      <c r="X26" s="461">
        <v>0.5</v>
      </c>
    </row>
    <row r="27" spans="2:25" ht="15" customHeight="1" thickBot="1" x14ac:dyDescent="0.2">
      <c r="B27" s="4" t="s">
        <v>328</v>
      </c>
      <c r="C27" s="4"/>
      <c r="D27" s="31"/>
      <c r="E27" s="4"/>
      <c r="F27" s="31"/>
      <c r="G27" s="32"/>
      <c r="H27" s="142"/>
      <c r="I27" s="797"/>
      <c r="J27" s="263"/>
      <c r="K27" s="419"/>
      <c r="L27" s="419"/>
      <c r="M27" s="419"/>
      <c r="N27" s="134">
        <f t="shared" si="12"/>
        <v>0</v>
      </c>
      <c r="O27" s="149"/>
      <c r="P27" s="415" t="s">
        <v>329</v>
      </c>
      <c r="Q27" s="416">
        <v>1</v>
      </c>
      <c r="R27" s="417" t="s">
        <v>407</v>
      </c>
      <c r="S27" s="416">
        <v>5720</v>
      </c>
      <c r="T27" s="416">
        <v>2</v>
      </c>
      <c r="U27" s="435">
        <v>50</v>
      </c>
      <c r="V27" s="418">
        <f t="shared" si="13"/>
        <v>572</v>
      </c>
      <c r="X27" s="461">
        <v>0.2</v>
      </c>
    </row>
    <row r="28" spans="2:25" ht="15" customHeight="1" thickBot="1" x14ac:dyDescent="0.2">
      <c r="B28" s="406" t="s">
        <v>70</v>
      </c>
      <c r="C28" s="407" t="s">
        <v>109</v>
      </c>
      <c r="D28" s="407" t="s">
        <v>398</v>
      </c>
      <c r="E28" s="407" t="s">
        <v>111</v>
      </c>
      <c r="F28" s="407" t="s">
        <v>21</v>
      </c>
      <c r="G28" s="408" t="s">
        <v>112</v>
      </c>
      <c r="H28" s="143"/>
      <c r="I28" s="868"/>
      <c r="J28" s="426" t="s">
        <v>330</v>
      </c>
      <c r="K28" s="427">
        <f>SUM(K25:K27)</f>
        <v>0</v>
      </c>
      <c r="L28" s="429">
        <f>SUM(L25:L27)</f>
        <v>0</v>
      </c>
      <c r="M28" s="430"/>
      <c r="N28" s="428">
        <f>SUM(N25:N27)</f>
        <v>0</v>
      </c>
      <c r="O28" s="149"/>
      <c r="P28" s="415" t="s">
        <v>331</v>
      </c>
      <c r="Q28" s="416">
        <v>1</v>
      </c>
      <c r="R28" s="417" t="s">
        <v>407</v>
      </c>
      <c r="S28" s="416">
        <v>970</v>
      </c>
      <c r="T28" s="416">
        <v>2</v>
      </c>
      <c r="U28" s="435">
        <v>20</v>
      </c>
      <c r="V28" s="418">
        <f t="shared" si="13"/>
        <v>242.5</v>
      </c>
      <c r="W28" s="29">
        <v>885</v>
      </c>
      <c r="X28" s="461">
        <v>0.5</v>
      </c>
    </row>
    <row r="29" spans="2:25" ht="15" customHeight="1" thickTop="1" x14ac:dyDescent="0.15">
      <c r="B29" s="899" t="s">
        <v>27</v>
      </c>
      <c r="C29" s="263" t="s">
        <v>377</v>
      </c>
      <c r="D29" s="231">
        <f>+農薬算出基礎!D3/農薬算出基礎!C3*1000/農薬算出基礎!E3</f>
        <v>0.8</v>
      </c>
      <c r="E29" s="413" t="s">
        <v>114</v>
      </c>
      <c r="F29" s="263">
        <f>+農薬算出基礎!F3</f>
        <v>3660</v>
      </c>
      <c r="G29" s="414">
        <f t="shared" ref="G29:G41" si="14">D29*F29</f>
        <v>2928</v>
      </c>
      <c r="H29" s="143"/>
      <c r="I29" s="867" t="s">
        <v>141</v>
      </c>
      <c r="J29" s="263"/>
      <c r="K29" s="419"/>
      <c r="L29" s="419"/>
      <c r="M29" s="419"/>
      <c r="N29" s="134">
        <f>K29*L29*M29</f>
        <v>0</v>
      </c>
      <c r="O29" s="149"/>
      <c r="P29" s="415" t="s">
        <v>362</v>
      </c>
      <c r="Q29" s="416">
        <v>8</v>
      </c>
      <c r="R29" s="417" t="s">
        <v>406</v>
      </c>
      <c r="S29" s="416">
        <v>1180</v>
      </c>
      <c r="T29" s="416">
        <v>5</v>
      </c>
      <c r="U29" s="435">
        <v>10</v>
      </c>
      <c r="V29" s="418">
        <f t="shared" si="13"/>
        <v>1888</v>
      </c>
      <c r="W29" s="29">
        <v>1080</v>
      </c>
      <c r="X29" s="461">
        <v>8</v>
      </c>
    </row>
    <row r="30" spans="2:25" ht="15" customHeight="1" x14ac:dyDescent="0.15">
      <c r="B30" s="797"/>
      <c r="C30" s="263" t="s">
        <v>378</v>
      </c>
      <c r="D30" s="231">
        <f>+農薬算出基礎!D4/農薬算出基礎!C4*1000/農薬算出基礎!E4</f>
        <v>0.75</v>
      </c>
      <c r="E30" s="413" t="s">
        <v>114</v>
      </c>
      <c r="F30" s="263">
        <f>+農薬算出基礎!F4</f>
        <v>1840</v>
      </c>
      <c r="G30" s="134">
        <f t="shared" si="14"/>
        <v>1380</v>
      </c>
      <c r="H30" s="143"/>
      <c r="I30" s="797"/>
      <c r="J30" s="263"/>
      <c r="K30" s="419"/>
      <c r="L30" s="419"/>
      <c r="M30" s="419"/>
      <c r="N30" s="134">
        <f t="shared" ref="N30:N31" si="15">K30*L30*M30</f>
        <v>0</v>
      </c>
      <c r="O30" s="30"/>
      <c r="P30" s="415" t="s">
        <v>333</v>
      </c>
      <c r="Q30" s="416">
        <v>1</v>
      </c>
      <c r="R30" s="417" t="s">
        <v>43</v>
      </c>
      <c r="S30" s="416">
        <v>10470</v>
      </c>
      <c r="T30" s="416">
        <v>5</v>
      </c>
      <c r="U30" s="435">
        <v>50</v>
      </c>
      <c r="V30" s="418">
        <f t="shared" si="13"/>
        <v>418.8</v>
      </c>
      <c r="W30" s="29">
        <v>9700</v>
      </c>
      <c r="X30" s="461">
        <v>0.2</v>
      </c>
      <c r="Y30" s="29" t="s">
        <v>334</v>
      </c>
    </row>
    <row r="31" spans="2:25" ht="15" customHeight="1" x14ac:dyDescent="0.15">
      <c r="B31" s="797"/>
      <c r="C31" s="263" t="s">
        <v>379</v>
      </c>
      <c r="D31" s="231">
        <f>+農薬算出基礎!D5/農薬算出基礎!C5*1000/農薬算出基礎!E5</f>
        <v>0.4</v>
      </c>
      <c r="E31" s="413" t="s">
        <v>114</v>
      </c>
      <c r="F31" s="263">
        <f>+農薬算出基礎!F5</f>
        <v>6260</v>
      </c>
      <c r="G31" s="134">
        <f t="shared" si="14"/>
        <v>2504</v>
      </c>
      <c r="H31" s="143"/>
      <c r="I31" s="797"/>
      <c r="J31" s="263"/>
      <c r="K31" s="419"/>
      <c r="L31" s="419"/>
      <c r="M31" s="419"/>
      <c r="N31" s="134">
        <f t="shared" si="15"/>
        <v>0</v>
      </c>
      <c r="P31" s="415" t="s">
        <v>363</v>
      </c>
      <c r="Q31" s="416">
        <v>1</v>
      </c>
      <c r="R31" s="417" t="s">
        <v>43</v>
      </c>
      <c r="S31" s="416">
        <v>3020</v>
      </c>
      <c r="T31" s="416">
        <v>5</v>
      </c>
      <c r="U31" s="435">
        <v>25</v>
      </c>
      <c r="V31" s="418">
        <f t="shared" si="13"/>
        <v>241.6</v>
      </c>
      <c r="W31" s="29">
        <v>2800</v>
      </c>
      <c r="X31" s="461">
        <v>0.4</v>
      </c>
      <c r="Y31" s="29" t="s">
        <v>336</v>
      </c>
    </row>
    <row r="32" spans="2:25" ht="15" customHeight="1" thickBot="1" x14ac:dyDescent="0.2">
      <c r="B32" s="797"/>
      <c r="C32" s="263" t="s">
        <v>380</v>
      </c>
      <c r="D32" s="231">
        <f>+農薬算出基礎!D6/農薬算出基礎!C6*1000/農薬算出基礎!E6</f>
        <v>0.3</v>
      </c>
      <c r="E32" s="413" t="s">
        <v>114</v>
      </c>
      <c r="F32" s="263">
        <f>+農薬算出基礎!F6</f>
        <v>3690</v>
      </c>
      <c r="G32" s="134">
        <f t="shared" si="14"/>
        <v>1107</v>
      </c>
      <c r="H32" s="143"/>
      <c r="I32" s="881"/>
      <c r="J32" s="436" t="s">
        <v>364</v>
      </c>
      <c r="K32" s="437">
        <f>SUM(K29:K31)</f>
        <v>0</v>
      </c>
      <c r="L32" s="438">
        <f>SUM(L29:L31)</f>
        <v>0</v>
      </c>
      <c r="M32" s="439"/>
      <c r="N32" s="440">
        <f>SUM(N29:N31)</f>
        <v>0</v>
      </c>
      <c r="P32" s="415" t="s">
        <v>365</v>
      </c>
      <c r="Q32" s="416">
        <v>1</v>
      </c>
      <c r="R32" s="417" t="s">
        <v>406</v>
      </c>
      <c r="S32" s="416">
        <v>30000</v>
      </c>
      <c r="T32" s="416">
        <v>10</v>
      </c>
      <c r="U32" s="435">
        <v>100</v>
      </c>
      <c r="V32" s="418">
        <f t="shared" si="13"/>
        <v>300</v>
      </c>
    </row>
    <row r="33" spans="2:22" ht="15" customHeight="1" x14ac:dyDescent="0.15">
      <c r="B33" s="797"/>
      <c r="C33" s="263" t="s">
        <v>381</v>
      </c>
      <c r="D33" s="231">
        <f>+農薬算出基礎!D7/農薬算出基礎!C7*1000/農薬算出基礎!E7</f>
        <v>0.3</v>
      </c>
      <c r="E33" s="413" t="s">
        <v>114</v>
      </c>
      <c r="F33" s="263">
        <f>+農薬算出基礎!F7</f>
        <v>4570</v>
      </c>
      <c r="G33" s="134">
        <f>D33*F33</f>
        <v>1371</v>
      </c>
      <c r="H33" s="143"/>
      <c r="I33" s="441"/>
      <c r="J33" s="142"/>
      <c r="K33" s="442"/>
      <c r="L33" s="442"/>
      <c r="M33" s="442"/>
      <c r="N33" s="143"/>
      <c r="P33" s="415" t="s">
        <v>338</v>
      </c>
      <c r="Q33" s="416">
        <v>1</v>
      </c>
      <c r="R33" s="417" t="s">
        <v>43</v>
      </c>
      <c r="S33" s="416">
        <v>30000</v>
      </c>
      <c r="T33" s="416">
        <v>7</v>
      </c>
      <c r="U33" s="435">
        <v>100</v>
      </c>
      <c r="V33" s="418">
        <f t="shared" si="13"/>
        <v>428.57142857142856</v>
      </c>
    </row>
    <row r="34" spans="2:22" ht="15" customHeight="1" x14ac:dyDescent="0.15">
      <c r="B34" s="797"/>
      <c r="C34" s="263" t="s">
        <v>382</v>
      </c>
      <c r="D34" s="231">
        <f>+農薬算出基礎!D8/農薬算出基礎!C8*1000/農薬算出基礎!E8</f>
        <v>0.2</v>
      </c>
      <c r="E34" s="413" t="s">
        <v>114</v>
      </c>
      <c r="F34" s="263">
        <f>+農薬算出基礎!F8</f>
        <v>6350</v>
      </c>
      <c r="G34" s="134">
        <f>D34*F34</f>
        <v>1270</v>
      </c>
      <c r="H34" s="143"/>
      <c r="I34" s="441"/>
      <c r="J34" s="142"/>
      <c r="K34" s="442"/>
      <c r="L34" s="442"/>
      <c r="M34" s="442"/>
      <c r="N34" s="143"/>
      <c r="P34" s="415" t="s">
        <v>366</v>
      </c>
      <c r="Q34" s="416">
        <v>4</v>
      </c>
      <c r="R34" s="417" t="s">
        <v>119</v>
      </c>
      <c r="S34" s="416">
        <v>7200</v>
      </c>
      <c r="T34" s="416">
        <v>10</v>
      </c>
      <c r="U34" s="435">
        <v>100</v>
      </c>
      <c r="V34" s="418">
        <f t="shared" si="13"/>
        <v>288</v>
      </c>
    </row>
    <row r="35" spans="2:22" ht="15" customHeight="1" x14ac:dyDescent="0.15">
      <c r="B35" s="797"/>
      <c r="C35" s="263" t="s">
        <v>383</v>
      </c>
      <c r="D35" s="231">
        <f>+農薬算出基礎!D9/農薬算出基礎!C9*1000/農薬算出基礎!E9</f>
        <v>0.2</v>
      </c>
      <c r="E35" s="413" t="s">
        <v>114</v>
      </c>
      <c r="F35" s="263">
        <f>+農薬算出基礎!F9</f>
        <v>8080</v>
      </c>
      <c r="G35" s="134">
        <f>D35*F35</f>
        <v>1616</v>
      </c>
      <c r="H35" s="143"/>
      <c r="I35" s="462"/>
      <c r="J35" s="142"/>
      <c r="K35" s="442"/>
      <c r="L35" s="442"/>
      <c r="M35" s="442"/>
      <c r="N35" s="143"/>
      <c r="P35" s="415" t="s">
        <v>367</v>
      </c>
      <c r="Q35" s="416">
        <v>2</v>
      </c>
      <c r="R35" s="417" t="s">
        <v>406</v>
      </c>
      <c r="S35" s="416">
        <v>10000</v>
      </c>
      <c r="T35" s="416">
        <v>10</v>
      </c>
      <c r="U35" s="435">
        <v>100</v>
      </c>
      <c r="V35" s="418">
        <f t="shared" si="13"/>
        <v>200</v>
      </c>
    </row>
    <row r="36" spans="2:22" ht="15" customHeight="1" x14ac:dyDescent="0.15">
      <c r="B36" s="797"/>
      <c r="C36" s="263" t="s">
        <v>384</v>
      </c>
      <c r="D36" s="231">
        <f>+農薬算出基礎!D10*3/農薬算出基礎!C10*1000/農薬算出基礎!E10</f>
        <v>1.2</v>
      </c>
      <c r="E36" s="413" t="s">
        <v>114</v>
      </c>
      <c r="F36" s="263">
        <f>+農薬算出基礎!F10</f>
        <v>5970</v>
      </c>
      <c r="G36" s="134">
        <f>D36*F36</f>
        <v>7164</v>
      </c>
      <c r="H36" s="143"/>
      <c r="I36" s="128"/>
      <c r="J36" s="128"/>
      <c r="K36" s="128"/>
      <c r="L36" s="128"/>
      <c r="M36" s="128"/>
      <c r="N36" s="128"/>
      <c r="P36" s="415" t="s">
        <v>341</v>
      </c>
      <c r="Q36" s="416">
        <v>1</v>
      </c>
      <c r="R36" s="417" t="s">
        <v>406</v>
      </c>
      <c r="S36" s="416">
        <v>2500</v>
      </c>
      <c r="T36" s="416">
        <v>10</v>
      </c>
      <c r="U36" s="435">
        <v>100</v>
      </c>
      <c r="V36" s="418">
        <f t="shared" si="13"/>
        <v>25</v>
      </c>
    </row>
    <row r="37" spans="2:22" ht="15" customHeight="1" thickBot="1" x14ac:dyDescent="0.2">
      <c r="B37" s="797"/>
      <c r="D37" s="463"/>
      <c r="E37" s="463"/>
      <c r="F37" s="463"/>
      <c r="H37" s="464"/>
      <c r="I37" s="116" t="s">
        <v>185</v>
      </c>
      <c r="J37" s="116"/>
      <c r="K37" s="116"/>
      <c r="L37" s="116"/>
      <c r="M37" s="116"/>
      <c r="P37" s="415" t="s">
        <v>342</v>
      </c>
      <c r="Q37" s="416">
        <v>1</v>
      </c>
      <c r="R37" s="417" t="s">
        <v>406</v>
      </c>
      <c r="S37" s="416">
        <v>3000</v>
      </c>
      <c r="T37" s="416">
        <v>10</v>
      </c>
      <c r="U37" s="435">
        <v>100</v>
      </c>
      <c r="V37" s="418">
        <f t="shared" si="13"/>
        <v>30</v>
      </c>
    </row>
    <row r="38" spans="2:22" ht="15" customHeight="1" thickBot="1" x14ac:dyDescent="0.2">
      <c r="B38" s="797"/>
      <c r="C38" s="465"/>
      <c r="D38" s="466"/>
      <c r="E38" s="466"/>
      <c r="F38" s="467"/>
      <c r="G38" s="468"/>
      <c r="H38" s="143"/>
      <c r="I38" s="443" t="s">
        <v>172</v>
      </c>
      <c r="J38" s="444" t="s">
        <v>3</v>
      </c>
      <c r="K38" s="900" t="s">
        <v>173</v>
      </c>
      <c r="L38" s="901"/>
      <c r="M38" s="445" t="s">
        <v>405</v>
      </c>
      <c r="N38" s="446" t="s">
        <v>368</v>
      </c>
      <c r="P38" s="447" t="s">
        <v>177</v>
      </c>
      <c r="Q38" s="432"/>
      <c r="R38" s="432"/>
      <c r="S38" s="432"/>
      <c r="T38" s="432"/>
      <c r="U38" s="448"/>
      <c r="V38" s="433">
        <f>SUM(V25:V37)</f>
        <v>6771.971428571429</v>
      </c>
    </row>
    <row r="39" spans="2:22" ht="15" customHeight="1" x14ac:dyDescent="0.15">
      <c r="B39" s="797"/>
      <c r="C39" s="469"/>
      <c r="D39" s="307"/>
      <c r="E39" s="307"/>
      <c r="F39" s="470"/>
      <c r="G39" s="203"/>
      <c r="H39" s="143"/>
      <c r="I39" s="873" t="s">
        <v>0</v>
      </c>
      <c r="J39" s="141"/>
      <c r="K39" s="885"/>
      <c r="L39" s="885"/>
      <c r="M39" s="307"/>
      <c r="N39" s="203"/>
    </row>
    <row r="40" spans="2:22" ht="15" customHeight="1" thickBot="1" x14ac:dyDescent="0.2">
      <c r="B40" s="797"/>
      <c r="C40" s="471"/>
      <c r="D40" s="472"/>
      <c r="E40" s="473"/>
      <c r="F40" s="474"/>
      <c r="G40" s="475">
        <f t="shared" si="14"/>
        <v>0</v>
      </c>
      <c r="H40" s="143"/>
      <c r="I40" s="902"/>
      <c r="J40" s="141"/>
      <c r="K40" s="885"/>
      <c r="L40" s="885"/>
      <c r="M40" s="307"/>
      <c r="N40" s="203"/>
      <c r="P40" s="116" t="s">
        <v>178</v>
      </c>
      <c r="Q40" s="116"/>
      <c r="R40" s="116"/>
      <c r="S40" s="116"/>
      <c r="T40" s="116"/>
    </row>
    <row r="41" spans="2:22" ht="15" customHeight="1" x14ac:dyDescent="0.15">
      <c r="B41" s="797"/>
      <c r="C41" s="263"/>
      <c r="D41" s="263"/>
      <c r="E41" s="413"/>
      <c r="F41" s="263"/>
      <c r="G41" s="134">
        <f t="shared" si="14"/>
        <v>0</v>
      </c>
      <c r="H41" s="143"/>
      <c r="I41" s="902"/>
      <c r="J41" s="141"/>
      <c r="K41" s="885"/>
      <c r="L41" s="885"/>
      <c r="M41" s="307"/>
      <c r="N41" s="203"/>
      <c r="O41" s="147"/>
      <c r="P41" s="443" t="s">
        <v>171</v>
      </c>
      <c r="Q41" s="892" t="s">
        <v>179</v>
      </c>
      <c r="R41" s="892"/>
      <c r="S41" s="449" t="s">
        <v>182</v>
      </c>
      <c r="T41" s="449" t="s">
        <v>181</v>
      </c>
      <c r="U41" s="450" t="s">
        <v>405</v>
      </c>
      <c r="V41" s="451" t="s">
        <v>368</v>
      </c>
    </row>
    <row r="42" spans="2:22" ht="15" customHeight="1" thickBot="1" x14ac:dyDescent="0.2">
      <c r="B42" s="868"/>
      <c r="C42" s="421" t="s">
        <v>116</v>
      </c>
      <c r="D42" s="421"/>
      <c r="E42" s="421"/>
      <c r="F42" s="421"/>
      <c r="G42" s="422">
        <f>SUM(G29:G41)</f>
        <v>19340</v>
      </c>
      <c r="H42" s="143"/>
      <c r="I42" s="902"/>
      <c r="J42" s="141"/>
      <c r="K42" s="885"/>
      <c r="L42" s="885"/>
      <c r="M42" s="307"/>
      <c r="N42" s="203"/>
      <c r="O42" s="147"/>
      <c r="P42" s="893" t="s">
        <v>180</v>
      </c>
      <c r="Q42" s="200" t="s">
        <v>170</v>
      </c>
      <c r="R42" s="212"/>
      <c r="S42" s="201"/>
      <c r="T42" s="213"/>
      <c r="U42" s="201"/>
      <c r="V42" s="203"/>
    </row>
    <row r="43" spans="2:22" ht="15" customHeight="1" thickTop="1" x14ac:dyDescent="0.15">
      <c r="B43" s="867" t="s">
        <v>138</v>
      </c>
      <c r="C43" s="263" t="s">
        <v>385</v>
      </c>
      <c r="D43" s="231">
        <f>+農薬算出基礎!D12/農薬算出基礎!C12*1000/農薬算出基礎!E12</f>
        <v>1.1111111111111112</v>
      </c>
      <c r="E43" s="413" t="s">
        <v>114</v>
      </c>
      <c r="F43" s="263">
        <f>+農薬算出基礎!F12</f>
        <v>2560</v>
      </c>
      <c r="G43" s="134">
        <f>D43*F43</f>
        <v>2844.4444444444443</v>
      </c>
      <c r="H43" s="143"/>
      <c r="I43" s="902"/>
      <c r="J43" s="141"/>
      <c r="K43" s="885"/>
      <c r="L43" s="885"/>
      <c r="M43" s="307"/>
      <c r="N43" s="203"/>
      <c r="O43" s="147"/>
      <c r="P43" s="894"/>
      <c r="Q43" s="200" t="s">
        <v>369</v>
      </c>
      <c r="R43" s="523" t="s">
        <v>571</v>
      </c>
      <c r="S43" s="201"/>
      <c r="T43" s="213"/>
      <c r="U43" s="201">
        <v>10</v>
      </c>
      <c r="V43" s="203">
        <v>6415</v>
      </c>
    </row>
    <row r="44" spans="2:22" ht="15" customHeight="1" x14ac:dyDescent="0.15">
      <c r="B44" s="797"/>
      <c r="C44" s="263" t="s">
        <v>386</v>
      </c>
      <c r="D44" s="231">
        <f>+農薬算出基礎!D13/農薬算出基礎!C13*1000/農薬算出基礎!E13</f>
        <v>0.4</v>
      </c>
      <c r="E44" s="413" t="s">
        <v>114</v>
      </c>
      <c r="F44" s="263">
        <f>+農薬算出基礎!F13</f>
        <v>2380</v>
      </c>
      <c r="G44" s="134">
        <f t="shared" ref="G44:G56" si="16">D44*F44</f>
        <v>952</v>
      </c>
      <c r="H44" s="143"/>
      <c r="I44" s="902"/>
      <c r="J44" s="141"/>
      <c r="K44" s="885"/>
      <c r="L44" s="885"/>
      <c r="M44" s="307"/>
      <c r="N44" s="203"/>
      <c r="O44" s="147"/>
      <c r="P44" s="894"/>
      <c r="Q44" s="200"/>
      <c r="R44" s="212"/>
      <c r="S44" s="201"/>
      <c r="T44" s="213"/>
      <c r="U44" s="201"/>
      <c r="V44" s="203"/>
    </row>
    <row r="45" spans="2:22" ht="15" customHeight="1" x14ac:dyDescent="0.15">
      <c r="B45" s="797"/>
      <c r="C45" s="263" t="s">
        <v>387</v>
      </c>
      <c r="D45" s="231">
        <f>+農薬算出基礎!D14/農薬算出基礎!C14*1000/農薬算出基礎!E14+農薬算出基礎!D18/農薬算出基礎!C18*1000/農薬算出基礎!E18</f>
        <v>0.44999999999999996</v>
      </c>
      <c r="E45" s="413" t="s">
        <v>114</v>
      </c>
      <c r="F45" s="263">
        <f>+農薬算出基礎!F14</f>
        <v>8340</v>
      </c>
      <c r="G45" s="134">
        <f t="shared" si="16"/>
        <v>3752.9999999999995</v>
      </c>
      <c r="H45" s="143"/>
      <c r="I45" s="902"/>
      <c r="J45" s="141"/>
      <c r="K45" s="885"/>
      <c r="L45" s="885"/>
      <c r="M45" s="307"/>
      <c r="N45" s="203"/>
      <c r="O45" s="147"/>
      <c r="P45" s="894"/>
      <c r="Q45" s="200" t="s">
        <v>184</v>
      </c>
      <c r="R45" s="212"/>
      <c r="S45" s="201"/>
      <c r="T45" s="213"/>
      <c r="U45" s="201"/>
      <c r="V45" s="203"/>
    </row>
    <row r="46" spans="2:22" ht="15" customHeight="1" thickBot="1" x14ac:dyDescent="0.2">
      <c r="B46" s="797"/>
      <c r="C46" s="263" t="s">
        <v>388</v>
      </c>
      <c r="D46" s="231">
        <f>+農薬算出基礎!D15/農薬算出基礎!C15*1000/農薬算出基礎!E15</f>
        <v>0.3</v>
      </c>
      <c r="E46" s="413" t="s">
        <v>114</v>
      </c>
      <c r="F46" s="263">
        <f>+農薬算出基礎!F15</f>
        <v>3180</v>
      </c>
      <c r="G46" s="134">
        <f t="shared" si="16"/>
        <v>954</v>
      </c>
      <c r="H46" s="143"/>
      <c r="I46" s="903"/>
      <c r="J46" s="197" t="s">
        <v>117</v>
      </c>
      <c r="K46" s="869"/>
      <c r="L46" s="870"/>
      <c r="M46" s="198"/>
      <c r="N46" s="202">
        <f>SUM(N39:N45)</f>
        <v>0</v>
      </c>
      <c r="O46" s="147"/>
      <c r="P46" s="894"/>
      <c r="Q46" s="200"/>
      <c r="R46" s="212"/>
      <c r="S46" s="201"/>
      <c r="T46" s="213"/>
      <c r="U46" s="201"/>
      <c r="V46" s="203"/>
    </row>
    <row r="47" spans="2:22" ht="15" customHeight="1" thickTop="1" x14ac:dyDescent="0.15">
      <c r="B47" s="797"/>
      <c r="C47" s="263" t="s">
        <v>389</v>
      </c>
      <c r="D47" s="231">
        <f>+農薬算出基礎!D16/農薬算出基礎!C16*1000/農薬算出基礎!E16</f>
        <v>0.4</v>
      </c>
      <c r="E47" s="413" t="s">
        <v>114</v>
      </c>
      <c r="F47" s="263">
        <f>+農薬算出基礎!F16</f>
        <v>4900</v>
      </c>
      <c r="G47" s="134">
        <f t="shared" si="16"/>
        <v>1960</v>
      </c>
      <c r="H47" s="143"/>
      <c r="I47" s="871" t="s">
        <v>174</v>
      </c>
      <c r="J47" s="199" t="s">
        <v>188</v>
      </c>
      <c r="K47" s="896">
        <v>4100</v>
      </c>
      <c r="L47" s="896"/>
      <c r="M47" s="549">
        <v>60</v>
      </c>
      <c r="N47" s="209">
        <f>+K47/M47*10</f>
        <v>683.33333333333326</v>
      </c>
      <c r="O47" s="147"/>
      <c r="P47" s="894"/>
      <c r="Q47" s="200"/>
      <c r="R47" s="212"/>
      <c r="S47" s="201"/>
      <c r="T47" s="213"/>
      <c r="U47" s="201"/>
      <c r="V47" s="203"/>
    </row>
    <row r="48" spans="2:22" ht="15" customHeight="1" thickBot="1" x14ac:dyDescent="0.2">
      <c r="B48" s="797"/>
      <c r="C48" s="263" t="s">
        <v>390</v>
      </c>
      <c r="D48" s="231">
        <f>+農薬算出基礎!D17/農薬算出基礎!C17*1000/農薬算出基礎!E17</f>
        <v>0.4</v>
      </c>
      <c r="E48" s="413" t="s">
        <v>114</v>
      </c>
      <c r="F48" s="263">
        <f>+農薬算出基礎!F17</f>
        <v>3300</v>
      </c>
      <c r="G48" s="134">
        <f t="shared" si="16"/>
        <v>1320</v>
      </c>
      <c r="H48" s="143"/>
      <c r="I48" s="872"/>
      <c r="J48" s="200"/>
      <c r="K48" s="885"/>
      <c r="L48" s="885"/>
      <c r="M48" s="307"/>
      <c r="N48" s="203"/>
      <c r="O48" s="147"/>
      <c r="P48" s="895"/>
      <c r="Q48" s="204" t="s">
        <v>183</v>
      </c>
      <c r="R48" s="205"/>
      <c r="S48" s="205"/>
      <c r="T48" s="205"/>
      <c r="U48" s="205"/>
      <c r="V48" s="206">
        <f>SUM(V42:V47)</f>
        <v>6415</v>
      </c>
    </row>
    <row r="49" spans="2:22" ht="15" customHeight="1" thickTop="1" x14ac:dyDescent="0.15">
      <c r="B49" s="797"/>
      <c r="C49" s="263"/>
      <c r="D49" s="263"/>
      <c r="E49" s="413"/>
      <c r="F49" s="263"/>
      <c r="G49" s="134">
        <f t="shared" si="16"/>
        <v>0</v>
      </c>
      <c r="H49" s="143"/>
      <c r="I49" s="872"/>
      <c r="J49" s="141"/>
      <c r="K49" s="885"/>
      <c r="L49" s="885"/>
      <c r="M49" s="307"/>
      <c r="N49" s="203"/>
      <c r="O49" s="147"/>
      <c r="P49" s="897" t="s">
        <v>189</v>
      </c>
      <c r="Q49" s="876" t="s">
        <v>190</v>
      </c>
      <c r="R49" s="452"/>
      <c r="S49" s="199"/>
      <c r="T49" s="453"/>
      <c r="U49" s="199"/>
      <c r="V49" s="209"/>
    </row>
    <row r="50" spans="2:22" ht="15" customHeight="1" thickBot="1" x14ac:dyDescent="0.2">
      <c r="B50" s="797"/>
      <c r="C50" s="263"/>
      <c r="D50" s="263"/>
      <c r="E50" s="263"/>
      <c r="F50" s="263"/>
      <c r="G50" s="134">
        <f t="shared" si="16"/>
        <v>0</v>
      </c>
      <c r="H50" s="143"/>
      <c r="I50" s="884"/>
      <c r="J50" s="197" t="s">
        <v>117</v>
      </c>
      <c r="K50" s="869"/>
      <c r="L50" s="870"/>
      <c r="M50" s="198"/>
      <c r="N50" s="202">
        <f>SUM(N47:N49)</f>
        <v>683.33333333333326</v>
      </c>
      <c r="O50" s="147"/>
      <c r="P50" s="894"/>
      <c r="Q50" s="877"/>
      <c r="R50" s="214"/>
      <c r="S50" s="200"/>
      <c r="T50" s="213"/>
      <c r="U50" s="200"/>
      <c r="V50" s="203"/>
    </row>
    <row r="51" spans="2:22" ht="15" customHeight="1" thickTop="1" x14ac:dyDescent="0.15">
      <c r="B51" s="797"/>
      <c r="C51" s="263"/>
      <c r="D51" s="263"/>
      <c r="E51" s="263"/>
      <c r="F51" s="263"/>
      <c r="G51" s="134">
        <f t="shared" si="16"/>
        <v>0</v>
      </c>
      <c r="H51" s="143"/>
      <c r="I51" s="871" t="s">
        <v>175</v>
      </c>
      <c r="J51" s="199"/>
      <c r="K51" s="896"/>
      <c r="L51" s="896"/>
      <c r="M51" s="308"/>
      <c r="N51" s="209"/>
      <c r="O51" s="147"/>
      <c r="P51" s="894"/>
      <c r="Q51" s="877"/>
      <c r="R51" s="214"/>
      <c r="S51" s="200"/>
      <c r="T51" s="200"/>
      <c r="U51" s="141"/>
      <c r="V51" s="215"/>
    </row>
    <row r="52" spans="2:22" ht="15" customHeight="1" x14ac:dyDescent="0.15">
      <c r="B52" s="797"/>
      <c r="C52" s="263"/>
      <c r="D52" s="263"/>
      <c r="E52" s="263"/>
      <c r="F52" s="263"/>
      <c r="G52" s="134">
        <f t="shared" si="16"/>
        <v>0</v>
      </c>
      <c r="H52" s="143"/>
      <c r="I52" s="872"/>
      <c r="J52" s="200"/>
      <c r="K52" s="885"/>
      <c r="L52" s="885"/>
      <c r="M52" s="307"/>
      <c r="N52" s="203"/>
      <c r="O52" s="147"/>
      <c r="P52" s="894"/>
      <c r="Q52" s="877"/>
      <c r="R52" s="214" t="s">
        <v>188</v>
      </c>
      <c r="S52" s="200">
        <v>15600</v>
      </c>
      <c r="T52" s="213">
        <v>1</v>
      </c>
      <c r="U52" s="200">
        <v>60</v>
      </c>
      <c r="V52" s="203">
        <f>+S52*T52/U52*10</f>
        <v>2600</v>
      </c>
    </row>
    <row r="53" spans="2:22" ht="15" customHeight="1" thickBot="1" x14ac:dyDescent="0.2">
      <c r="B53" s="868"/>
      <c r="C53" s="135" t="s">
        <v>117</v>
      </c>
      <c r="D53" s="136"/>
      <c r="E53" s="136"/>
      <c r="F53" s="136"/>
      <c r="G53" s="137">
        <f>SUM(G43:G52)</f>
        <v>11783.444444444443</v>
      </c>
      <c r="H53" s="143"/>
      <c r="I53" s="872"/>
      <c r="J53" s="141"/>
      <c r="K53" s="885"/>
      <c r="L53" s="885"/>
      <c r="M53" s="307"/>
      <c r="N53" s="203"/>
      <c r="O53" s="147"/>
      <c r="P53" s="894"/>
      <c r="Q53" s="878"/>
      <c r="R53" s="214"/>
      <c r="S53" s="200"/>
      <c r="T53" s="200"/>
      <c r="U53" s="141"/>
      <c r="V53" s="215"/>
    </row>
    <row r="54" spans="2:22" ht="15" customHeight="1" thickTop="1" thickBot="1" x14ac:dyDescent="0.2">
      <c r="B54" s="867" t="s">
        <v>29</v>
      </c>
      <c r="C54" s="263" t="s">
        <v>391</v>
      </c>
      <c r="D54" s="231">
        <f>+農薬算出基礎!D20*2/農薬算出基礎!C20*1000/農薬算出基礎!E20</f>
        <v>9.0909090909090912E-2</v>
      </c>
      <c r="E54" s="413" t="s">
        <v>114</v>
      </c>
      <c r="F54" s="263">
        <v>45740</v>
      </c>
      <c r="G54" s="134">
        <f t="shared" ref="G54" si="17">D54*F54</f>
        <v>4158.181818181818</v>
      </c>
      <c r="H54" s="143"/>
      <c r="I54" s="884"/>
      <c r="J54" s="197" t="s">
        <v>117</v>
      </c>
      <c r="K54" s="869"/>
      <c r="L54" s="870"/>
      <c r="M54" s="198"/>
      <c r="N54" s="202">
        <f>SUM(N51:N53)</f>
        <v>0</v>
      </c>
      <c r="O54" s="147"/>
      <c r="P54" s="894"/>
      <c r="Q54" s="204" t="s">
        <v>183</v>
      </c>
      <c r="R54" s="205"/>
      <c r="S54" s="205"/>
      <c r="T54" s="205"/>
      <c r="U54" s="205"/>
      <c r="V54" s="206">
        <f>SUM(V49:V53)</f>
        <v>2600</v>
      </c>
    </row>
    <row r="55" spans="2:22" ht="15" customHeight="1" thickTop="1" x14ac:dyDescent="0.15">
      <c r="B55" s="797"/>
      <c r="C55" s="263"/>
      <c r="D55" s="263"/>
      <c r="E55" s="263"/>
      <c r="F55" s="263"/>
      <c r="G55" s="134">
        <f t="shared" si="16"/>
        <v>0</v>
      </c>
      <c r="H55" s="143"/>
      <c r="I55" s="871" t="s">
        <v>176</v>
      </c>
      <c r="J55" s="199"/>
      <c r="K55" s="874"/>
      <c r="L55" s="875"/>
      <c r="M55" s="207">
        <v>0</v>
      </c>
      <c r="N55" s="210"/>
      <c r="O55" s="147"/>
      <c r="P55" s="894"/>
      <c r="Q55" s="876" t="s">
        <v>191</v>
      </c>
      <c r="R55" s="452"/>
      <c r="S55" s="199"/>
      <c r="T55" s="453"/>
      <c r="U55" s="199"/>
      <c r="V55" s="209"/>
    </row>
    <row r="56" spans="2:22" ht="15" customHeight="1" x14ac:dyDescent="0.15">
      <c r="B56" s="797"/>
      <c r="C56" s="263"/>
      <c r="D56" s="263"/>
      <c r="E56" s="263"/>
      <c r="F56" s="263"/>
      <c r="G56" s="134">
        <f t="shared" si="16"/>
        <v>0</v>
      </c>
      <c r="H56" s="143"/>
      <c r="I56" s="872"/>
      <c r="J56" s="200"/>
      <c r="K56" s="879"/>
      <c r="L56" s="880"/>
      <c r="M56" s="208">
        <v>0</v>
      </c>
      <c r="N56" s="203"/>
      <c r="O56" s="147"/>
      <c r="P56" s="894"/>
      <c r="Q56" s="877"/>
      <c r="R56" s="214"/>
      <c r="S56" s="200"/>
      <c r="T56" s="213"/>
      <c r="U56" s="200"/>
      <c r="V56" s="203"/>
    </row>
    <row r="57" spans="2:22" ht="14.25" thickBot="1" x14ac:dyDescent="0.2">
      <c r="B57" s="868"/>
      <c r="C57" s="135" t="s">
        <v>117</v>
      </c>
      <c r="D57" s="136"/>
      <c r="E57" s="136"/>
      <c r="F57" s="136"/>
      <c r="G57" s="137">
        <f>SUM(G54:G56)</f>
        <v>4158.181818181818</v>
      </c>
      <c r="I57" s="872"/>
      <c r="J57" s="200"/>
      <c r="K57" s="879"/>
      <c r="L57" s="880"/>
      <c r="M57" s="208"/>
      <c r="N57" s="203"/>
      <c r="O57" s="147"/>
      <c r="P57" s="894"/>
      <c r="Q57" s="877"/>
      <c r="R57" s="214"/>
      <c r="S57" s="200"/>
      <c r="T57" s="200"/>
      <c r="U57" s="141"/>
      <c r="V57" s="215"/>
    </row>
    <row r="58" spans="2:22" ht="14.25" customHeight="1" thickTop="1" x14ac:dyDescent="0.15">
      <c r="B58" s="867" t="s">
        <v>139</v>
      </c>
      <c r="C58" s="485" t="str">
        <f>+農薬算出基礎!B30</f>
        <v>ストマイ液剤20</v>
      </c>
      <c r="D58" s="489">
        <f>+農薬算出基礎!G30/農薬算出基礎!E30</f>
        <v>4.0000000000000001E-3</v>
      </c>
      <c r="E58" s="484" t="s">
        <v>119</v>
      </c>
      <c r="F58" s="485">
        <f>+農薬算出基礎!F30</f>
        <v>2250</v>
      </c>
      <c r="G58" s="486">
        <f>D58*F58</f>
        <v>9</v>
      </c>
      <c r="I58" s="872"/>
      <c r="J58" s="200"/>
      <c r="K58" s="310"/>
      <c r="L58" s="311"/>
      <c r="M58" s="208"/>
      <c r="N58" s="203"/>
      <c r="O58" s="147"/>
      <c r="P58" s="894"/>
      <c r="Q58" s="877"/>
      <c r="R58" s="214"/>
      <c r="S58" s="200"/>
      <c r="T58" s="200"/>
      <c r="U58" s="141"/>
      <c r="V58" s="215"/>
    </row>
    <row r="59" spans="2:22" ht="14.25" customHeight="1" x14ac:dyDescent="0.15">
      <c r="B59" s="797"/>
      <c r="C59" s="263" t="s">
        <v>392</v>
      </c>
      <c r="D59" s="231">
        <f>+農薬算出基礎!G29/農薬算出基礎!E29</f>
        <v>4</v>
      </c>
      <c r="E59" s="413" t="s">
        <v>399</v>
      </c>
      <c r="F59" s="263">
        <v>840</v>
      </c>
      <c r="G59" s="134">
        <f>D59*F59</f>
        <v>3360</v>
      </c>
      <c r="I59" s="872"/>
      <c r="J59" s="307" t="s">
        <v>188</v>
      </c>
      <c r="K59" s="882">
        <v>5000</v>
      </c>
      <c r="L59" s="883"/>
      <c r="M59" s="208">
        <v>60</v>
      </c>
      <c r="N59" s="203">
        <f>+K59/M59*10</f>
        <v>833.33333333333326</v>
      </c>
      <c r="O59" s="147"/>
      <c r="P59" s="894"/>
      <c r="Q59" s="877"/>
      <c r="R59" s="214" t="s">
        <v>188</v>
      </c>
      <c r="S59" s="200">
        <v>25000</v>
      </c>
      <c r="T59" s="213">
        <v>1</v>
      </c>
      <c r="U59" s="200">
        <v>60</v>
      </c>
      <c r="V59" s="203">
        <f>+S59*T59/U59*10</f>
        <v>4166.666666666667</v>
      </c>
    </row>
    <row r="60" spans="2:22" x14ac:dyDescent="0.15">
      <c r="B60" s="797"/>
      <c r="C60" s="263" t="s">
        <v>393</v>
      </c>
      <c r="D60" s="231">
        <f>+農薬算出基礎!G25/農薬算出基礎!E25</f>
        <v>1</v>
      </c>
      <c r="E60" s="413" t="s">
        <v>119</v>
      </c>
      <c r="F60" s="263">
        <v>1680</v>
      </c>
      <c r="G60" s="134">
        <f>D60*F60</f>
        <v>1680</v>
      </c>
      <c r="I60" s="872"/>
      <c r="J60" s="200"/>
      <c r="K60" s="879"/>
      <c r="L60" s="880"/>
      <c r="M60" s="208"/>
      <c r="N60" s="211"/>
      <c r="O60" s="147"/>
      <c r="P60" s="894"/>
      <c r="Q60" s="878"/>
      <c r="R60" s="214"/>
      <c r="S60" s="200"/>
      <c r="T60" s="200"/>
      <c r="U60" s="141"/>
      <c r="V60" s="215"/>
    </row>
    <row r="61" spans="2:22" x14ac:dyDescent="0.15">
      <c r="B61" s="797"/>
      <c r="C61" s="263" t="s">
        <v>394</v>
      </c>
      <c r="D61" s="231"/>
      <c r="E61" s="413" t="s">
        <v>119</v>
      </c>
      <c r="F61" s="263">
        <v>5540</v>
      </c>
      <c r="G61" s="134">
        <f>D61*F61</f>
        <v>0</v>
      </c>
      <c r="I61" s="873"/>
      <c r="J61" s="454" t="s">
        <v>117</v>
      </c>
      <c r="K61" s="886"/>
      <c r="L61" s="887"/>
      <c r="M61" s="455"/>
      <c r="N61" s="456">
        <f>SUM(N55:N60)</f>
        <v>833.33333333333326</v>
      </c>
      <c r="O61" s="147"/>
      <c r="P61" s="898"/>
      <c r="Q61" s="457" t="s">
        <v>183</v>
      </c>
      <c r="R61" s="458"/>
      <c r="S61" s="458"/>
      <c r="T61" s="458"/>
      <c r="U61" s="458"/>
      <c r="V61" s="216">
        <f>SUM(V55:V60)</f>
        <v>4166.666666666667</v>
      </c>
    </row>
    <row r="62" spans="2:22" ht="14.25" thickBot="1" x14ac:dyDescent="0.2">
      <c r="B62" s="881"/>
      <c r="C62" s="138" t="s">
        <v>120</v>
      </c>
      <c r="D62" s="139"/>
      <c r="E62" s="139"/>
      <c r="F62" s="139"/>
      <c r="G62" s="140">
        <f>SUM(G59:G61)</f>
        <v>5040</v>
      </c>
      <c r="I62" s="888" t="s">
        <v>177</v>
      </c>
      <c r="J62" s="889"/>
      <c r="K62" s="890"/>
      <c r="L62" s="891"/>
      <c r="M62" s="448"/>
      <c r="N62" s="459">
        <f>SUM(N46,N50,N54,N61)</f>
        <v>1516.6666666666665</v>
      </c>
      <c r="O62" s="147"/>
      <c r="P62" s="865" t="s">
        <v>177</v>
      </c>
      <c r="Q62" s="866"/>
      <c r="R62" s="432"/>
      <c r="S62" s="432"/>
      <c r="T62" s="432"/>
      <c r="U62" s="432"/>
      <c r="V62" s="459">
        <f>SUM(V48,V54,V61)</f>
        <v>13181.666666666668</v>
      </c>
    </row>
    <row r="63" spans="2:22" x14ac:dyDescent="0.15">
      <c r="O63" s="147"/>
      <c r="V63" s="29"/>
    </row>
    <row r="64" spans="2:22" x14ac:dyDescent="0.15">
      <c r="B64" s="29" t="s">
        <v>344</v>
      </c>
      <c r="I64" s="147"/>
      <c r="J64" s="147"/>
      <c r="K64" s="147"/>
      <c r="L64" s="147"/>
      <c r="M64" s="147"/>
      <c r="N64" s="147"/>
      <c r="O64" s="147"/>
    </row>
    <row r="65" spans="2:15" x14ac:dyDescent="0.15">
      <c r="B65" s="29" t="s">
        <v>345</v>
      </c>
      <c r="I65" s="147"/>
      <c r="J65" s="147"/>
      <c r="K65" s="147"/>
      <c r="L65" s="147"/>
      <c r="M65" s="147"/>
      <c r="N65" s="147"/>
      <c r="O65" s="147"/>
    </row>
    <row r="66" spans="2:15" x14ac:dyDescent="0.15">
      <c r="B66" s="29" t="s">
        <v>346</v>
      </c>
      <c r="I66" s="147"/>
      <c r="J66" s="147"/>
      <c r="K66" s="147"/>
      <c r="L66" s="147"/>
      <c r="M66" s="147"/>
      <c r="N66" s="147"/>
      <c r="O66" s="147"/>
    </row>
    <row r="67" spans="2:15" x14ac:dyDescent="0.15">
      <c r="I67" s="147"/>
      <c r="J67" s="147"/>
      <c r="K67" s="147"/>
      <c r="L67" s="147"/>
      <c r="M67" s="147"/>
      <c r="N67" s="147"/>
      <c r="O67" s="147"/>
    </row>
    <row r="68" spans="2:15" x14ac:dyDescent="0.15">
      <c r="I68" s="147"/>
      <c r="J68" s="147"/>
      <c r="K68" s="147"/>
      <c r="L68" s="147"/>
      <c r="M68" s="147"/>
      <c r="N68" s="147"/>
      <c r="O68" s="147"/>
    </row>
    <row r="69" spans="2:15" x14ac:dyDescent="0.15">
      <c r="I69" s="147"/>
      <c r="J69" s="147"/>
      <c r="K69" s="147"/>
      <c r="L69" s="147"/>
      <c r="M69" s="147"/>
      <c r="N69" s="147"/>
      <c r="O69" s="147"/>
    </row>
    <row r="70" spans="2:15" x14ac:dyDescent="0.15">
      <c r="I70" s="147"/>
      <c r="J70" s="147"/>
      <c r="K70" s="147"/>
      <c r="L70" s="147"/>
      <c r="M70" s="147"/>
      <c r="N70" s="147"/>
      <c r="O70" s="147"/>
    </row>
    <row r="71" spans="2:15" x14ac:dyDescent="0.15">
      <c r="I71" s="147"/>
      <c r="J71" s="147"/>
      <c r="K71" s="147"/>
      <c r="L71" s="147"/>
      <c r="M71" s="147"/>
      <c r="N71" s="147"/>
      <c r="O71" s="147"/>
    </row>
    <row r="72" spans="2:15" x14ac:dyDescent="0.15">
      <c r="I72" s="147"/>
      <c r="J72" s="147"/>
      <c r="K72" s="147"/>
      <c r="L72" s="147"/>
      <c r="M72" s="147"/>
      <c r="N72" s="147"/>
      <c r="O72" s="147"/>
    </row>
    <row r="73" spans="2:15" x14ac:dyDescent="0.15">
      <c r="I73" s="147"/>
      <c r="J73" s="147"/>
      <c r="K73" s="147"/>
      <c r="L73" s="147"/>
      <c r="M73" s="147"/>
      <c r="N73" s="147"/>
      <c r="O73" s="147"/>
    </row>
    <row r="74" spans="2:15" x14ac:dyDescent="0.15">
      <c r="I74" s="147"/>
      <c r="J74" s="147"/>
      <c r="K74" s="147"/>
      <c r="L74" s="147"/>
      <c r="M74" s="147"/>
      <c r="N74" s="147"/>
      <c r="O74" s="147"/>
    </row>
    <row r="75" spans="2:15" x14ac:dyDescent="0.15">
      <c r="I75" s="147"/>
      <c r="J75" s="147"/>
      <c r="K75" s="147"/>
      <c r="L75" s="147"/>
      <c r="M75" s="147"/>
      <c r="N75" s="147"/>
      <c r="O75" s="147"/>
    </row>
    <row r="76" spans="2:15" x14ac:dyDescent="0.15">
      <c r="I76" s="147"/>
      <c r="J76" s="147"/>
      <c r="K76" s="147"/>
      <c r="L76" s="147"/>
      <c r="M76" s="147"/>
      <c r="N76" s="147"/>
      <c r="O76" s="147"/>
    </row>
    <row r="77" spans="2:15" x14ac:dyDescent="0.15">
      <c r="I77" s="147"/>
      <c r="J77" s="147"/>
      <c r="K77" s="147"/>
      <c r="L77" s="147"/>
      <c r="M77" s="147"/>
      <c r="N77" s="147"/>
      <c r="O77" s="147"/>
    </row>
    <row r="78" spans="2:15" x14ac:dyDescent="0.15">
      <c r="I78" s="147"/>
      <c r="J78" s="147"/>
      <c r="K78" s="147"/>
      <c r="L78" s="147"/>
      <c r="M78" s="147"/>
      <c r="N78" s="147"/>
      <c r="O78" s="147"/>
    </row>
    <row r="79" spans="2:15" x14ac:dyDescent="0.15">
      <c r="I79" s="147"/>
      <c r="J79" s="147"/>
      <c r="K79" s="147"/>
      <c r="L79" s="147"/>
      <c r="M79" s="147"/>
      <c r="N79" s="147"/>
      <c r="O79" s="147"/>
    </row>
    <row r="80" spans="2:15" x14ac:dyDescent="0.15">
      <c r="I80" s="147"/>
      <c r="J80" s="147"/>
      <c r="K80" s="147"/>
      <c r="L80" s="147"/>
      <c r="M80" s="147"/>
      <c r="N80" s="147"/>
      <c r="O80" s="147"/>
    </row>
    <row r="81" spans="2:15" x14ac:dyDescent="0.15">
      <c r="I81" s="147"/>
      <c r="J81" s="147"/>
      <c r="K81" s="147"/>
      <c r="L81" s="147"/>
      <c r="M81" s="147"/>
      <c r="N81" s="147"/>
      <c r="O81" s="147"/>
    </row>
    <row r="82" spans="2:15" x14ac:dyDescent="0.15">
      <c r="I82" s="147"/>
      <c r="J82" s="147"/>
      <c r="K82" s="147"/>
      <c r="L82" s="147"/>
      <c r="M82" s="147"/>
      <c r="N82" s="147"/>
      <c r="O82" s="147"/>
    </row>
    <row r="83" spans="2:15" x14ac:dyDescent="0.15">
      <c r="I83" s="147"/>
      <c r="J83" s="147"/>
      <c r="K83" s="147"/>
      <c r="L83" s="147"/>
      <c r="M83" s="147"/>
      <c r="N83" s="147"/>
      <c r="O83" s="147"/>
    </row>
    <row r="84" spans="2:15" x14ac:dyDescent="0.15">
      <c r="I84" s="147"/>
      <c r="J84" s="147"/>
      <c r="K84" s="147"/>
      <c r="L84" s="147"/>
      <c r="M84" s="147"/>
      <c r="N84" s="147"/>
      <c r="O84" s="147"/>
    </row>
    <row r="85" spans="2:15" x14ac:dyDescent="0.15">
      <c r="I85" s="147"/>
      <c r="J85" s="147"/>
      <c r="K85" s="147"/>
      <c r="L85" s="147"/>
      <c r="M85" s="147"/>
      <c r="N85" s="147"/>
      <c r="O85" s="147"/>
    </row>
    <row r="86" spans="2:15" x14ac:dyDescent="0.15">
      <c r="I86" s="147"/>
      <c r="J86" s="147"/>
      <c r="K86" s="147"/>
      <c r="L86" s="147"/>
      <c r="M86" s="147"/>
      <c r="N86" s="147"/>
      <c r="O86" s="147"/>
    </row>
    <row r="87" spans="2:15" x14ac:dyDescent="0.15">
      <c r="I87" s="147"/>
      <c r="J87" s="147"/>
      <c r="K87" s="147"/>
      <c r="L87" s="147"/>
      <c r="M87" s="147"/>
      <c r="N87" s="147"/>
      <c r="O87" s="147"/>
    </row>
    <row r="88" spans="2:15" x14ac:dyDescent="0.15">
      <c r="B88" s="142"/>
      <c r="C88" s="143"/>
      <c r="D88" s="143"/>
      <c r="E88" s="143"/>
      <c r="F88" s="143"/>
      <c r="I88" s="147"/>
      <c r="J88" s="147"/>
      <c r="K88" s="147"/>
      <c r="L88" s="147"/>
      <c r="M88" s="147"/>
      <c r="N88" s="147"/>
      <c r="O88" s="147"/>
    </row>
    <row r="89" spans="2:15" x14ac:dyDescent="0.15">
      <c r="B89" s="142"/>
      <c r="C89" s="143"/>
      <c r="D89" s="143"/>
      <c r="E89" s="143"/>
      <c r="F89" s="143"/>
      <c r="I89" s="147"/>
      <c r="J89" s="147"/>
      <c r="K89" s="147"/>
      <c r="L89" s="147"/>
      <c r="M89" s="147"/>
      <c r="N89" s="147"/>
      <c r="O89" s="147"/>
    </row>
    <row r="90" spans="2:15" x14ac:dyDescent="0.15">
      <c r="I90" s="147"/>
      <c r="J90" s="147"/>
      <c r="K90" s="147"/>
      <c r="L90" s="147"/>
      <c r="M90" s="147"/>
      <c r="N90" s="147"/>
      <c r="O90" s="147"/>
    </row>
    <row r="91" spans="2:15" x14ac:dyDescent="0.15">
      <c r="I91" s="147"/>
      <c r="J91" s="147"/>
      <c r="K91" s="147"/>
      <c r="L91" s="147"/>
      <c r="M91" s="147"/>
      <c r="N91" s="147"/>
      <c r="O91" s="147"/>
    </row>
    <row r="92" spans="2:15" x14ac:dyDescent="0.15">
      <c r="I92" s="147"/>
      <c r="J92" s="147"/>
      <c r="K92" s="147"/>
      <c r="L92" s="147"/>
      <c r="M92" s="147"/>
      <c r="N92" s="147"/>
      <c r="O92" s="147"/>
    </row>
    <row r="93" spans="2:15" x14ac:dyDescent="0.15">
      <c r="I93" s="147"/>
      <c r="J93" s="147"/>
      <c r="K93" s="147"/>
      <c r="L93" s="147"/>
      <c r="M93" s="147"/>
      <c r="N93" s="147"/>
      <c r="O93" s="147"/>
    </row>
    <row r="94" spans="2:15" x14ac:dyDescent="0.15">
      <c r="I94" s="147"/>
      <c r="J94" s="147"/>
      <c r="K94" s="147"/>
      <c r="L94" s="147"/>
      <c r="M94" s="147"/>
      <c r="N94" s="147"/>
      <c r="O94" s="147"/>
    </row>
    <row r="95" spans="2:15" x14ac:dyDescent="0.15">
      <c r="I95" s="147"/>
      <c r="J95" s="147"/>
      <c r="K95" s="147"/>
      <c r="L95" s="147"/>
      <c r="M95" s="147"/>
      <c r="N95" s="147"/>
      <c r="O95" s="147"/>
    </row>
    <row r="96" spans="2:15" x14ac:dyDescent="0.15">
      <c r="I96" s="147"/>
      <c r="J96" s="147"/>
      <c r="K96" s="147"/>
      <c r="L96" s="147"/>
      <c r="M96" s="147"/>
      <c r="N96" s="147"/>
      <c r="O96" s="147"/>
    </row>
    <row r="97" spans="9:15" x14ac:dyDescent="0.15">
      <c r="I97" s="147"/>
      <c r="J97" s="147"/>
      <c r="K97" s="147"/>
      <c r="L97" s="147"/>
      <c r="M97" s="147"/>
      <c r="N97" s="147"/>
      <c r="O97" s="147"/>
    </row>
    <row r="98" spans="9:15" x14ac:dyDescent="0.15">
      <c r="I98" s="147"/>
      <c r="J98" s="147"/>
      <c r="K98" s="147"/>
      <c r="L98" s="147"/>
      <c r="M98" s="147"/>
      <c r="N98" s="147"/>
      <c r="O98" s="147"/>
    </row>
    <row r="99" spans="9:15" x14ac:dyDescent="0.15">
      <c r="I99" s="147"/>
      <c r="J99" s="147"/>
      <c r="K99" s="147"/>
      <c r="L99" s="147"/>
      <c r="M99" s="147"/>
      <c r="N99" s="147"/>
      <c r="O99" s="147"/>
    </row>
    <row r="100" spans="9:15" x14ac:dyDescent="0.15">
      <c r="I100" s="147"/>
      <c r="J100" s="147"/>
      <c r="K100" s="147"/>
      <c r="L100" s="147"/>
      <c r="M100" s="147"/>
      <c r="N100" s="147"/>
      <c r="O100" s="147"/>
    </row>
    <row r="101" spans="9:15" x14ac:dyDescent="0.15">
      <c r="I101" s="147"/>
      <c r="J101" s="147"/>
      <c r="K101" s="147"/>
      <c r="L101" s="147"/>
      <c r="M101" s="147"/>
      <c r="N101" s="147"/>
      <c r="O101" s="147"/>
    </row>
    <row r="102" spans="9:15" x14ac:dyDescent="0.15">
      <c r="I102" s="147"/>
      <c r="J102" s="147"/>
      <c r="K102" s="147"/>
      <c r="L102" s="147"/>
      <c r="M102" s="147"/>
      <c r="N102" s="147"/>
      <c r="O102" s="147"/>
    </row>
    <row r="103" spans="9:15" x14ac:dyDescent="0.15">
      <c r="I103" s="147"/>
      <c r="J103" s="147"/>
      <c r="K103" s="147"/>
      <c r="L103" s="147"/>
      <c r="M103" s="147"/>
      <c r="N103" s="147"/>
      <c r="O103" s="147"/>
    </row>
    <row r="104" spans="9:15" x14ac:dyDescent="0.15">
      <c r="I104" s="147"/>
      <c r="J104" s="147"/>
      <c r="K104" s="147"/>
      <c r="L104" s="147"/>
      <c r="M104" s="147"/>
      <c r="N104" s="147"/>
      <c r="O104" s="147"/>
    </row>
    <row r="105" spans="9:15" x14ac:dyDescent="0.15">
      <c r="I105" s="147"/>
      <c r="J105" s="147"/>
      <c r="K105" s="147"/>
      <c r="L105" s="147"/>
      <c r="M105" s="147"/>
      <c r="N105" s="147"/>
      <c r="O105" s="147"/>
    </row>
    <row r="106" spans="9:15" x14ac:dyDescent="0.15">
      <c r="I106" s="147"/>
      <c r="J106" s="147"/>
      <c r="K106" s="147"/>
      <c r="L106" s="147"/>
      <c r="M106" s="147"/>
      <c r="N106" s="147"/>
      <c r="O106" s="147"/>
    </row>
    <row r="107" spans="9:15" x14ac:dyDescent="0.15">
      <c r="I107" s="147"/>
      <c r="J107" s="147"/>
      <c r="K107" s="147"/>
      <c r="L107" s="147"/>
      <c r="M107" s="147"/>
      <c r="N107" s="147"/>
      <c r="O107" s="147"/>
    </row>
    <row r="108" spans="9:15" x14ac:dyDescent="0.15">
      <c r="I108" s="147"/>
      <c r="J108" s="147"/>
      <c r="K108" s="147"/>
      <c r="L108" s="147"/>
      <c r="M108" s="147"/>
      <c r="N108" s="147"/>
      <c r="O108" s="147"/>
    </row>
    <row r="109" spans="9:15" x14ac:dyDescent="0.15">
      <c r="I109" s="147"/>
      <c r="J109" s="147"/>
      <c r="K109" s="147"/>
      <c r="L109" s="147"/>
      <c r="M109" s="147"/>
      <c r="N109" s="147"/>
      <c r="O109" s="147"/>
    </row>
    <row r="110" spans="9:15" x14ac:dyDescent="0.15">
      <c r="I110" s="147"/>
      <c r="J110" s="147"/>
      <c r="K110" s="147"/>
      <c r="L110" s="147"/>
      <c r="M110" s="147"/>
      <c r="N110" s="147"/>
      <c r="O110" s="147"/>
    </row>
    <row r="111" spans="9:15" x14ac:dyDescent="0.15">
      <c r="I111" s="147"/>
      <c r="J111" s="147"/>
      <c r="K111" s="147"/>
      <c r="L111" s="147"/>
      <c r="M111" s="147"/>
      <c r="N111" s="147"/>
      <c r="O111" s="147"/>
    </row>
    <row r="112" spans="9:15" x14ac:dyDescent="0.15">
      <c r="I112" s="147"/>
      <c r="J112" s="147"/>
      <c r="K112" s="147"/>
      <c r="L112" s="147"/>
      <c r="M112" s="147"/>
      <c r="N112" s="147"/>
      <c r="O112" s="147"/>
    </row>
    <row r="113" spans="9:15" x14ac:dyDescent="0.15">
      <c r="I113" s="147"/>
      <c r="J113" s="147"/>
      <c r="K113" s="147"/>
      <c r="L113" s="147"/>
      <c r="M113" s="147"/>
      <c r="N113" s="147"/>
      <c r="O113" s="147"/>
    </row>
    <row r="114" spans="9:15" x14ac:dyDescent="0.15">
      <c r="I114" s="147"/>
      <c r="J114" s="147"/>
      <c r="K114" s="147"/>
      <c r="L114" s="147"/>
      <c r="M114" s="147"/>
      <c r="N114" s="147"/>
      <c r="O114" s="147"/>
    </row>
    <row r="115" spans="9:15" x14ac:dyDescent="0.15">
      <c r="I115" s="147"/>
      <c r="J115" s="147"/>
      <c r="K115" s="147"/>
      <c r="L115" s="147"/>
      <c r="M115" s="147"/>
      <c r="N115" s="147"/>
      <c r="O115" s="147"/>
    </row>
    <row r="116" spans="9:15" x14ac:dyDescent="0.15">
      <c r="I116" s="147"/>
      <c r="J116" s="147"/>
      <c r="K116" s="147"/>
      <c r="L116" s="147"/>
      <c r="M116" s="147"/>
      <c r="N116" s="147"/>
      <c r="O116" s="147"/>
    </row>
    <row r="117" spans="9:15" x14ac:dyDescent="0.15">
      <c r="I117" s="147"/>
      <c r="J117" s="147"/>
      <c r="K117" s="147"/>
      <c r="L117" s="147"/>
      <c r="M117" s="147"/>
      <c r="N117" s="147"/>
      <c r="O117" s="147"/>
    </row>
    <row r="118" spans="9:15" x14ac:dyDescent="0.15">
      <c r="I118" s="147"/>
      <c r="J118" s="147"/>
      <c r="K118" s="147"/>
      <c r="L118" s="147"/>
      <c r="M118" s="147"/>
      <c r="N118" s="147"/>
      <c r="O118" s="147"/>
    </row>
    <row r="119" spans="9:15" x14ac:dyDescent="0.15">
      <c r="I119" s="147"/>
      <c r="J119" s="147"/>
      <c r="K119" s="147"/>
      <c r="L119" s="147"/>
      <c r="M119" s="147"/>
      <c r="N119" s="147"/>
      <c r="O119" s="147"/>
    </row>
    <row r="120" spans="9:15" x14ac:dyDescent="0.15">
      <c r="I120" s="147"/>
      <c r="J120" s="147"/>
      <c r="K120" s="147"/>
      <c r="L120" s="147"/>
      <c r="M120" s="147"/>
      <c r="N120" s="147"/>
      <c r="O120" s="147"/>
    </row>
    <row r="121" spans="9:15" x14ac:dyDescent="0.15">
      <c r="I121" s="147"/>
      <c r="J121" s="147"/>
      <c r="K121" s="147"/>
      <c r="L121" s="147"/>
      <c r="M121" s="147"/>
      <c r="N121" s="147"/>
      <c r="O121" s="147"/>
    </row>
    <row r="122" spans="9:15" x14ac:dyDescent="0.15">
      <c r="I122" s="147"/>
      <c r="J122" s="147"/>
      <c r="K122" s="147"/>
      <c r="L122" s="147"/>
      <c r="M122" s="147"/>
      <c r="N122" s="147"/>
      <c r="O122" s="147"/>
    </row>
    <row r="123" spans="9:15" x14ac:dyDescent="0.15">
      <c r="I123" s="147"/>
      <c r="J123" s="147"/>
      <c r="K123" s="147"/>
      <c r="L123" s="147"/>
      <c r="M123" s="147"/>
      <c r="N123" s="147"/>
      <c r="O123" s="147"/>
    </row>
    <row r="124" spans="9:15" x14ac:dyDescent="0.15">
      <c r="I124" s="147"/>
      <c r="J124" s="147"/>
      <c r="K124" s="147"/>
      <c r="L124" s="147"/>
      <c r="M124" s="147"/>
      <c r="N124" s="147"/>
      <c r="O124" s="147"/>
    </row>
    <row r="125" spans="9:15" x14ac:dyDescent="0.15">
      <c r="I125" s="147"/>
      <c r="J125" s="147"/>
      <c r="K125" s="147"/>
      <c r="L125" s="147"/>
      <c r="M125" s="147"/>
      <c r="N125" s="147"/>
      <c r="O125" s="147"/>
    </row>
    <row r="126" spans="9:15" x14ac:dyDescent="0.15">
      <c r="I126" s="147"/>
      <c r="J126" s="147"/>
      <c r="K126" s="147"/>
      <c r="L126" s="147"/>
      <c r="M126" s="147"/>
      <c r="N126" s="147"/>
      <c r="O126" s="147"/>
    </row>
    <row r="127" spans="9:15" x14ac:dyDescent="0.15">
      <c r="I127" s="147"/>
      <c r="J127" s="147"/>
      <c r="K127" s="147"/>
      <c r="L127" s="147"/>
      <c r="M127" s="147"/>
      <c r="N127" s="147"/>
      <c r="O127" s="147"/>
    </row>
    <row r="128" spans="9:15" x14ac:dyDescent="0.15">
      <c r="I128" s="147"/>
      <c r="J128" s="147"/>
      <c r="K128" s="147"/>
      <c r="L128" s="147"/>
      <c r="M128" s="147"/>
      <c r="N128" s="147"/>
      <c r="O128" s="147"/>
    </row>
    <row r="129" spans="9:15" x14ac:dyDescent="0.15">
      <c r="I129" s="147"/>
      <c r="J129" s="147"/>
      <c r="K129" s="147"/>
      <c r="L129" s="147"/>
      <c r="M129" s="147"/>
      <c r="N129" s="147"/>
      <c r="O129" s="147"/>
    </row>
    <row r="130" spans="9:15" x14ac:dyDescent="0.15">
      <c r="I130" s="147"/>
      <c r="J130" s="147"/>
      <c r="K130" s="147"/>
      <c r="L130" s="147"/>
      <c r="M130" s="147"/>
      <c r="N130" s="147"/>
      <c r="O130" s="147"/>
    </row>
    <row r="131" spans="9:15" x14ac:dyDescent="0.15">
      <c r="I131" s="147"/>
      <c r="J131" s="147"/>
      <c r="K131" s="147"/>
      <c r="L131" s="147"/>
      <c r="M131" s="147"/>
      <c r="N131" s="147"/>
      <c r="O131" s="147"/>
    </row>
    <row r="132" spans="9:15" x14ac:dyDescent="0.15">
      <c r="I132" s="147"/>
      <c r="J132" s="147"/>
      <c r="K132" s="147"/>
      <c r="L132" s="147"/>
      <c r="M132" s="147"/>
      <c r="N132" s="147"/>
      <c r="O132" s="147"/>
    </row>
    <row r="133" spans="9:15" x14ac:dyDescent="0.15">
      <c r="I133" s="147"/>
      <c r="J133" s="147"/>
      <c r="K133" s="147"/>
      <c r="L133" s="147"/>
      <c r="M133" s="147"/>
      <c r="N133" s="147"/>
      <c r="O133" s="147"/>
    </row>
    <row r="134" spans="9:15" x14ac:dyDescent="0.15">
      <c r="I134" s="147"/>
      <c r="J134" s="147"/>
      <c r="K134" s="147"/>
      <c r="L134" s="147"/>
      <c r="M134" s="147"/>
      <c r="N134" s="147"/>
      <c r="O134" s="147"/>
    </row>
    <row r="135" spans="9:15" x14ac:dyDescent="0.15">
      <c r="I135" s="147"/>
      <c r="J135" s="147"/>
      <c r="K135" s="147"/>
      <c r="L135" s="147"/>
      <c r="M135" s="147"/>
      <c r="N135" s="147"/>
      <c r="O135" s="147"/>
    </row>
    <row r="136" spans="9:15" x14ac:dyDescent="0.15">
      <c r="I136" s="147"/>
      <c r="J136" s="147"/>
      <c r="K136" s="147"/>
      <c r="L136" s="147"/>
      <c r="M136" s="147"/>
      <c r="N136" s="147"/>
      <c r="O136" s="147"/>
    </row>
    <row r="137" spans="9:15" x14ac:dyDescent="0.15">
      <c r="I137" s="147"/>
      <c r="J137" s="147"/>
      <c r="K137" s="147"/>
      <c r="L137" s="147"/>
      <c r="M137" s="147"/>
      <c r="N137" s="147"/>
      <c r="O137" s="147"/>
    </row>
    <row r="138" spans="9:15" x14ac:dyDescent="0.15">
      <c r="I138" s="147"/>
      <c r="J138" s="147"/>
      <c r="K138" s="147"/>
      <c r="L138" s="147"/>
      <c r="M138" s="147"/>
      <c r="N138" s="147"/>
      <c r="O138" s="147"/>
    </row>
    <row r="139" spans="9:15" x14ac:dyDescent="0.15">
      <c r="I139" s="147"/>
      <c r="J139" s="147"/>
      <c r="K139" s="147"/>
      <c r="L139" s="147"/>
      <c r="M139" s="147"/>
      <c r="N139" s="147"/>
      <c r="O139" s="147"/>
    </row>
    <row r="140" spans="9:15" x14ac:dyDescent="0.15">
      <c r="I140" s="147"/>
      <c r="J140" s="147"/>
      <c r="K140" s="147"/>
      <c r="L140" s="147"/>
      <c r="M140" s="147"/>
      <c r="N140" s="147"/>
      <c r="O140" s="147"/>
    </row>
    <row r="141" spans="9:15" x14ac:dyDescent="0.15">
      <c r="I141" s="147"/>
      <c r="J141" s="147"/>
      <c r="K141" s="147"/>
      <c r="L141" s="147"/>
      <c r="M141" s="147"/>
      <c r="N141" s="147"/>
      <c r="O141" s="147"/>
    </row>
    <row r="142" spans="9:15" x14ac:dyDescent="0.15">
      <c r="I142" s="147"/>
      <c r="J142" s="147"/>
      <c r="K142" s="147"/>
      <c r="L142" s="147"/>
      <c r="M142" s="147"/>
      <c r="N142" s="147"/>
      <c r="O142" s="147"/>
    </row>
    <row r="143" spans="9:15" x14ac:dyDescent="0.15">
      <c r="I143" s="147"/>
      <c r="J143" s="147"/>
      <c r="K143" s="147"/>
      <c r="L143" s="147"/>
      <c r="M143" s="147"/>
      <c r="N143" s="147"/>
      <c r="O143" s="147"/>
    </row>
    <row r="144" spans="9:15" x14ac:dyDescent="0.15">
      <c r="I144" s="147"/>
      <c r="J144" s="147"/>
      <c r="K144" s="147"/>
      <c r="L144" s="147"/>
      <c r="M144" s="147"/>
      <c r="N144" s="147"/>
    </row>
    <row r="145" spans="9:14" x14ac:dyDescent="0.15">
      <c r="I145" s="147"/>
      <c r="J145" s="147"/>
      <c r="K145" s="147"/>
      <c r="L145" s="147"/>
      <c r="M145" s="147"/>
      <c r="N145" s="147"/>
    </row>
    <row r="146" spans="9:14" x14ac:dyDescent="0.15">
      <c r="I146" s="147"/>
      <c r="J146" s="147"/>
      <c r="K146" s="147"/>
      <c r="L146" s="147"/>
      <c r="M146" s="147"/>
      <c r="N146" s="147"/>
    </row>
    <row r="147" spans="9:14" x14ac:dyDescent="0.15">
      <c r="I147" s="147"/>
      <c r="J147" s="147"/>
      <c r="K147" s="147"/>
      <c r="L147" s="147"/>
      <c r="M147" s="147"/>
      <c r="N147" s="147"/>
    </row>
    <row r="148" spans="9:14" x14ac:dyDescent="0.15">
      <c r="I148" s="147"/>
      <c r="J148" s="147"/>
      <c r="K148" s="147"/>
      <c r="L148" s="147"/>
      <c r="M148" s="147"/>
      <c r="N148" s="147"/>
    </row>
    <row r="149" spans="9:14" x14ac:dyDescent="0.15">
      <c r="I149" s="147"/>
      <c r="J149" s="147"/>
      <c r="K149" s="147"/>
      <c r="L149" s="147"/>
      <c r="M149" s="147"/>
      <c r="N149" s="147"/>
    </row>
    <row r="150" spans="9:14" x14ac:dyDescent="0.15">
      <c r="I150" s="147"/>
      <c r="J150" s="147"/>
      <c r="K150" s="147"/>
      <c r="L150" s="147"/>
      <c r="M150" s="147"/>
      <c r="N150" s="147"/>
    </row>
    <row r="151" spans="9:14" x14ac:dyDescent="0.15">
      <c r="I151" s="147"/>
      <c r="J151" s="147"/>
      <c r="K151" s="147"/>
      <c r="L151" s="147"/>
      <c r="M151" s="147"/>
      <c r="N151" s="147"/>
    </row>
    <row r="152" spans="9:14" x14ac:dyDescent="0.15">
      <c r="I152" s="147"/>
      <c r="J152" s="147"/>
      <c r="K152" s="147"/>
      <c r="L152" s="147"/>
      <c r="M152" s="147"/>
      <c r="N152" s="147"/>
    </row>
    <row r="153" spans="9:14" x14ac:dyDescent="0.15">
      <c r="I153" s="147"/>
      <c r="J153" s="147"/>
      <c r="K153" s="147"/>
      <c r="L153" s="147"/>
      <c r="M153" s="147"/>
      <c r="N153" s="147"/>
    </row>
    <row r="154" spans="9:14" x14ac:dyDescent="0.15">
      <c r="I154" s="147"/>
      <c r="J154" s="147"/>
      <c r="K154" s="147"/>
      <c r="L154" s="147"/>
      <c r="M154" s="147"/>
      <c r="N154" s="147"/>
    </row>
    <row r="155" spans="9:14" x14ac:dyDescent="0.15">
      <c r="I155" s="147"/>
      <c r="J155" s="147"/>
      <c r="K155" s="147"/>
      <c r="L155" s="147"/>
      <c r="M155" s="147"/>
      <c r="N155" s="147"/>
    </row>
    <row r="156" spans="9:14" x14ac:dyDescent="0.15">
      <c r="I156" s="147"/>
      <c r="J156" s="147"/>
      <c r="K156" s="147"/>
      <c r="L156" s="147"/>
      <c r="M156" s="147"/>
      <c r="N156" s="147"/>
    </row>
    <row r="157" spans="9:14" x14ac:dyDescent="0.15">
      <c r="I157" s="147"/>
      <c r="J157" s="147"/>
      <c r="K157" s="147"/>
      <c r="L157" s="147"/>
      <c r="M157" s="147"/>
      <c r="N157" s="147"/>
    </row>
    <row r="158" spans="9:14" x14ac:dyDescent="0.15">
      <c r="I158" s="147"/>
      <c r="J158" s="147"/>
      <c r="K158" s="147"/>
      <c r="L158" s="147"/>
      <c r="M158" s="147"/>
      <c r="N158" s="147"/>
    </row>
    <row r="159" spans="9:14" x14ac:dyDescent="0.15">
      <c r="I159" s="147"/>
      <c r="J159" s="147"/>
      <c r="K159" s="147"/>
      <c r="L159" s="147"/>
      <c r="M159" s="147"/>
      <c r="N159" s="147"/>
    </row>
    <row r="160" spans="9:14" x14ac:dyDescent="0.15">
      <c r="J160" s="147"/>
      <c r="K160" s="147"/>
      <c r="L160" s="147"/>
      <c r="M160" s="147"/>
      <c r="N160" s="147"/>
    </row>
    <row r="161" spans="10:14" x14ac:dyDescent="0.15">
      <c r="J161" s="147"/>
      <c r="K161" s="147"/>
      <c r="L161" s="147"/>
      <c r="M161" s="147"/>
      <c r="N161" s="147"/>
    </row>
    <row r="177" spans="15:15" x14ac:dyDescent="0.15">
      <c r="O177" s="147"/>
    </row>
    <row r="178" spans="15:15" x14ac:dyDescent="0.15">
      <c r="O178" s="147"/>
    </row>
    <row r="179" spans="15:15" x14ac:dyDescent="0.15">
      <c r="O179" s="147"/>
    </row>
    <row r="180" spans="15:15" x14ac:dyDescent="0.15">
      <c r="O180" s="147"/>
    </row>
    <row r="181" spans="15:15" x14ac:dyDescent="0.15">
      <c r="O181" s="147"/>
    </row>
    <row r="182" spans="15:15" x14ac:dyDescent="0.15">
      <c r="O182" s="147"/>
    </row>
    <row r="183" spans="15:15" x14ac:dyDescent="0.15">
      <c r="O183" s="147"/>
    </row>
    <row r="184" spans="15:15" x14ac:dyDescent="0.15">
      <c r="O184" s="147"/>
    </row>
    <row r="185" spans="15:15" x14ac:dyDescent="0.15">
      <c r="O185" s="147"/>
    </row>
    <row r="186" spans="15:15" x14ac:dyDescent="0.15">
      <c r="O186" s="147"/>
    </row>
    <row r="187" spans="15:15" x14ac:dyDescent="0.15">
      <c r="O187" s="147"/>
    </row>
    <row r="188" spans="15:15" x14ac:dyDescent="0.15">
      <c r="O188" s="147"/>
    </row>
    <row r="189" spans="15:15" x14ac:dyDescent="0.15">
      <c r="O189" s="147"/>
    </row>
    <row r="190" spans="15:15" x14ac:dyDescent="0.15">
      <c r="O190" s="147"/>
    </row>
    <row r="191" spans="15:15" x14ac:dyDescent="0.15">
      <c r="O191" s="147"/>
    </row>
    <row r="192" spans="15:15" x14ac:dyDescent="0.15">
      <c r="O192" s="147"/>
    </row>
    <row r="193" spans="15:15" x14ac:dyDescent="0.15">
      <c r="O193" s="147"/>
    </row>
    <row r="194" spans="15:15" x14ac:dyDescent="0.15">
      <c r="O194" s="147"/>
    </row>
    <row r="195" spans="15:15" x14ac:dyDescent="0.15">
      <c r="O195" s="147"/>
    </row>
    <row r="196" spans="15:15" x14ac:dyDescent="0.15">
      <c r="O196" s="147"/>
    </row>
  </sheetData>
  <mergeCells count="72">
    <mergeCell ref="B5:B7"/>
    <mergeCell ref="T5:U5"/>
    <mergeCell ref="I6:I11"/>
    <mergeCell ref="T6:U6"/>
    <mergeCell ref="T7:U7"/>
    <mergeCell ref="I4:I5"/>
    <mergeCell ref="J4:J5"/>
    <mergeCell ref="M4:M5"/>
    <mergeCell ref="N4:N5"/>
    <mergeCell ref="T4:U4"/>
    <mergeCell ref="B8:B12"/>
    <mergeCell ref="T8:U8"/>
    <mergeCell ref="T9:U9"/>
    <mergeCell ref="T10:U10"/>
    <mergeCell ref="T11:U11"/>
    <mergeCell ref="I12:I16"/>
    <mergeCell ref="T12:U12"/>
    <mergeCell ref="B13:B17"/>
    <mergeCell ref="T13:U13"/>
    <mergeCell ref="T14:U14"/>
    <mergeCell ref="T15:U15"/>
    <mergeCell ref="T16:U16"/>
    <mergeCell ref="I17:I20"/>
    <mergeCell ref="T17:U17"/>
    <mergeCell ref="B18:B21"/>
    <mergeCell ref="T18:U18"/>
    <mergeCell ref="T19:U19"/>
    <mergeCell ref="T20:U20"/>
    <mergeCell ref="I21:I24"/>
    <mergeCell ref="T21:U21"/>
    <mergeCell ref="B22:B25"/>
    <mergeCell ref="I25:I28"/>
    <mergeCell ref="K51:L51"/>
    <mergeCell ref="B29:B42"/>
    <mergeCell ref="I29:I32"/>
    <mergeCell ref="K38:L38"/>
    <mergeCell ref="I39:I46"/>
    <mergeCell ref="K39:L39"/>
    <mergeCell ref="K40:L40"/>
    <mergeCell ref="K41:L41"/>
    <mergeCell ref="K62:L62"/>
    <mergeCell ref="Q41:R41"/>
    <mergeCell ref="K42:L42"/>
    <mergeCell ref="P42:P48"/>
    <mergeCell ref="B43:B53"/>
    <mergeCell ref="K43:L43"/>
    <mergeCell ref="K44:L44"/>
    <mergeCell ref="K45:L45"/>
    <mergeCell ref="K46:L46"/>
    <mergeCell ref="I47:I50"/>
    <mergeCell ref="K47:L47"/>
    <mergeCell ref="K48:L48"/>
    <mergeCell ref="K49:L49"/>
    <mergeCell ref="P49:P61"/>
    <mergeCell ref="Q49:Q53"/>
    <mergeCell ref="K50:L50"/>
    <mergeCell ref="P62:Q62"/>
    <mergeCell ref="B54:B57"/>
    <mergeCell ref="K54:L54"/>
    <mergeCell ref="I55:I61"/>
    <mergeCell ref="K55:L55"/>
    <mergeCell ref="Q55:Q60"/>
    <mergeCell ref="K56:L56"/>
    <mergeCell ref="K57:L57"/>
    <mergeCell ref="K59:L59"/>
    <mergeCell ref="K60:L60"/>
    <mergeCell ref="I51:I54"/>
    <mergeCell ref="B58:B62"/>
    <mergeCell ref="K52:L52"/>
    <mergeCell ref="K53:L53"/>
    <mergeCell ref="K61:L61"/>
    <mergeCell ref="I62:J62"/>
  </mergeCells>
  <phoneticPr fontId="4"/>
  <pageMargins left="0.78740157480314965" right="0.78740157480314965" top="0.78740157480314965" bottom="0.78740157480314965" header="0.39370078740157483" footer="0.39370078740157483"/>
  <pageSetup paperSize="9" scale="58" orientation="landscape" horizontalDpi="4294967293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2"/>
  <sheetViews>
    <sheetView zoomScale="75" zoomScaleNormal="75" zoomScaleSheetLayoutView="65" workbookViewId="0"/>
  </sheetViews>
  <sheetFormatPr defaultRowHeight="13.5" x14ac:dyDescent="0.15"/>
  <cols>
    <col min="1" max="1" width="1.625" style="68" customWidth="1"/>
    <col min="2" max="2" width="7.625" style="68" customWidth="1"/>
    <col min="3" max="3" width="25.625" style="68" customWidth="1"/>
    <col min="4" max="5" width="15.625" style="68" customWidth="1"/>
    <col min="6" max="15" width="18.625" style="68" customWidth="1"/>
    <col min="16" max="16384" width="9" style="68"/>
  </cols>
  <sheetData>
    <row r="1" spans="2:17" ht="9.9499999999999993" customHeight="1" x14ac:dyDescent="0.15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2:17" ht="24.95" customHeight="1" thickBot="1" x14ac:dyDescent="0.2">
      <c r="B2" s="68" t="s">
        <v>487</v>
      </c>
      <c r="F2" s="240" t="s">
        <v>192</v>
      </c>
      <c r="G2" s="68" t="s">
        <v>488</v>
      </c>
      <c r="I2" s="240" t="s">
        <v>193</v>
      </c>
      <c r="J2" s="68" t="s">
        <v>408</v>
      </c>
      <c r="N2" s="499"/>
      <c r="O2" s="499"/>
    </row>
    <row r="3" spans="2:17" ht="20.100000000000001" customHeight="1" x14ac:dyDescent="0.15">
      <c r="B3" s="693" t="s">
        <v>89</v>
      </c>
      <c r="C3" s="694"/>
      <c r="D3" s="554" t="s">
        <v>489</v>
      </c>
      <c r="E3" s="554" t="s">
        <v>490</v>
      </c>
      <c r="F3" s="554" t="s">
        <v>491</v>
      </c>
      <c r="G3" s="554" t="s">
        <v>492</v>
      </c>
      <c r="H3" s="554" t="s">
        <v>493</v>
      </c>
      <c r="I3" s="554" t="s">
        <v>494</v>
      </c>
      <c r="J3" s="554" t="s">
        <v>495</v>
      </c>
      <c r="K3" s="554" t="s">
        <v>496</v>
      </c>
      <c r="L3" s="554" t="s">
        <v>497</v>
      </c>
      <c r="M3" s="555" t="s">
        <v>498</v>
      </c>
      <c r="N3" s="498" t="s">
        <v>499</v>
      </c>
      <c r="O3" s="500" t="s">
        <v>500</v>
      </c>
    </row>
    <row r="4" spans="2:17" ht="150" customHeight="1" x14ac:dyDescent="0.15">
      <c r="B4" s="695" t="s">
        <v>80</v>
      </c>
      <c r="C4" s="550" t="s">
        <v>81</v>
      </c>
      <c r="D4" s="70" t="s">
        <v>501</v>
      </c>
      <c r="E4" s="70" t="s">
        <v>502</v>
      </c>
      <c r="F4" s="70"/>
      <c r="G4" s="70" t="s">
        <v>503</v>
      </c>
      <c r="H4" s="70" t="s">
        <v>600</v>
      </c>
      <c r="I4" s="70" t="s">
        <v>601</v>
      </c>
      <c r="J4" s="70" t="s">
        <v>504</v>
      </c>
      <c r="K4" s="70"/>
      <c r="L4" s="70"/>
      <c r="M4" s="556" t="s">
        <v>505</v>
      </c>
      <c r="N4" s="497" t="s">
        <v>506</v>
      </c>
      <c r="O4" s="501" t="s">
        <v>518</v>
      </c>
      <c r="Q4" s="67"/>
    </row>
    <row r="5" spans="2:17" ht="20.100000000000001" customHeight="1" x14ac:dyDescent="0.15">
      <c r="B5" s="695"/>
      <c r="C5" s="550" t="s">
        <v>82</v>
      </c>
      <c r="D5" s="550" t="s">
        <v>549</v>
      </c>
      <c r="E5" s="550" t="s">
        <v>519</v>
      </c>
      <c r="F5" s="550" t="s">
        <v>602</v>
      </c>
      <c r="G5" s="550" t="s">
        <v>599</v>
      </c>
      <c r="H5" s="550" t="s">
        <v>519</v>
      </c>
      <c r="I5" s="550" t="s">
        <v>508</v>
      </c>
      <c r="J5" s="550" t="s">
        <v>544</v>
      </c>
      <c r="K5" s="550" t="s">
        <v>547</v>
      </c>
      <c r="L5" s="550" t="s">
        <v>584</v>
      </c>
      <c r="M5" s="495" t="s">
        <v>593</v>
      </c>
      <c r="N5" s="497" t="s">
        <v>585</v>
      </c>
      <c r="O5" s="501" t="s">
        <v>603</v>
      </c>
    </row>
    <row r="6" spans="2:17" ht="150" customHeight="1" x14ac:dyDescent="0.15">
      <c r="B6" s="695"/>
      <c r="C6" s="550" t="s">
        <v>88</v>
      </c>
      <c r="D6" s="70"/>
      <c r="E6" s="70" t="s">
        <v>509</v>
      </c>
      <c r="F6" s="70" t="s">
        <v>520</v>
      </c>
      <c r="G6" s="70" t="s">
        <v>578</v>
      </c>
      <c r="H6" s="70"/>
      <c r="I6" s="70"/>
      <c r="J6" s="70" t="s">
        <v>510</v>
      </c>
      <c r="K6" s="70"/>
      <c r="L6" s="70" t="s">
        <v>188</v>
      </c>
      <c r="M6" s="556"/>
      <c r="N6" s="553" t="s">
        <v>511</v>
      </c>
      <c r="O6" s="501"/>
    </row>
    <row r="7" spans="2:17" ht="20.100000000000001" customHeight="1" x14ac:dyDescent="0.15">
      <c r="B7" s="695"/>
      <c r="C7" s="557" t="s">
        <v>85</v>
      </c>
      <c r="D7" s="550"/>
      <c r="E7" s="550">
        <v>1</v>
      </c>
      <c r="F7" s="550">
        <v>1</v>
      </c>
      <c r="G7" s="550">
        <v>9</v>
      </c>
      <c r="H7" s="550"/>
      <c r="I7" s="550"/>
      <c r="J7" s="550">
        <v>5</v>
      </c>
      <c r="K7" s="550">
        <v>4.4000000000000004</v>
      </c>
      <c r="L7" s="550">
        <v>10</v>
      </c>
      <c r="M7" s="495"/>
      <c r="N7" s="552">
        <v>14</v>
      </c>
      <c r="O7" s="522">
        <v>2</v>
      </c>
    </row>
    <row r="8" spans="2:17" ht="20.100000000000001" customHeight="1" x14ac:dyDescent="0.15">
      <c r="B8" s="695"/>
      <c r="C8" s="550" t="s">
        <v>86</v>
      </c>
      <c r="D8" s="550">
        <v>12</v>
      </c>
      <c r="E8" s="550">
        <v>22</v>
      </c>
      <c r="F8" s="550">
        <v>4.5</v>
      </c>
      <c r="G8" s="550">
        <v>9</v>
      </c>
      <c r="H8" s="550">
        <v>68</v>
      </c>
      <c r="I8" s="550">
        <v>8</v>
      </c>
      <c r="J8" s="550">
        <v>5</v>
      </c>
      <c r="K8" s="550">
        <v>4.4000000000000004</v>
      </c>
      <c r="L8" s="550">
        <v>80</v>
      </c>
      <c r="M8" s="495">
        <v>14</v>
      </c>
      <c r="N8" s="552">
        <v>14</v>
      </c>
      <c r="O8" s="522">
        <v>40</v>
      </c>
    </row>
    <row r="9" spans="2:17" ht="20.100000000000001" customHeight="1" x14ac:dyDescent="0.15">
      <c r="B9" s="695"/>
      <c r="C9" s="550" t="s">
        <v>87</v>
      </c>
      <c r="D9" s="550"/>
      <c r="E9" s="550"/>
      <c r="F9" s="550"/>
      <c r="G9" s="550"/>
      <c r="H9" s="550"/>
      <c r="I9" s="550"/>
      <c r="J9" s="550"/>
      <c r="K9" s="550"/>
      <c r="L9" s="550"/>
      <c r="M9" s="495"/>
      <c r="N9" s="497"/>
      <c r="O9" s="501"/>
    </row>
    <row r="10" spans="2:17" ht="150" customHeight="1" x14ac:dyDescent="0.15">
      <c r="B10" s="696" t="s">
        <v>83</v>
      </c>
      <c r="C10" s="697"/>
      <c r="D10" s="550" t="s">
        <v>512</v>
      </c>
      <c r="E10" s="550" t="s">
        <v>513</v>
      </c>
      <c r="F10" s="550"/>
      <c r="G10" s="550" t="s">
        <v>514</v>
      </c>
      <c r="H10" s="550" t="s">
        <v>581</v>
      </c>
      <c r="I10" s="550" t="s">
        <v>515</v>
      </c>
      <c r="J10" s="550" t="s">
        <v>29</v>
      </c>
      <c r="K10" s="550"/>
      <c r="L10" s="550" t="s">
        <v>516</v>
      </c>
      <c r="M10" s="495"/>
      <c r="N10" s="552"/>
      <c r="O10" s="558" t="s">
        <v>521</v>
      </c>
    </row>
    <row r="11" spans="2:17" ht="150" customHeight="1" thickBot="1" x14ac:dyDescent="0.2">
      <c r="B11" s="698" t="s">
        <v>84</v>
      </c>
      <c r="C11" s="699"/>
      <c r="D11" s="559" t="s">
        <v>517</v>
      </c>
      <c r="E11" s="559"/>
      <c r="F11" s="560"/>
      <c r="G11" s="71"/>
      <c r="H11" s="71"/>
      <c r="I11" s="71"/>
      <c r="J11" s="71"/>
      <c r="K11" s="71"/>
      <c r="L11" s="71"/>
      <c r="M11" s="496"/>
      <c r="N11" s="502"/>
      <c r="O11" s="503"/>
    </row>
    <row r="12" spans="2:17" ht="9.75" customHeight="1" x14ac:dyDescent="0.15">
      <c r="B12" s="561"/>
    </row>
  </sheetData>
  <mergeCells count="4">
    <mergeCell ref="B3:C3"/>
    <mergeCell ref="B4:B9"/>
    <mergeCell ref="B10:C10"/>
    <mergeCell ref="B11:C11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Y195"/>
  <sheetViews>
    <sheetView showZeros="0" zoomScale="75" zoomScaleNormal="75" zoomScaleSheetLayoutView="84" workbookViewId="0"/>
  </sheetViews>
  <sheetFormatPr defaultRowHeight="13.5" x14ac:dyDescent="0.15"/>
  <cols>
    <col min="1" max="1" width="1.625" style="29" customWidth="1"/>
    <col min="2" max="2" width="3.625" style="29" customWidth="1"/>
    <col min="3" max="3" width="15.625" style="29" customWidth="1"/>
    <col min="4" max="7" width="8.625" style="29" customWidth="1"/>
    <col min="8" max="8" width="1.625" style="147" customWidth="1"/>
    <col min="9" max="9" width="3.625" style="29" customWidth="1"/>
    <col min="10" max="10" width="15.625" style="29" customWidth="1"/>
    <col min="11" max="14" width="8.625" style="29" customWidth="1"/>
    <col min="15" max="15" width="3.5" style="29" customWidth="1"/>
    <col min="16" max="16" width="15.625" style="127" customWidth="1"/>
    <col min="17" max="17" width="8.625" style="29" customWidth="1"/>
    <col min="18" max="18" width="8.625" style="30" customWidth="1"/>
    <col min="19" max="21" width="8.625" style="29" customWidth="1"/>
    <col min="22" max="22" width="10.625" style="30" customWidth="1"/>
    <col min="23" max="29" width="0" style="29" hidden="1" customWidth="1"/>
    <col min="30" max="262" width="9" style="29"/>
    <col min="263" max="263" width="1.375" style="29" customWidth="1"/>
    <col min="264" max="264" width="3.5" style="29" customWidth="1"/>
    <col min="265" max="265" width="22.125" style="29" customWidth="1"/>
    <col min="266" max="266" width="9.75" style="29" customWidth="1"/>
    <col min="267" max="267" width="7.375" style="29" customWidth="1"/>
    <col min="268" max="268" width="9" style="29"/>
    <col min="269" max="269" width="9.25" style="29" customWidth="1"/>
    <col min="270" max="270" width="3.5" style="29" customWidth="1"/>
    <col min="271" max="272" width="12.625" style="29" customWidth="1"/>
    <col min="273" max="273" width="9" style="29"/>
    <col min="274" max="274" width="7.75" style="29" customWidth="1"/>
    <col min="275" max="275" width="13.125" style="29" customWidth="1"/>
    <col min="276" max="276" width="6.125" style="29" customWidth="1"/>
    <col min="277" max="277" width="9.75" style="29" customWidth="1"/>
    <col min="278" max="278" width="1.375" style="29" customWidth="1"/>
    <col min="279" max="518" width="9" style="29"/>
    <col min="519" max="519" width="1.375" style="29" customWidth="1"/>
    <col min="520" max="520" width="3.5" style="29" customWidth="1"/>
    <col min="521" max="521" width="22.125" style="29" customWidth="1"/>
    <col min="522" max="522" width="9.75" style="29" customWidth="1"/>
    <col min="523" max="523" width="7.375" style="29" customWidth="1"/>
    <col min="524" max="524" width="9" style="29"/>
    <col min="525" max="525" width="9.25" style="29" customWidth="1"/>
    <col min="526" max="526" width="3.5" style="29" customWidth="1"/>
    <col min="527" max="528" width="12.625" style="29" customWidth="1"/>
    <col min="529" max="529" width="9" style="29"/>
    <col min="530" max="530" width="7.75" style="29" customWidth="1"/>
    <col min="531" max="531" width="13.125" style="29" customWidth="1"/>
    <col min="532" max="532" width="6.125" style="29" customWidth="1"/>
    <col min="533" max="533" width="9.75" style="29" customWidth="1"/>
    <col min="534" max="534" width="1.375" style="29" customWidth="1"/>
    <col min="535" max="774" width="9" style="29"/>
    <col min="775" max="775" width="1.375" style="29" customWidth="1"/>
    <col min="776" max="776" width="3.5" style="29" customWidth="1"/>
    <col min="777" max="777" width="22.125" style="29" customWidth="1"/>
    <col min="778" max="778" width="9.75" style="29" customWidth="1"/>
    <col min="779" max="779" width="7.375" style="29" customWidth="1"/>
    <col min="780" max="780" width="9" style="29"/>
    <col min="781" max="781" width="9.25" style="29" customWidth="1"/>
    <col min="782" max="782" width="3.5" style="29" customWidth="1"/>
    <col min="783" max="784" width="12.625" style="29" customWidth="1"/>
    <col min="785" max="785" width="9" style="29"/>
    <col min="786" max="786" width="7.75" style="29" customWidth="1"/>
    <col min="787" max="787" width="13.125" style="29" customWidth="1"/>
    <col min="788" max="788" width="6.125" style="29" customWidth="1"/>
    <col min="789" max="789" width="9.75" style="29" customWidth="1"/>
    <col min="790" max="790" width="1.375" style="29" customWidth="1"/>
    <col min="791" max="1030" width="9" style="29"/>
    <col min="1031" max="1031" width="1.375" style="29" customWidth="1"/>
    <col min="1032" max="1032" width="3.5" style="29" customWidth="1"/>
    <col min="1033" max="1033" width="22.125" style="29" customWidth="1"/>
    <col min="1034" max="1034" width="9.75" style="29" customWidth="1"/>
    <col min="1035" max="1035" width="7.375" style="29" customWidth="1"/>
    <col min="1036" max="1036" width="9" style="29"/>
    <col min="1037" max="1037" width="9.25" style="29" customWidth="1"/>
    <col min="1038" max="1038" width="3.5" style="29" customWidth="1"/>
    <col min="1039" max="1040" width="12.625" style="29" customWidth="1"/>
    <col min="1041" max="1041" width="9" style="29"/>
    <col min="1042" max="1042" width="7.75" style="29" customWidth="1"/>
    <col min="1043" max="1043" width="13.125" style="29" customWidth="1"/>
    <col min="1044" max="1044" width="6.125" style="29" customWidth="1"/>
    <col min="1045" max="1045" width="9.75" style="29" customWidth="1"/>
    <col min="1046" max="1046" width="1.375" style="29" customWidth="1"/>
    <col min="1047" max="1286" width="9" style="29"/>
    <col min="1287" max="1287" width="1.375" style="29" customWidth="1"/>
    <col min="1288" max="1288" width="3.5" style="29" customWidth="1"/>
    <col min="1289" max="1289" width="22.125" style="29" customWidth="1"/>
    <col min="1290" max="1290" width="9.75" style="29" customWidth="1"/>
    <col min="1291" max="1291" width="7.375" style="29" customWidth="1"/>
    <col min="1292" max="1292" width="9" style="29"/>
    <col min="1293" max="1293" width="9.25" style="29" customWidth="1"/>
    <col min="1294" max="1294" width="3.5" style="29" customWidth="1"/>
    <col min="1295" max="1296" width="12.625" style="29" customWidth="1"/>
    <col min="1297" max="1297" width="9" style="29"/>
    <col min="1298" max="1298" width="7.75" style="29" customWidth="1"/>
    <col min="1299" max="1299" width="13.125" style="29" customWidth="1"/>
    <col min="1300" max="1300" width="6.125" style="29" customWidth="1"/>
    <col min="1301" max="1301" width="9.75" style="29" customWidth="1"/>
    <col min="1302" max="1302" width="1.375" style="29" customWidth="1"/>
    <col min="1303" max="1542" width="9" style="29"/>
    <col min="1543" max="1543" width="1.375" style="29" customWidth="1"/>
    <col min="1544" max="1544" width="3.5" style="29" customWidth="1"/>
    <col min="1545" max="1545" width="22.125" style="29" customWidth="1"/>
    <col min="1546" max="1546" width="9.75" style="29" customWidth="1"/>
    <col min="1547" max="1547" width="7.375" style="29" customWidth="1"/>
    <col min="1548" max="1548" width="9" style="29"/>
    <col min="1549" max="1549" width="9.25" style="29" customWidth="1"/>
    <col min="1550" max="1550" width="3.5" style="29" customWidth="1"/>
    <col min="1551" max="1552" width="12.625" style="29" customWidth="1"/>
    <col min="1553" max="1553" width="9" style="29"/>
    <col min="1554" max="1554" width="7.75" style="29" customWidth="1"/>
    <col min="1555" max="1555" width="13.125" style="29" customWidth="1"/>
    <col min="1556" max="1556" width="6.125" style="29" customWidth="1"/>
    <col min="1557" max="1557" width="9.75" style="29" customWidth="1"/>
    <col min="1558" max="1558" width="1.375" style="29" customWidth="1"/>
    <col min="1559" max="1798" width="9" style="29"/>
    <col min="1799" max="1799" width="1.375" style="29" customWidth="1"/>
    <col min="1800" max="1800" width="3.5" style="29" customWidth="1"/>
    <col min="1801" max="1801" width="22.125" style="29" customWidth="1"/>
    <col min="1802" max="1802" width="9.75" style="29" customWidth="1"/>
    <col min="1803" max="1803" width="7.375" style="29" customWidth="1"/>
    <col min="1804" max="1804" width="9" style="29"/>
    <col min="1805" max="1805" width="9.25" style="29" customWidth="1"/>
    <col min="1806" max="1806" width="3.5" style="29" customWidth="1"/>
    <col min="1807" max="1808" width="12.625" style="29" customWidth="1"/>
    <col min="1809" max="1809" width="9" style="29"/>
    <col min="1810" max="1810" width="7.75" style="29" customWidth="1"/>
    <col min="1811" max="1811" width="13.125" style="29" customWidth="1"/>
    <col min="1812" max="1812" width="6.125" style="29" customWidth="1"/>
    <col min="1813" max="1813" width="9.75" style="29" customWidth="1"/>
    <col min="1814" max="1814" width="1.375" style="29" customWidth="1"/>
    <col min="1815" max="2054" width="9" style="29"/>
    <col min="2055" max="2055" width="1.375" style="29" customWidth="1"/>
    <col min="2056" max="2056" width="3.5" style="29" customWidth="1"/>
    <col min="2057" max="2057" width="22.125" style="29" customWidth="1"/>
    <col min="2058" max="2058" width="9.75" style="29" customWidth="1"/>
    <col min="2059" max="2059" width="7.375" style="29" customWidth="1"/>
    <col min="2060" max="2060" width="9" style="29"/>
    <col min="2061" max="2061" width="9.25" style="29" customWidth="1"/>
    <col min="2062" max="2062" width="3.5" style="29" customWidth="1"/>
    <col min="2063" max="2064" width="12.625" style="29" customWidth="1"/>
    <col min="2065" max="2065" width="9" style="29"/>
    <col min="2066" max="2066" width="7.75" style="29" customWidth="1"/>
    <col min="2067" max="2067" width="13.125" style="29" customWidth="1"/>
    <col min="2068" max="2068" width="6.125" style="29" customWidth="1"/>
    <col min="2069" max="2069" width="9.75" style="29" customWidth="1"/>
    <col min="2070" max="2070" width="1.375" style="29" customWidth="1"/>
    <col min="2071" max="2310" width="9" style="29"/>
    <col min="2311" max="2311" width="1.375" style="29" customWidth="1"/>
    <col min="2312" max="2312" width="3.5" style="29" customWidth="1"/>
    <col min="2313" max="2313" width="22.125" style="29" customWidth="1"/>
    <col min="2314" max="2314" width="9.75" style="29" customWidth="1"/>
    <col min="2315" max="2315" width="7.375" style="29" customWidth="1"/>
    <col min="2316" max="2316" width="9" style="29"/>
    <col min="2317" max="2317" width="9.25" style="29" customWidth="1"/>
    <col min="2318" max="2318" width="3.5" style="29" customWidth="1"/>
    <col min="2319" max="2320" width="12.625" style="29" customWidth="1"/>
    <col min="2321" max="2321" width="9" style="29"/>
    <col min="2322" max="2322" width="7.75" style="29" customWidth="1"/>
    <col min="2323" max="2323" width="13.125" style="29" customWidth="1"/>
    <col min="2324" max="2324" width="6.125" style="29" customWidth="1"/>
    <col min="2325" max="2325" width="9.75" style="29" customWidth="1"/>
    <col min="2326" max="2326" width="1.375" style="29" customWidth="1"/>
    <col min="2327" max="2566" width="9" style="29"/>
    <col min="2567" max="2567" width="1.375" style="29" customWidth="1"/>
    <col min="2568" max="2568" width="3.5" style="29" customWidth="1"/>
    <col min="2569" max="2569" width="22.125" style="29" customWidth="1"/>
    <col min="2570" max="2570" width="9.75" style="29" customWidth="1"/>
    <col min="2571" max="2571" width="7.375" style="29" customWidth="1"/>
    <col min="2572" max="2572" width="9" style="29"/>
    <col min="2573" max="2573" width="9.25" style="29" customWidth="1"/>
    <col min="2574" max="2574" width="3.5" style="29" customWidth="1"/>
    <col min="2575" max="2576" width="12.625" style="29" customWidth="1"/>
    <col min="2577" max="2577" width="9" style="29"/>
    <col min="2578" max="2578" width="7.75" style="29" customWidth="1"/>
    <col min="2579" max="2579" width="13.125" style="29" customWidth="1"/>
    <col min="2580" max="2580" width="6.125" style="29" customWidth="1"/>
    <col min="2581" max="2581" width="9.75" style="29" customWidth="1"/>
    <col min="2582" max="2582" width="1.375" style="29" customWidth="1"/>
    <col min="2583" max="2822" width="9" style="29"/>
    <col min="2823" max="2823" width="1.375" style="29" customWidth="1"/>
    <col min="2824" max="2824" width="3.5" style="29" customWidth="1"/>
    <col min="2825" max="2825" width="22.125" style="29" customWidth="1"/>
    <col min="2826" max="2826" width="9.75" style="29" customWidth="1"/>
    <col min="2827" max="2827" width="7.375" style="29" customWidth="1"/>
    <col min="2828" max="2828" width="9" style="29"/>
    <col min="2829" max="2829" width="9.25" style="29" customWidth="1"/>
    <col min="2830" max="2830" width="3.5" style="29" customWidth="1"/>
    <col min="2831" max="2832" width="12.625" style="29" customWidth="1"/>
    <col min="2833" max="2833" width="9" style="29"/>
    <col min="2834" max="2834" width="7.75" style="29" customWidth="1"/>
    <col min="2835" max="2835" width="13.125" style="29" customWidth="1"/>
    <col min="2836" max="2836" width="6.125" style="29" customWidth="1"/>
    <col min="2837" max="2837" width="9.75" style="29" customWidth="1"/>
    <col min="2838" max="2838" width="1.375" style="29" customWidth="1"/>
    <col min="2839" max="3078" width="9" style="29"/>
    <col min="3079" max="3079" width="1.375" style="29" customWidth="1"/>
    <col min="3080" max="3080" width="3.5" style="29" customWidth="1"/>
    <col min="3081" max="3081" width="22.125" style="29" customWidth="1"/>
    <col min="3082" max="3082" width="9.75" style="29" customWidth="1"/>
    <col min="3083" max="3083" width="7.375" style="29" customWidth="1"/>
    <col min="3084" max="3084" width="9" style="29"/>
    <col min="3085" max="3085" width="9.25" style="29" customWidth="1"/>
    <col min="3086" max="3086" width="3.5" style="29" customWidth="1"/>
    <col min="3087" max="3088" width="12.625" style="29" customWidth="1"/>
    <col min="3089" max="3089" width="9" style="29"/>
    <col min="3090" max="3090" width="7.75" style="29" customWidth="1"/>
    <col min="3091" max="3091" width="13.125" style="29" customWidth="1"/>
    <col min="3092" max="3092" width="6.125" style="29" customWidth="1"/>
    <col min="3093" max="3093" width="9.75" style="29" customWidth="1"/>
    <col min="3094" max="3094" width="1.375" style="29" customWidth="1"/>
    <col min="3095" max="3334" width="9" style="29"/>
    <col min="3335" max="3335" width="1.375" style="29" customWidth="1"/>
    <col min="3336" max="3336" width="3.5" style="29" customWidth="1"/>
    <col min="3337" max="3337" width="22.125" style="29" customWidth="1"/>
    <col min="3338" max="3338" width="9.75" style="29" customWidth="1"/>
    <col min="3339" max="3339" width="7.375" style="29" customWidth="1"/>
    <col min="3340" max="3340" width="9" style="29"/>
    <col min="3341" max="3341" width="9.25" style="29" customWidth="1"/>
    <col min="3342" max="3342" width="3.5" style="29" customWidth="1"/>
    <col min="3343" max="3344" width="12.625" style="29" customWidth="1"/>
    <col min="3345" max="3345" width="9" style="29"/>
    <col min="3346" max="3346" width="7.75" style="29" customWidth="1"/>
    <col min="3347" max="3347" width="13.125" style="29" customWidth="1"/>
    <col min="3348" max="3348" width="6.125" style="29" customWidth="1"/>
    <col min="3349" max="3349" width="9.75" style="29" customWidth="1"/>
    <col min="3350" max="3350" width="1.375" style="29" customWidth="1"/>
    <col min="3351" max="3590" width="9" style="29"/>
    <col min="3591" max="3591" width="1.375" style="29" customWidth="1"/>
    <col min="3592" max="3592" width="3.5" style="29" customWidth="1"/>
    <col min="3593" max="3593" width="22.125" style="29" customWidth="1"/>
    <col min="3594" max="3594" width="9.75" style="29" customWidth="1"/>
    <col min="3595" max="3595" width="7.375" style="29" customWidth="1"/>
    <col min="3596" max="3596" width="9" style="29"/>
    <col min="3597" max="3597" width="9.25" style="29" customWidth="1"/>
    <col min="3598" max="3598" width="3.5" style="29" customWidth="1"/>
    <col min="3599" max="3600" width="12.625" style="29" customWidth="1"/>
    <col min="3601" max="3601" width="9" style="29"/>
    <col min="3602" max="3602" width="7.75" style="29" customWidth="1"/>
    <col min="3603" max="3603" width="13.125" style="29" customWidth="1"/>
    <col min="3604" max="3604" width="6.125" style="29" customWidth="1"/>
    <col min="3605" max="3605" width="9.75" style="29" customWidth="1"/>
    <col min="3606" max="3606" width="1.375" style="29" customWidth="1"/>
    <col min="3607" max="3846" width="9" style="29"/>
    <col min="3847" max="3847" width="1.375" style="29" customWidth="1"/>
    <col min="3848" max="3848" width="3.5" style="29" customWidth="1"/>
    <col min="3849" max="3849" width="22.125" style="29" customWidth="1"/>
    <col min="3850" max="3850" width="9.75" style="29" customWidth="1"/>
    <col min="3851" max="3851" width="7.375" style="29" customWidth="1"/>
    <col min="3852" max="3852" width="9" style="29"/>
    <col min="3853" max="3853" width="9.25" style="29" customWidth="1"/>
    <col min="3854" max="3854" width="3.5" style="29" customWidth="1"/>
    <col min="3855" max="3856" width="12.625" style="29" customWidth="1"/>
    <col min="3857" max="3857" width="9" style="29"/>
    <col min="3858" max="3858" width="7.75" style="29" customWidth="1"/>
    <col min="3859" max="3859" width="13.125" style="29" customWidth="1"/>
    <col min="3860" max="3860" width="6.125" style="29" customWidth="1"/>
    <col min="3861" max="3861" width="9.75" style="29" customWidth="1"/>
    <col min="3862" max="3862" width="1.375" style="29" customWidth="1"/>
    <col min="3863" max="4102" width="9" style="29"/>
    <col min="4103" max="4103" width="1.375" style="29" customWidth="1"/>
    <col min="4104" max="4104" width="3.5" style="29" customWidth="1"/>
    <col min="4105" max="4105" width="22.125" style="29" customWidth="1"/>
    <col min="4106" max="4106" width="9.75" style="29" customWidth="1"/>
    <col min="4107" max="4107" width="7.375" style="29" customWidth="1"/>
    <col min="4108" max="4108" width="9" style="29"/>
    <col min="4109" max="4109" width="9.25" style="29" customWidth="1"/>
    <col min="4110" max="4110" width="3.5" style="29" customWidth="1"/>
    <col min="4111" max="4112" width="12.625" style="29" customWidth="1"/>
    <col min="4113" max="4113" width="9" style="29"/>
    <col min="4114" max="4114" width="7.75" style="29" customWidth="1"/>
    <col min="4115" max="4115" width="13.125" style="29" customWidth="1"/>
    <col min="4116" max="4116" width="6.125" style="29" customWidth="1"/>
    <col min="4117" max="4117" width="9.75" style="29" customWidth="1"/>
    <col min="4118" max="4118" width="1.375" style="29" customWidth="1"/>
    <col min="4119" max="4358" width="9" style="29"/>
    <col min="4359" max="4359" width="1.375" style="29" customWidth="1"/>
    <col min="4360" max="4360" width="3.5" style="29" customWidth="1"/>
    <col min="4361" max="4361" width="22.125" style="29" customWidth="1"/>
    <col min="4362" max="4362" width="9.75" style="29" customWidth="1"/>
    <col min="4363" max="4363" width="7.375" style="29" customWidth="1"/>
    <col min="4364" max="4364" width="9" style="29"/>
    <col min="4365" max="4365" width="9.25" style="29" customWidth="1"/>
    <col min="4366" max="4366" width="3.5" style="29" customWidth="1"/>
    <col min="4367" max="4368" width="12.625" style="29" customWidth="1"/>
    <col min="4369" max="4369" width="9" style="29"/>
    <col min="4370" max="4370" width="7.75" style="29" customWidth="1"/>
    <col min="4371" max="4371" width="13.125" style="29" customWidth="1"/>
    <col min="4372" max="4372" width="6.125" style="29" customWidth="1"/>
    <col min="4373" max="4373" width="9.75" style="29" customWidth="1"/>
    <col min="4374" max="4374" width="1.375" style="29" customWidth="1"/>
    <col min="4375" max="4614" width="9" style="29"/>
    <col min="4615" max="4615" width="1.375" style="29" customWidth="1"/>
    <col min="4616" max="4616" width="3.5" style="29" customWidth="1"/>
    <col min="4617" max="4617" width="22.125" style="29" customWidth="1"/>
    <col min="4618" max="4618" width="9.75" style="29" customWidth="1"/>
    <col min="4619" max="4619" width="7.375" style="29" customWidth="1"/>
    <col min="4620" max="4620" width="9" style="29"/>
    <col min="4621" max="4621" width="9.25" style="29" customWidth="1"/>
    <col min="4622" max="4622" width="3.5" style="29" customWidth="1"/>
    <col min="4623" max="4624" width="12.625" style="29" customWidth="1"/>
    <col min="4625" max="4625" width="9" style="29"/>
    <col min="4626" max="4626" width="7.75" style="29" customWidth="1"/>
    <col min="4627" max="4627" width="13.125" style="29" customWidth="1"/>
    <col min="4628" max="4628" width="6.125" style="29" customWidth="1"/>
    <col min="4629" max="4629" width="9.75" style="29" customWidth="1"/>
    <col min="4630" max="4630" width="1.375" style="29" customWidth="1"/>
    <col min="4631" max="4870" width="9" style="29"/>
    <col min="4871" max="4871" width="1.375" style="29" customWidth="1"/>
    <col min="4872" max="4872" width="3.5" style="29" customWidth="1"/>
    <col min="4873" max="4873" width="22.125" style="29" customWidth="1"/>
    <col min="4874" max="4874" width="9.75" style="29" customWidth="1"/>
    <col min="4875" max="4875" width="7.375" style="29" customWidth="1"/>
    <col min="4876" max="4876" width="9" style="29"/>
    <col min="4877" max="4877" width="9.25" style="29" customWidth="1"/>
    <col min="4878" max="4878" width="3.5" style="29" customWidth="1"/>
    <col min="4879" max="4880" width="12.625" style="29" customWidth="1"/>
    <col min="4881" max="4881" width="9" style="29"/>
    <col min="4882" max="4882" width="7.75" style="29" customWidth="1"/>
    <col min="4883" max="4883" width="13.125" style="29" customWidth="1"/>
    <col min="4884" max="4884" width="6.125" style="29" customWidth="1"/>
    <col min="4885" max="4885" width="9.75" style="29" customWidth="1"/>
    <col min="4886" max="4886" width="1.375" style="29" customWidth="1"/>
    <col min="4887" max="5126" width="9" style="29"/>
    <col min="5127" max="5127" width="1.375" style="29" customWidth="1"/>
    <col min="5128" max="5128" width="3.5" style="29" customWidth="1"/>
    <col min="5129" max="5129" width="22.125" style="29" customWidth="1"/>
    <col min="5130" max="5130" width="9.75" style="29" customWidth="1"/>
    <col min="5131" max="5131" width="7.375" style="29" customWidth="1"/>
    <col min="5132" max="5132" width="9" style="29"/>
    <col min="5133" max="5133" width="9.25" style="29" customWidth="1"/>
    <col min="5134" max="5134" width="3.5" style="29" customWidth="1"/>
    <col min="5135" max="5136" width="12.625" style="29" customWidth="1"/>
    <col min="5137" max="5137" width="9" style="29"/>
    <col min="5138" max="5138" width="7.75" style="29" customWidth="1"/>
    <col min="5139" max="5139" width="13.125" style="29" customWidth="1"/>
    <col min="5140" max="5140" width="6.125" style="29" customWidth="1"/>
    <col min="5141" max="5141" width="9.75" style="29" customWidth="1"/>
    <col min="5142" max="5142" width="1.375" style="29" customWidth="1"/>
    <col min="5143" max="5382" width="9" style="29"/>
    <col min="5383" max="5383" width="1.375" style="29" customWidth="1"/>
    <col min="5384" max="5384" width="3.5" style="29" customWidth="1"/>
    <col min="5385" max="5385" width="22.125" style="29" customWidth="1"/>
    <col min="5386" max="5386" width="9.75" style="29" customWidth="1"/>
    <col min="5387" max="5387" width="7.375" style="29" customWidth="1"/>
    <col min="5388" max="5388" width="9" style="29"/>
    <col min="5389" max="5389" width="9.25" style="29" customWidth="1"/>
    <col min="5390" max="5390" width="3.5" style="29" customWidth="1"/>
    <col min="5391" max="5392" width="12.625" style="29" customWidth="1"/>
    <col min="5393" max="5393" width="9" style="29"/>
    <col min="5394" max="5394" width="7.75" style="29" customWidth="1"/>
    <col min="5395" max="5395" width="13.125" style="29" customWidth="1"/>
    <col min="5396" max="5396" width="6.125" style="29" customWidth="1"/>
    <col min="5397" max="5397" width="9.75" style="29" customWidth="1"/>
    <col min="5398" max="5398" width="1.375" style="29" customWidth="1"/>
    <col min="5399" max="5638" width="9" style="29"/>
    <col min="5639" max="5639" width="1.375" style="29" customWidth="1"/>
    <col min="5640" max="5640" width="3.5" style="29" customWidth="1"/>
    <col min="5641" max="5641" width="22.125" style="29" customWidth="1"/>
    <col min="5642" max="5642" width="9.75" style="29" customWidth="1"/>
    <col min="5643" max="5643" width="7.375" style="29" customWidth="1"/>
    <col min="5644" max="5644" width="9" style="29"/>
    <col min="5645" max="5645" width="9.25" style="29" customWidth="1"/>
    <col min="5646" max="5646" width="3.5" style="29" customWidth="1"/>
    <col min="5647" max="5648" width="12.625" style="29" customWidth="1"/>
    <col min="5649" max="5649" width="9" style="29"/>
    <col min="5650" max="5650" width="7.75" style="29" customWidth="1"/>
    <col min="5651" max="5651" width="13.125" style="29" customWidth="1"/>
    <col min="5652" max="5652" width="6.125" style="29" customWidth="1"/>
    <col min="5653" max="5653" width="9.75" style="29" customWidth="1"/>
    <col min="5654" max="5654" width="1.375" style="29" customWidth="1"/>
    <col min="5655" max="5894" width="9" style="29"/>
    <col min="5895" max="5895" width="1.375" style="29" customWidth="1"/>
    <col min="5896" max="5896" width="3.5" style="29" customWidth="1"/>
    <col min="5897" max="5897" width="22.125" style="29" customWidth="1"/>
    <col min="5898" max="5898" width="9.75" style="29" customWidth="1"/>
    <col min="5899" max="5899" width="7.375" style="29" customWidth="1"/>
    <col min="5900" max="5900" width="9" style="29"/>
    <col min="5901" max="5901" width="9.25" style="29" customWidth="1"/>
    <col min="5902" max="5902" width="3.5" style="29" customWidth="1"/>
    <col min="5903" max="5904" width="12.625" style="29" customWidth="1"/>
    <col min="5905" max="5905" width="9" style="29"/>
    <col min="5906" max="5906" width="7.75" style="29" customWidth="1"/>
    <col min="5907" max="5907" width="13.125" style="29" customWidth="1"/>
    <col min="5908" max="5908" width="6.125" style="29" customWidth="1"/>
    <col min="5909" max="5909" width="9.75" style="29" customWidth="1"/>
    <col min="5910" max="5910" width="1.375" style="29" customWidth="1"/>
    <col min="5911" max="6150" width="9" style="29"/>
    <col min="6151" max="6151" width="1.375" style="29" customWidth="1"/>
    <col min="6152" max="6152" width="3.5" style="29" customWidth="1"/>
    <col min="6153" max="6153" width="22.125" style="29" customWidth="1"/>
    <col min="6154" max="6154" width="9.75" style="29" customWidth="1"/>
    <col min="6155" max="6155" width="7.375" style="29" customWidth="1"/>
    <col min="6156" max="6156" width="9" style="29"/>
    <col min="6157" max="6157" width="9.25" style="29" customWidth="1"/>
    <col min="6158" max="6158" width="3.5" style="29" customWidth="1"/>
    <col min="6159" max="6160" width="12.625" style="29" customWidth="1"/>
    <col min="6161" max="6161" width="9" style="29"/>
    <col min="6162" max="6162" width="7.75" style="29" customWidth="1"/>
    <col min="6163" max="6163" width="13.125" style="29" customWidth="1"/>
    <col min="6164" max="6164" width="6.125" style="29" customWidth="1"/>
    <col min="6165" max="6165" width="9.75" style="29" customWidth="1"/>
    <col min="6166" max="6166" width="1.375" style="29" customWidth="1"/>
    <col min="6167" max="6406" width="9" style="29"/>
    <col min="6407" max="6407" width="1.375" style="29" customWidth="1"/>
    <col min="6408" max="6408" width="3.5" style="29" customWidth="1"/>
    <col min="6409" max="6409" width="22.125" style="29" customWidth="1"/>
    <col min="6410" max="6410" width="9.75" style="29" customWidth="1"/>
    <col min="6411" max="6411" width="7.375" style="29" customWidth="1"/>
    <col min="6412" max="6412" width="9" style="29"/>
    <col min="6413" max="6413" width="9.25" style="29" customWidth="1"/>
    <col min="6414" max="6414" width="3.5" style="29" customWidth="1"/>
    <col min="6415" max="6416" width="12.625" style="29" customWidth="1"/>
    <col min="6417" max="6417" width="9" style="29"/>
    <col min="6418" max="6418" width="7.75" style="29" customWidth="1"/>
    <col min="6419" max="6419" width="13.125" style="29" customWidth="1"/>
    <col min="6420" max="6420" width="6.125" style="29" customWidth="1"/>
    <col min="6421" max="6421" width="9.75" style="29" customWidth="1"/>
    <col min="6422" max="6422" width="1.375" style="29" customWidth="1"/>
    <col min="6423" max="6662" width="9" style="29"/>
    <col min="6663" max="6663" width="1.375" style="29" customWidth="1"/>
    <col min="6664" max="6664" width="3.5" style="29" customWidth="1"/>
    <col min="6665" max="6665" width="22.125" style="29" customWidth="1"/>
    <col min="6666" max="6666" width="9.75" style="29" customWidth="1"/>
    <col min="6667" max="6667" width="7.375" style="29" customWidth="1"/>
    <col min="6668" max="6668" width="9" style="29"/>
    <col min="6669" max="6669" width="9.25" style="29" customWidth="1"/>
    <col min="6670" max="6670" width="3.5" style="29" customWidth="1"/>
    <col min="6671" max="6672" width="12.625" style="29" customWidth="1"/>
    <col min="6673" max="6673" width="9" style="29"/>
    <col min="6674" max="6674" width="7.75" style="29" customWidth="1"/>
    <col min="6675" max="6675" width="13.125" style="29" customWidth="1"/>
    <col min="6676" max="6676" width="6.125" style="29" customWidth="1"/>
    <col min="6677" max="6677" width="9.75" style="29" customWidth="1"/>
    <col min="6678" max="6678" width="1.375" style="29" customWidth="1"/>
    <col min="6679" max="6918" width="9" style="29"/>
    <col min="6919" max="6919" width="1.375" style="29" customWidth="1"/>
    <col min="6920" max="6920" width="3.5" style="29" customWidth="1"/>
    <col min="6921" max="6921" width="22.125" style="29" customWidth="1"/>
    <col min="6922" max="6922" width="9.75" style="29" customWidth="1"/>
    <col min="6923" max="6923" width="7.375" style="29" customWidth="1"/>
    <col min="6924" max="6924" width="9" style="29"/>
    <col min="6925" max="6925" width="9.25" style="29" customWidth="1"/>
    <col min="6926" max="6926" width="3.5" style="29" customWidth="1"/>
    <col min="6927" max="6928" width="12.625" style="29" customWidth="1"/>
    <col min="6929" max="6929" width="9" style="29"/>
    <col min="6930" max="6930" width="7.75" style="29" customWidth="1"/>
    <col min="6931" max="6931" width="13.125" style="29" customWidth="1"/>
    <col min="6932" max="6932" width="6.125" style="29" customWidth="1"/>
    <col min="6933" max="6933" width="9.75" style="29" customWidth="1"/>
    <col min="6934" max="6934" width="1.375" style="29" customWidth="1"/>
    <col min="6935" max="7174" width="9" style="29"/>
    <col min="7175" max="7175" width="1.375" style="29" customWidth="1"/>
    <col min="7176" max="7176" width="3.5" style="29" customWidth="1"/>
    <col min="7177" max="7177" width="22.125" style="29" customWidth="1"/>
    <col min="7178" max="7178" width="9.75" style="29" customWidth="1"/>
    <col min="7179" max="7179" width="7.375" style="29" customWidth="1"/>
    <col min="7180" max="7180" width="9" style="29"/>
    <col min="7181" max="7181" width="9.25" style="29" customWidth="1"/>
    <col min="7182" max="7182" width="3.5" style="29" customWidth="1"/>
    <col min="7183" max="7184" width="12.625" style="29" customWidth="1"/>
    <col min="7185" max="7185" width="9" style="29"/>
    <col min="7186" max="7186" width="7.75" style="29" customWidth="1"/>
    <col min="7187" max="7187" width="13.125" style="29" customWidth="1"/>
    <col min="7188" max="7188" width="6.125" style="29" customWidth="1"/>
    <col min="7189" max="7189" width="9.75" style="29" customWidth="1"/>
    <col min="7190" max="7190" width="1.375" style="29" customWidth="1"/>
    <col min="7191" max="7430" width="9" style="29"/>
    <col min="7431" max="7431" width="1.375" style="29" customWidth="1"/>
    <col min="7432" max="7432" width="3.5" style="29" customWidth="1"/>
    <col min="7433" max="7433" width="22.125" style="29" customWidth="1"/>
    <col min="7434" max="7434" width="9.75" style="29" customWidth="1"/>
    <col min="7435" max="7435" width="7.375" style="29" customWidth="1"/>
    <col min="7436" max="7436" width="9" style="29"/>
    <col min="7437" max="7437" width="9.25" style="29" customWidth="1"/>
    <col min="7438" max="7438" width="3.5" style="29" customWidth="1"/>
    <col min="7439" max="7440" width="12.625" style="29" customWidth="1"/>
    <col min="7441" max="7441" width="9" style="29"/>
    <col min="7442" max="7442" width="7.75" style="29" customWidth="1"/>
    <col min="7443" max="7443" width="13.125" style="29" customWidth="1"/>
    <col min="7444" max="7444" width="6.125" style="29" customWidth="1"/>
    <col min="7445" max="7445" width="9.75" style="29" customWidth="1"/>
    <col min="7446" max="7446" width="1.375" style="29" customWidth="1"/>
    <col min="7447" max="7686" width="9" style="29"/>
    <col min="7687" max="7687" width="1.375" style="29" customWidth="1"/>
    <col min="7688" max="7688" width="3.5" style="29" customWidth="1"/>
    <col min="7689" max="7689" width="22.125" style="29" customWidth="1"/>
    <col min="7690" max="7690" width="9.75" style="29" customWidth="1"/>
    <col min="7691" max="7691" width="7.375" style="29" customWidth="1"/>
    <col min="7692" max="7692" width="9" style="29"/>
    <col min="7693" max="7693" width="9.25" style="29" customWidth="1"/>
    <col min="7694" max="7694" width="3.5" style="29" customWidth="1"/>
    <col min="7695" max="7696" width="12.625" style="29" customWidth="1"/>
    <col min="7697" max="7697" width="9" style="29"/>
    <col min="7698" max="7698" width="7.75" style="29" customWidth="1"/>
    <col min="7699" max="7699" width="13.125" style="29" customWidth="1"/>
    <col min="7700" max="7700" width="6.125" style="29" customWidth="1"/>
    <col min="7701" max="7701" width="9.75" style="29" customWidth="1"/>
    <col min="7702" max="7702" width="1.375" style="29" customWidth="1"/>
    <col min="7703" max="7942" width="9" style="29"/>
    <col min="7943" max="7943" width="1.375" style="29" customWidth="1"/>
    <col min="7944" max="7944" width="3.5" style="29" customWidth="1"/>
    <col min="7945" max="7945" width="22.125" style="29" customWidth="1"/>
    <col min="7946" max="7946" width="9.75" style="29" customWidth="1"/>
    <col min="7947" max="7947" width="7.375" style="29" customWidth="1"/>
    <col min="7948" max="7948" width="9" style="29"/>
    <col min="7949" max="7949" width="9.25" style="29" customWidth="1"/>
    <col min="7950" max="7950" width="3.5" style="29" customWidth="1"/>
    <col min="7951" max="7952" width="12.625" style="29" customWidth="1"/>
    <col min="7953" max="7953" width="9" style="29"/>
    <col min="7954" max="7954" width="7.75" style="29" customWidth="1"/>
    <col min="7955" max="7955" width="13.125" style="29" customWidth="1"/>
    <col min="7956" max="7956" width="6.125" style="29" customWidth="1"/>
    <col min="7957" max="7957" width="9.75" style="29" customWidth="1"/>
    <col min="7958" max="7958" width="1.375" style="29" customWidth="1"/>
    <col min="7959" max="8198" width="9" style="29"/>
    <col min="8199" max="8199" width="1.375" style="29" customWidth="1"/>
    <col min="8200" max="8200" width="3.5" style="29" customWidth="1"/>
    <col min="8201" max="8201" width="22.125" style="29" customWidth="1"/>
    <col min="8202" max="8202" width="9.75" style="29" customWidth="1"/>
    <col min="8203" max="8203" width="7.375" style="29" customWidth="1"/>
    <col min="8204" max="8204" width="9" style="29"/>
    <col min="8205" max="8205" width="9.25" style="29" customWidth="1"/>
    <col min="8206" max="8206" width="3.5" style="29" customWidth="1"/>
    <col min="8207" max="8208" width="12.625" style="29" customWidth="1"/>
    <col min="8209" max="8209" width="9" style="29"/>
    <col min="8210" max="8210" width="7.75" style="29" customWidth="1"/>
    <col min="8211" max="8211" width="13.125" style="29" customWidth="1"/>
    <col min="8212" max="8212" width="6.125" style="29" customWidth="1"/>
    <col min="8213" max="8213" width="9.75" style="29" customWidth="1"/>
    <col min="8214" max="8214" width="1.375" style="29" customWidth="1"/>
    <col min="8215" max="8454" width="9" style="29"/>
    <col min="8455" max="8455" width="1.375" style="29" customWidth="1"/>
    <col min="8456" max="8456" width="3.5" style="29" customWidth="1"/>
    <col min="8457" max="8457" width="22.125" style="29" customWidth="1"/>
    <col min="8458" max="8458" width="9.75" style="29" customWidth="1"/>
    <col min="8459" max="8459" width="7.375" style="29" customWidth="1"/>
    <col min="8460" max="8460" width="9" style="29"/>
    <col min="8461" max="8461" width="9.25" style="29" customWidth="1"/>
    <col min="8462" max="8462" width="3.5" style="29" customWidth="1"/>
    <col min="8463" max="8464" width="12.625" style="29" customWidth="1"/>
    <col min="8465" max="8465" width="9" style="29"/>
    <col min="8466" max="8466" width="7.75" style="29" customWidth="1"/>
    <col min="8467" max="8467" width="13.125" style="29" customWidth="1"/>
    <col min="8468" max="8468" width="6.125" style="29" customWidth="1"/>
    <col min="8469" max="8469" width="9.75" style="29" customWidth="1"/>
    <col min="8470" max="8470" width="1.375" style="29" customWidth="1"/>
    <col min="8471" max="8710" width="9" style="29"/>
    <col min="8711" max="8711" width="1.375" style="29" customWidth="1"/>
    <col min="8712" max="8712" width="3.5" style="29" customWidth="1"/>
    <col min="8713" max="8713" width="22.125" style="29" customWidth="1"/>
    <col min="8714" max="8714" width="9.75" style="29" customWidth="1"/>
    <col min="8715" max="8715" width="7.375" style="29" customWidth="1"/>
    <col min="8716" max="8716" width="9" style="29"/>
    <col min="8717" max="8717" width="9.25" style="29" customWidth="1"/>
    <col min="8718" max="8718" width="3.5" style="29" customWidth="1"/>
    <col min="8719" max="8720" width="12.625" style="29" customWidth="1"/>
    <col min="8721" max="8721" width="9" style="29"/>
    <col min="8722" max="8722" width="7.75" style="29" customWidth="1"/>
    <col min="8723" max="8723" width="13.125" style="29" customWidth="1"/>
    <col min="8724" max="8724" width="6.125" style="29" customWidth="1"/>
    <col min="8725" max="8725" width="9.75" style="29" customWidth="1"/>
    <col min="8726" max="8726" width="1.375" style="29" customWidth="1"/>
    <col min="8727" max="8966" width="9" style="29"/>
    <col min="8967" max="8967" width="1.375" style="29" customWidth="1"/>
    <col min="8968" max="8968" width="3.5" style="29" customWidth="1"/>
    <col min="8969" max="8969" width="22.125" style="29" customWidth="1"/>
    <col min="8970" max="8970" width="9.75" style="29" customWidth="1"/>
    <col min="8971" max="8971" width="7.375" style="29" customWidth="1"/>
    <col min="8972" max="8972" width="9" style="29"/>
    <col min="8973" max="8973" width="9.25" style="29" customWidth="1"/>
    <col min="8974" max="8974" width="3.5" style="29" customWidth="1"/>
    <col min="8975" max="8976" width="12.625" style="29" customWidth="1"/>
    <col min="8977" max="8977" width="9" style="29"/>
    <col min="8978" max="8978" width="7.75" style="29" customWidth="1"/>
    <col min="8979" max="8979" width="13.125" style="29" customWidth="1"/>
    <col min="8980" max="8980" width="6.125" style="29" customWidth="1"/>
    <col min="8981" max="8981" width="9.75" style="29" customWidth="1"/>
    <col min="8982" max="8982" width="1.375" style="29" customWidth="1"/>
    <col min="8983" max="9222" width="9" style="29"/>
    <col min="9223" max="9223" width="1.375" style="29" customWidth="1"/>
    <col min="9224" max="9224" width="3.5" style="29" customWidth="1"/>
    <col min="9225" max="9225" width="22.125" style="29" customWidth="1"/>
    <col min="9226" max="9226" width="9.75" style="29" customWidth="1"/>
    <col min="9227" max="9227" width="7.375" style="29" customWidth="1"/>
    <col min="9228" max="9228" width="9" style="29"/>
    <col min="9229" max="9229" width="9.25" style="29" customWidth="1"/>
    <col min="9230" max="9230" width="3.5" style="29" customWidth="1"/>
    <col min="9231" max="9232" width="12.625" style="29" customWidth="1"/>
    <col min="9233" max="9233" width="9" style="29"/>
    <col min="9234" max="9234" width="7.75" style="29" customWidth="1"/>
    <col min="9235" max="9235" width="13.125" style="29" customWidth="1"/>
    <col min="9236" max="9236" width="6.125" style="29" customWidth="1"/>
    <col min="9237" max="9237" width="9.75" style="29" customWidth="1"/>
    <col min="9238" max="9238" width="1.375" style="29" customWidth="1"/>
    <col min="9239" max="9478" width="9" style="29"/>
    <col min="9479" max="9479" width="1.375" style="29" customWidth="1"/>
    <col min="9480" max="9480" width="3.5" style="29" customWidth="1"/>
    <col min="9481" max="9481" width="22.125" style="29" customWidth="1"/>
    <col min="9482" max="9482" width="9.75" style="29" customWidth="1"/>
    <col min="9483" max="9483" width="7.375" style="29" customWidth="1"/>
    <col min="9484" max="9484" width="9" style="29"/>
    <col min="9485" max="9485" width="9.25" style="29" customWidth="1"/>
    <col min="9486" max="9486" width="3.5" style="29" customWidth="1"/>
    <col min="9487" max="9488" width="12.625" style="29" customWidth="1"/>
    <col min="9489" max="9489" width="9" style="29"/>
    <col min="9490" max="9490" width="7.75" style="29" customWidth="1"/>
    <col min="9491" max="9491" width="13.125" style="29" customWidth="1"/>
    <col min="9492" max="9492" width="6.125" style="29" customWidth="1"/>
    <col min="9493" max="9493" width="9.75" style="29" customWidth="1"/>
    <col min="9494" max="9494" width="1.375" style="29" customWidth="1"/>
    <col min="9495" max="9734" width="9" style="29"/>
    <col min="9735" max="9735" width="1.375" style="29" customWidth="1"/>
    <col min="9736" max="9736" width="3.5" style="29" customWidth="1"/>
    <col min="9737" max="9737" width="22.125" style="29" customWidth="1"/>
    <col min="9738" max="9738" width="9.75" style="29" customWidth="1"/>
    <col min="9739" max="9739" width="7.375" style="29" customWidth="1"/>
    <col min="9740" max="9740" width="9" style="29"/>
    <col min="9741" max="9741" width="9.25" style="29" customWidth="1"/>
    <col min="9742" max="9742" width="3.5" style="29" customWidth="1"/>
    <col min="9743" max="9744" width="12.625" style="29" customWidth="1"/>
    <col min="9745" max="9745" width="9" style="29"/>
    <col min="9746" max="9746" width="7.75" style="29" customWidth="1"/>
    <col min="9747" max="9747" width="13.125" style="29" customWidth="1"/>
    <col min="9748" max="9748" width="6.125" style="29" customWidth="1"/>
    <col min="9749" max="9749" width="9.75" style="29" customWidth="1"/>
    <col min="9750" max="9750" width="1.375" style="29" customWidth="1"/>
    <col min="9751" max="9990" width="9" style="29"/>
    <col min="9991" max="9991" width="1.375" style="29" customWidth="1"/>
    <col min="9992" max="9992" width="3.5" style="29" customWidth="1"/>
    <col min="9993" max="9993" width="22.125" style="29" customWidth="1"/>
    <col min="9994" max="9994" width="9.75" style="29" customWidth="1"/>
    <col min="9995" max="9995" width="7.375" style="29" customWidth="1"/>
    <col min="9996" max="9996" width="9" style="29"/>
    <col min="9997" max="9997" width="9.25" style="29" customWidth="1"/>
    <col min="9998" max="9998" width="3.5" style="29" customWidth="1"/>
    <col min="9999" max="10000" width="12.625" style="29" customWidth="1"/>
    <col min="10001" max="10001" width="9" style="29"/>
    <col min="10002" max="10002" width="7.75" style="29" customWidth="1"/>
    <col min="10003" max="10003" width="13.125" style="29" customWidth="1"/>
    <col min="10004" max="10004" width="6.125" style="29" customWidth="1"/>
    <col min="10005" max="10005" width="9.75" style="29" customWidth="1"/>
    <col min="10006" max="10006" width="1.375" style="29" customWidth="1"/>
    <col min="10007" max="10246" width="9" style="29"/>
    <col min="10247" max="10247" width="1.375" style="29" customWidth="1"/>
    <col min="10248" max="10248" width="3.5" style="29" customWidth="1"/>
    <col min="10249" max="10249" width="22.125" style="29" customWidth="1"/>
    <col min="10250" max="10250" width="9.75" style="29" customWidth="1"/>
    <col min="10251" max="10251" width="7.375" style="29" customWidth="1"/>
    <col min="10252" max="10252" width="9" style="29"/>
    <col min="10253" max="10253" width="9.25" style="29" customWidth="1"/>
    <col min="10254" max="10254" width="3.5" style="29" customWidth="1"/>
    <col min="10255" max="10256" width="12.625" style="29" customWidth="1"/>
    <col min="10257" max="10257" width="9" style="29"/>
    <col min="10258" max="10258" width="7.75" style="29" customWidth="1"/>
    <col min="10259" max="10259" width="13.125" style="29" customWidth="1"/>
    <col min="10260" max="10260" width="6.125" style="29" customWidth="1"/>
    <col min="10261" max="10261" width="9.75" style="29" customWidth="1"/>
    <col min="10262" max="10262" width="1.375" style="29" customWidth="1"/>
    <col min="10263" max="10502" width="9" style="29"/>
    <col min="10503" max="10503" width="1.375" style="29" customWidth="1"/>
    <col min="10504" max="10504" width="3.5" style="29" customWidth="1"/>
    <col min="10505" max="10505" width="22.125" style="29" customWidth="1"/>
    <col min="10506" max="10506" width="9.75" style="29" customWidth="1"/>
    <col min="10507" max="10507" width="7.375" style="29" customWidth="1"/>
    <col min="10508" max="10508" width="9" style="29"/>
    <col min="10509" max="10509" width="9.25" style="29" customWidth="1"/>
    <col min="10510" max="10510" width="3.5" style="29" customWidth="1"/>
    <col min="10511" max="10512" width="12.625" style="29" customWidth="1"/>
    <col min="10513" max="10513" width="9" style="29"/>
    <col min="10514" max="10514" width="7.75" style="29" customWidth="1"/>
    <col min="10515" max="10515" width="13.125" style="29" customWidth="1"/>
    <col min="10516" max="10516" width="6.125" style="29" customWidth="1"/>
    <col min="10517" max="10517" width="9.75" style="29" customWidth="1"/>
    <col min="10518" max="10518" width="1.375" style="29" customWidth="1"/>
    <col min="10519" max="10758" width="9" style="29"/>
    <col min="10759" max="10759" width="1.375" style="29" customWidth="1"/>
    <col min="10760" max="10760" width="3.5" style="29" customWidth="1"/>
    <col min="10761" max="10761" width="22.125" style="29" customWidth="1"/>
    <col min="10762" max="10762" width="9.75" style="29" customWidth="1"/>
    <col min="10763" max="10763" width="7.375" style="29" customWidth="1"/>
    <col min="10764" max="10764" width="9" style="29"/>
    <col min="10765" max="10765" width="9.25" style="29" customWidth="1"/>
    <col min="10766" max="10766" width="3.5" style="29" customWidth="1"/>
    <col min="10767" max="10768" width="12.625" style="29" customWidth="1"/>
    <col min="10769" max="10769" width="9" style="29"/>
    <col min="10770" max="10770" width="7.75" style="29" customWidth="1"/>
    <col min="10771" max="10771" width="13.125" style="29" customWidth="1"/>
    <col min="10772" max="10772" width="6.125" style="29" customWidth="1"/>
    <col min="10773" max="10773" width="9.75" style="29" customWidth="1"/>
    <col min="10774" max="10774" width="1.375" style="29" customWidth="1"/>
    <col min="10775" max="11014" width="9" style="29"/>
    <col min="11015" max="11015" width="1.375" style="29" customWidth="1"/>
    <col min="11016" max="11016" width="3.5" style="29" customWidth="1"/>
    <col min="11017" max="11017" width="22.125" style="29" customWidth="1"/>
    <col min="11018" max="11018" width="9.75" style="29" customWidth="1"/>
    <col min="11019" max="11019" width="7.375" style="29" customWidth="1"/>
    <col min="11020" max="11020" width="9" style="29"/>
    <col min="11021" max="11021" width="9.25" style="29" customWidth="1"/>
    <col min="11022" max="11022" width="3.5" style="29" customWidth="1"/>
    <col min="11023" max="11024" width="12.625" style="29" customWidth="1"/>
    <col min="11025" max="11025" width="9" style="29"/>
    <col min="11026" max="11026" width="7.75" style="29" customWidth="1"/>
    <col min="11027" max="11027" width="13.125" style="29" customWidth="1"/>
    <col min="11028" max="11028" width="6.125" style="29" customWidth="1"/>
    <col min="11029" max="11029" width="9.75" style="29" customWidth="1"/>
    <col min="11030" max="11030" width="1.375" style="29" customWidth="1"/>
    <col min="11031" max="11270" width="9" style="29"/>
    <col min="11271" max="11271" width="1.375" style="29" customWidth="1"/>
    <col min="11272" max="11272" width="3.5" style="29" customWidth="1"/>
    <col min="11273" max="11273" width="22.125" style="29" customWidth="1"/>
    <col min="11274" max="11274" width="9.75" style="29" customWidth="1"/>
    <col min="11275" max="11275" width="7.375" style="29" customWidth="1"/>
    <col min="11276" max="11276" width="9" style="29"/>
    <col min="11277" max="11277" width="9.25" style="29" customWidth="1"/>
    <col min="11278" max="11278" width="3.5" style="29" customWidth="1"/>
    <col min="11279" max="11280" width="12.625" style="29" customWidth="1"/>
    <col min="11281" max="11281" width="9" style="29"/>
    <col min="11282" max="11282" width="7.75" style="29" customWidth="1"/>
    <col min="11283" max="11283" width="13.125" style="29" customWidth="1"/>
    <col min="11284" max="11284" width="6.125" style="29" customWidth="1"/>
    <col min="11285" max="11285" width="9.75" style="29" customWidth="1"/>
    <col min="11286" max="11286" width="1.375" style="29" customWidth="1"/>
    <col min="11287" max="11526" width="9" style="29"/>
    <col min="11527" max="11527" width="1.375" style="29" customWidth="1"/>
    <col min="11528" max="11528" width="3.5" style="29" customWidth="1"/>
    <col min="11529" max="11529" width="22.125" style="29" customWidth="1"/>
    <col min="11530" max="11530" width="9.75" style="29" customWidth="1"/>
    <col min="11531" max="11531" width="7.375" style="29" customWidth="1"/>
    <col min="11532" max="11532" width="9" style="29"/>
    <col min="11533" max="11533" width="9.25" style="29" customWidth="1"/>
    <col min="11534" max="11534" width="3.5" style="29" customWidth="1"/>
    <col min="11535" max="11536" width="12.625" style="29" customWidth="1"/>
    <col min="11537" max="11537" width="9" style="29"/>
    <col min="11538" max="11538" width="7.75" style="29" customWidth="1"/>
    <col min="11539" max="11539" width="13.125" style="29" customWidth="1"/>
    <col min="11540" max="11540" width="6.125" style="29" customWidth="1"/>
    <col min="11541" max="11541" width="9.75" style="29" customWidth="1"/>
    <col min="11542" max="11542" width="1.375" style="29" customWidth="1"/>
    <col min="11543" max="11782" width="9" style="29"/>
    <col min="11783" max="11783" width="1.375" style="29" customWidth="1"/>
    <col min="11784" max="11784" width="3.5" style="29" customWidth="1"/>
    <col min="11785" max="11785" width="22.125" style="29" customWidth="1"/>
    <col min="11786" max="11786" width="9.75" style="29" customWidth="1"/>
    <col min="11787" max="11787" width="7.375" style="29" customWidth="1"/>
    <col min="11788" max="11788" width="9" style="29"/>
    <col min="11789" max="11789" width="9.25" style="29" customWidth="1"/>
    <col min="11790" max="11790" width="3.5" style="29" customWidth="1"/>
    <col min="11791" max="11792" width="12.625" style="29" customWidth="1"/>
    <col min="11793" max="11793" width="9" style="29"/>
    <col min="11794" max="11794" width="7.75" style="29" customWidth="1"/>
    <col min="11795" max="11795" width="13.125" style="29" customWidth="1"/>
    <col min="11796" max="11796" width="6.125" style="29" customWidth="1"/>
    <col min="11797" max="11797" width="9.75" style="29" customWidth="1"/>
    <col min="11798" max="11798" width="1.375" style="29" customWidth="1"/>
    <col min="11799" max="12038" width="9" style="29"/>
    <col min="12039" max="12039" width="1.375" style="29" customWidth="1"/>
    <col min="12040" max="12040" width="3.5" style="29" customWidth="1"/>
    <col min="12041" max="12041" width="22.125" style="29" customWidth="1"/>
    <col min="12042" max="12042" width="9.75" style="29" customWidth="1"/>
    <col min="12043" max="12043" width="7.375" style="29" customWidth="1"/>
    <col min="12044" max="12044" width="9" style="29"/>
    <col min="12045" max="12045" width="9.25" style="29" customWidth="1"/>
    <col min="12046" max="12046" width="3.5" style="29" customWidth="1"/>
    <col min="12047" max="12048" width="12.625" style="29" customWidth="1"/>
    <col min="12049" max="12049" width="9" style="29"/>
    <col min="12050" max="12050" width="7.75" style="29" customWidth="1"/>
    <col min="12051" max="12051" width="13.125" style="29" customWidth="1"/>
    <col min="12052" max="12052" width="6.125" style="29" customWidth="1"/>
    <col min="12053" max="12053" width="9.75" style="29" customWidth="1"/>
    <col min="12054" max="12054" width="1.375" style="29" customWidth="1"/>
    <col min="12055" max="12294" width="9" style="29"/>
    <col min="12295" max="12295" width="1.375" style="29" customWidth="1"/>
    <col min="12296" max="12296" width="3.5" style="29" customWidth="1"/>
    <col min="12297" max="12297" width="22.125" style="29" customWidth="1"/>
    <col min="12298" max="12298" width="9.75" style="29" customWidth="1"/>
    <col min="12299" max="12299" width="7.375" style="29" customWidth="1"/>
    <col min="12300" max="12300" width="9" style="29"/>
    <col min="12301" max="12301" width="9.25" style="29" customWidth="1"/>
    <col min="12302" max="12302" width="3.5" style="29" customWidth="1"/>
    <col min="12303" max="12304" width="12.625" style="29" customWidth="1"/>
    <col min="12305" max="12305" width="9" style="29"/>
    <col min="12306" max="12306" width="7.75" style="29" customWidth="1"/>
    <col min="12307" max="12307" width="13.125" style="29" customWidth="1"/>
    <col min="12308" max="12308" width="6.125" style="29" customWidth="1"/>
    <col min="12309" max="12309" width="9.75" style="29" customWidth="1"/>
    <col min="12310" max="12310" width="1.375" style="29" customWidth="1"/>
    <col min="12311" max="12550" width="9" style="29"/>
    <col min="12551" max="12551" width="1.375" style="29" customWidth="1"/>
    <col min="12552" max="12552" width="3.5" style="29" customWidth="1"/>
    <col min="12553" max="12553" width="22.125" style="29" customWidth="1"/>
    <col min="12554" max="12554" width="9.75" style="29" customWidth="1"/>
    <col min="12555" max="12555" width="7.375" style="29" customWidth="1"/>
    <col min="12556" max="12556" width="9" style="29"/>
    <col min="12557" max="12557" width="9.25" style="29" customWidth="1"/>
    <col min="12558" max="12558" width="3.5" style="29" customWidth="1"/>
    <col min="12559" max="12560" width="12.625" style="29" customWidth="1"/>
    <col min="12561" max="12561" width="9" style="29"/>
    <col min="12562" max="12562" width="7.75" style="29" customWidth="1"/>
    <col min="12563" max="12563" width="13.125" style="29" customWidth="1"/>
    <col min="12564" max="12564" width="6.125" style="29" customWidth="1"/>
    <col min="12565" max="12565" width="9.75" style="29" customWidth="1"/>
    <col min="12566" max="12566" width="1.375" style="29" customWidth="1"/>
    <col min="12567" max="12806" width="9" style="29"/>
    <col min="12807" max="12807" width="1.375" style="29" customWidth="1"/>
    <col min="12808" max="12808" width="3.5" style="29" customWidth="1"/>
    <col min="12809" max="12809" width="22.125" style="29" customWidth="1"/>
    <col min="12810" max="12810" width="9.75" style="29" customWidth="1"/>
    <col min="12811" max="12811" width="7.375" style="29" customWidth="1"/>
    <col min="12812" max="12812" width="9" style="29"/>
    <col min="12813" max="12813" width="9.25" style="29" customWidth="1"/>
    <col min="12814" max="12814" width="3.5" style="29" customWidth="1"/>
    <col min="12815" max="12816" width="12.625" style="29" customWidth="1"/>
    <col min="12817" max="12817" width="9" style="29"/>
    <col min="12818" max="12818" width="7.75" style="29" customWidth="1"/>
    <col min="12819" max="12819" width="13.125" style="29" customWidth="1"/>
    <col min="12820" max="12820" width="6.125" style="29" customWidth="1"/>
    <col min="12821" max="12821" width="9.75" style="29" customWidth="1"/>
    <col min="12822" max="12822" width="1.375" style="29" customWidth="1"/>
    <col min="12823" max="13062" width="9" style="29"/>
    <col min="13063" max="13063" width="1.375" style="29" customWidth="1"/>
    <col min="13064" max="13064" width="3.5" style="29" customWidth="1"/>
    <col min="13065" max="13065" width="22.125" style="29" customWidth="1"/>
    <col min="13066" max="13066" width="9.75" style="29" customWidth="1"/>
    <col min="13067" max="13067" width="7.375" style="29" customWidth="1"/>
    <col min="13068" max="13068" width="9" style="29"/>
    <col min="13069" max="13069" width="9.25" style="29" customWidth="1"/>
    <col min="13070" max="13070" width="3.5" style="29" customWidth="1"/>
    <col min="13071" max="13072" width="12.625" style="29" customWidth="1"/>
    <col min="13073" max="13073" width="9" style="29"/>
    <col min="13074" max="13074" width="7.75" style="29" customWidth="1"/>
    <col min="13075" max="13075" width="13.125" style="29" customWidth="1"/>
    <col min="13076" max="13076" width="6.125" style="29" customWidth="1"/>
    <col min="13077" max="13077" width="9.75" style="29" customWidth="1"/>
    <col min="13078" max="13078" width="1.375" style="29" customWidth="1"/>
    <col min="13079" max="13318" width="9" style="29"/>
    <col min="13319" max="13319" width="1.375" style="29" customWidth="1"/>
    <col min="13320" max="13320" width="3.5" style="29" customWidth="1"/>
    <col min="13321" max="13321" width="22.125" style="29" customWidth="1"/>
    <col min="13322" max="13322" width="9.75" style="29" customWidth="1"/>
    <col min="13323" max="13323" width="7.375" style="29" customWidth="1"/>
    <col min="13324" max="13324" width="9" style="29"/>
    <col min="13325" max="13325" width="9.25" style="29" customWidth="1"/>
    <col min="13326" max="13326" width="3.5" style="29" customWidth="1"/>
    <col min="13327" max="13328" width="12.625" style="29" customWidth="1"/>
    <col min="13329" max="13329" width="9" style="29"/>
    <col min="13330" max="13330" width="7.75" style="29" customWidth="1"/>
    <col min="13331" max="13331" width="13.125" style="29" customWidth="1"/>
    <col min="13332" max="13332" width="6.125" style="29" customWidth="1"/>
    <col min="13333" max="13333" width="9.75" style="29" customWidth="1"/>
    <col min="13334" max="13334" width="1.375" style="29" customWidth="1"/>
    <col min="13335" max="13574" width="9" style="29"/>
    <col min="13575" max="13575" width="1.375" style="29" customWidth="1"/>
    <col min="13576" max="13576" width="3.5" style="29" customWidth="1"/>
    <col min="13577" max="13577" width="22.125" style="29" customWidth="1"/>
    <col min="13578" max="13578" width="9.75" style="29" customWidth="1"/>
    <col min="13579" max="13579" width="7.375" style="29" customWidth="1"/>
    <col min="13580" max="13580" width="9" style="29"/>
    <col min="13581" max="13581" width="9.25" style="29" customWidth="1"/>
    <col min="13582" max="13582" width="3.5" style="29" customWidth="1"/>
    <col min="13583" max="13584" width="12.625" style="29" customWidth="1"/>
    <col min="13585" max="13585" width="9" style="29"/>
    <col min="13586" max="13586" width="7.75" style="29" customWidth="1"/>
    <col min="13587" max="13587" width="13.125" style="29" customWidth="1"/>
    <col min="13588" max="13588" width="6.125" style="29" customWidth="1"/>
    <col min="13589" max="13589" width="9.75" style="29" customWidth="1"/>
    <col min="13590" max="13590" width="1.375" style="29" customWidth="1"/>
    <col min="13591" max="13830" width="9" style="29"/>
    <col min="13831" max="13831" width="1.375" style="29" customWidth="1"/>
    <col min="13832" max="13832" width="3.5" style="29" customWidth="1"/>
    <col min="13833" max="13833" width="22.125" style="29" customWidth="1"/>
    <col min="13834" max="13834" width="9.75" style="29" customWidth="1"/>
    <col min="13835" max="13835" width="7.375" style="29" customWidth="1"/>
    <col min="13836" max="13836" width="9" style="29"/>
    <col min="13837" max="13837" width="9.25" style="29" customWidth="1"/>
    <col min="13838" max="13838" width="3.5" style="29" customWidth="1"/>
    <col min="13839" max="13840" width="12.625" style="29" customWidth="1"/>
    <col min="13841" max="13841" width="9" style="29"/>
    <col min="13842" max="13842" width="7.75" style="29" customWidth="1"/>
    <col min="13843" max="13843" width="13.125" style="29" customWidth="1"/>
    <col min="13844" max="13844" width="6.125" style="29" customWidth="1"/>
    <col min="13845" max="13845" width="9.75" style="29" customWidth="1"/>
    <col min="13846" max="13846" width="1.375" style="29" customWidth="1"/>
    <col min="13847" max="14086" width="9" style="29"/>
    <col min="14087" max="14087" width="1.375" style="29" customWidth="1"/>
    <col min="14088" max="14088" width="3.5" style="29" customWidth="1"/>
    <col min="14089" max="14089" width="22.125" style="29" customWidth="1"/>
    <col min="14090" max="14090" width="9.75" style="29" customWidth="1"/>
    <col min="14091" max="14091" width="7.375" style="29" customWidth="1"/>
    <col min="14092" max="14092" width="9" style="29"/>
    <col min="14093" max="14093" width="9.25" style="29" customWidth="1"/>
    <col min="14094" max="14094" width="3.5" style="29" customWidth="1"/>
    <col min="14095" max="14096" width="12.625" style="29" customWidth="1"/>
    <col min="14097" max="14097" width="9" style="29"/>
    <col min="14098" max="14098" width="7.75" style="29" customWidth="1"/>
    <col min="14099" max="14099" width="13.125" style="29" customWidth="1"/>
    <col min="14100" max="14100" width="6.125" style="29" customWidth="1"/>
    <col min="14101" max="14101" width="9.75" style="29" customWidth="1"/>
    <col min="14102" max="14102" width="1.375" style="29" customWidth="1"/>
    <col min="14103" max="14342" width="9" style="29"/>
    <col min="14343" max="14343" width="1.375" style="29" customWidth="1"/>
    <col min="14344" max="14344" width="3.5" style="29" customWidth="1"/>
    <col min="14345" max="14345" width="22.125" style="29" customWidth="1"/>
    <col min="14346" max="14346" width="9.75" style="29" customWidth="1"/>
    <col min="14347" max="14347" width="7.375" style="29" customWidth="1"/>
    <col min="14348" max="14348" width="9" style="29"/>
    <col min="14349" max="14349" width="9.25" style="29" customWidth="1"/>
    <col min="14350" max="14350" width="3.5" style="29" customWidth="1"/>
    <col min="14351" max="14352" width="12.625" style="29" customWidth="1"/>
    <col min="14353" max="14353" width="9" style="29"/>
    <col min="14354" max="14354" width="7.75" style="29" customWidth="1"/>
    <col min="14355" max="14355" width="13.125" style="29" customWidth="1"/>
    <col min="14356" max="14356" width="6.125" style="29" customWidth="1"/>
    <col min="14357" max="14357" width="9.75" style="29" customWidth="1"/>
    <col min="14358" max="14358" width="1.375" style="29" customWidth="1"/>
    <col min="14359" max="14598" width="9" style="29"/>
    <col min="14599" max="14599" width="1.375" style="29" customWidth="1"/>
    <col min="14600" max="14600" width="3.5" style="29" customWidth="1"/>
    <col min="14601" max="14601" width="22.125" style="29" customWidth="1"/>
    <col min="14602" max="14602" width="9.75" style="29" customWidth="1"/>
    <col min="14603" max="14603" width="7.375" style="29" customWidth="1"/>
    <col min="14604" max="14604" width="9" style="29"/>
    <col min="14605" max="14605" width="9.25" style="29" customWidth="1"/>
    <col min="14606" max="14606" width="3.5" style="29" customWidth="1"/>
    <col min="14607" max="14608" width="12.625" style="29" customWidth="1"/>
    <col min="14609" max="14609" width="9" style="29"/>
    <col min="14610" max="14610" width="7.75" style="29" customWidth="1"/>
    <col min="14611" max="14611" width="13.125" style="29" customWidth="1"/>
    <col min="14612" max="14612" width="6.125" style="29" customWidth="1"/>
    <col min="14613" max="14613" width="9.75" style="29" customWidth="1"/>
    <col min="14614" max="14614" width="1.375" style="29" customWidth="1"/>
    <col min="14615" max="14854" width="9" style="29"/>
    <col min="14855" max="14855" width="1.375" style="29" customWidth="1"/>
    <col min="14856" max="14856" width="3.5" style="29" customWidth="1"/>
    <col min="14857" max="14857" width="22.125" style="29" customWidth="1"/>
    <col min="14858" max="14858" width="9.75" style="29" customWidth="1"/>
    <col min="14859" max="14859" width="7.375" style="29" customWidth="1"/>
    <col min="14860" max="14860" width="9" style="29"/>
    <col min="14861" max="14861" width="9.25" style="29" customWidth="1"/>
    <col min="14862" max="14862" width="3.5" style="29" customWidth="1"/>
    <col min="14863" max="14864" width="12.625" style="29" customWidth="1"/>
    <col min="14865" max="14865" width="9" style="29"/>
    <col min="14866" max="14866" width="7.75" style="29" customWidth="1"/>
    <col min="14867" max="14867" width="13.125" style="29" customWidth="1"/>
    <col min="14868" max="14868" width="6.125" style="29" customWidth="1"/>
    <col min="14869" max="14869" width="9.75" style="29" customWidth="1"/>
    <col min="14870" max="14870" width="1.375" style="29" customWidth="1"/>
    <col min="14871" max="15110" width="9" style="29"/>
    <col min="15111" max="15111" width="1.375" style="29" customWidth="1"/>
    <col min="15112" max="15112" width="3.5" style="29" customWidth="1"/>
    <col min="15113" max="15113" width="22.125" style="29" customWidth="1"/>
    <col min="15114" max="15114" width="9.75" style="29" customWidth="1"/>
    <col min="15115" max="15115" width="7.375" style="29" customWidth="1"/>
    <col min="15116" max="15116" width="9" style="29"/>
    <col min="15117" max="15117" width="9.25" style="29" customWidth="1"/>
    <col min="15118" max="15118" width="3.5" style="29" customWidth="1"/>
    <col min="15119" max="15120" width="12.625" style="29" customWidth="1"/>
    <col min="15121" max="15121" width="9" style="29"/>
    <col min="15122" max="15122" width="7.75" style="29" customWidth="1"/>
    <col min="15123" max="15123" width="13.125" style="29" customWidth="1"/>
    <col min="15124" max="15124" width="6.125" style="29" customWidth="1"/>
    <col min="15125" max="15125" width="9.75" style="29" customWidth="1"/>
    <col min="15126" max="15126" width="1.375" style="29" customWidth="1"/>
    <col min="15127" max="15366" width="9" style="29"/>
    <col min="15367" max="15367" width="1.375" style="29" customWidth="1"/>
    <col min="15368" max="15368" width="3.5" style="29" customWidth="1"/>
    <col min="15369" max="15369" width="22.125" style="29" customWidth="1"/>
    <col min="15370" max="15370" width="9.75" style="29" customWidth="1"/>
    <col min="15371" max="15371" width="7.375" style="29" customWidth="1"/>
    <col min="15372" max="15372" width="9" style="29"/>
    <col min="15373" max="15373" width="9.25" style="29" customWidth="1"/>
    <col min="15374" max="15374" width="3.5" style="29" customWidth="1"/>
    <col min="15375" max="15376" width="12.625" style="29" customWidth="1"/>
    <col min="15377" max="15377" width="9" style="29"/>
    <col min="15378" max="15378" width="7.75" style="29" customWidth="1"/>
    <col min="15379" max="15379" width="13.125" style="29" customWidth="1"/>
    <col min="15380" max="15380" width="6.125" style="29" customWidth="1"/>
    <col min="15381" max="15381" width="9.75" style="29" customWidth="1"/>
    <col min="15382" max="15382" width="1.375" style="29" customWidth="1"/>
    <col min="15383" max="15622" width="9" style="29"/>
    <col min="15623" max="15623" width="1.375" style="29" customWidth="1"/>
    <col min="15624" max="15624" width="3.5" style="29" customWidth="1"/>
    <col min="15625" max="15625" width="22.125" style="29" customWidth="1"/>
    <col min="15626" max="15626" width="9.75" style="29" customWidth="1"/>
    <col min="15627" max="15627" width="7.375" style="29" customWidth="1"/>
    <col min="15628" max="15628" width="9" style="29"/>
    <col min="15629" max="15629" width="9.25" style="29" customWidth="1"/>
    <col min="15630" max="15630" width="3.5" style="29" customWidth="1"/>
    <col min="15631" max="15632" width="12.625" style="29" customWidth="1"/>
    <col min="15633" max="15633" width="9" style="29"/>
    <col min="15634" max="15634" width="7.75" style="29" customWidth="1"/>
    <col min="15635" max="15635" width="13.125" style="29" customWidth="1"/>
    <col min="15636" max="15636" width="6.125" style="29" customWidth="1"/>
    <col min="15637" max="15637" width="9.75" style="29" customWidth="1"/>
    <col min="15638" max="15638" width="1.375" style="29" customWidth="1"/>
    <col min="15639" max="15878" width="9" style="29"/>
    <col min="15879" max="15879" width="1.375" style="29" customWidth="1"/>
    <col min="15880" max="15880" width="3.5" style="29" customWidth="1"/>
    <col min="15881" max="15881" width="22.125" style="29" customWidth="1"/>
    <col min="15882" max="15882" width="9.75" style="29" customWidth="1"/>
    <col min="15883" max="15883" width="7.375" style="29" customWidth="1"/>
    <col min="15884" max="15884" width="9" style="29"/>
    <col min="15885" max="15885" width="9.25" style="29" customWidth="1"/>
    <col min="15886" max="15886" width="3.5" style="29" customWidth="1"/>
    <col min="15887" max="15888" width="12.625" style="29" customWidth="1"/>
    <col min="15889" max="15889" width="9" style="29"/>
    <col min="15890" max="15890" width="7.75" style="29" customWidth="1"/>
    <col min="15891" max="15891" width="13.125" style="29" customWidth="1"/>
    <col min="15892" max="15892" width="6.125" style="29" customWidth="1"/>
    <col min="15893" max="15893" width="9.75" style="29" customWidth="1"/>
    <col min="15894" max="15894" width="1.375" style="29" customWidth="1"/>
    <col min="15895" max="16134" width="9" style="29"/>
    <col min="16135" max="16135" width="1.375" style="29" customWidth="1"/>
    <col min="16136" max="16136" width="3.5" style="29" customWidth="1"/>
    <col min="16137" max="16137" width="22.125" style="29" customWidth="1"/>
    <col min="16138" max="16138" width="9.75" style="29" customWidth="1"/>
    <col min="16139" max="16139" width="7.375" style="29" customWidth="1"/>
    <col min="16140" max="16140" width="9" style="29"/>
    <col min="16141" max="16141" width="9.25" style="29" customWidth="1"/>
    <col min="16142" max="16142" width="3.5" style="29" customWidth="1"/>
    <col min="16143" max="16144" width="12.625" style="29" customWidth="1"/>
    <col min="16145" max="16145" width="9" style="29"/>
    <col min="16146" max="16146" width="7.75" style="29" customWidth="1"/>
    <col min="16147" max="16147" width="13.125" style="29" customWidth="1"/>
    <col min="16148" max="16148" width="6.125" style="29" customWidth="1"/>
    <col min="16149" max="16149" width="9.75" style="29" customWidth="1"/>
    <col min="16150" max="16150" width="1.375" style="29" customWidth="1"/>
    <col min="16151" max="16384" width="9" style="29"/>
  </cols>
  <sheetData>
    <row r="1" spans="2:25" ht="9.9499999999999993" customHeight="1" x14ac:dyDescent="0.15"/>
    <row r="2" spans="2:25" ht="24.95" customHeight="1" x14ac:dyDescent="0.15">
      <c r="B2" s="1" t="s">
        <v>631</v>
      </c>
      <c r="C2" s="31"/>
      <c r="D2" s="4"/>
      <c r="E2" s="4"/>
      <c r="F2" s="31"/>
      <c r="G2" s="100"/>
      <c r="H2" s="110"/>
      <c r="I2" s="100"/>
      <c r="J2" s="100"/>
      <c r="K2" s="100"/>
      <c r="L2" s="100"/>
      <c r="M2" s="100"/>
      <c r="N2" s="100"/>
      <c r="O2" s="4"/>
    </row>
    <row r="3" spans="2:25" ht="15" customHeight="1" thickBot="1" x14ac:dyDescent="0.2">
      <c r="B3" s="29" t="s">
        <v>164</v>
      </c>
      <c r="I3" s="4" t="s">
        <v>165</v>
      </c>
      <c r="P3" s="29" t="s">
        <v>186</v>
      </c>
    </row>
    <row r="4" spans="2:25" ht="15" customHeight="1" x14ac:dyDescent="0.15">
      <c r="B4" s="406" t="s">
        <v>70</v>
      </c>
      <c r="C4" s="407" t="s">
        <v>140</v>
      </c>
      <c r="D4" s="407" t="s">
        <v>110</v>
      </c>
      <c r="E4" s="407" t="s">
        <v>111</v>
      </c>
      <c r="F4" s="407" t="s">
        <v>21</v>
      </c>
      <c r="G4" s="408" t="s">
        <v>112</v>
      </c>
      <c r="H4" s="142"/>
      <c r="I4" s="908" t="s">
        <v>70</v>
      </c>
      <c r="J4" s="910" t="s">
        <v>143</v>
      </c>
      <c r="K4" s="409" t="s">
        <v>617</v>
      </c>
      <c r="L4" s="409" t="s">
        <v>113</v>
      </c>
      <c r="M4" s="910" t="s">
        <v>21</v>
      </c>
      <c r="N4" s="912" t="s">
        <v>112</v>
      </c>
      <c r="O4" s="149"/>
      <c r="P4" s="410" t="s">
        <v>146</v>
      </c>
      <c r="Q4" s="411" t="s">
        <v>147</v>
      </c>
      <c r="R4" s="411" t="s">
        <v>148</v>
      </c>
      <c r="S4" s="411" t="s">
        <v>304</v>
      </c>
      <c r="T4" s="914" t="s">
        <v>149</v>
      </c>
      <c r="U4" s="915"/>
      <c r="V4" s="412" t="s">
        <v>150</v>
      </c>
      <c r="W4" s="573" t="s">
        <v>305</v>
      </c>
      <c r="X4" s="573" t="s">
        <v>306</v>
      </c>
      <c r="Y4" s="573"/>
    </row>
    <row r="5" spans="2:25" ht="15" customHeight="1" x14ac:dyDescent="0.15">
      <c r="B5" s="899" t="s">
        <v>135</v>
      </c>
      <c r="C5" s="263" t="s">
        <v>294</v>
      </c>
      <c r="D5" s="263">
        <f>+肥料算出基礎!C4/1000</f>
        <v>3</v>
      </c>
      <c r="E5" s="413" t="s">
        <v>307</v>
      </c>
      <c r="F5" s="263">
        <f>+肥料算出基礎!K4/2</f>
        <v>22160</v>
      </c>
      <c r="G5" s="414">
        <f t="shared" ref="G5:G6" si="0">D5*F5</f>
        <v>66480</v>
      </c>
      <c r="H5" s="143"/>
      <c r="I5" s="909"/>
      <c r="J5" s="911"/>
      <c r="K5" s="146" t="s">
        <v>115</v>
      </c>
      <c r="L5" s="577" t="s">
        <v>247</v>
      </c>
      <c r="M5" s="911"/>
      <c r="N5" s="913"/>
      <c r="O5" s="149"/>
      <c r="P5" s="415" t="s">
        <v>308</v>
      </c>
      <c r="Q5" s="416">
        <v>3</v>
      </c>
      <c r="R5" s="417" t="s">
        <v>309</v>
      </c>
      <c r="S5" s="416">
        <f>ROUNDDOWN(W5*1.1,-1)</f>
        <v>2290</v>
      </c>
      <c r="T5" s="904">
        <v>5</v>
      </c>
      <c r="U5" s="905"/>
      <c r="V5" s="418">
        <f t="shared" ref="V5:V11" si="1">Q5*S5/T5</f>
        <v>1374</v>
      </c>
      <c r="W5" s="573">
        <v>2088</v>
      </c>
      <c r="X5" s="573">
        <v>500</v>
      </c>
      <c r="Y5" s="573" t="s">
        <v>310</v>
      </c>
    </row>
    <row r="6" spans="2:25" ht="15" customHeight="1" x14ac:dyDescent="0.15">
      <c r="B6" s="797"/>
      <c r="C6" s="263"/>
      <c r="D6" s="263"/>
      <c r="E6" s="413"/>
      <c r="F6" s="263"/>
      <c r="G6" s="134">
        <f t="shared" si="0"/>
        <v>0</v>
      </c>
      <c r="H6" s="143"/>
      <c r="I6" s="907" t="s">
        <v>142</v>
      </c>
      <c r="J6" s="263" t="s">
        <v>348</v>
      </c>
      <c r="K6" s="419">
        <v>9</v>
      </c>
      <c r="L6" s="419">
        <v>1</v>
      </c>
      <c r="M6" s="419">
        <v>84.7</v>
      </c>
      <c r="N6" s="134">
        <f>K6*L6*M6</f>
        <v>762.30000000000007</v>
      </c>
      <c r="O6" s="149"/>
      <c r="P6" s="415" t="s">
        <v>395</v>
      </c>
      <c r="Q6" s="416">
        <v>5</v>
      </c>
      <c r="R6" s="417" t="s">
        <v>309</v>
      </c>
      <c r="S6" s="416">
        <f>ROUNDDOWN(W6*1.1,-1)</f>
        <v>2560</v>
      </c>
      <c r="T6" s="904">
        <v>1</v>
      </c>
      <c r="U6" s="905"/>
      <c r="V6" s="418">
        <f t="shared" si="1"/>
        <v>12800</v>
      </c>
      <c r="W6" s="573">
        <v>2333</v>
      </c>
      <c r="X6" s="573">
        <v>100</v>
      </c>
      <c r="Y6" s="573" t="s">
        <v>310</v>
      </c>
    </row>
    <row r="7" spans="2:25" ht="15" customHeight="1" thickBot="1" x14ac:dyDescent="0.2">
      <c r="B7" s="868"/>
      <c r="C7" s="421" t="s">
        <v>116</v>
      </c>
      <c r="D7" s="421"/>
      <c r="E7" s="421"/>
      <c r="F7" s="421"/>
      <c r="G7" s="422">
        <f>SUM(G5:G6)</f>
        <v>66480</v>
      </c>
      <c r="H7" s="143"/>
      <c r="I7" s="797"/>
      <c r="J7" s="263" t="s">
        <v>350</v>
      </c>
      <c r="K7" s="419">
        <v>6</v>
      </c>
      <c r="L7" s="419">
        <v>3</v>
      </c>
      <c r="M7" s="419">
        <v>84.7</v>
      </c>
      <c r="N7" s="134">
        <f t="shared" ref="N7:N9" si="2">K7*L7*M7</f>
        <v>1524.6000000000001</v>
      </c>
      <c r="O7" s="149"/>
      <c r="P7" s="415" t="s">
        <v>396</v>
      </c>
      <c r="Q7" s="416">
        <v>8</v>
      </c>
      <c r="R7" s="417" t="s">
        <v>352</v>
      </c>
      <c r="S7" s="416">
        <f>ROUNDDOWN(W7*1.1,-1)</f>
        <v>2240</v>
      </c>
      <c r="T7" s="904">
        <v>5</v>
      </c>
      <c r="U7" s="905"/>
      <c r="V7" s="418">
        <f t="shared" si="1"/>
        <v>3584</v>
      </c>
      <c r="W7" s="573">
        <v>2042</v>
      </c>
      <c r="X7" s="573">
        <v>200</v>
      </c>
      <c r="Y7" s="573" t="s">
        <v>353</v>
      </c>
    </row>
    <row r="8" spans="2:25" ht="15" customHeight="1" thickTop="1" x14ac:dyDescent="0.15">
      <c r="B8" s="867" t="s">
        <v>133</v>
      </c>
      <c r="C8" s="263" t="s">
        <v>647</v>
      </c>
      <c r="D8" s="231">
        <f>+肥料算出基礎!C5/肥料算出基礎!J5</f>
        <v>0.75</v>
      </c>
      <c r="E8" s="413" t="s">
        <v>114</v>
      </c>
      <c r="F8" s="263">
        <f>+肥料算出基礎!K7</f>
        <v>860</v>
      </c>
      <c r="G8" s="134">
        <f>D8*F8</f>
        <v>645</v>
      </c>
      <c r="H8" s="143"/>
      <c r="I8" s="797"/>
      <c r="J8" s="263" t="s">
        <v>354</v>
      </c>
      <c r="K8" s="419">
        <v>6</v>
      </c>
      <c r="L8" s="419">
        <v>3</v>
      </c>
      <c r="M8" s="419">
        <v>84.7</v>
      </c>
      <c r="N8" s="134">
        <f t="shared" si="2"/>
        <v>1524.6000000000001</v>
      </c>
      <c r="O8" s="149"/>
      <c r="P8" s="415" t="s">
        <v>311</v>
      </c>
      <c r="Q8" s="420">
        <v>0.3</v>
      </c>
      <c r="R8" s="417" t="s">
        <v>312</v>
      </c>
      <c r="S8" s="416">
        <f>ROUNDDOWN(W8*1.1,-1)</f>
        <v>1180</v>
      </c>
      <c r="T8" s="904">
        <v>1</v>
      </c>
      <c r="U8" s="905"/>
      <c r="V8" s="418">
        <f t="shared" si="1"/>
        <v>354</v>
      </c>
      <c r="W8" s="573">
        <v>1080</v>
      </c>
      <c r="X8" s="573">
        <v>10</v>
      </c>
      <c r="Y8" s="573" t="s">
        <v>313</v>
      </c>
    </row>
    <row r="9" spans="2:25" ht="15" customHeight="1" x14ac:dyDescent="0.15">
      <c r="B9" s="797"/>
      <c r="C9" s="263" t="s">
        <v>648</v>
      </c>
      <c r="D9" s="263">
        <f>+肥料算出基礎!C6/肥料算出基礎!J6</f>
        <v>2</v>
      </c>
      <c r="E9" s="413" t="s">
        <v>114</v>
      </c>
      <c r="F9" s="263">
        <v>730</v>
      </c>
      <c r="G9" s="134">
        <f>D9*F9</f>
        <v>1460</v>
      </c>
      <c r="H9" s="143"/>
      <c r="I9" s="797"/>
      <c r="J9" s="263"/>
      <c r="K9" s="419"/>
      <c r="L9" s="419"/>
      <c r="M9" s="419"/>
      <c r="N9" s="134">
        <f t="shared" si="2"/>
        <v>0</v>
      </c>
      <c r="O9" s="149"/>
      <c r="P9" s="415" t="s">
        <v>314</v>
      </c>
      <c r="Q9" s="416">
        <v>30</v>
      </c>
      <c r="R9" s="417" t="s">
        <v>312</v>
      </c>
      <c r="S9" s="416">
        <f>ROUNDDOWN(W9*1.1,-1)</f>
        <v>370</v>
      </c>
      <c r="T9" s="904">
        <v>1</v>
      </c>
      <c r="U9" s="905"/>
      <c r="V9" s="418">
        <f t="shared" si="1"/>
        <v>11100</v>
      </c>
      <c r="W9" s="573">
        <v>337</v>
      </c>
      <c r="X9" s="573">
        <v>100</v>
      </c>
      <c r="Y9" s="573" t="s">
        <v>315</v>
      </c>
    </row>
    <row r="10" spans="2:25" ht="15" customHeight="1" x14ac:dyDescent="0.15">
      <c r="B10" s="797"/>
      <c r="C10" s="263" t="s">
        <v>649</v>
      </c>
      <c r="D10" s="263">
        <f>+肥料算出基礎!C8/肥料算出基礎!J8</f>
        <v>2</v>
      </c>
      <c r="E10" s="413" t="s">
        <v>114</v>
      </c>
      <c r="F10" s="263">
        <f>+肥料算出基礎!K10</f>
        <v>4930</v>
      </c>
      <c r="G10" s="134">
        <f>D10*F10</f>
        <v>9860</v>
      </c>
      <c r="H10" s="143"/>
      <c r="I10" s="797"/>
      <c r="J10" s="423"/>
      <c r="K10" s="424"/>
      <c r="L10" s="424"/>
      <c r="M10" s="424"/>
      <c r="N10" s="425"/>
      <c r="O10" s="149"/>
      <c r="P10" s="415" t="s">
        <v>355</v>
      </c>
      <c r="Q10" s="420">
        <v>0.4</v>
      </c>
      <c r="R10" s="417" t="s">
        <v>309</v>
      </c>
      <c r="S10" s="416">
        <v>64600</v>
      </c>
      <c r="T10" s="904">
        <v>5</v>
      </c>
      <c r="U10" s="905"/>
      <c r="V10" s="418">
        <f t="shared" si="1"/>
        <v>5168</v>
      </c>
      <c r="W10" s="573"/>
      <c r="X10" s="573" t="s">
        <v>397</v>
      </c>
      <c r="Y10" s="573"/>
    </row>
    <row r="11" spans="2:25" ht="15" customHeight="1" thickBot="1" x14ac:dyDescent="0.2">
      <c r="B11" s="797"/>
      <c r="C11" s="263" t="s">
        <v>650</v>
      </c>
      <c r="D11" s="263">
        <f>+肥料算出基礎!C7/肥料算出基礎!J7</f>
        <v>2</v>
      </c>
      <c r="E11" s="413" t="s">
        <v>114</v>
      </c>
      <c r="F11" s="263">
        <f>+肥料算出基礎!K9</f>
        <v>4410</v>
      </c>
      <c r="G11" s="134">
        <f>D11*F11</f>
        <v>8820</v>
      </c>
      <c r="H11" s="143"/>
      <c r="I11" s="868"/>
      <c r="J11" s="426" t="s">
        <v>265</v>
      </c>
      <c r="K11" s="427">
        <f t="shared" ref="K11:L11" si="3">SUM(K6:K9)</f>
        <v>21</v>
      </c>
      <c r="L11" s="427">
        <f t="shared" si="3"/>
        <v>7</v>
      </c>
      <c r="M11" s="427"/>
      <c r="N11" s="428">
        <f>SUM(N6:N9)</f>
        <v>3811.5</v>
      </c>
      <c r="O11" s="149"/>
      <c r="P11" s="415" t="s">
        <v>316</v>
      </c>
      <c r="Q11" s="420">
        <v>2.6</v>
      </c>
      <c r="R11" s="417" t="s">
        <v>309</v>
      </c>
      <c r="S11" s="416">
        <f>ROUNDDOWN(W11*1.1,-1)</f>
        <v>6220</v>
      </c>
      <c r="T11" s="904">
        <v>5</v>
      </c>
      <c r="U11" s="905"/>
      <c r="V11" s="418">
        <f t="shared" si="1"/>
        <v>3234.4</v>
      </c>
      <c r="W11" s="573">
        <v>5657</v>
      </c>
      <c r="X11" s="573" t="s">
        <v>317</v>
      </c>
      <c r="Y11" s="573"/>
    </row>
    <row r="12" spans="2:25" ht="15" customHeight="1" thickTop="1" thickBot="1" x14ac:dyDescent="0.2">
      <c r="B12" s="868"/>
      <c r="C12" s="135" t="s">
        <v>117</v>
      </c>
      <c r="D12" s="136"/>
      <c r="E12" s="136"/>
      <c r="F12" s="136"/>
      <c r="G12" s="137">
        <f>SUM(G8:G11)</f>
        <v>20785</v>
      </c>
      <c r="H12" s="143"/>
      <c r="I12" s="867" t="s">
        <v>358</v>
      </c>
      <c r="J12" s="263" t="s">
        <v>318</v>
      </c>
      <c r="K12" s="419">
        <v>25</v>
      </c>
      <c r="L12" s="419">
        <v>1</v>
      </c>
      <c r="M12" s="419">
        <v>158.4</v>
      </c>
      <c r="N12" s="134">
        <f>K12*L12*M12</f>
        <v>3960</v>
      </c>
      <c r="O12" s="149"/>
      <c r="P12" s="415"/>
      <c r="Q12" s="416"/>
      <c r="R12" s="417"/>
      <c r="S12" s="416"/>
      <c r="T12" s="904"/>
      <c r="U12" s="905"/>
      <c r="V12" s="418"/>
      <c r="W12" s="573"/>
      <c r="X12" s="573"/>
      <c r="Y12" s="573"/>
    </row>
    <row r="13" spans="2:25" ht="15" customHeight="1" thickTop="1" x14ac:dyDescent="0.15">
      <c r="B13" s="867" t="s">
        <v>134</v>
      </c>
      <c r="C13" s="263" t="s">
        <v>634</v>
      </c>
      <c r="D13" s="231">
        <f>+肥料算出基礎!C5/肥料算出基礎!J5</f>
        <v>0.75</v>
      </c>
      <c r="E13" s="413" t="s">
        <v>114</v>
      </c>
      <c r="F13" s="263">
        <f>+肥料算出基礎!K5</f>
        <v>3200</v>
      </c>
      <c r="G13" s="134">
        <f>D13*F13</f>
        <v>2400</v>
      </c>
      <c r="H13" s="143"/>
      <c r="I13" s="797"/>
      <c r="J13" s="263" t="s">
        <v>319</v>
      </c>
      <c r="K13" s="419">
        <v>10</v>
      </c>
      <c r="L13" s="419">
        <v>1</v>
      </c>
      <c r="M13" s="419">
        <v>158.4</v>
      </c>
      <c r="N13" s="134">
        <f t="shared" ref="N13:N15" si="4">K13*L13*M13</f>
        <v>1584</v>
      </c>
      <c r="O13" s="149"/>
      <c r="P13" s="415"/>
      <c r="Q13" s="416"/>
      <c r="R13" s="417"/>
      <c r="S13" s="416"/>
      <c r="T13" s="904"/>
      <c r="U13" s="905"/>
      <c r="V13" s="418"/>
      <c r="W13" s="573"/>
      <c r="X13" s="573"/>
      <c r="Y13" s="573"/>
    </row>
    <row r="14" spans="2:25" ht="15" customHeight="1" x14ac:dyDescent="0.15">
      <c r="B14" s="797"/>
      <c r="C14" s="263" t="s">
        <v>635</v>
      </c>
      <c r="D14" s="263">
        <f>+肥料算出基礎!C6/肥料算出基礎!J6</f>
        <v>2</v>
      </c>
      <c r="E14" s="413" t="s">
        <v>114</v>
      </c>
      <c r="F14" s="263">
        <f>+肥料算出基礎!K6</f>
        <v>2880</v>
      </c>
      <c r="G14" s="134">
        <f>D14*F14</f>
        <v>5760</v>
      </c>
      <c r="H14" s="143"/>
      <c r="I14" s="797"/>
      <c r="J14" s="263" t="s">
        <v>320</v>
      </c>
      <c r="K14" s="419">
        <v>5</v>
      </c>
      <c r="L14" s="419">
        <v>1</v>
      </c>
      <c r="M14" s="419">
        <v>158.4</v>
      </c>
      <c r="N14" s="134">
        <f t="shared" si="4"/>
        <v>792</v>
      </c>
      <c r="O14" s="149"/>
      <c r="P14" s="415"/>
      <c r="Q14" s="416"/>
      <c r="R14" s="417"/>
      <c r="S14" s="416"/>
      <c r="T14" s="904"/>
      <c r="U14" s="905"/>
      <c r="V14" s="418"/>
      <c r="W14" s="573"/>
      <c r="X14" s="573"/>
      <c r="Y14" s="573"/>
    </row>
    <row r="15" spans="2:25" ht="15" customHeight="1" x14ac:dyDescent="0.15">
      <c r="B15" s="797"/>
      <c r="C15" s="263"/>
      <c r="D15" s="263"/>
      <c r="E15" s="413"/>
      <c r="F15" s="263"/>
      <c r="G15" s="134">
        <f>D15*F15</f>
        <v>0</v>
      </c>
      <c r="H15" s="143"/>
      <c r="I15" s="797"/>
      <c r="J15" s="263" t="s">
        <v>321</v>
      </c>
      <c r="K15" s="419">
        <v>50</v>
      </c>
      <c r="L15" s="419">
        <v>1</v>
      </c>
      <c r="M15" s="419">
        <v>158.4</v>
      </c>
      <c r="N15" s="134">
        <f t="shared" si="4"/>
        <v>7920</v>
      </c>
      <c r="O15" s="149"/>
      <c r="P15" s="415"/>
      <c r="Q15" s="416"/>
      <c r="R15" s="417"/>
      <c r="S15" s="416"/>
      <c r="T15" s="904"/>
      <c r="U15" s="905"/>
      <c r="V15" s="418"/>
      <c r="W15" s="573"/>
      <c r="X15" s="573"/>
      <c r="Y15" s="573"/>
    </row>
    <row r="16" spans="2:25" ht="15" customHeight="1" thickBot="1" x14ac:dyDescent="0.2">
      <c r="B16" s="797"/>
      <c r="C16" s="263"/>
      <c r="D16" s="263"/>
      <c r="E16" s="263"/>
      <c r="F16" s="263"/>
      <c r="G16" s="134">
        <f t="shared" ref="G16" si="5">D16*F16</f>
        <v>0</v>
      </c>
      <c r="H16" s="143"/>
      <c r="I16" s="868"/>
      <c r="J16" s="426" t="s">
        <v>265</v>
      </c>
      <c r="K16" s="427">
        <f t="shared" ref="K16:L16" si="6">SUM(K12:K15)</f>
        <v>90</v>
      </c>
      <c r="L16" s="427">
        <f t="shared" si="6"/>
        <v>4</v>
      </c>
      <c r="M16" s="427"/>
      <c r="N16" s="428">
        <f>SUM(N12:N15)</f>
        <v>14256</v>
      </c>
      <c r="O16" s="149"/>
      <c r="P16" s="415"/>
      <c r="Q16" s="416"/>
      <c r="R16" s="417"/>
      <c r="S16" s="416"/>
      <c r="T16" s="904"/>
      <c r="U16" s="905"/>
      <c r="V16" s="418"/>
      <c r="W16" s="573"/>
      <c r="X16" s="573"/>
      <c r="Y16" s="573"/>
    </row>
    <row r="17" spans="2:25" ht="15" customHeight="1" thickTop="1" thickBot="1" x14ac:dyDescent="0.2">
      <c r="B17" s="868"/>
      <c r="C17" s="135" t="s">
        <v>117</v>
      </c>
      <c r="D17" s="136"/>
      <c r="E17" s="136"/>
      <c r="F17" s="136"/>
      <c r="G17" s="137">
        <f>SUM(G13:G16)</f>
        <v>8160</v>
      </c>
      <c r="H17" s="143"/>
      <c r="I17" s="867" t="s">
        <v>144</v>
      </c>
      <c r="J17" s="263" t="s">
        <v>322</v>
      </c>
      <c r="K17" s="419">
        <v>22</v>
      </c>
      <c r="L17" s="419">
        <v>0.5</v>
      </c>
      <c r="M17" s="419">
        <v>168.4</v>
      </c>
      <c r="N17" s="134">
        <f>K17*L17*M17</f>
        <v>1852.4</v>
      </c>
      <c r="O17" s="149"/>
      <c r="P17" s="415"/>
      <c r="Q17" s="416"/>
      <c r="R17" s="417"/>
      <c r="S17" s="416"/>
      <c r="T17" s="904"/>
      <c r="U17" s="905"/>
      <c r="V17" s="418"/>
      <c r="W17" s="573"/>
      <c r="X17" s="573"/>
      <c r="Y17" s="573"/>
    </row>
    <row r="18" spans="2:25" ht="15" customHeight="1" thickTop="1" x14ac:dyDescent="0.15">
      <c r="B18" s="867" t="s">
        <v>136</v>
      </c>
      <c r="C18" s="263" t="s">
        <v>636</v>
      </c>
      <c r="D18" s="231">
        <f>+肥料算出基礎!C11/肥料算出基礎!J11</f>
        <v>0.19999999999999998</v>
      </c>
      <c r="E18" s="413" t="s">
        <v>119</v>
      </c>
      <c r="F18" s="263">
        <f>+肥料算出基礎!K11</f>
        <v>8250</v>
      </c>
      <c r="G18" s="134">
        <f t="shared" ref="G18" si="7">D18*F18</f>
        <v>1649.9999999999998</v>
      </c>
      <c r="H18" s="143"/>
      <c r="I18" s="797"/>
      <c r="J18" s="263"/>
      <c r="K18" s="419"/>
      <c r="L18" s="419"/>
      <c r="M18" s="419"/>
      <c r="N18" s="134">
        <f t="shared" ref="N18:N19" si="8">K18*L18*M18</f>
        <v>0</v>
      </c>
      <c r="O18" s="149"/>
      <c r="P18" s="415"/>
      <c r="Q18" s="416"/>
      <c r="R18" s="417"/>
      <c r="S18" s="416"/>
      <c r="T18" s="904"/>
      <c r="U18" s="905"/>
      <c r="V18" s="418"/>
      <c r="W18" s="573"/>
      <c r="X18" s="573"/>
      <c r="Y18" s="573"/>
    </row>
    <row r="19" spans="2:25" ht="15" customHeight="1" x14ac:dyDescent="0.15">
      <c r="B19" s="797"/>
      <c r="C19" s="263"/>
      <c r="D19" s="263"/>
      <c r="E19" s="413"/>
      <c r="F19" s="263"/>
      <c r="G19" s="134">
        <f>D19*F19</f>
        <v>0</v>
      </c>
      <c r="H19" s="143"/>
      <c r="I19" s="797"/>
      <c r="J19" s="263"/>
      <c r="K19" s="419"/>
      <c r="L19" s="419"/>
      <c r="M19" s="419"/>
      <c r="N19" s="134">
        <f t="shared" si="8"/>
        <v>0</v>
      </c>
      <c r="O19" s="149"/>
      <c r="P19" s="415"/>
      <c r="Q19" s="416"/>
      <c r="R19" s="417"/>
      <c r="S19" s="416"/>
      <c r="T19" s="904"/>
      <c r="U19" s="905"/>
      <c r="V19" s="418"/>
      <c r="W19" s="573"/>
      <c r="X19" s="573"/>
      <c r="Y19" s="573"/>
    </row>
    <row r="20" spans="2:25" ht="15" customHeight="1" thickBot="1" x14ac:dyDescent="0.2">
      <c r="B20" s="797"/>
      <c r="C20" s="263"/>
      <c r="D20" s="263"/>
      <c r="E20" s="263"/>
      <c r="F20" s="263"/>
      <c r="G20" s="134">
        <f t="shared" ref="G20" si="9">D20*F20</f>
        <v>0</v>
      </c>
      <c r="H20" s="143"/>
      <c r="I20" s="868"/>
      <c r="J20" s="426" t="s">
        <v>323</v>
      </c>
      <c r="K20" s="427">
        <f>SUM(K17:K19)</f>
        <v>22</v>
      </c>
      <c r="L20" s="429">
        <f>SUM(L17:L19)</f>
        <v>0.5</v>
      </c>
      <c r="M20" s="430"/>
      <c r="N20" s="428">
        <f>SUM(N17:N19)</f>
        <v>1852.4</v>
      </c>
      <c r="O20" s="149"/>
      <c r="P20" s="415"/>
      <c r="Q20" s="416"/>
      <c r="R20" s="417"/>
      <c r="S20" s="416"/>
      <c r="T20" s="904"/>
      <c r="U20" s="905"/>
      <c r="V20" s="418"/>
      <c r="W20" s="573"/>
      <c r="X20" s="573"/>
      <c r="Y20" s="573"/>
    </row>
    <row r="21" spans="2:25" ht="15" customHeight="1" thickTop="1" thickBot="1" x14ac:dyDescent="0.2">
      <c r="B21" s="868"/>
      <c r="C21" s="135" t="s">
        <v>117</v>
      </c>
      <c r="D21" s="136"/>
      <c r="E21" s="136"/>
      <c r="F21" s="136"/>
      <c r="G21" s="137">
        <f>SUM(G18:G20)</f>
        <v>1649.9999999999998</v>
      </c>
      <c r="H21" s="143"/>
      <c r="I21" s="867" t="s">
        <v>145</v>
      </c>
      <c r="J21" s="263"/>
      <c r="K21" s="419"/>
      <c r="L21" s="419"/>
      <c r="M21" s="419"/>
      <c r="N21" s="134">
        <f>K21*L21*M21</f>
        <v>0</v>
      </c>
      <c r="O21" s="149"/>
      <c r="P21" s="431" t="s">
        <v>26</v>
      </c>
      <c r="Q21" s="432"/>
      <c r="R21" s="432"/>
      <c r="S21" s="432"/>
      <c r="T21" s="906"/>
      <c r="U21" s="889"/>
      <c r="V21" s="433">
        <f>SUM(V5:V20)</f>
        <v>37614.400000000001</v>
      </c>
      <c r="W21" s="573"/>
      <c r="X21" s="573"/>
      <c r="Y21" s="573"/>
    </row>
    <row r="22" spans="2:25" ht="15" customHeight="1" thickTop="1" x14ac:dyDescent="0.15">
      <c r="B22" s="867" t="s">
        <v>137</v>
      </c>
      <c r="C22" s="263"/>
      <c r="D22" s="263"/>
      <c r="E22" s="413"/>
      <c r="F22" s="263"/>
      <c r="G22" s="134">
        <f>D22*F22</f>
        <v>0</v>
      </c>
      <c r="H22" s="143"/>
      <c r="I22" s="797"/>
      <c r="J22" s="263"/>
      <c r="K22" s="419"/>
      <c r="L22" s="419"/>
      <c r="M22" s="419"/>
      <c r="N22" s="134">
        <f t="shared" ref="N22:N23" si="10">K22*L22*M22</f>
        <v>0</v>
      </c>
      <c r="O22" s="149"/>
      <c r="W22" s="573"/>
      <c r="X22" s="573"/>
      <c r="Y22" s="573"/>
    </row>
    <row r="23" spans="2:25" ht="15" customHeight="1" thickBot="1" x14ac:dyDescent="0.2">
      <c r="B23" s="797"/>
      <c r="C23" s="263"/>
      <c r="D23" s="263"/>
      <c r="E23" s="413"/>
      <c r="F23" s="263"/>
      <c r="G23" s="134">
        <f>D23*F23</f>
        <v>0</v>
      </c>
      <c r="H23" s="143"/>
      <c r="I23" s="797"/>
      <c r="J23" s="263"/>
      <c r="K23" s="419"/>
      <c r="L23" s="419"/>
      <c r="M23" s="419"/>
      <c r="N23" s="134">
        <f t="shared" si="10"/>
        <v>0</v>
      </c>
      <c r="O23" s="149"/>
      <c r="P23" s="29" t="s">
        <v>187</v>
      </c>
      <c r="W23" s="573"/>
      <c r="X23" s="573"/>
      <c r="Y23" s="573"/>
    </row>
    <row r="24" spans="2:25" ht="15" customHeight="1" thickBot="1" x14ac:dyDescent="0.2">
      <c r="B24" s="797"/>
      <c r="C24" s="263"/>
      <c r="D24" s="263"/>
      <c r="E24" s="413"/>
      <c r="F24" s="263"/>
      <c r="G24" s="134">
        <f>D24*F24</f>
        <v>0</v>
      </c>
      <c r="H24" s="143"/>
      <c r="I24" s="868"/>
      <c r="J24" s="426" t="s">
        <v>360</v>
      </c>
      <c r="K24" s="427">
        <f>SUM(K21:K23)</f>
        <v>0</v>
      </c>
      <c r="L24" s="429">
        <f>SUM(L21:L23)</f>
        <v>0</v>
      </c>
      <c r="M24" s="430"/>
      <c r="N24" s="428">
        <f>SUM(N21:N23)</f>
        <v>0</v>
      </c>
      <c r="O24" s="149"/>
      <c r="P24" s="410" t="s">
        <v>151</v>
      </c>
      <c r="Q24" s="411" t="s">
        <v>147</v>
      </c>
      <c r="R24" s="411" t="s">
        <v>148</v>
      </c>
      <c r="S24" s="411" t="s">
        <v>304</v>
      </c>
      <c r="T24" s="411" t="s">
        <v>149</v>
      </c>
      <c r="U24" s="434" t="s">
        <v>405</v>
      </c>
      <c r="V24" s="412" t="s">
        <v>150</v>
      </c>
      <c r="W24" s="573" t="s">
        <v>254</v>
      </c>
      <c r="X24" s="573" t="s">
        <v>324</v>
      </c>
      <c r="Y24" s="573"/>
    </row>
    <row r="25" spans="2:25" ht="15" customHeight="1" thickTop="1" thickBot="1" x14ac:dyDescent="0.2">
      <c r="B25" s="881"/>
      <c r="C25" s="138" t="s">
        <v>120</v>
      </c>
      <c r="D25" s="139"/>
      <c r="E25" s="139"/>
      <c r="F25" s="145"/>
      <c r="G25" s="140">
        <f>SUM(G22:G24)</f>
        <v>0</v>
      </c>
      <c r="I25" s="867" t="s">
        <v>225</v>
      </c>
      <c r="J25" s="263"/>
      <c r="K25" s="419"/>
      <c r="L25" s="419"/>
      <c r="M25" s="419"/>
      <c r="N25" s="134">
        <f>K25*L25*M25</f>
        <v>0</v>
      </c>
      <c r="O25" s="149"/>
      <c r="P25" s="415" t="s">
        <v>325</v>
      </c>
      <c r="Q25" s="416">
        <v>1</v>
      </c>
      <c r="R25" s="417" t="s">
        <v>222</v>
      </c>
      <c r="S25" s="416">
        <v>5160</v>
      </c>
      <c r="T25" s="416">
        <v>2</v>
      </c>
      <c r="U25" s="435">
        <v>20</v>
      </c>
      <c r="V25" s="418">
        <f>Q25*S25/T25/U25*10</f>
        <v>1290</v>
      </c>
      <c r="W25" s="573">
        <v>4692</v>
      </c>
      <c r="X25" s="580">
        <v>0.5</v>
      </c>
      <c r="Y25" s="573"/>
    </row>
    <row r="26" spans="2:25" ht="15" customHeight="1" x14ac:dyDescent="0.15">
      <c r="H26" s="144"/>
      <c r="I26" s="797"/>
      <c r="J26" s="263"/>
      <c r="K26" s="419"/>
      <c r="L26" s="419"/>
      <c r="M26" s="419"/>
      <c r="N26" s="134">
        <f t="shared" ref="N26:N27" si="11">K26*L26*M26</f>
        <v>0</v>
      </c>
      <c r="O26" s="149"/>
      <c r="P26" s="415" t="s">
        <v>326</v>
      </c>
      <c r="Q26" s="416">
        <v>1</v>
      </c>
      <c r="R26" s="417" t="s">
        <v>327</v>
      </c>
      <c r="S26" s="416">
        <v>3390</v>
      </c>
      <c r="T26" s="416">
        <v>2</v>
      </c>
      <c r="U26" s="435">
        <v>20</v>
      </c>
      <c r="V26" s="418">
        <f t="shared" ref="V26:V37" si="12">Q26*S26/T26/U26*10</f>
        <v>847.5</v>
      </c>
      <c r="W26" s="573">
        <v>3086</v>
      </c>
      <c r="X26" s="580">
        <v>0.5</v>
      </c>
      <c r="Y26" s="573"/>
    </row>
    <row r="27" spans="2:25" ht="15" customHeight="1" thickBot="1" x14ac:dyDescent="0.2">
      <c r="B27" s="4" t="s">
        <v>328</v>
      </c>
      <c r="C27" s="4"/>
      <c r="D27" s="31"/>
      <c r="E27" s="4"/>
      <c r="F27" s="31"/>
      <c r="G27" s="32"/>
      <c r="H27" s="142"/>
      <c r="I27" s="797"/>
      <c r="J27" s="263"/>
      <c r="K27" s="419"/>
      <c r="L27" s="419"/>
      <c r="M27" s="419"/>
      <c r="N27" s="134">
        <f t="shared" si="11"/>
        <v>0</v>
      </c>
      <c r="O27" s="149"/>
      <c r="P27" s="415" t="s">
        <v>329</v>
      </c>
      <c r="Q27" s="416">
        <v>1</v>
      </c>
      <c r="R27" s="417" t="s">
        <v>327</v>
      </c>
      <c r="S27" s="416">
        <v>5720</v>
      </c>
      <c r="T27" s="416">
        <v>2</v>
      </c>
      <c r="U27" s="435">
        <v>50</v>
      </c>
      <c r="V27" s="418">
        <f t="shared" si="12"/>
        <v>572</v>
      </c>
      <c r="W27" s="573"/>
      <c r="X27" s="580">
        <v>0.2</v>
      </c>
      <c r="Y27" s="573"/>
    </row>
    <row r="28" spans="2:25" ht="15" customHeight="1" thickBot="1" x14ac:dyDescent="0.2">
      <c r="B28" s="406" t="s">
        <v>70</v>
      </c>
      <c r="C28" s="407" t="s">
        <v>109</v>
      </c>
      <c r="D28" s="407" t="s">
        <v>398</v>
      </c>
      <c r="E28" s="407" t="s">
        <v>111</v>
      </c>
      <c r="F28" s="407" t="s">
        <v>21</v>
      </c>
      <c r="G28" s="408" t="s">
        <v>112</v>
      </c>
      <c r="H28" s="143"/>
      <c r="I28" s="868"/>
      <c r="J28" s="426" t="s">
        <v>330</v>
      </c>
      <c r="K28" s="427">
        <f>SUM(K25:K27)</f>
        <v>0</v>
      </c>
      <c r="L28" s="429">
        <f>SUM(L25:L27)</f>
        <v>0</v>
      </c>
      <c r="M28" s="430"/>
      <c r="N28" s="428">
        <f>SUM(N25:N27)</f>
        <v>0</v>
      </c>
      <c r="O28" s="149"/>
      <c r="P28" s="415" t="s">
        <v>331</v>
      </c>
      <c r="Q28" s="416">
        <v>1</v>
      </c>
      <c r="R28" s="417" t="s">
        <v>327</v>
      </c>
      <c r="S28" s="416">
        <v>970</v>
      </c>
      <c r="T28" s="416">
        <v>2</v>
      </c>
      <c r="U28" s="435">
        <v>20</v>
      </c>
      <c r="V28" s="418">
        <f t="shared" si="12"/>
        <v>242.5</v>
      </c>
      <c r="W28" s="573">
        <v>885</v>
      </c>
      <c r="X28" s="580">
        <v>0.5</v>
      </c>
      <c r="Y28" s="573"/>
    </row>
    <row r="29" spans="2:25" ht="15" customHeight="1" thickTop="1" x14ac:dyDescent="0.15">
      <c r="B29" s="899" t="s">
        <v>27</v>
      </c>
      <c r="C29" s="263" t="s">
        <v>637</v>
      </c>
      <c r="D29" s="231">
        <f>+農薬算出基礎!D3/農薬算出基礎!C3*1000/農薬算出基礎!E3</f>
        <v>0.8</v>
      </c>
      <c r="E29" s="413" t="s">
        <v>114</v>
      </c>
      <c r="F29" s="263">
        <f>+農薬算出基礎!F3</f>
        <v>3660</v>
      </c>
      <c r="G29" s="414">
        <f t="shared" ref="G29:G41" si="13">D29*F29</f>
        <v>2928</v>
      </c>
      <c r="H29" s="143"/>
      <c r="I29" s="867" t="s">
        <v>141</v>
      </c>
      <c r="J29" s="263"/>
      <c r="K29" s="419"/>
      <c r="L29" s="419"/>
      <c r="M29" s="419"/>
      <c r="N29" s="134">
        <f>K29*L29*M29</f>
        <v>0</v>
      </c>
      <c r="O29" s="149"/>
      <c r="P29" s="415" t="s">
        <v>332</v>
      </c>
      <c r="Q29" s="416">
        <v>8</v>
      </c>
      <c r="R29" s="417" t="s">
        <v>222</v>
      </c>
      <c r="S29" s="416">
        <v>1180</v>
      </c>
      <c r="T29" s="416">
        <v>5</v>
      </c>
      <c r="U29" s="435">
        <v>10</v>
      </c>
      <c r="V29" s="418">
        <f t="shared" si="12"/>
        <v>1888</v>
      </c>
      <c r="W29" s="573">
        <v>1080</v>
      </c>
      <c r="X29" s="580">
        <v>8</v>
      </c>
      <c r="Y29" s="573"/>
    </row>
    <row r="30" spans="2:25" ht="15" customHeight="1" x14ac:dyDescent="0.15">
      <c r="B30" s="797"/>
      <c r="C30" s="263" t="s">
        <v>638</v>
      </c>
      <c r="D30" s="231">
        <f>+農薬算出基礎!D4/農薬算出基礎!C4*1000/農薬算出基礎!E4</f>
        <v>0.75</v>
      </c>
      <c r="E30" s="413" t="s">
        <v>114</v>
      </c>
      <c r="F30" s="263">
        <f>+農薬算出基礎!F4</f>
        <v>1840</v>
      </c>
      <c r="G30" s="134">
        <f t="shared" si="13"/>
        <v>1380</v>
      </c>
      <c r="H30" s="143"/>
      <c r="I30" s="797"/>
      <c r="J30" s="263"/>
      <c r="K30" s="419"/>
      <c r="L30" s="419"/>
      <c r="M30" s="419"/>
      <c r="N30" s="134">
        <f t="shared" ref="N30:N31" si="14">K30*L30*M30</f>
        <v>0</v>
      </c>
      <c r="O30" s="30"/>
      <c r="P30" s="415" t="s">
        <v>333</v>
      </c>
      <c r="Q30" s="416">
        <v>1</v>
      </c>
      <c r="R30" s="417" t="s">
        <v>78</v>
      </c>
      <c r="S30" s="416">
        <v>10470</v>
      </c>
      <c r="T30" s="416">
        <v>5</v>
      </c>
      <c r="U30" s="435">
        <v>50</v>
      </c>
      <c r="V30" s="418">
        <f t="shared" si="12"/>
        <v>418.8</v>
      </c>
      <c r="W30" s="573">
        <v>9700</v>
      </c>
      <c r="X30" s="580">
        <v>0.2</v>
      </c>
      <c r="Y30" s="573" t="s">
        <v>334</v>
      </c>
    </row>
    <row r="31" spans="2:25" ht="15" customHeight="1" x14ac:dyDescent="0.15">
      <c r="B31" s="797"/>
      <c r="C31" s="263" t="s">
        <v>639</v>
      </c>
      <c r="D31" s="231">
        <f>+農薬算出基礎!D5/農薬算出基礎!C5*1000/農薬算出基礎!E5</f>
        <v>0.4</v>
      </c>
      <c r="E31" s="413" t="s">
        <v>114</v>
      </c>
      <c r="F31" s="263">
        <f>+農薬算出基礎!F5</f>
        <v>6260</v>
      </c>
      <c r="G31" s="134">
        <f t="shared" si="13"/>
        <v>2504</v>
      </c>
      <c r="H31" s="143"/>
      <c r="I31" s="797"/>
      <c r="J31" s="263"/>
      <c r="K31" s="419"/>
      <c r="L31" s="419"/>
      <c r="M31" s="419"/>
      <c r="N31" s="134">
        <f t="shared" si="14"/>
        <v>0</v>
      </c>
      <c r="P31" s="415" t="s">
        <v>335</v>
      </c>
      <c r="Q31" s="416">
        <v>1</v>
      </c>
      <c r="R31" s="417" t="s">
        <v>78</v>
      </c>
      <c r="S31" s="416">
        <v>3020</v>
      </c>
      <c r="T31" s="416">
        <v>5</v>
      </c>
      <c r="U31" s="435">
        <v>25</v>
      </c>
      <c r="V31" s="418">
        <f t="shared" si="12"/>
        <v>241.6</v>
      </c>
      <c r="W31" s="573">
        <v>2800</v>
      </c>
      <c r="X31" s="580">
        <v>0.4</v>
      </c>
      <c r="Y31" s="573" t="s">
        <v>336</v>
      </c>
    </row>
    <row r="32" spans="2:25" ht="15" customHeight="1" x14ac:dyDescent="0.15">
      <c r="B32" s="797"/>
      <c r="C32" s="263" t="s">
        <v>640</v>
      </c>
      <c r="D32" s="231">
        <f>+農薬算出基礎!D6/農薬算出基礎!C6*1000/農薬算出基礎!E6</f>
        <v>0.3</v>
      </c>
      <c r="E32" s="413" t="s">
        <v>114</v>
      </c>
      <c r="F32" s="263">
        <f>+農薬算出基礎!F6</f>
        <v>3690</v>
      </c>
      <c r="G32" s="134">
        <f t="shared" si="13"/>
        <v>1107</v>
      </c>
      <c r="H32" s="143"/>
      <c r="I32" s="797"/>
      <c r="J32" s="423"/>
      <c r="K32" s="424"/>
      <c r="L32" s="424"/>
      <c r="M32" s="476"/>
      <c r="N32" s="425"/>
      <c r="P32" s="415" t="s">
        <v>337</v>
      </c>
      <c r="Q32" s="416">
        <v>1</v>
      </c>
      <c r="R32" s="417" t="s">
        <v>222</v>
      </c>
      <c r="S32" s="416">
        <v>30000</v>
      </c>
      <c r="T32" s="416">
        <v>10</v>
      </c>
      <c r="U32" s="435">
        <v>100</v>
      </c>
      <c r="V32" s="418">
        <f t="shared" si="12"/>
        <v>300</v>
      </c>
    </row>
    <row r="33" spans="2:22" ht="15" customHeight="1" thickBot="1" x14ac:dyDescent="0.2">
      <c r="B33" s="797"/>
      <c r="C33" s="263" t="s">
        <v>641</v>
      </c>
      <c r="D33" s="231">
        <f>+農薬算出基礎!D7/農薬算出基礎!C7*1000/農薬算出基礎!E7</f>
        <v>0.3</v>
      </c>
      <c r="E33" s="413" t="s">
        <v>114</v>
      </c>
      <c r="F33" s="263">
        <f>+農薬算出基礎!F7</f>
        <v>4570</v>
      </c>
      <c r="G33" s="134">
        <f t="shared" si="13"/>
        <v>1371</v>
      </c>
      <c r="H33" s="143"/>
      <c r="I33" s="881"/>
      <c r="J33" s="436" t="s">
        <v>265</v>
      </c>
      <c r="K33" s="437">
        <f>SUM(K29:K31)</f>
        <v>0</v>
      </c>
      <c r="L33" s="438">
        <f>SUM(L29:L31)</f>
        <v>0</v>
      </c>
      <c r="M33" s="439"/>
      <c r="N33" s="440">
        <f>SUM(N29:N31)</f>
        <v>0</v>
      </c>
      <c r="P33" s="415" t="s">
        <v>338</v>
      </c>
      <c r="Q33" s="416">
        <v>1</v>
      </c>
      <c r="R33" s="417" t="s">
        <v>78</v>
      </c>
      <c r="S33" s="416">
        <v>30000</v>
      </c>
      <c r="T33" s="416">
        <v>7</v>
      </c>
      <c r="U33" s="435">
        <v>100</v>
      </c>
      <c r="V33" s="418">
        <f t="shared" si="12"/>
        <v>428.57142857142856</v>
      </c>
    </row>
    <row r="34" spans="2:22" ht="15" customHeight="1" x14ac:dyDescent="0.15">
      <c r="B34" s="797"/>
      <c r="C34" s="263" t="s">
        <v>642</v>
      </c>
      <c r="D34" s="231">
        <f>+農薬算出基礎!D8/農薬算出基礎!C8*1000/農薬算出基礎!E8</f>
        <v>0.2</v>
      </c>
      <c r="E34" s="413" t="s">
        <v>114</v>
      </c>
      <c r="F34" s="263">
        <f>+農薬算出基礎!F8</f>
        <v>6350</v>
      </c>
      <c r="G34" s="134">
        <f t="shared" si="13"/>
        <v>1270</v>
      </c>
      <c r="H34" s="143"/>
      <c r="I34" s="441"/>
      <c r="J34" s="142"/>
      <c r="K34" s="442"/>
      <c r="L34" s="442"/>
      <c r="M34" s="442"/>
      <c r="N34" s="143"/>
      <c r="P34" s="415" t="s">
        <v>339</v>
      </c>
      <c r="Q34" s="416">
        <v>4</v>
      </c>
      <c r="R34" s="417" t="s">
        <v>118</v>
      </c>
      <c r="S34" s="416">
        <v>7200</v>
      </c>
      <c r="T34" s="416">
        <v>10</v>
      </c>
      <c r="U34" s="435">
        <v>100</v>
      </c>
      <c r="V34" s="418">
        <f t="shared" si="12"/>
        <v>288</v>
      </c>
    </row>
    <row r="35" spans="2:22" ht="15" customHeight="1" x14ac:dyDescent="0.15">
      <c r="B35" s="797"/>
      <c r="C35" s="263" t="s">
        <v>643</v>
      </c>
      <c r="D35" s="231">
        <f>+農薬算出基礎!D9/農薬算出基礎!C9*1000/農薬算出基礎!E9</f>
        <v>0.2</v>
      </c>
      <c r="E35" s="413" t="s">
        <v>114</v>
      </c>
      <c r="F35" s="263">
        <f>+農薬算出基礎!F9</f>
        <v>8080</v>
      </c>
      <c r="G35" s="134">
        <f t="shared" si="13"/>
        <v>1616</v>
      </c>
      <c r="H35" s="143"/>
      <c r="I35" s="441"/>
      <c r="J35" s="142"/>
      <c r="K35" s="442"/>
      <c r="L35" s="442"/>
      <c r="M35" s="442"/>
      <c r="N35" s="143"/>
      <c r="P35" s="415" t="s">
        <v>340</v>
      </c>
      <c r="Q35" s="416">
        <v>2</v>
      </c>
      <c r="R35" s="417" t="s">
        <v>222</v>
      </c>
      <c r="S35" s="416">
        <v>10000</v>
      </c>
      <c r="T35" s="416">
        <v>10</v>
      </c>
      <c r="U35" s="435">
        <v>100</v>
      </c>
      <c r="V35" s="418">
        <f t="shared" si="12"/>
        <v>200</v>
      </c>
    </row>
    <row r="36" spans="2:22" ht="15" customHeight="1" x14ac:dyDescent="0.15">
      <c r="B36" s="797"/>
      <c r="C36" s="263" t="s">
        <v>644</v>
      </c>
      <c r="D36" s="231">
        <f>+農薬算出基礎!D10*3/農薬算出基礎!C10*1000/農薬算出基礎!E10</f>
        <v>1.2</v>
      </c>
      <c r="E36" s="413" t="s">
        <v>114</v>
      </c>
      <c r="F36" s="263">
        <f>+農薬算出基礎!F10</f>
        <v>5970</v>
      </c>
      <c r="G36" s="134">
        <f t="shared" si="13"/>
        <v>7164</v>
      </c>
      <c r="H36" s="143"/>
      <c r="I36" s="128"/>
      <c r="J36" s="143"/>
      <c r="K36" s="143"/>
      <c r="L36" s="143"/>
      <c r="M36" s="143"/>
      <c r="N36" s="143"/>
      <c r="P36" s="415" t="s">
        <v>341</v>
      </c>
      <c r="Q36" s="416">
        <v>1</v>
      </c>
      <c r="R36" s="417" t="s">
        <v>222</v>
      </c>
      <c r="S36" s="416">
        <v>2500</v>
      </c>
      <c r="T36" s="416">
        <v>10</v>
      </c>
      <c r="U36" s="435">
        <v>100</v>
      </c>
      <c r="V36" s="418">
        <f t="shared" si="12"/>
        <v>25</v>
      </c>
    </row>
    <row r="37" spans="2:22" ht="15" customHeight="1" thickBot="1" x14ac:dyDescent="0.2">
      <c r="B37" s="797"/>
      <c r="D37" s="263"/>
      <c r="E37" s="413"/>
      <c r="F37" s="263"/>
      <c r="G37" s="134">
        <f t="shared" si="13"/>
        <v>0</v>
      </c>
      <c r="H37" s="143"/>
      <c r="I37" s="116" t="s">
        <v>185</v>
      </c>
      <c r="J37" s="116"/>
      <c r="K37" s="116"/>
      <c r="L37" s="116"/>
      <c r="M37" s="116"/>
      <c r="P37" s="415" t="s">
        <v>342</v>
      </c>
      <c r="Q37" s="416">
        <v>1</v>
      </c>
      <c r="R37" s="417" t="s">
        <v>222</v>
      </c>
      <c r="S37" s="416">
        <v>3000</v>
      </c>
      <c r="T37" s="416">
        <v>10</v>
      </c>
      <c r="U37" s="435">
        <v>100</v>
      </c>
      <c r="V37" s="418">
        <f t="shared" si="12"/>
        <v>30</v>
      </c>
    </row>
    <row r="38" spans="2:22" ht="15" customHeight="1" thickBot="1" x14ac:dyDescent="0.2">
      <c r="B38" s="797"/>
      <c r="C38" s="465"/>
      <c r="D38" s="263"/>
      <c r="E38" s="413"/>
      <c r="F38" s="263"/>
      <c r="G38" s="134">
        <f t="shared" si="13"/>
        <v>0</v>
      </c>
      <c r="H38" s="143"/>
      <c r="I38" s="443" t="s">
        <v>172</v>
      </c>
      <c r="J38" s="444" t="s">
        <v>3</v>
      </c>
      <c r="K38" s="900" t="s">
        <v>173</v>
      </c>
      <c r="L38" s="901"/>
      <c r="M38" s="445" t="s">
        <v>405</v>
      </c>
      <c r="N38" s="446" t="s">
        <v>343</v>
      </c>
      <c r="P38" s="447" t="s">
        <v>177</v>
      </c>
      <c r="Q38" s="432"/>
      <c r="R38" s="432"/>
      <c r="S38" s="432"/>
      <c r="T38" s="432"/>
      <c r="U38" s="448"/>
      <c r="V38" s="433">
        <f>SUM(V25:V37)</f>
        <v>6771.971428571429</v>
      </c>
    </row>
    <row r="39" spans="2:22" ht="15" customHeight="1" x14ac:dyDescent="0.15">
      <c r="B39" s="797"/>
      <c r="C39" s="469"/>
      <c r="D39" s="263"/>
      <c r="E39" s="413"/>
      <c r="F39" s="263"/>
      <c r="G39" s="134">
        <f t="shared" si="13"/>
        <v>0</v>
      </c>
      <c r="H39" s="143"/>
      <c r="I39" s="873" t="s">
        <v>0</v>
      </c>
      <c r="J39" s="141"/>
      <c r="K39" s="885"/>
      <c r="L39" s="885"/>
      <c r="M39" s="307"/>
      <c r="N39" s="203"/>
    </row>
    <row r="40" spans="2:22" ht="15" customHeight="1" thickBot="1" x14ac:dyDescent="0.2">
      <c r="B40" s="797"/>
      <c r="C40" s="471"/>
      <c r="D40" s="263"/>
      <c r="E40" s="413"/>
      <c r="F40" s="263"/>
      <c r="G40" s="134">
        <f t="shared" si="13"/>
        <v>0</v>
      </c>
      <c r="H40" s="143"/>
      <c r="I40" s="902"/>
      <c r="J40" s="141"/>
      <c r="K40" s="885"/>
      <c r="L40" s="885"/>
      <c r="M40" s="307"/>
      <c r="N40" s="203"/>
      <c r="P40" s="116" t="s">
        <v>178</v>
      </c>
      <c r="Q40" s="116"/>
      <c r="R40" s="116"/>
      <c r="S40" s="116"/>
      <c r="T40" s="116"/>
    </row>
    <row r="41" spans="2:22" ht="15" customHeight="1" x14ac:dyDescent="0.15">
      <c r="B41" s="797"/>
      <c r="C41" s="263"/>
      <c r="D41" s="263"/>
      <c r="E41" s="413"/>
      <c r="F41" s="263"/>
      <c r="G41" s="134">
        <f t="shared" si="13"/>
        <v>0</v>
      </c>
      <c r="H41" s="143"/>
      <c r="I41" s="902"/>
      <c r="J41" s="141"/>
      <c r="K41" s="885"/>
      <c r="L41" s="885"/>
      <c r="M41" s="307"/>
      <c r="N41" s="203"/>
      <c r="O41" s="147"/>
      <c r="P41" s="443" t="s">
        <v>171</v>
      </c>
      <c r="Q41" s="892" t="s">
        <v>179</v>
      </c>
      <c r="R41" s="892"/>
      <c r="S41" s="449" t="s">
        <v>182</v>
      </c>
      <c r="T41" s="449" t="s">
        <v>181</v>
      </c>
      <c r="U41" s="450" t="s">
        <v>405</v>
      </c>
      <c r="V41" s="451" t="s">
        <v>343</v>
      </c>
    </row>
    <row r="42" spans="2:22" ht="15" customHeight="1" thickBot="1" x14ac:dyDescent="0.2">
      <c r="B42" s="868"/>
      <c r="C42" s="421" t="s">
        <v>116</v>
      </c>
      <c r="D42" s="421"/>
      <c r="E42" s="421"/>
      <c r="F42" s="421"/>
      <c r="G42" s="422">
        <f>SUM(G29:G41)</f>
        <v>19340</v>
      </c>
      <c r="H42" s="143"/>
      <c r="I42" s="902"/>
      <c r="J42" s="141"/>
      <c r="K42" s="885"/>
      <c r="L42" s="885"/>
      <c r="M42" s="307"/>
      <c r="N42" s="203"/>
      <c r="O42" s="147"/>
      <c r="P42" s="893" t="s">
        <v>180</v>
      </c>
      <c r="Q42" s="200"/>
      <c r="R42" s="212"/>
      <c r="S42" s="201"/>
      <c r="T42" s="213"/>
      <c r="U42" s="201"/>
      <c r="V42" s="203"/>
    </row>
    <row r="43" spans="2:22" ht="15" customHeight="1" thickTop="1" x14ac:dyDescent="0.15">
      <c r="B43" s="867" t="s">
        <v>138</v>
      </c>
      <c r="C43" s="263" t="s">
        <v>637</v>
      </c>
      <c r="D43" s="231">
        <f>+農薬算出基礎!D12/農薬算出基礎!C12*1000/農薬算出基礎!E12</f>
        <v>1.1111111111111112</v>
      </c>
      <c r="E43" s="413" t="s">
        <v>114</v>
      </c>
      <c r="F43" s="263">
        <f>+農薬算出基礎!F12</f>
        <v>2560</v>
      </c>
      <c r="G43" s="134">
        <f>D43*F43</f>
        <v>2844.4444444444443</v>
      </c>
      <c r="H43" s="143"/>
      <c r="I43" s="902"/>
      <c r="J43" s="141"/>
      <c r="K43" s="885"/>
      <c r="L43" s="885"/>
      <c r="M43" s="307"/>
      <c r="N43" s="203"/>
      <c r="O43" s="147"/>
      <c r="P43" s="894"/>
      <c r="Q43" s="200" t="s">
        <v>369</v>
      </c>
      <c r="R43" s="523" t="s">
        <v>571</v>
      </c>
      <c r="S43" s="201"/>
      <c r="T43" s="213"/>
      <c r="U43" s="201">
        <v>10</v>
      </c>
      <c r="V43" s="203">
        <v>6415</v>
      </c>
    </row>
    <row r="44" spans="2:22" ht="15" customHeight="1" x14ac:dyDescent="0.15">
      <c r="B44" s="797"/>
      <c r="C44" s="263" t="s">
        <v>638</v>
      </c>
      <c r="D44" s="231">
        <f>+農薬算出基礎!D13/農薬算出基礎!C13*1000/農薬算出基礎!E13</f>
        <v>0.4</v>
      </c>
      <c r="E44" s="413" t="s">
        <v>114</v>
      </c>
      <c r="F44" s="263">
        <f>+農薬算出基礎!F13</f>
        <v>2380</v>
      </c>
      <c r="G44" s="134">
        <f>D44*F44</f>
        <v>952</v>
      </c>
      <c r="H44" s="143"/>
      <c r="I44" s="902"/>
      <c r="J44" s="141"/>
      <c r="K44" s="885"/>
      <c r="L44" s="885"/>
      <c r="M44" s="307"/>
      <c r="N44" s="203"/>
      <c r="O44" s="147"/>
      <c r="P44" s="894"/>
      <c r="Q44" s="200"/>
      <c r="R44" s="212"/>
      <c r="S44" s="201"/>
      <c r="T44" s="213"/>
      <c r="U44" s="201"/>
      <c r="V44" s="203"/>
    </row>
    <row r="45" spans="2:22" ht="15" customHeight="1" x14ac:dyDescent="0.15">
      <c r="B45" s="797"/>
      <c r="C45" s="263" t="s">
        <v>639</v>
      </c>
      <c r="D45" s="231">
        <f>+農薬算出基礎!D14/農薬算出基礎!C14*1000/農薬算出基礎!E14+農薬算出基礎!D18/農薬算出基礎!C18*1000/農薬算出基礎!E18</f>
        <v>0.44999999999999996</v>
      </c>
      <c r="E45" s="413" t="s">
        <v>114</v>
      </c>
      <c r="F45" s="263">
        <f>+農薬算出基礎!F14</f>
        <v>8340</v>
      </c>
      <c r="G45" s="134">
        <f t="shared" ref="G45:G56" si="15">D45*F45</f>
        <v>3752.9999999999995</v>
      </c>
      <c r="H45" s="143"/>
      <c r="I45" s="902"/>
      <c r="J45" s="141"/>
      <c r="K45" s="885"/>
      <c r="L45" s="885"/>
      <c r="M45" s="307"/>
      <c r="N45" s="203"/>
      <c r="O45" s="147"/>
      <c r="P45" s="894"/>
      <c r="Q45" s="200" t="s">
        <v>184</v>
      </c>
      <c r="R45" s="212"/>
      <c r="S45" s="201"/>
      <c r="T45" s="213"/>
      <c r="U45" s="201"/>
      <c r="V45" s="203"/>
    </row>
    <row r="46" spans="2:22" ht="15" customHeight="1" thickBot="1" x14ac:dyDescent="0.2">
      <c r="B46" s="797"/>
      <c r="C46" s="263" t="s">
        <v>640</v>
      </c>
      <c r="D46" s="231">
        <f>+農薬算出基礎!D15/農薬算出基礎!C15*1000/農薬算出基礎!E15</f>
        <v>0.3</v>
      </c>
      <c r="E46" s="413" t="s">
        <v>114</v>
      </c>
      <c r="F46" s="263">
        <f>+農薬算出基礎!F15</f>
        <v>3180</v>
      </c>
      <c r="G46" s="134">
        <f t="shared" si="15"/>
        <v>954</v>
      </c>
      <c r="H46" s="143"/>
      <c r="I46" s="903"/>
      <c r="J46" s="197" t="s">
        <v>117</v>
      </c>
      <c r="K46" s="869"/>
      <c r="L46" s="870"/>
      <c r="M46" s="198"/>
      <c r="N46" s="202">
        <f>SUM(N39:N45)</f>
        <v>0</v>
      </c>
      <c r="O46" s="147"/>
      <c r="P46" s="894"/>
      <c r="Q46" s="200"/>
      <c r="R46" s="212"/>
      <c r="S46" s="201"/>
      <c r="T46" s="213"/>
      <c r="U46" s="201"/>
      <c r="V46" s="203"/>
    </row>
    <row r="47" spans="2:22" ht="15" customHeight="1" thickTop="1" x14ac:dyDescent="0.15">
      <c r="B47" s="797"/>
      <c r="C47" s="263" t="s">
        <v>641</v>
      </c>
      <c r="D47" s="231">
        <f>+農薬算出基礎!D16/農薬算出基礎!C16*1000/農薬算出基礎!E16</f>
        <v>0.4</v>
      </c>
      <c r="E47" s="413" t="s">
        <v>114</v>
      </c>
      <c r="F47" s="263">
        <f>+農薬算出基礎!F16</f>
        <v>4900</v>
      </c>
      <c r="G47" s="134">
        <f t="shared" si="15"/>
        <v>1960</v>
      </c>
      <c r="H47" s="143"/>
      <c r="I47" s="871" t="s">
        <v>174</v>
      </c>
      <c r="J47" s="199" t="s">
        <v>188</v>
      </c>
      <c r="K47" s="896">
        <v>4100</v>
      </c>
      <c r="L47" s="896"/>
      <c r="M47" s="308">
        <v>60</v>
      </c>
      <c r="N47" s="209">
        <f>+K47/M47*10</f>
        <v>683.33333333333326</v>
      </c>
      <c r="O47" s="147"/>
      <c r="P47" s="894"/>
      <c r="Q47" s="200"/>
      <c r="R47" s="212"/>
      <c r="S47" s="201"/>
      <c r="T47" s="213"/>
      <c r="U47" s="201"/>
      <c r="V47" s="203"/>
    </row>
    <row r="48" spans="2:22" ht="15" customHeight="1" thickBot="1" x14ac:dyDescent="0.2">
      <c r="B48" s="797"/>
      <c r="C48" s="263" t="s">
        <v>642</v>
      </c>
      <c r="D48" s="231">
        <f>+農薬算出基礎!D17/農薬算出基礎!C17*1000/農薬算出基礎!E17</f>
        <v>0.4</v>
      </c>
      <c r="E48" s="413" t="s">
        <v>114</v>
      </c>
      <c r="F48" s="263">
        <f>+農薬算出基礎!F17</f>
        <v>3300</v>
      </c>
      <c r="G48" s="134">
        <f t="shared" si="15"/>
        <v>1320</v>
      </c>
      <c r="H48" s="143"/>
      <c r="I48" s="872"/>
      <c r="J48" s="200"/>
      <c r="K48" s="885"/>
      <c r="L48" s="885"/>
      <c r="M48" s="307"/>
      <c r="N48" s="203"/>
      <c r="O48" s="147"/>
      <c r="P48" s="895"/>
      <c r="Q48" s="204" t="s">
        <v>183</v>
      </c>
      <c r="R48" s="205"/>
      <c r="S48" s="205"/>
      <c r="T48" s="205"/>
      <c r="U48" s="205"/>
      <c r="V48" s="206">
        <f>SUM(V42:V47)</f>
        <v>6415</v>
      </c>
    </row>
    <row r="49" spans="2:22" ht="15" customHeight="1" thickTop="1" x14ac:dyDescent="0.15">
      <c r="B49" s="797"/>
      <c r="C49" s="263"/>
      <c r="D49" s="263"/>
      <c r="E49" s="413"/>
      <c r="F49" s="263"/>
      <c r="G49" s="134">
        <f t="shared" si="15"/>
        <v>0</v>
      </c>
      <c r="H49" s="143"/>
      <c r="I49" s="872"/>
      <c r="J49" s="141"/>
      <c r="K49" s="885"/>
      <c r="L49" s="885"/>
      <c r="M49" s="307"/>
      <c r="N49" s="203"/>
      <c r="O49" s="147"/>
      <c r="P49" s="897" t="s">
        <v>189</v>
      </c>
      <c r="Q49" s="876" t="s">
        <v>190</v>
      </c>
      <c r="R49" s="452"/>
      <c r="S49" s="199"/>
      <c r="T49" s="453"/>
      <c r="U49" s="199"/>
      <c r="V49" s="209"/>
    </row>
    <row r="50" spans="2:22" ht="15" customHeight="1" thickBot="1" x14ac:dyDescent="0.2">
      <c r="B50" s="797"/>
      <c r="C50" s="263"/>
      <c r="D50" s="263"/>
      <c r="E50" s="263"/>
      <c r="F50" s="263"/>
      <c r="G50" s="134">
        <f t="shared" si="15"/>
        <v>0</v>
      </c>
      <c r="H50" s="143"/>
      <c r="I50" s="884"/>
      <c r="J50" s="197" t="s">
        <v>117</v>
      </c>
      <c r="K50" s="869"/>
      <c r="L50" s="870"/>
      <c r="M50" s="198"/>
      <c r="N50" s="202">
        <f>SUM(N47:N49)</f>
        <v>683.33333333333326</v>
      </c>
      <c r="O50" s="147"/>
      <c r="P50" s="894"/>
      <c r="Q50" s="877"/>
      <c r="R50" s="214"/>
      <c r="S50" s="200"/>
      <c r="T50" s="213"/>
      <c r="U50" s="200"/>
      <c r="V50" s="203"/>
    </row>
    <row r="51" spans="2:22" ht="15" customHeight="1" thickTop="1" x14ac:dyDescent="0.15">
      <c r="B51" s="797"/>
      <c r="C51" s="263"/>
      <c r="D51" s="263"/>
      <c r="E51" s="263"/>
      <c r="F51" s="263"/>
      <c r="G51" s="134">
        <f t="shared" si="15"/>
        <v>0</v>
      </c>
      <c r="H51" s="143"/>
      <c r="I51" s="871" t="s">
        <v>175</v>
      </c>
      <c r="J51" s="199"/>
      <c r="K51" s="896"/>
      <c r="L51" s="896"/>
      <c r="M51" s="308"/>
      <c r="N51" s="209"/>
      <c r="O51" s="147"/>
      <c r="P51" s="894"/>
      <c r="Q51" s="877"/>
      <c r="R51" s="214"/>
      <c r="S51" s="200"/>
      <c r="T51" s="200"/>
      <c r="U51" s="141"/>
      <c r="V51" s="215"/>
    </row>
    <row r="52" spans="2:22" ht="15" customHeight="1" x14ac:dyDescent="0.15">
      <c r="B52" s="797"/>
      <c r="C52" s="263"/>
      <c r="D52" s="263"/>
      <c r="E52" s="263"/>
      <c r="F52" s="263"/>
      <c r="G52" s="134">
        <f t="shared" si="15"/>
        <v>0</v>
      </c>
      <c r="H52" s="143"/>
      <c r="I52" s="872"/>
      <c r="J52" s="200"/>
      <c r="K52" s="885"/>
      <c r="L52" s="885"/>
      <c r="M52" s="307"/>
      <c r="N52" s="203"/>
      <c r="O52" s="147"/>
      <c r="P52" s="894"/>
      <c r="Q52" s="877"/>
      <c r="R52" s="214" t="s">
        <v>188</v>
      </c>
      <c r="S52" s="200">
        <v>15600</v>
      </c>
      <c r="T52" s="213">
        <v>1</v>
      </c>
      <c r="U52" s="200">
        <v>60</v>
      </c>
      <c r="V52" s="203">
        <f>+S52*T52/U52*10</f>
        <v>2600</v>
      </c>
    </row>
    <row r="53" spans="2:22" ht="15" customHeight="1" thickBot="1" x14ac:dyDescent="0.2">
      <c r="B53" s="868"/>
      <c r="C53" s="135" t="s">
        <v>117</v>
      </c>
      <c r="D53" s="136"/>
      <c r="E53" s="136"/>
      <c r="F53" s="136"/>
      <c r="G53" s="137">
        <f>SUM(G43:G52)</f>
        <v>11783.444444444443</v>
      </c>
      <c r="H53" s="143"/>
      <c r="I53" s="872"/>
      <c r="J53" s="141"/>
      <c r="K53" s="885"/>
      <c r="L53" s="885"/>
      <c r="M53" s="307"/>
      <c r="N53" s="203"/>
      <c r="O53" s="147"/>
      <c r="P53" s="894"/>
      <c r="Q53" s="878"/>
      <c r="R53" s="214"/>
      <c r="S53" s="200"/>
      <c r="T53" s="200"/>
      <c r="U53" s="141"/>
      <c r="V53" s="215"/>
    </row>
    <row r="54" spans="2:22" ht="15" customHeight="1" thickTop="1" thickBot="1" x14ac:dyDescent="0.2">
      <c r="B54" s="867" t="s">
        <v>29</v>
      </c>
      <c r="C54" s="263" t="s">
        <v>645</v>
      </c>
      <c r="D54" s="231">
        <f>+農薬算出基礎!D20*2/農薬算出基礎!C20*1000/農薬算出基礎!E20</f>
        <v>9.0909090909090912E-2</v>
      </c>
      <c r="E54" s="413" t="s">
        <v>114</v>
      </c>
      <c r="F54" s="263">
        <v>45740</v>
      </c>
      <c r="G54" s="134">
        <f t="shared" si="15"/>
        <v>4158.181818181818</v>
      </c>
      <c r="H54" s="143"/>
      <c r="I54" s="884"/>
      <c r="J54" s="197" t="s">
        <v>117</v>
      </c>
      <c r="K54" s="869"/>
      <c r="L54" s="870"/>
      <c r="M54" s="198"/>
      <c r="N54" s="202">
        <f>SUM(N51:N53)</f>
        <v>0</v>
      </c>
      <c r="O54" s="147"/>
      <c r="P54" s="894"/>
      <c r="Q54" s="204" t="s">
        <v>183</v>
      </c>
      <c r="R54" s="205"/>
      <c r="S54" s="205"/>
      <c r="T54" s="205"/>
      <c r="U54" s="205"/>
      <c r="V54" s="206">
        <f>SUM(V49:V53)</f>
        <v>2600</v>
      </c>
    </row>
    <row r="55" spans="2:22" ht="15" customHeight="1" thickTop="1" x14ac:dyDescent="0.15">
      <c r="B55" s="797"/>
      <c r="C55" s="263"/>
      <c r="D55" s="263"/>
      <c r="E55" s="263"/>
      <c r="F55" s="263"/>
      <c r="G55" s="134">
        <f t="shared" si="15"/>
        <v>0</v>
      </c>
      <c r="H55" s="143"/>
      <c r="I55" s="871" t="s">
        <v>176</v>
      </c>
      <c r="J55" s="199"/>
      <c r="K55" s="874"/>
      <c r="L55" s="875"/>
      <c r="M55" s="207"/>
      <c r="N55" s="210"/>
      <c r="O55" s="147"/>
      <c r="P55" s="894"/>
      <c r="Q55" s="876" t="s">
        <v>191</v>
      </c>
      <c r="R55" s="452"/>
      <c r="S55" s="199"/>
      <c r="T55" s="453"/>
      <c r="U55" s="199"/>
      <c r="V55" s="209"/>
    </row>
    <row r="56" spans="2:22" ht="15" customHeight="1" x14ac:dyDescent="0.15">
      <c r="B56" s="797"/>
      <c r="C56" s="263"/>
      <c r="D56" s="263"/>
      <c r="E56" s="263"/>
      <c r="F56" s="263"/>
      <c r="G56" s="134">
        <f t="shared" si="15"/>
        <v>0</v>
      </c>
      <c r="H56" s="143"/>
      <c r="I56" s="872"/>
      <c r="J56" s="200"/>
      <c r="K56" s="879"/>
      <c r="L56" s="880"/>
      <c r="M56" s="208"/>
      <c r="N56" s="203"/>
      <c r="O56" s="147"/>
      <c r="P56" s="894"/>
      <c r="Q56" s="877"/>
      <c r="R56" s="214"/>
      <c r="S56" s="200"/>
      <c r="T56" s="213"/>
      <c r="U56" s="200"/>
      <c r="V56" s="203"/>
    </row>
    <row r="57" spans="2:22" ht="14.25" thickBot="1" x14ac:dyDescent="0.2">
      <c r="B57" s="868"/>
      <c r="C57" s="135" t="s">
        <v>117</v>
      </c>
      <c r="D57" s="136"/>
      <c r="E57" s="136"/>
      <c r="F57" s="136"/>
      <c r="G57" s="137">
        <f>SUM(G54:G56)</f>
        <v>4158.181818181818</v>
      </c>
      <c r="I57" s="872"/>
      <c r="J57" s="200"/>
      <c r="K57" s="879"/>
      <c r="L57" s="880"/>
      <c r="M57" s="208"/>
      <c r="N57" s="203"/>
      <c r="O57" s="147"/>
      <c r="P57" s="894"/>
      <c r="Q57" s="877"/>
      <c r="R57" s="214"/>
      <c r="S57" s="200"/>
      <c r="T57" s="200"/>
      <c r="U57" s="141"/>
      <c r="V57" s="215"/>
    </row>
    <row r="58" spans="2:22" ht="14.25" thickTop="1" x14ac:dyDescent="0.15">
      <c r="B58" s="867" t="s">
        <v>139</v>
      </c>
      <c r="C58" s="263" t="s">
        <v>646</v>
      </c>
      <c r="D58" s="231">
        <f>+農薬算出基礎!G24/農薬算出基礎!E24</f>
        <v>1</v>
      </c>
      <c r="E58" s="413" t="s">
        <v>399</v>
      </c>
      <c r="F58" s="263">
        <v>840</v>
      </c>
      <c r="G58" s="134">
        <f>D58*F58</f>
        <v>840</v>
      </c>
      <c r="I58" s="872"/>
      <c r="J58" s="307" t="s">
        <v>188</v>
      </c>
      <c r="K58" s="882">
        <v>5000</v>
      </c>
      <c r="L58" s="883"/>
      <c r="M58" s="208">
        <v>60</v>
      </c>
      <c r="N58" s="203">
        <f>+K58/M58*10</f>
        <v>833.33333333333326</v>
      </c>
      <c r="O58" s="147"/>
      <c r="P58" s="894"/>
      <c r="Q58" s="877"/>
      <c r="R58" s="214" t="s">
        <v>188</v>
      </c>
      <c r="S58" s="200">
        <v>25000</v>
      </c>
      <c r="T58" s="213">
        <v>1</v>
      </c>
      <c r="U58" s="200">
        <v>60</v>
      </c>
      <c r="V58" s="203">
        <f>+S58*T58/U58*10</f>
        <v>4166.666666666667</v>
      </c>
    </row>
    <row r="59" spans="2:22" x14ac:dyDescent="0.15">
      <c r="B59" s="797"/>
      <c r="C59" s="263" t="s">
        <v>646</v>
      </c>
      <c r="D59" s="231">
        <f>+農薬算出基礎!G25/農薬算出基礎!E25</f>
        <v>1</v>
      </c>
      <c r="E59" s="413" t="s">
        <v>119</v>
      </c>
      <c r="F59" s="263">
        <v>1680</v>
      </c>
      <c r="G59" s="134">
        <f>D59*F59</f>
        <v>1680</v>
      </c>
      <c r="I59" s="872"/>
      <c r="J59" s="200"/>
      <c r="K59" s="879"/>
      <c r="L59" s="880"/>
      <c r="M59" s="208"/>
      <c r="N59" s="211"/>
      <c r="O59" s="147"/>
      <c r="P59" s="894"/>
      <c r="Q59" s="878"/>
      <c r="R59" s="214"/>
      <c r="S59" s="200"/>
      <c r="T59" s="200"/>
      <c r="U59" s="141"/>
      <c r="V59" s="215"/>
    </row>
    <row r="60" spans="2:22" x14ac:dyDescent="0.15">
      <c r="B60" s="797"/>
      <c r="C60" s="263" t="s">
        <v>646</v>
      </c>
      <c r="D60" s="231">
        <v>1.5</v>
      </c>
      <c r="E60" s="413" t="s">
        <v>119</v>
      </c>
      <c r="F60" s="263">
        <v>5540</v>
      </c>
      <c r="G60" s="134">
        <f>D60*F60</f>
        <v>8310</v>
      </c>
      <c r="I60" s="873"/>
      <c r="J60" s="454" t="s">
        <v>117</v>
      </c>
      <c r="K60" s="886"/>
      <c r="L60" s="887"/>
      <c r="M60" s="455"/>
      <c r="N60" s="456">
        <f>SUM(N55:N59)</f>
        <v>833.33333333333326</v>
      </c>
      <c r="O60" s="147"/>
      <c r="P60" s="898"/>
      <c r="Q60" s="457" t="s">
        <v>183</v>
      </c>
      <c r="R60" s="458"/>
      <c r="S60" s="458"/>
      <c r="T60" s="458"/>
      <c r="U60" s="458"/>
      <c r="V60" s="216">
        <f>SUM(V55:V59)</f>
        <v>4166.666666666667</v>
      </c>
    </row>
    <row r="61" spans="2:22" ht="14.25" thickBot="1" x14ac:dyDescent="0.2">
      <c r="B61" s="881"/>
      <c r="C61" s="138" t="s">
        <v>120</v>
      </c>
      <c r="D61" s="139"/>
      <c r="E61" s="139"/>
      <c r="F61" s="139"/>
      <c r="G61" s="140">
        <f>SUM(G58:G60)</f>
        <v>10830</v>
      </c>
      <c r="I61" s="888" t="s">
        <v>177</v>
      </c>
      <c r="J61" s="889"/>
      <c r="K61" s="890"/>
      <c r="L61" s="891"/>
      <c r="M61" s="448"/>
      <c r="N61" s="459">
        <f>SUM(N46,N50,N54,N60)</f>
        <v>1516.6666666666665</v>
      </c>
      <c r="O61" s="147"/>
      <c r="P61" s="865" t="s">
        <v>177</v>
      </c>
      <c r="Q61" s="866"/>
      <c r="R61" s="432"/>
      <c r="S61" s="432"/>
      <c r="T61" s="432"/>
      <c r="U61" s="432"/>
      <c r="V61" s="459">
        <f>SUM(V48,V54,V60)</f>
        <v>13181.666666666668</v>
      </c>
    </row>
    <row r="62" spans="2:22" x14ac:dyDescent="0.15">
      <c r="O62" s="147"/>
      <c r="V62" s="29"/>
    </row>
    <row r="63" spans="2:22" x14ac:dyDescent="0.15">
      <c r="I63" s="147"/>
      <c r="J63" s="147"/>
      <c r="K63" s="147"/>
      <c r="L63" s="147"/>
      <c r="M63" s="147"/>
      <c r="N63" s="147"/>
      <c r="O63" s="147"/>
    </row>
    <row r="64" spans="2:22" x14ac:dyDescent="0.15">
      <c r="I64" s="147"/>
      <c r="J64" s="147"/>
      <c r="K64" s="147"/>
      <c r="L64" s="147"/>
      <c r="M64" s="147"/>
      <c r="N64" s="147"/>
      <c r="O64" s="147"/>
    </row>
    <row r="65" spans="2:22" x14ac:dyDescent="0.15">
      <c r="I65" s="147"/>
      <c r="J65" s="147"/>
      <c r="K65" s="147"/>
      <c r="L65" s="147"/>
      <c r="M65" s="147"/>
      <c r="N65" s="147"/>
      <c r="O65" s="147"/>
    </row>
    <row r="66" spans="2:22" x14ac:dyDescent="0.15">
      <c r="I66" s="147"/>
      <c r="J66" s="147"/>
      <c r="K66" s="147"/>
      <c r="L66" s="147"/>
      <c r="M66" s="147"/>
      <c r="N66" s="147"/>
      <c r="O66" s="147"/>
    </row>
    <row r="67" spans="2:22" x14ac:dyDescent="0.15">
      <c r="I67" s="147"/>
      <c r="J67" s="147"/>
      <c r="K67" s="147"/>
      <c r="L67" s="147"/>
      <c r="M67" s="147"/>
      <c r="N67" s="147"/>
      <c r="O67" s="147"/>
    </row>
    <row r="68" spans="2:22" x14ac:dyDescent="0.15">
      <c r="I68" s="147"/>
      <c r="J68" s="147"/>
      <c r="K68" s="147"/>
      <c r="L68" s="147"/>
      <c r="M68" s="147"/>
      <c r="N68" s="147"/>
      <c r="O68" s="147"/>
    </row>
    <row r="69" spans="2:22" s="127" customFormat="1" x14ac:dyDescent="0.15">
      <c r="B69" s="29"/>
      <c r="C69" s="29"/>
      <c r="D69" s="29"/>
      <c r="E69" s="29"/>
      <c r="F69" s="29"/>
      <c r="G69" s="29"/>
      <c r="H69" s="147"/>
      <c r="I69" s="147"/>
      <c r="J69" s="147"/>
      <c r="K69" s="147"/>
      <c r="L69" s="147"/>
      <c r="M69" s="147"/>
      <c r="N69" s="147"/>
      <c r="O69" s="147"/>
      <c r="Q69" s="29"/>
      <c r="R69" s="30"/>
      <c r="S69" s="29"/>
      <c r="T69" s="29"/>
      <c r="U69" s="29"/>
      <c r="V69" s="30"/>
    </row>
    <row r="70" spans="2:22" s="127" customFormat="1" x14ac:dyDescent="0.15">
      <c r="B70" s="29"/>
      <c r="C70" s="29"/>
      <c r="D70" s="29"/>
      <c r="E70" s="29"/>
      <c r="F70" s="29"/>
      <c r="G70" s="29"/>
      <c r="H70" s="147"/>
      <c r="I70" s="147"/>
      <c r="J70" s="147"/>
      <c r="K70" s="147"/>
      <c r="L70" s="147"/>
      <c r="M70" s="147"/>
      <c r="N70" s="147"/>
      <c r="O70" s="147"/>
      <c r="Q70" s="29"/>
      <c r="R70" s="30"/>
      <c r="S70" s="29"/>
      <c r="T70" s="29"/>
      <c r="U70" s="29"/>
      <c r="V70" s="30"/>
    </row>
    <row r="71" spans="2:22" s="127" customFormat="1" x14ac:dyDescent="0.15">
      <c r="B71" s="29"/>
      <c r="C71" s="29"/>
      <c r="D71" s="29"/>
      <c r="E71" s="29"/>
      <c r="F71" s="29"/>
      <c r="G71" s="29"/>
      <c r="H71" s="147"/>
      <c r="I71" s="147"/>
      <c r="J71" s="147"/>
      <c r="K71" s="147"/>
      <c r="L71" s="147"/>
      <c r="M71" s="147"/>
      <c r="N71" s="147"/>
      <c r="O71" s="147"/>
      <c r="Q71" s="29"/>
      <c r="R71" s="30"/>
      <c r="S71" s="29"/>
      <c r="T71" s="29"/>
      <c r="U71" s="29"/>
      <c r="V71" s="30"/>
    </row>
    <row r="72" spans="2:22" s="127" customFormat="1" x14ac:dyDescent="0.15">
      <c r="B72" s="29"/>
      <c r="C72" s="29"/>
      <c r="D72" s="29"/>
      <c r="E72" s="29"/>
      <c r="F72" s="29"/>
      <c r="G72" s="29"/>
      <c r="H72" s="147"/>
      <c r="I72" s="147"/>
      <c r="J72" s="147"/>
      <c r="K72" s="147"/>
      <c r="L72" s="147"/>
      <c r="M72" s="147"/>
      <c r="N72" s="147"/>
      <c r="O72" s="147"/>
      <c r="Q72" s="29"/>
      <c r="R72" s="30"/>
      <c r="S72" s="29"/>
      <c r="T72" s="29"/>
      <c r="U72" s="29"/>
      <c r="V72" s="30"/>
    </row>
    <row r="73" spans="2:22" s="127" customFormat="1" x14ac:dyDescent="0.15">
      <c r="B73" s="29"/>
      <c r="C73" s="29"/>
      <c r="D73" s="29"/>
      <c r="E73" s="29"/>
      <c r="F73" s="29"/>
      <c r="G73" s="29"/>
      <c r="H73" s="147"/>
      <c r="I73" s="147"/>
      <c r="J73" s="147"/>
      <c r="K73" s="147"/>
      <c r="L73" s="147"/>
      <c r="M73" s="147"/>
      <c r="N73" s="147"/>
      <c r="O73" s="147"/>
      <c r="Q73" s="29"/>
      <c r="R73" s="30"/>
      <c r="S73" s="29"/>
      <c r="T73" s="29"/>
      <c r="U73" s="29"/>
      <c r="V73" s="30"/>
    </row>
    <row r="74" spans="2:22" s="127" customFormat="1" x14ac:dyDescent="0.15">
      <c r="B74" s="29"/>
      <c r="C74" s="29"/>
      <c r="D74" s="29"/>
      <c r="E74" s="29"/>
      <c r="F74" s="29"/>
      <c r="G74" s="29"/>
      <c r="H74" s="147"/>
      <c r="I74" s="147"/>
      <c r="J74" s="147"/>
      <c r="K74" s="147"/>
      <c r="L74" s="147"/>
      <c r="M74" s="147"/>
      <c r="N74" s="147"/>
      <c r="O74" s="147"/>
      <c r="Q74" s="29"/>
      <c r="R74" s="30"/>
      <c r="S74" s="29"/>
      <c r="T74" s="29"/>
      <c r="U74" s="29"/>
      <c r="V74" s="30"/>
    </row>
    <row r="75" spans="2:22" s="127" customFormat="1" x14ac:dyDescent="0.15">
      <c r="B75" s="29"/>
      <c r="C75" s="29"/>
      <c r="D75" s="29"/>
      <c r="E75" s="29"/>
      <c r="F75" s="29"/>
      <c r="G75" s="29"/>
      <c r="H75" s="147"/>
      <c r="I75" s="147"/>
      <c r="J75" s="147"/>
      <c r="K75" s="147"/>
      <c r="L75" s="147"/>
      <c r="M75" s="147"/>
      <c r="N75" s="147"/>
      <c r="O75" s="147"/>
      <c r="Q75" s="29"/>
      <c r="R75" s="30"/>
      <c r="S75" s="29"/>
      <c r="T75" s="29"/>
      <c r="U75" s="29"/>
      <c r="V75" s="30"/>
    </row>
    <row r="76" spans="2:22" s="127" customFormat="1" x14ac:dyDescent="0.15">
      <c r="B76" s="29"/>
      <c r="C76" s="29"/>
      <c r="D76" s="29"/>
      <c r="E76" s="29"/>
      <c r="F76" s="29"/>
      <c r="G76" s="29"/>
      <c r="H76" s="147"/>
      <c r="I76" s="147"/>
      <c r="J76" s="147"/>
      <c r="K76" s="147"/>
      <c r="L76" s="147"/>
      <c r="M76" s="147"/>
      <c r="N76" s="147"/>
      <c r="O76" s="147"/>
      <c r="Q76" s="29"/>
      <c r="R76" s="30"/>
      <c r="S76" s="29"/>
      <c r="T76" s="29"/>
      <c r="U76" s="29"/>
      <c r="V76" s="30"/>
    </row>
    <row r="77" spans="2:22" s="127" customFormat="1" x14ac:dyDescent="0.15">
      <c r="B77" s="29"/>
      <c r="C77" s="29"/>
      <c r="D77" s="29"/>
      <c r="E77" s="29"/>
      <c r="F77" s="29"/>
      <c r="G77" s="29"/>
      <c r="H77" s="147"/>
      <c r="I77" s="147"/>
      <c r="J77" s="147"/>
      <c r="K77" s="147"/>
      <c r="L77" s="147"/>
      <c r="M77" s="147"/>
      <c r="N77" s="147"/>
      <c r="O77" s="147"/>
      <c r="Q77" s="29"/>
      <c r="R77" s="30"/>
      <c r="S77" s="29"/>
      <c r="T77" s="29"/>
      <c r="U77" s="29"/>
      <c r="V77" s="30"/>
    </row>
    <row r="78" spans="2:22" s="127" customFormat="1" x14ac:dyDescent="0.15">
      <c r="B78" s="29"/>
      <c r="C78" s="29"/>
      <c r="D78" s="29"/>
      <c r="E78" s="29"/>
      <c r="F78" s="29"/>
      <c r="G78" s="29"/>
      <c r="H78" s="147"/>
      <c r="I78" s="147"/>
      <c r="J78" s="147"/>
      <c r="K78" s="147"/>
      <c r="L78" s="147"/>
      <c r="M78" s="147"/>
      <c r="N78" s="147"/>
      <c r="O78" s="147"/>
      <c r="Q78" s="29"/>
      <c r="R78" s="30"/>
      <c r="S78" s="29"/>
      <c r="T78" s="29"/>
      <c r="U78" s="29"/>
      <c r="V78" s="30"/>
    </row>
    <row r="79" spans="2:22" s="127" customFormat="1" x14ac:dyDescent="0.15">
      <c r="B79" s="29"/>
      <c r="C79" s="29"/>
      <c r="D79" s="29"/>
      <c r="E79" s="29"/>
      <c r="F79" s="29"/>
      <c r="G79" s="29"/>
      <c r="H79" s="147"/>
      <c r="I79" s="147"/>
      <c r="J79" s="147"/>
      <c r="K79" s="147"/>
      <c r="L79" s="147"/>
      <c r="M79" s="147"/>
      <c r="N79" s="147"/>
      <c r="O79" s="147"/>
      <c r="Q79" s="29"/>
      <c r="R79" s="30"/>
      <c r="S79" s="29"/>
      <c r="T79" s="29"/>
      <c r="U79" s="29"/>
      <c r="V79" s="30"/>
    </row>
    <row r="80" spans="2:22" s="127" customFormat="1" x14ac:dyDescent="0.15">
      <c r="B80" s="29"/>
      <c r="C80" s="29"/>
      <c r="D80" s="29"/>
      <c r="E80" s="29"/>
      <c r="F80" s="29"/>
      <c r="G80" s="29"/>
      <c r="H80" s="147"/>
      <c r="I80" s="147"/>
      <c r="J80" s="147"/>
      <c r="K80" s="147"/>
      <c r="L80" s="147"/>
      <c r="M80" s="147"/>
      <c r="N80" s="147"/>
      <c r="O80" s="147"/>
      <c r="Q80" s="29"/>
      <c r="R80" s="30"/>
      <c r="S80" s="29"/>
      <c r="T80" s="29"/>
      <c r="U80" s="29"/>
      <c r="V80" s="30"/>
    </row>
    <row r="81" spans="2:22" s="127" customFormat="1" x14ac:dyDescent="0.15">
      <c r="B81" s="29"/>
      <c r="C81" s="29"/>
      <c r="D81" s="29"/>
      <c r="E81" s="29"/>
      <c r="F81" s="29"/>
      <c r="G81" s="29"/>
      <c r="H81" s="147"/>
      <c r="I81" s="147"/>
      <c r="J81" s="147"/>
      <c r="K81" s="147"/>
      <c r="L81" s="147"/>
      <c r="M81" s="147"/>
      <c r="N81" s="147"/>
      <c r="O81" s="147"/>
      <c r="Q81" s="29"/>
      <c r="R81" s="30"/>
      <c r="S81" s="29"/>
      <c r="T81" s="29"/>
      <c r="U81" s="29"/>
      <c r="V81" s="30"/>
    </row>
    <row r="82" spans="2:22" s="127" customFormat="1" x14ac:dyDescent="0.15">
      <c r="B82" s="29"/>
      <c r="C82" s="29"/>
      <c r="D82" s="29"/>
      <c r="E82" s="29"/>
      <c r="F82" s="29"/>
      <c r="G82" s="29"/>
      <c r="H82" s="147"/>
      <c r="I82" s="147"/>
      <c r="J82" s="147"/>
      <c r="K82" s="147"/>
      <c r="L82" s="147"/>
      <c r="M82" s="147"/>
      <c r="N82" s="147"/>
      <c r="O82" s="147"/>
      <c r="Q82" s="29"/>
      <c r="R82" s="30"/>
      <c r="S82" s="29"/>
      <c r="T82" s="29"/>
      <c r="U82" s="29"/>
      <c r="V82" s="30"/>
    </row>
    <row r="83" spans="2:22" s="127" customFormat="1" x14ac:dyDescent="0.15">
      <c r="B83" s="29"/>
      <c r="C83" s="29"/>
      <c r="D83" s="29"/>
      <c r="E83" s="29"/>
      <c r="F83" s="29"/>
      <c r="G83" s="29"/>
      <c r="H83" s="147"/>
      <c r="I83" s="147"/>
      <c r="J83" s="147"/>
      <c r="K83" s="147"/>
      <c r="L83" s="147"/>
      <c r="M83" s="147"/>
      <c r="N83" s="147"/>
      <c r="O83" s="147"/>
      <c r="Q83" s="29"/>
      <c r="R83" s="30"/>
      <c r="S83" s="29"/>
      <c r="T83" s="29"/>
      <c r="U83" s="29"/>
      <c r="V83" s="30"/>
    </row>
    <row r="84" spans="2:22" s="127" customFormat="1" x14ac:dyDescent="0.15">
      <c r="B84" s="29"/>
      <c r="C84" s="29"/>
      <c r="D84" s="29"/>
      <c r="E84" s="29"/>
      <c r="F84" s="29"/>
      <c r="G84" s="29"/>
      <c r="H84" s="147"/>
      <c r="I84" s="147"/>
      <c r="J84" s="147"/>
      <c r="K84" s="147"/>
      <c r="L84" s="147"/>
      <c r="M84" s="147"/>
      <c r="N84" s="147"/>
      <c r="O84" s="147"/>
      <c r="Q84" s="29"/>
      <c r="R84" s="30"/>
      <c r="S84" s="29"/>
      <c r="T84" s="29"/>
      <c r="U84" s="29"/>
      <c r="V84" s="30"/>
    </row>
    <row r="85" spans="2:22" s="127" customFormat="1" x14ac:dyDescent="0.15">
      <c r="B85" s="29"/>
      <c r="C85" s="29"/>
      <c r="D85" s="29"/>
      <c r="E85" s="29"/>
      <c r="F85" s="29"/>
      <c r="G85" s="29"/>
      <c r="H85" s="147"/>
      <c r="I85" s="147"/>
      <c r="J85" s="147"/>
      <c r="K85" s="147"/>
      <c r="L85" s="147"/>
      <c r="M85" s="147"/>
      <c r="N85" s="147"/>
      <c r="O85" s="147"/>
      <c r="Q85" s="29"/>
      <c r="R85" s="30"/>
      <c r="S85" s="29"/>
      <c r="T85" s="29"/>
      <c r="U85" s="29"/>
      <c r="V85" s="30"/>
    </row>
    <row r="86" spans="2:22" s="127" customFormat="1" x14ac:dyDescent="0.15">
      <c r="B86" s="29"/>
      <c r="C86" s="29"/>
      <c r="D86" s="29"/>
      <c r="E86" s="29"/>
      <c r="F86" s="29"/>
      <c r="G86" s="29"/>
      <c r="H86" s="147"/>
      <c r="I86" s="147"/>
      <c r="J86" s="147"/>
      <c r="K86" s="147"/>
      <c r="L86" s="147"/>
      <c r="M86" s="147"/>
      <c r="N86" s="147"/>
      <c r="O86" s="147"/>
      <c r="Q86" s="29"/>
      <c r="R86" s="30"/>
      <c r="S86" s="29"/>
      <c r="T86" s="29"/>
      <c r="U86" s="29"/>
      <c r="V86" s="30"/>
    </row>
    <row r="87" spans="2:22" s="127" customFormat="1" x14ac:dyDescent="0.15">
      <c r="B87" s="142"/>
      <c r="C87" s="143"/>
      <c r="D87" s="143"/>
      <c r="E87" s="143"/>
      <c r="F87" s="143"/>
      <c r="G87" s="29"/>
      <c r="H87" s="147"/>
      <c r="I87" s="147"/>
      <c r="J87" s="147"/>
      <c r="K87" s="147"/>
      <c r="L87" s="147"/>
      <c r="M87" s="147"/>
      <c r="N87" s="147"/>
      <c r="O87" s="147"/>
      <c r="Q87" s="29"/>
      <c r="R87" s="30"/>
      <c r="S87" s="29"/>
      <c r="T87" s="29"/>
      <c r="U87" s="29"/>
      <c r="V87" s="30"/>
    </row>
    <row r="88" spans="2:22" s="127" customFormat="1" x14ac:dyDescent="0.15">
      <c r="B88" s="142"/>
      <c r="C88" s="143"/>
      <c r="D88" s="143"/>
      <c r="E88" s="143"/>
      <c r="F88" s="143"/>
      <c r="G88" s="29"/>
      <c r="H88" s="147"/>
      <c r="I88" s="147"/>
      <c r="J88" s="147"/>
      <c r="K88" s="147"/>
      <c r="L88" s="147"/>
      <c r="M88" s="147"/>
      <c r="N88" s="147"/>
      <c r="O88" s="147"/>
      <c r="Q88" s="29"/>
      <c r="R88" s="30"/>
      <c r="S88" s="29"/>
      <c r="T88" s="29"/>
      <c r="U88" s="29"/>
      <c r="V88" s="30"/>
    </row>
    <row r="89" spans="2:22" s="127" customFormat="1" x14ac:dyDescent="0.15">
      <c r="B89" s="29"/>
      <c r="C89" s="29"/>
      <c r="D89" s="29"/>
      <c r="E89" s="29"/>
      <c r="F89" s="29"/>
      <c r="G89" s="29"/>
      <c r="H89" s="147"/>
      <c r="I89" s="147"/>
      <c r="J89" s="147"/>
      <c r="K89" s="147"/>
      <c r="L89" s="147"/>
      <c r="M89" s="147"/>
      <c r="N89" s="147"/>
      <c r="O89" s="147"/>
      <c r="Q89" s="29"/>
      <c r="R89" s="30"/>
      <c r="S89" s="29"/>
      <c r="T89" s="29"/>
      <c r="U89" s="29"/>
      <c r="V89" s="30"/>
    </row>
    <row r="90" spans="2:22" s="127" customFormat="1" x14ac:dyDescent="0.15">
      <c r="B90" s="29"/>
      <c r="C90" s="29"/>
      <c r="D90" s="29"/>
      <c r="E90" s="29"/>
      <c r="F90" s="29"/>
      <c r="G90" s="29"/>
      <c r="H90" s="147"/>
      <c r="I90" s="147"/>
      <c r="J90" s="147"/>
      <c r="K90" s="147"/>
      <c r="L90" s="147"/>
      <c r="M90" s="147"/>
      <c r="N90" s="147"/>
      <c r="O90" s="147"/>
      <c r="Q90" s="29"/>
      <c r="R90" s="30"/>
      <c r="S90" s="29"/>
      <c r="T90" s="29"/>
      <c r="U90" s="29"/>
      <c r="V90" s="30"/>
    </row>
    <row r="91" spans="2:22" s="127" customFormat="1" x14ac:dyDescent="0.15">
      <c r="B91" s="29"/>
      <c r="C91" s="29"/>
      <c r="D91" s="29"/>
      <c r="E91" s="29"/>
      <c r="F91" s="29"/>
      <c r="G91" s="29"/>
      <c r="H91" s="147"/>
      <c r="I91" s="147"/>
      <c r="J91" s="147"/>
      <c r="K91" s="147"/>
      <c r="L91" s="147"/>
      <c r="M91" s="147"/>
      <c r="N91" s="147"/>
      <c r="O91" s="147"/>
      <c r="Q91" s="29"/>
      <c r="R91" s="30"/>
      <c r="S91" s="29"/>
      <c r="T91" s="29"/>
      <c r="U91" s="29"/>
      <c r="V91" s="30"/>
    </row>
    <row r="92" spans="2:22" s="127" customFormat="1" x14ac:dyDescent="0.15">
      <c r="B92" s="29"/>
      <c r="C92" s="29"/>
      <c r="D92" s="29"/>
      <c r="E92" s="29"/>
      <c r="F92" s="29"/>
      <c r="G92" s="29"/>
      <c r="H92" s="147"/>
      <c r="I92" s="147"/>
      <c r="J92" s="147"/>
      <c r="K92" s="147"/>
      <c r="L92" s="147"/>
      <c r="M92" s="147"/>
      <c r="N92" s="147"/>
      <c r="O92" s="147"/>
      <c r="Q92" s="29"/>
      <c r="R92" s="30"/>
      <c r="S92" s="29"/>
      <c r="T92" s="29"/>
      <c r="U92" s="29"/>
      <c r="V92" s="30"/>
    </row>
    <row r="93" spans="2:22" s="127" customFormat="1" x14ac:dyDescent="0.15">
      <c r="B93" s="29"/>
      <c r="C93" s="29"/>
      <c r="D93" s="29"/>
      <c r="E93" s="29"/>
      <c r="F93" s="29"/>
      <c r="G93" s="29"/>
      <c r="H93" s="147"/>
      <c r="I93" s="147"/>
      <c r="J93" s="147"/>
      <c r="K93" s="147"/>
      <c r="L93" s="147"/>
      <c r="M93" s="147"/>
      <c r="N93" s="147"/>
      <c r="O93" s="147"/>
      <c r="Q93" s="29"/>
      <c r="R93" s="30"/>
      <c r="S93" s="29"/>
      <c r="T93" s="29"/>
      <c r="U93" s="29"/>
      <c r="V93" s="30"/>
    </row>
    <row r="94" spans="2:22" s="127" customFormat="1" x14ac:dyDescent="0.15">
      <c r="B94" s="29"/>
      <c r="C94" s="29"/>
      <c r="D94" s="29"/>
      <c r="E94" s="29"/>
      <c r="F94" s="29"/>
      <c r="G94" s="29"/>
      <c r="H94" s="147"/>
      <c r="I94" s="147"/>
      <c r="J94" s="147"/>
      <c r="K94" s="147"/>
      <c r="L94" s="147"/>
      <c r="M94" s="147"/>
      <c r="N94" s="147"/>
      <c r="O94" s="147"/>
      <c r="Q94" s="29"/>
      <c r="R94" s="30"/>
      <c r="S94" s="29"/>
      <c r="T94" s="29"/>
      <c r="U94" s="29"/>
      <c r="V94" s="30"/>
    </row>
    <row r="95" spans="2:22" s="127" customFormat="1" x14ac:dyDescent="0.15">
      <c r="B95" s="29"/>
      <c r="C95" s="29"/>
      <c r="D95" s="29"/>
      <c r="E95" s="29"/>
      <c r="F95" s="29"/>
      <c r="G95" s="29"/>
      <c r="H95" s="147"/>
      <c r="I95" s="147"/>
      <c r="J95" s="147"/>
      <c r="K95" s="147"/>
      <c r="L95" s="147"/>
      <c r="M95" s="147"/>
      <c r="N95" s="147"/>
      <c r="O95" s="147"/>
      <c r="Q95" s="29"/>
      <c r="R95" s="30"/>
      <c r="S95" s="29"/>
      <c r="T95" s="29"/>
      <c r="U95" s="29"/>
      <c r="V95" s="30"/>
    </row>
    <row r="96" spans="2:22" s="127" customFormat="1" x14ac:dyDescent="0.15">
      <c r="B96" s="29"/>
      <c r="C96" s="29"/>
      <c r="D96" s="29"/>
      <c r="E96" s="29"/>
      <c r="F96" s="29"/>
      <c r="G96" s="29"/>
      <c r="H96" s="147"/>
      <c r="I96" s="147"/>
      <c r="J96" s="147"/>
      <c r="K96" s="147"/>
      <c r="L96" s="147"/>
      <c r="M96" s="147"/>
      <c r="N96" s="147"/>
      <c r="O96" s="147"/>
      <c r="Q96" s="29"/>
      <c r="R96" s="30"/>
      <c r="S96" s="29"/>
      <c r="T96" s="29"/>
      <c r="U96" s="29"/>
      <c r="V96" s="30"/>
    </row>
    <row r="97" spans="2:22" s="127" customFormat="1" x14ac:dyDescent="0.15">
      <c r="B97" s="29"/>
      <c r="C97" s="29"/>
      <c r="D97" s="29"/>
      <c r="E97" s="29"/>
      <c r="F97" s="29"/>
      <c r="G97" s="29"/>
      <c r="H97" s="147"/>
      <c r="I97" s="147"/>
      <c r="J97" s="147"/>
      <c r="K97" s="147"/>
      <c r="L97" s="147"/>
      <c r="M97" s="147"/>
      <c r="N97" s="147"/>
      <c r="O97" s="147"/>
      <c r="Q97" s="29"/>
      <c r="R97" s="30"/>
      <c r="S97" s="29"/>
      <c r="T97" s="29"/>
      <c r="U97" s="29"/>
      <c r="V97" s="30"/>
    </row>
    <row r="98" spans="2:22" s="127" customFormat="1" x14ac:dyDescent="0.15">
      <c r="B98" s="29"/>
      <c r="C98" s="29"/>
      <c r="D98" s="29"/>
      <c r="E98" s="29"/>
      <c r="F98" s="29"/>
      <c r="G98" s="29"/>
      <c r="H98" s="147"/>
      <c r="I98" s="147"/>
      <c r="J98" s="147"/>
      <c r="K98" s="147"/>
      <c r="L98" s="147"/>
      <c r="M98" s="147"/>
      <c r="N98" s="147"/>
      <c r="O98" s="147"/>
      <c r="Q98" s="29"/>
      <c r="R98" s="30"/>
      <c r="S98" s="29"/>
      <c r="T98" s="29"/>
      <c r="U98" s="29"/>
      <c r="V98" s="30"/>
    </row>
    <row r="99" spans="2:22" s="127" customFormat="1" x14ac:dyDescent="0.15">
      <c r="B99" s="29"/>
      <c r="C99" s="29"/>
      <c r="D99" s="29"/>
      <c r="E99" s="29"/>
      <c r="F99" s="29"/>
      <c r="G99" s="29"/>
      <c r="H99" s="147"/>
      <c r="I99" s="147"/>
      <c r="J99" s="147"/>
      <c r="K99" s="147"/>
      <c r="L99" s="147"/>
      <c r="M99" s="147"/>
      <c r="N99" s="147"/>
      <c r="O99" s="147"/>
      <c r="Q99" s="29"/>
      <c r="R99" s="30"/>
      <c r="S99" s="29"/>
      <c r="T99" s="29"/>
      <c r="U99" s="29"/>
      <c r="V99" s="30"/>
    </row>
    <row r="100" spans="2:22" s="127" customFormat="1" x14ac:dyDescent="0.15">
      <c r="B100" s="29"/>
      <c r="C100" s="29"/>
      <c r="D100" s="29"/>
      <c r="E100" s="29"/>
      <c r="F100" s="29"/>
      <c r="G100" s="29"/>
      <c r="H100" s="147"/>
      <c r="I100" s="147"/>
      <c r="J100" s="147"/>
      <c r="K100" s="147"/>
      <c r="L100" s="147"/>
      <c r="M100" s="147"/>
      <c r="N100" s="147"/>
      <c r="O100" s="147"/>
      <c r="Q100" s="29"/>
      <c r="R100" s="30"/>
      <c r="S100" s="29"/>
      <c r="T100" s="29"/>
      <c r="U100" s="29"/>
      <c r="V100" s="30"/>
    </row>
    <row r="101" spans="2:22" s="127" customFormat="1" x14ac:dyDescent="0.15">
      <c r="B101" s="29"/>
      <c r="C101" s="29"/>
      <c r="D101" s="29"/>
      <c r="E101" s="29"/>
      <c r="F101" s="29"/>
      <c r="G101" s="29"/>
      <c r="H101" s="147"/>
      <c r="I101" s="147"/>
      <c r="J101" s="147"/>
      <c r="K101" s="147"/>
      <c r="L101" s="147"/>
      <c r="M101" s="147"/>
      <c r="N101" s="147"/>
      <c r="O101" s="147"/>
      <c r="Q101" s="29"/>
      <c r="R101" s="30"/>
      <c r="S101" s="29"/>
      <c r="T101" s="29"/>
      <c r="U101" s="29"/>
      <c r="V101" s="30"/>
    </row>
    <row r="102" spans="2:22" s="127" customFormat="1" x14ac:dyDescent="0.15">
      <c r="B102" s="29"/>
      <c r="C102" s="29"/>
      <c r="D102" s="29"/>
      <c r="E102" s="29"/>
      <c r="F102" s="29"/>
      <c r="G102" s="29"/>
      <c r="H102" s="147"/>
      <c r="I102" s="147"/>
      <c r="J102" s="147"/>
      <c r="K102" s="147"/>
      <c r="L102" s="147"/>
      <c r="M102" s="147"/>
      <c r="N102" s="147"/>
      <c r="O102" s="147"/>
      <c r="Q102" s="29"/>
      <c r="R102" s="30"/>
      <c r="S102" s="29"/>
      <c r="T102" s="29"/>
      <c r="U102" s="29"/>
      <c r="V102" s="30"/>
    </row>
    <row r="103" spans="2:22" s="127" customFormat="1" x14ac:dyDescent="0.15">
      <c r="B103" s="29"/>
      <c r="C103" s="29"/>
      <c r="D103" s="29"/>
      <c r="E103" s="29"/>
      <c r="F103" s="29"/>
      <c r="G103" s="29"/>
      <c r="H103" s="147"/>
      <c r="I103" s="147"/>
      <c r="J103" s="147"/>
      <c r="K103" s="147"/>
      <c r="L103" s="147"/>
      <c r="M103" s="147"/>
      <c r="N103" s="147"/>
      <c r="O103" s="147"/>
      <c r="Q103" s="29"/>
      <c r="R103" s="30"/>
      <c r="S103" s="29"/>
      <c r="T103" s="29"/>
      <c r="U103" s="29"/>
      <c r="V103" s="30"/>
    </row>
    <row r="104" spans="2:22" s="127" customFormat="1" x14ac:dyDescent="0.15">
      <c r="B104" s="29"/>
      <c r="C104" s="29"/>
      <c r="D104" s="29"/>
      <c r="E104" s="29"/>
      <c r="F104" s="29"/>
      <c r="G104" s="29"/>
      <c r="H104" s="147"/>
      <c r="I104" s="147"/>
      <c r="J104" s="147"/>
      <c r="K104" s="147"/>
      <c r="L104" s="147"/>
      <c r="M104" s="147"/>
      <c r="N104" s="147"/>
      <c r="O104" s="147"/>
      <c r="Q104" s="29"/>
      <c r="R104" s="30"/>
      <c r="S104" s="29"/>
      <c r="T104" s="29"/>
      <c r="U104" s="29"/>
      <c r="V104" s="30"/>
    </row>
    <row r="105" spans="2:22" s="127" customFormat="1" x14ac:dyDescent="0.15">
      <c r="B105" s="29"/>
      <c r="C105" s="29"/>
      <c r="D105" s="29"/>
      <c r="E105" s="29"/>
      <c r="F105" s="29"/>
      <c r="G105" s="29"/>
      <c r="H105" s="147"/>
      <c r="I105" s="147"/>
      <c r="J105" s="147"/>
      <c r="K105" s="147"/>
      <c r="L105" s="147"/>
      <c r="M105" s="147"/>
      <c r="N105" s="147"/>
      <c r="O105" s="147"/>
      <c r="Q105" s="29"/>
      <c r="R105" s="30"/>
      <c r="S105" s="29"/>
      <c r="T105" s="29"/>
      <c r="U105" s="29"/>
      <c r="V105" s="30"/>
    </row>
    <row r="106" spans="2:22" s="127" customFormat="1" x14ac:dyDescent="0.15">
      <c r="B106" s="29"/>
      <c r="C106" s="29"/>
      <c r="D106" s="29"/>
      <c r="E106" s="29"/>
      <c r="F106" s="29"/>
      <c r="G106" s="29"/>
      <c r="H106" s="147"/>
      <c r="I106" s="147"/>
      <c r="J106" s="147"/>
      <c r="K106" s="147"/>
      <c r="L106" s="147"/>
      <c r="M106" s="147"/>
      <c r="N106" s="147"/>
      <c r="O106" s="147"/>
      <c r="Q106" s="29"/>
      <c r="R106" s="30"/>
      <c r="S106" s="29"/>
      <c r="T106" s="29"/>
      <c r="U106" s="29"/>
      <c r="V106" s="30"/>
    </row>
    <row r="107" spans="2:22" s="127" customFormat="1" x14ac:dyDescent="0.15">
      <c r="B107" s="29"/>
      <c r="C107" s="29"/>
      <c r="D107" s="29"/>
      <c r="E107" s="29"/>
      <c r="F107" s="29"/>
      <c r="G107" s="29"/>
      <c r="H107" s="147"/>
      <c r="I107" s="147"/>
      <c r="J107" s="147"/>
      <c r="K107" s="147"/>
      <c r="L107" s="147"/>
      <c r="M107" s="147"/>
      <c r="N107" s="147"/>
      <c r="O107" s="147"/>
      <c r="Q107" s="29"/>
      <c r="R107" s="30"/>
      <c r="S107" s="29"/>
      <c r="T107" s="29"/>
      <c r="U107" s="29"/>
      <c r="V107" s="30"/>
    </row>
    <row r="108" spans="2:22" s="127" customFormat="1" x14ac:dyDescent="0.15">
      <c r="B108" s="29"/>
      <c r="C108" s="29"/>
      <c r="D108" s="29"/>
      <c r="E108" s="29"/>
      <c r="F108" s="29"/>
      <c r="G108" s="29"/>
      <c r="H108" s="147"/>
      <c r="I108" s="147"/>
      <c r="J108" s="147"/>
      <c r="K108" s="147"/>
      <c r="L108" s="147"/>
      <c r="M108" s="147"/>
      <c r="N108" s="147"/>
      <c r="O108" s="147"/>
      <c r="Q108" s="29"/>
      <c r="R108" s="30"/>
      <c r="S108" s="29"/>
      <c r="T108" s="29"/>
      <c r="U108" s="29"/>
      <c r="V108" s="30"/>
    </row>
    <row r="109" spans="2:22" s="127" customFormat="1" x14ac:dyDescent="0.15">
      <c r="B109" s="29"/>
      <c r="C109" s="29"/>
      <c r="D109" s="29"/>
      <c r="E109" s="29"/>
      <c r="F109" s="29"/>
      <c r="G109" s="29"/>
      <c r="H109" s="147"/>
      <c r="I109" s="147"/>
      <c r="J109" s="147"/>
      <c r="K109" s="147"/>
      <c r="L109" s="147"/>
      <c r="M109" s="147"/>
      <c r="N109" s="147"/>
      <c r="O109" s="147"/>
      <c r="Q109" s="29"/>
      <c r="R109" s="30"/>
      <c r="S109" s="29"/>
      <c r="T109" s="29"/>
      <c r="U109" s="29"/>
      <c r="V109" s="30"/>
    </row>
    <row r="110" spans="2:22" s="127" customFormat="1" x14ac:dyDescent="0.15">
      <c r="B110" s="29"/>
      <c r="C110" s="29"/>
      <c r="D110" s="29"/>
      <c r="E110" s="29"/>
      <c r="F110" s="29"/>
      <c r="G110" s="29"/>
      <c r="H110" s="147"/>
      <c r="I110" s="147"/>
      <c r="J110" s="147"/>
      <c r="K110" s="147"/>
      <c r="L110" s="147"/>
      <c r="M110" s="147"/>
      <c r="N110" s="147"/>
      <c r="O110" s="147"/>
      <c r="Q110" s="29"/>
      <c r="R110" s="30"/>
      <c r="S110" s="29"/>
      <c r="T110" s="29"/>
      <c r="U110" s="29"/>
      <c r="V110" s="30"/>
    </row>
    <row r="111" spans="2:22" s="127" customFormat="1" x14ac:dyDescent="0.15">
      <c r="B111" s="29"/>
      <c r="C111" s="29"/>
      <c r="D111" s="29"/>
      <c r="E111" s="29"/>
      <c r="F111" s="29"/>
      <c r="G111" s="29"/>
      <c r="H111" s="147"/>
      <c r="I111" s="147"/>
      <c r="J111" s="147"/>
      <c r="K111" s="147"/>
      <c r="L111" s="147"/>
      <c r="M111" s="147"/>
      <c r="N111" s="147"/>
      <c r="O111" s="147"/>
      <c r="Q111" s="29"/>
      <c r="R111" s="30"/>
      <c r="S111" s="29"/>
      <c r="T111" s="29"/>
      <c r="U111" s="29"/>
      <c r="V111" s="30"/>
    </row>
    <row r="112" spans="2:22" s="127" customFormat="1" x14ac:dyDescent="0.15">
      <c r="B112" s="29"/>
      <c r="C112" s="29"/>
      <c r="D112" s="29"/>
      <c r="E112" s="29"/>
      <c r="F112" s="29"/>
      <c r="G112" s="29"/>
      <c r="H112" s="147"/>
      <c r="I112" s="147"/>
      <c r="J112" s="147"/>
      <c r="K112" s="147"/>
      <c r="L112" s="147"/>
      <c r="M112" s="147"/>
      <c r="N112" s="147"/>
      <c r="O112" s="147"/>
      <c r="Q112" s="29"/>
      <c r="R112" s="30"/>
      <c r="S112" s="29"/>
      <c r="T112" s="29"/>
      <c r="U112" s="29"/>
      <c r="V112" s="30"/>
    </row>
    <row r="113" spans="2:22" s="127" customFormat="1" x14ac:dyDescent="0.15">
      <c r="B113" s="29"/>
      <c r="C113" s="29"/>
      <c r="D113" s="29"/>
      <c r="E113" s="29"/>
      <c r="F113" s="29"/>
      <c r="G113" s="29"/>
      <c r="H113" s="147"/>
      <c r="I113" s="147"/>
      <c r="J113" s="147"/>
      <c r="K113" s="147"/>
      <c r="L113" s="147"/>
      <c r="M113" s="147"/>
      <c r="N113" s="147"/>
      <c r="O113" s="147"/>
      <c r="Q113" s="29"/>
      <c r="R113" s="30"/>
      <c r="S113" s="29"/>
      <c r="T113" s="29"/>
      <c r="U113" s="29"/>
      <c r="V113" s="30"/>
    </row>
    <row r="114" spans="2:22" s="127" customFormat="1" x14ac:dyDescent="0.15">
      <c r="B114" s="29"/>
      <c r="C114" s="29"/>
      <c r="D114" s="29"/>
      <c r="E114" s="29"/>
      <c r="F114" s="29"/>
      <c r="G114" s="29"/>
      <c r="H114" s="147"/>
      <c r="I114" s="147"/>
      <c r="J114" s="147"/>
      <c r="K114" s="147"/>
      <c r="L114" s="147"/>
      <c r="M114" s="147"/>
      <c r="N114" s="147"/>
      <c r="O114" s="147"/>
      <c r="Q114" s="29"/>
      <c r="R114" s="30"/>
      <c r="S114" s="29"/>
      <c r="T114" s="29"/>
      <c r="U114" s="29"/>
      <c r="V114" s="30"/>
    </row>
    <row r="115" spans="2:22" s="127" customFormat="1" x14ac:dyDescent="0.15">
      <c r="B115" s="29"/>
      <c r="C115" s="29"/>
      <c r="D115" s="29"/>
      <c r="E115" s="29"/>
      <c r="F115" s="29"/>
      <c r="G115" s="29"/>
      <c r="H115" s="147"/>
      <c r="I115" s="147"/>
      <c r="J115" s="147"/>
      <c r="K115" s="147"/>
      <c r="L115" s="147"/>
      <c r="M115" s="147"/>
      <c r="N115" s="147"/>
      <c r="O115" s="147"/>
      <c r="Q115" s="29"/>
      <c r="R115" s="30"/>
      <c r="S115" s="29"/>
      <c r="T115" s="29"/>
      <c r="U115" s="29"/>
      <c r="V115" s="30"/>
    </row>
    <row r="116" spans="2:22" s="127" customFormat="1" x14ac:dyDescent="0.15">
      <c r="B116" s="29"/>
      <c r="C116" s="29"/>
      <c r="D116" s="29"/>
      <c r="E116" s="29"/>
      <c r="F116" s="29"/>
      <c r="G116" s="29"/>
      <c r="H116" s="147"/>
      <c r="I116" s="147"/>
      <c r="J116" s="147"/>
      <c r="K116" s="147"/>
      <c r="L116" s="147"/>
      <c r="M116" s="147"/>
      <c r="N116" s="147"/>
      <c r="O116" s="147"/>
      <c r="Q116" s="29"/>
      <c r="R116" s="30"/>
      <c r="S116" s="29"/>
      <c r="T116" s="29"/>
      <c r="U116" s="29"/>
      <c r="V116" s="30"/>
    </row>
    <row r="117" spans="2:22" s="127" customFormat="1" x14ac:dyDescent="0.15">
      <c r="B117" s="29"/>
      <c r="C117" s="29"/>
      <c r="D117" s="29"/>
      <c r="E117" s="29"/>
      <c r="F117" s="29"/>
      <c r="G117" s="29"/>
      <c r="H117" s="147"/>
      <c r="I117" s="147"/>
      <c r="J117" s="147"/>
      <c r="K117" s="147"/>
      <c r="L117" s="147"/>
      <c r="M117" s="147"/>
      <c r="N117" s="147"/>
      <c r="O117" s="147"/>
      <c r="Q117" s="29"/>
      <c r="R117" s="30"/>
      <c r="S117" s="29"/>
      <c r="T117" s="29"/>
      <c r="U117" s="29"/>
      <c r="V117" s="30"/>
    </row>
    <row r="118" spans="2:22" s="127" customFormat="1" x14ac:dyDescent="0.15">
      <c r="B118" s="29"/>
      <c r="C118" s="29"/>
      <c r="D118" s="29"/>
      <c r="E118" s="29"/>
      <c r="F118" s="29"/>
      <c r="G118" s="29"/>
      <c r="H118" s="147"/>
      <c r="I118" s="147"/>
      <c r="J118" s="147"/>
      <c r="K118" s="147"/>
      <c r="L118" s="147"/>
      <c r="M118" s="147"/>
      <c r="N118" s="147"/>
      <c r="O118" s="147"/>
      <c r="Q118" s="29"/>
      <c r="R118" s="30"/>
      <c r="S118" s="29"/>
      <c r="T118" s="29"/>
      <c r="U118" s="29"/>
      <c r="V118" s="30"/>
    </row>
    <row r="119" spans="2:22" s="127" customFormat="1" x14ac:dyDescent="0.15">
      <c r="B119" s="29"/>
      <c r="C119" s="29"/>
      <c r="D119" s="29"/>
      <c r="E119" s="29"/>
      <c r="F119" s="29"/>
      <c r="G119" s="29"/>
      <c r="H119" s="147"/>
      <c r="I119" s="147"/>
      <c r="J119" s="147"/>
      <c r="K119" s="147"/>
      <c r="L119" s="147"/>
      <c r="M119" s="147"/>
      <c r="N119" s="147"/>
      <c r="O119" s="147"/>
      <c r="Q119" s="29"/>
      <c r="R119" s="30"/>
      <c r="S119" s="29"/>
      <c r="T119" s="29"/>
      <c r="U119" s="29"/>
      <c r="V119" s="30"/>
    </row>
    <row r="120" spans="2:22" s="127" customFormat="1" x14ac:dyDescent="0.15">
      <c r="B120" s="29"/>
      <c r="C120" s="29"/>
      <c r="D120" s="29"/>
      <c r="E120" s="29"/>
      <c r="F120" s="29"/>
      <c r="G120" s="29"/>
      <c r="H120" s="147"/>
      <c r="I120" s="147"/>
      <c r="J120" s="147"/>
      <c r="K120" s="147"/>
      <c r="L120" s="147"/>
      <c r="M120" s="147"/>
      <c r="N120" s="147"/>
      <c r="O120" s="147"/>
      <c r="Q120" s="29"/>
      <c r="R120" s="30"/>
      <c r="S120" s="29"/>
      <c r="T120" s="29"/>
      <c r="U120" s="29"/>
      <c r="V120" s="30"/>
    </row>
    <row r="121" spans="2:22" s="127" customFormat="1" x14ac:dyDescent="0.15">
      <c r="B121" s="29"/>
      <c r="C121" s="29"/>
      <c r="D121" s="29"/>
      <c r="E121" s="29"/>
      <c r="F121" s="29"/>
      <c r="G121" s="29"/>
      <c r="H121" s="147"/>
      <c r="I121" s="147"/>
      <c r="J121" s="147"/>
      <c r="K121" s="147"/>
      <c r="L121" s="147"/>
      <c r="M121" s="147"/>
      <c r="N121" s="147"/>
      <c r="O121" s="147"/>
      <c r="Q121" s="29"/>
      <c r="R121" s="30"/>
      <c r="S121" s="29"/>
      <c r="T121" s="29"/>
      <c r="U121" s="29"/>
      <c r="V121" s="30"/>
    </row>
    <row r="122" spans="2:22" s="127" customFormat="1" x14ac:dyDescent="0.15">
      <c r="B122" s="29"/>
      <c r="C122" s="29"/>
      <c r="D122" s="29"/>
      <c r="E122" s="29"/>
      <c r="F122" s="29"/>
      <c r="G122" s="29"/>
      <c r="H122" s="147"/>
      <c r="I122" s="147"/>
      <c r="J122" s="147"/>
      <c r="K122" s="147"/>
      <c r="L122" s="147"/>
      <c r="M122" s="147"/>
      <c r="N122" s="147"/>
      <c r="O122" s="147"/>
      <c r="Q122" s="29"/>
      <c r="R122" s="30"/>
      <c r="S122" s="29"/>
      <c r="T122" s="29"/>
      <c r="U122" s="29"/>
      <c r="V122" s="30"/>
    </row>
    <row r="123" spans="2:22" s="127" customFormat="1" x14ac:dyDescent="0.15">
      <c r="B123" s="29"/>
      <c r="C123" s="29"/>
      <c r="D123" s="29"/>
      <c r="E123" s="29"/>
      <c r="F123" s="29"/>
      <c r="G123" s="29"/>
      <c r="H123" s="147"/>
      <c r="I123" s="147"/>
      <c r="J123" s="147"/>
      <c r="K123" s="147"/>
      <c r="L123" s="147"/>
      <c r="M123" s="147"/>
      <c r="N123" s="147"/>
      <c r="O123" s="147"/>
      <c r="Q123" s="29"/>
      <c r="R123" s="30"/>
      <c r="S123" s="29"/>
      <c r="T123" s="29"/>
      <c r="U123" s="29"/>
      <c r="V123" s="30"/>
    </row>
    <row r="124" spans="2:22" s="127" customFormat="1" x14ac:dyDescent="0.15">
      <c r="B124" s="29"/>
      <c r="C124" s="29"/>
      <c r="D124" s="29"/>
      <c r="E124" s="29"/>
      <c r="F124" s="29"/>
      <c r="G124" s="29"/>
      <c r="H124" s="147"/>
      <c r="I124" s="147"/>
      <c r="J124" s="147"/>
      <c r="K124" s="147"/>
      <c r="L124" s="147"/>
      <c r="M124" s="147"/>
      <c r="N124" s="147"/>
      <c r="O124" s="147"/>
      <c r="Q124" s="29"/>
      <c r="R124" s="30"/>
      <c r="S124" s="29"/>
      <c r="T124" s="29"/>
      <c r="U124" s="29"/>
      <c r="V124" s="30"/>
    </row>
    <row r="125" spans="2:22" s="127" customFormat="1" x14ac:dyDescent="0.15">
      <c r="B125" s="29"/>
      <c r="C125" s="29"/>
      <c r="D125" s="29"/>
      <c r="E125" s="29"/>
      <c r="F125" s="29"/>
      <c r="G125" s="29"/>
      <c r="H125" s="147"/>
      <c r="I125" s="147"/>
      <c r="J125" s="147"/>
      <c r="K125" s="147"/>
      <c r="L125" s="147"/>
      <c r="M125" s="147"/>
      <c r="N125" s="147"/>
      <c r="O125" s="147"/>
      <c r="Q125" s="29"/>
      <c r="R125" s="30"/>
      <c r="S125" s="29"/>
      <c r="T125" s="29"/>
      <c r="U125" s="29"/>
      <c r="V125" s="30"/>
    </row>
    <row r="126" spans="2:22" s="127" customFormat="1" x14ac:dyDescent="0.15">
      <c r="B126" s="29"/>
      <c r="C126" s="29"/>
      <c r="D126" s="29"/>
      <c r="E126" s="29"/>
      <c r="F126" s="29"/>
      <c r="G126" s="29"/>
      <c r="H126" s="147"/>
      <c r="I126" s="147"/>
      <c r="J126" s="147"/>
      <c r="K126" s="147"/>
      <c r="L126" s="147"/>
      <c r="M126" s="147"/>
      <c r="N126" s="147"/>
      <c r="O126" s="147"/>
      <c r="Q126" s="29"/>
      <c r="R126" s="30"/>
      <c r="S126" s="29"/>
      <c r="T126" s="29"/>
      <c r="U126" s="29"/>
      <c r="V126" s="30"/>
    </row>
    <row r="127" spans="2:22" s="127" customFormat="1" x14ac:dyDescent="0.15">
      <c r="B127" s="29"/>
      <c r="C127" s="29"/>
      <c r="D127" s="29"/>
      <c r="E127" s="29"/>
      <c r="F127" s="29"/>
      <c r="G127" s="29"/>
      <c r="H127" s="147"/>
      <c r="I127" s="147"/>
      <c r="J127" s="147"/>
      <c r="K127" s="147"/>
      <c r="L127" s="147"/>
      <c r="M127" s="147"/>
      <c r="N127" s="147"/>
      <c r="O127" s="147"/>
      <c r="Q127" s="29"/>
      <c r="R127" s="30"/>
      <c r="S127" s="29"/>
      <c r="T127" s="29"/>
      <c r="U127" s="29"/>
      <c r="V127" s="30"/>
    </row>
    <row r="128" spans="2:22" s="127" customFormat="1" x14ac:dyDescent="0.15">
      <c r="B128" s="29"/>
      <c r="C128" s="29"/>
      <c r="D128" s="29"/>
      <c r="E128" s="29"/>
      <c r="F128" s="29"/>
      <c r="G128" s="29"/>
      <c r="H128" s="147"/>
      <c r="I128" s="147"/>
      <c r="J128" s="147"/>
      <c r="K128" s="147"/>
      <c r="L128" s="147"/>
      <c r="M128" s="147"/>
      <c r="N128" s="147"/>
      <c r="O128" s="147"/>
      <c r="Q128" s="29"/>
      <c r="R128" s="30"/>
      <c r="S128" s="29"/>
      <c r="T128" s="29"/>
      <c r="U128" s="29"/>
      <c r="V128" s="30"/>
    </row>
    <row r="129" spans="2:22" s="127" customFormat="1" x14ac:dyDescent="0.15">
      <c r="B129" s="29"/>
      <c r="C129" s="29"/>
      <c r="D129" s="29"/>
      <c r="E129" s="29"/>
      <c r="F129" s="29"/>
      <c r="G129" s="29"/>
      <c r="H129" s="147"/>
      <c r="I129" s="147"/>
      <c r="J129" s="147"/>
      <c r="K129" s="147"/>
      <c r="L129" s="147"/>
      <c r="M129" s="147"/>
      <c r="N129" s="147"/>
      <c r="O129" s="147"/>
      <c r="Q129" s="29"/>
      <c r="R129" s="30"/>
      <c r="S129" s="29"/>
      <c r="T129" s="29"/>
      <c r="U129" s="29"/>
      <c r="V129" s="30"/>
    </row>
    <row r="130" spans="2:22" s="127" customFormat="1" x14ac:dyDescent="0.15">
      <c r="B130" s="29"/>
      <c r="C130" s="29"/>
      <c r="D130" s="29"/>
      <c r="E130" s="29"/>
      <c r="F130" s="29"/>
      <c r="G130" s="29"/>
      <c r="H130" s="147"/>
      <c r="I130" s="147"/>
      <c r="J130" s="147"/>
      <c r="K130" s="147"/>
      <c r="L130" s="147"/>
      <c r="M130" s="147"/>
      <c r="N130" s="147"/>
      <c r="O130" s="147"/>
      <c r="Q130" s="29"/>
      <c r="R130" s="30"/>
      <c r="S130" s="29"/>
      <c r="T130" s="29"/>
      <c r="U130" s="29"/>
      <c r="V130" s="30"/>
    </row>
    <row r="131" spans="2:22" s="127" customFormat="1" x14ac:dyDescent="0.15">
      <c r="B131" s="29"/>
      <c r="C131" s="29"/>
      <c r="D131" s="29"/>
      <c r="E131" s="29"/>
      <c r="F131" s="29"/>
      <c r="G131" s="29"/>
      <c r="H131" s="147"/>
      <c r="I131" s="147"/>
      <c r="J131" s="147"/>
      <c r="K131" s="147"/>
      <c r="L131" s="147"/>
      <c r="M131" s="147"/>
      <c r="N131" s="147"/>
      <c r="O131" s="147"/>
      <c r="Q131" s="29"/>
      <c r="R131" s="30"/>
      <c r="S131" s="29"/>
      <c r="T131" s="29"/>
      <c r="U131" s="29"/>
      <c r="V131" s="30"/>
    </row>
    <row r="132" spans="2:22" s="127" customFormat="1" x14ac:dyDescent="0.15">
      <c r="B132" s="29"/>
      <c r="C132" s="29"/>
      <c r="D132" s="29"/>
      <c r="E132" s="29"/>
      <c r="F132" s="29"/>
      <c r="G132" s="29"/>
      <c r="H132" s="147"/>
      <c r="I132" s="147"/>
      <c r="J132" s="147"/>
      <c r="K132" s="147"/>
      <c r="L132" s="147"/>
      <c r="M132" s="147"/>
      <c r="N132" s="147"/>
      <c r="O132" s="147"/>
      <c r="Q132" s="29"/>
      <c r="R132" s="30"/>
      <c r="S132" s="29"/>
      <c r="T132" s="29"/>
      <c r="U132" s="29"/>
      <c r="V132" s="30"/>
    </row>
    <row r="133" spans="2:22" s="127" customFormat="1" x14ac:dyDescent="0.15">
      <c r="B133" s="29"/>
      <c r="C133" s="29"/>
      <c r="D133" s="29"/>
      <c r="E133" s="29"/>
      <c r="F133" s="29"/>
      <c r="G133" s="29"/>
      <c r="H133" s="147"/>
      <c r="I133" s="147"/>
      <c r="J133" s="147"/>
      <c r="K133" s="147"/>
      <c r="L133" s="147"/>
      <c r="M133" s="147"/>
      <c r="N133" s="147"/>
      <c r="O133" s="147"/>
      <c r="Q133" s="29"/>
      <c r="R133" s="30"/>
      <c r="S133" s="29"/>
      <c r="T133" s="29"/>
      <c r="U133" s="29"/>
      <c r="V133" s="30"/>
    </row>
    <row r="134" spans="2:22" s="127" customFormat="1" x14ac:dyDescent="0.15">
      <c r="B134" s="29"/>
      <c r="C134" s="29"/>
      <c r="D134" s="29"/>
      <c r="E134" s="29"/>
      <c r="F134" s="29"/>
      <c r="G134" s="29"/>
      <c r="H134" s="147"/>
      <c r="I134" s="147"/>
      <c r="J134" s="147"/>
      <c r="K134" s="147"/>
      <c r="L134" s="147"/>
      <c r="M134" s="147"/>
      <c r="N134" s="147"/>
      <c r="O134" s="147"/>
      <c r="Q134" s="29"/>
      <c r="R134" s="30"/>
      <c r="S134" s="29"/>
      <c r="T134" s="29"/>
      <c r="U134" s="29"/>
      <c r="V134" s="30"/>
    </row>
    <row r="135" spans="2:22" s="127" customFormat="1" x14ac:dyDescent="0.15">
      <c r="B135" s="29"/>
      <c r="C135" s="29"/>
      <c r="D135" s="29"/>
      <c r="E135" s="29"/>
      <c r="F135" s="29"/>
      <c r="G135" s="29"/>
      <c r="H135" s="147"/>
      <c r="I135" s="147"/>
      <c r="J135" s="147"/>
      <c r="K135" s="147"/>
      <c r="L135" s="147"/>
      <c r="M135" s="147"/>
      <c r="N135" s="147"/>
      <c r="O135" s="147"/>
      <c r="Q135" s="29"/>
      <c r="R135" s="30"/>
      <c r="S135" s="29"/>
      <c r="T135" s="29"/>
      <c r="U135" s="29"/>
      <c r="V135" s="30"/>
    </row>
    <row r="136" spans="2:22" s="127" customFormat="1" x14ac:dyDescent="0.15">
      <c r="B136" s="29"/>
      <c r="C136" s="29"/>
      <c r="D136" s="29"/>
      <c r="E136" s="29"/>
      <c r="F136" s="29"/>
      <c r="G136" s="29"/>
      <c r="H136" s="147"/>
      <c r="I136" s="147"/>
      <c r="J136" s="147"/>
      <c r="K136" s="147"/>
      <c r="L136" s="147"/>
      <c r="M136" s="147"/>
      <c r="N136" s="147"/>
      <c r="O136" s="147"/>
      <c r="Q136" s="29"/>
      <c r="R136" s="30"/>
      <c r="S136" s="29"/>
      <c r="T136" s="29"/>
      <c r="U136" s="29"/>
      <c r="V136" s="30"/>
    </row>
    <row r="137" spans="2:22" s="127" customFormat="1" x14ac:dyDescent="0.15">
      <c r="B137" s="29"/>
      <c r="C137" s="29"/>
      <c r="D137" s="29"/>
      <c r="E137" s="29"/>
      <c r="F137" s="29"/>
      <c r="G137" s="29"/>
      <c r="H137" s="147"/>
      <c r="I137" s="147"/>
      <c r="J137" s="147"/>
      <c r="K137" s="147"/>
      <c r="L137" s="147"/>
      <c r="M137" s="147"/>
      <c r="N137" s="147"/>
      <c r="O137" s="147"/>
      <c r="Q137" s="29"/>
      <c r="R137" s="30"/>
      <c r="S137" s="29"/>
      <c r="T137" s="29"/>
      <c r="U137" s="29"/>
      <c r="V137" s="30"/>
    </row>
    <row r="138" spans="2:22" s="127" customFormat="1" x14ac:dyDescent="0.15">
      <c r="B138" s="29"/>
      <c r="C138" s="29"/>
      <c r="D138" s="29"/>
      <c r="E138" s="29"/>
      <c r="F138" s="29"/>
      <c r="G138" s="29"/>
      <c r="H138" s="147"/>
      <c r="I138" s="147"/>
      <c r="J138" s="147"/>
      <c r="K138" s="147"/>
      <c r="L138" s="147"/>
      <c r="M138" s="147"/>
      <c r="N138" s="147"/>
      <c r="O138" s="147"/>
      <c r="Q138" s="29"/>
      <c r="R138" s="30"/>
      <c r="S138" s="29"/>
      <c r="T138" s="29"/>
      <c r="U138" s="29"/>
      <c r="V138" s="30"/>
    </row>
    <row r="139" spans="2:22" s="127" customFormat="1" x14ac:dyDescent="0.15">
      <c r="B139" s="29"/>
      <c r="C139" s="29"/>
      <c r="D139" s="29"/>
      <c r="E139" s="29"/>
      <c r="F139" s="29"/>
      <c r="G139" s="29"/>
      <c r="H139" s="147"/>
      <c r="I139" s="147"/>
      <c r="J139" s="147"/>
      <c r="K139" s="147"/>
      <c r="L139" s="147"/>
      <c r="M139" s="147"/>
      <c r="N139" s="147"/>
      <c r="O139" s="147"/>
      <c r="Q139" s="29"/>
      <c r="R139" s="30"/>
      <c r="S139" s="29"/>
      <c r="T139" s="29"/>
      <c r="U139" s="29"/>
      <c r="V139" s="30"/>
    </row>
    <row r="140" spans="2:22" s="127" customFormat="1" x14ac:dyDescent="0.15">
      <c r="B140" s="29"/>
      <c r="C140" s="29"/>
      <c r="D140" s="29"/>
      <c r="E140" s="29"/>
      <c r="F140" s="29"/>
      <c r="G140" s="29"/>
      <c r="H140" s="147"/>
      <c r="I140" s="147"/>
      <c r="J140" s="147"/>
      <c r="K140" s="147"/>
      <c r="L140" s="147"/>
      <c r="M140" s="147"/>
      <c r="N140" s="147"/>
      <c r="O140" s="147"/>
      <c r="Q140" s="29"/>
      <c r="R140" s="30"/>
      <c r="S140" s="29"/>
      <c r="T140" s="29"/>
      <c r="U140" s="29"/>
      <c r="V140" s="30"/>
    </row>
    <row r="141" spans="2:22" s="127" customFormat="1" x14ac:dyDescent="0.15">
      <c r="B141" s="29"/>
      <c r="C141" s="29"/>
      <c r="D141" s="29"/>
      <c r="E141" s="29"/>
      <c r="F141" s="29"/>
      <c r="G141" s="29"/>
      <c r="H141" s="147"/>
      <c r="I141" s="147"/>
      <c r="J141" s="147"/>
      <c r="K141" s="147"/>
      <c r="L141" s="147"/>
      <c r="M141" s="147"/>
      <c r="N141" s="147"/>
      <c r="O141" s="147"/>
      <c r="Q141" s="29"/>
      <c r="R141" s="30"/>
      <c r="S141" s="29"/>
      <c r="T141" s="29"/>
      <c r="U141" s="29"/>
      <c r="V141" s="30"/>
    </row>
    <row r="142" spans="2:22" s="127" customFormat="1" x14ac:dyDescent="0.15">
      <c r="B142" s="29"/>
      <c r="C142" s="29"/>
      <c r="D142" s="29"/>
      <c r="E142" s="29"/>
      <c r="F142" s="29"/>
      <c r="G142" s="29"/>
      <c r="H142" s="147"/>
      <c r="I142" s="147"/>
      <c r="J142" s="147"/>
      <c r="K142" s="147"/>
      <c r="L142" s="147"/>
      <c r="M142" s="147"/>
      <c r="N142" s="147"/>
      <c r="O142" s="147"/>
      <c r="Q142" s="29"/>
      <c r="R142" s="30"/>
      <c r="S142" s="29"/>
      <c r="T142" s="29"/>
      <c r="U142" s="29"/>
      <c r="V142" s="30"/>
    </row>
    <row r="143" spans="2:22" s="127" customFormat="1" x14ac:dyDescent="0.15">
      <c r="B143" s="29"/>
      <c r="C143" s="29"/>
      <c r="D143" s="29"/>
      <c r="E143" s="29"/>
      <c r="F143" s="29"/>
      <c r="G143" s="29"/>
      <c r="H143" s="147"/>
      <c r="I143" s="147"/>
      <c r="J143" s="147"/>
      <c r="K143" s="147"/>
      <c r="L143" s="147"/>
      <c r="M143" s="147"/>
      <c r="N143" s="147"/>
      <c r="O143" s="29"/>
      <c r="Q143" s="29"/>
      <c r="R143" s="30"/>
      <c r="S143" s="29"/>
      <c r="T143" s="29"/>
      <c r="U143" s="29"/>
      <c r="V143" s="30"/>
    </row>
    <row r="144" spans="2:22" s="127" customFormat="1" x14ac:dyDescent="0.15">
      <c r="B144" s="29"/>
      <c r="C144" s="29"/>
      <c r="D144" s="29"/>
      <c r="E144" s="29"/>
      <c r="F144" s="29"/>
      <c r="G144" s="29"/>
      <c r="H144" s="147"/>
      <c r="I144" s="147"/>
      <c r="J144" s="147"/>
      <c r="K144" s="147"/>
      <c r="L144" s="147"/>
      <c r="M144" s="147"/>
      <c r="N144" s="147"/>
      <c r="O144" s="29"/>
      <c r="Q144" s="29"/>
      <c r="R144" s="30"/>
      <c r="S144" s="29"/>
      <c r="T144" s="29"/>
      <c r="U144" s="29"/>
      <c r="V144" s="30"/>
    </row>
    <row r="145" spans="2:22" s="127" customFormat="1" x14ac:dyDescent="0.15">
      <c r="B145" s="29"/>
      <c r="C145" s="29"/>
      <c r="D145" s="29"/>
      <c r="E145" s="29"/>
      <c r="F145" s="29"/>
      <c r="G145" s="29"/>
      <c r="H145" s="147"/>
      <c r="I145" s="147"/>
      <c r="J145" s="147"/>
      <c r="K145" s="147"/>
      <c r="L145" s="147"/>
      <c r="M145" s="147"/>
      <c r="N145" s="147"/>
      <c r="O145" s="29"/>
      <c r="Q145" s="29"/>
      <c r="R145" s="30"/>
      <c r="S145" s="29"/>
      <c r="T145" s="29"/>
      <c r="U145" s="29"/>
      <c r="V145" s="30"/>
    </row>
    <row r="146" spans="2:22" s="127" customFormat="1" x14ac:dyDescent="0.15">
      <c r="B146" s="29"/>
      <c r="C146" s="29"/>
      <c r="D146" s="29"/>
      <c r="E146" s="29"/>
      <c r="F146" s="29"/>
      <c r="G146" s="29"/>
      <c r="H146" s="147"/>
      <c r="I146" s="147"/>
      <c r="J146" s="147"/>
      <c r="K146" s="147"/>
      <c r="L146" s="147"/>
      <c r="M146" s="147"/>
      <c r="N146" s="147"/>
      <c r="O146" s="29"/>
      <c r="Q146" s="29"/>
      <c r="R146" s="30"/>
      <c r="S146" s="29"/>
      <c r="T146" s="29"/>
      <c r="U146" s="29"/>
      <c r="V146" s="30"/>
    </row>
    <row r="147" spans="2:22" s="127" customFormat="1" x14ac:dyDescent="0.15">
      <c r="B147" s="29"/>
      <c r="C147" s="29"/>
      <c r="D147" s="29"/>
      <c r="E147" s="29"/>
      <c r="F147" s="29"/>
      <c r="G147" s="29"/>
      <c r="H147" s="147"/>
      <c r="I147" s="147"/>
      <c r="J147" s="147"/>
      <c r="K147" s="147"/>
      <c r="L147" s="147"/>
      <c r="M147" s="147"/>
      <c r="N147" s="147"/>
      <c r="O147" s="29"/>
      <c r="Q147" s="29"/>
      <c r="R147" s="30"/>
      <c r="S147" s="29"/>
      <c r="T147" s="29"/>
      <c r="U147" s="29"/>
      <c r="V147" s="30"/>
    </row>
    <row r="148" spans="2:22" s="127" customFormat="1" x14ac:dyDescent="0.15">
      <c r="B148" s="29"/>
      <c r="C148" s="29"/>
      <c r="D148" s="29"/>
      <c r="E148" s="29"/>
      <c r="F148" s="29"/>
      <c r="G148" s="29"/>
      <c r="H148" s="147"/>
      <c r="I148" s="147"/>
      <c r="J148" s="147"/>
      <c r="K148" s="147"/>
      <c r="L148" s="147"/>
      <c r="M148" s="147"/>
      <c r="N148" s="147"/>
      <c r="O148" s="29"/>
      <c r="Q148" s="29"/>
      <c r="R148" s="30"/>
      <c r="S148" s="29"/>
      <c r="T148" s="29"/>
      <c r="U148" s="29"/>
      <c r="V148" s="30"/>
    </row>
    <row r="149" spans="2:22" x14ac:dyDescent="0.15">
      <c r="I149" s="147"/>
      <c r="J149" s="147"/>
      <c r="K149" s="147"/>
      <c r="L149" s="147"/>
      <c r="M149" s="147"/>
      <c r="N149" s="147"/>
    </row>
    <row r="150" spans="2:22" x14ac:dyDescent="0.15">
      <c r="I150" s="147"/>
      <c r="J150" s="147"/>
      <c r="K150" s="147"/>
      <c r="L150" s="147"/>
      <c r="M150" s="147"/>
      <c r="N150" s="147"/>
    </row>
    <row r="151" spans="2:22" x14ac:dyDescent="0.15">
      <c r="I151" s="147"/>
      <c r="J151" s="147"/>
      <c r="K151" s="147"/>
      <c r="L151" s="147"/>
      <c r="M151" s="147"/>
      <c r="N151" s="147"/>
    </row>
    <row r="152" spans="2:22" x14ac:dyDescent="0.15">
      <c r="I152" s="147"/>
      <c r="J152" s="147"/>
      <c r="K152" s="147"/>
      <c r="L152" s="147"/>
      <c r="M152" s="147"/>
      <c r="N152" s="147"/>
    </row>
    <row r="153" spans="2:22" x14ac:dyDescent="0.15">
      <c r="I153" s="147"/>
      <c r="J153" s="147"/>
      <c r="K153" s="147"/>
      <c r="L153" s="147"/>
      <c r="M153" s="147"/>
      <c r="N153" s="147"/>
    </row>
    <row r="154" spans="2:22" x14ac:dyDescent="0.15">
      <c r="I154" s="147"/>
      <c r="J154" s="147"/>
      <c r="K154" s="147"/>
      <c r="L154" s="147"/>
      <c r="M154" s="147"/>
      <c r="N154" s="147"/>
    </row>
    <row r="155" spans="2:22" x14ac:dyDescent="0.15">
      <c r="I155" s="147"/>
      <c r="J155" s="147"/>
      <c r="K155" s="147"/>
      <c r="L155" s="147"/>
      <c r="M155" s="147"/>
      <c r="N155" s="147"/>
    </row>
    <row r="156" spans="2:22" x14ac:dyDescent="0.15">
      <c r="I156" s="147"/>
      <c r="J156" s="147"/>
      <c r="K156" s="147"/>
      <c r="L156" s="147"/>
      <c r="M156" s="147"/>
      <c r="N156" s="147"/>
    </row>
    <row r="157" spans="2:22" x14ac:dyDescent="0.15">
      <c r="I157" s="147"/>
      <c r="J157" s="147"/>
      <c r="K157" s="147"/>
      <c r="L157" s="147"/>
      <c r="M157" s="147"/>
      <c r="N157" s="147"/>
    </row>
    <row r="158" spans="2:22" x14ac:dyDescent="0.15">
      <c r="I158" s="147"/>
      <c r="J158" s="147"/>
      <c r="K158" s="147"/>
      <c r="L158" s="147"/>
      <c r="M158" s="147"/>
      <c r="N158" s="147"/>
    </row>
    <row r="159" spans="2:22" x14ac:dyDescent="0.15">
      <c r="J159" s="147"/>
      <c r="K159" s="147"/>
      <c r="L159" s="147"/>
      <c r="M159" s="147"/>
      <c r="N159" s="147"/>
    </row>
    <row r="160" spans="2:22" x14ac:dyDescent="0.15">
      <c r="J160" s="147"/>
      <c r="K160" s="147"/>
      <c r="L160" s="147"/>
      <c r="M160" s="147"/>
      <c r="N160" s="147"/>
    </row>
    <row r="176" spans="2:22" s="127" customFormat="1" x14ac:dyDescent="0.15">
      <c r="B176" s="29"/>
      <c r="C176" s="29"/>
      <c r="D176" s="29"/>
      <c r="E176" s="29"/>
      <c r="F176" s="29"/>
      <c r="G176" s="29"/>
      <c r="H176" s="147"/>
      <c r="I176" s="29"/>
      <c r="J176" s="29"/>
      <c r="K176" s="29"/>
      <c r="L176" s="29"/>
      <c r="M176" s="29"/>
      <c r="N176" s="29"/>
      <c r="O176" s="147"/>
      <c r="Q176" s="29"/>
      <c r="R176" s="30"/>
      <c r="S176" s="29"/>
      <c r="T176" s="29"/>
      <c r="U176" s="29"/>
      <c r="V176" s="30"/>
    </row>
    <row r="177" spans="2:22" s="127" customFormat="1" x14ac:dyDescent="0.15">
      <c r="B177" s="29"/>
      <c r="C177" s="29"/>
      <c r="D177" s="29"/>
      <c r="E177" s="29"/>
      <c r="F177" s="29"/>
      <c r="G177" s="29"/>
      <c r="H177" s="147"/>
      <c r="I177" s="29"/>
      <c r="J177" s="29"/>
      <c r="K177" s="29"/>
      <c r="L177" s="29"/>
      <c r="M177" s="29"/>
      <c r="N177" s="29"/>
      <c r="O177" s="147"/>
      <c r="Q177" s="29"/>
      <c r="R177" s="30"/>
      <c r="S177" s="29"/>
      <c r="T177" s="29"/>
      <c r="U177" s="29"/>
      <c r="V177" s="30"/>
    </row>
    <row r="178" spans="2:22" s="127" customFormat="1" x14ac:dyDescent="0.15">
      <c r="B178" s="29"/>
      <c r="C178" s="29"/>
      <c r="D178" s="29"/>
      <c r="E178" s="29"/>
      <c r="F178" s="29"/>
      <c r="G178" s="29"/>
      <c r="H178" s="147"/>
      <c r="I178" s="29"/>
      <c r="J178" s="29"/>
      <c r="K178" s="29"/>
      <c r="L178" s="29"/>
      <c r="M178" s="29"/>
      <c r="N178" s="29"/>
      <c r="O178" s="147"/>
      <c r="Q178" s="29"/>
      <c r="R178" s="30"/>
      <c r="S178" s="29"/>
      <c r="T178" s="29"/>
      <c r="U178" s="29"/>
      <c r="V178" s="30"/>
    </row>
    <row r="179" spans="2:22" s="127" customFormat="1" x14ac:dyDescent="0.15">
      <c r="B179" s="29"/>
      <c r="C179" s="29"/>
      <c r="D179" s="29"/>
      <c r="E179" s="29"/>
      <c r="F179" s="29"/>
      <c r="G179" s="29"/>
      <c r="H179" s="147"/>
      <c r="I179" s="29"/>
      <c r="J179" s="29"/>
      <c r="K179" s="29"/>
      <c r="L179" s="29"/>
      <c r="M179" s="29"/>
      <c r="N179" s="29"/>
      <c r="O179" s="147"/>
      <c r="Q179" s="29"/>
      <c r="R179" s="30"/>
      <c r="S179" s="29"/>
      <c r="T179" s="29"/>
      <c r="U179" s="29"/>
      <c r="V179" s="30"/>
    </row>
    <row r="180" spans="2:22" s="127" customFormat="1" x14ac:dyDescent="0.15">
      <c r="B180" s="29"/>
      <c r="C180" s="29"/>
      <c r="D180" s="29"/>
      <c r="E180" s="29"/>
      <c r="F180" s="29"/>
      <c r="G180" s="29"/>
      <c r="H180" s="147"/>
      <c r="I180" s="29"/>
      <c r="J180" s="29"/>
      <c r="K180" s="29"/>
      <c r="L180" s="29"/>
      <c r="M180" s="29"/>
      <c r="N180" s="29"/>
      <c r="O180" s="147"/>
      <c r="Q180" s="29"/>
      <c r="R180" s="30"/>
      <c r="S180" s="29"/>
      <c r="T180" s="29"/>
      <c r="U180" s="29"/>
      <c r="V180" s="30"/>
    </row>
    <row r="181" spans="2:22" s="127" customFormat="1" x14ac:dyDescent="0.15">
      <c r="B181" s="29"/>
      <c r="C181" s="29"/>
      <c r="D181" s="29"/>
      <c r="E181" s="29"/>
      <c r="F181" s="29"/>
      <c r="G181" s="29"/>
      <c r="H181" s="147"/>
      <c r="I181" s="29"/>
      <c r="J181" s="29"/>
      <c r="K181" s="29"/>
      <c r="L181" s="29"/>
      <c r="M181" s="29"/>
      <c r="N181" s="29"/>
      <c r="O181" s="147"/>
      <c r="Q181" s="29"/>
      <c r="R181" s="30"/>
      <c r="S181" s="29"/>
      <c r="T181" s="29"/>
      <c r="U181" s="29"/>
      <c r="V181" s="30"/>
    </row>
    <row r="182" spans="2:22" s="127" customFormat="1" x14ac:dyDescent="0.15">
      <c r="B182" s="29"/>
      <c r="C182" s="29"/>
      <c r="D182" s="29"/>
      <c r="E182" s="29"/>
      <c r="F182" s="29"/>
      <c r="G182" s="29"/>
      <c r="H182" s="147"/>
      <c r="I182" s="29"/>
      <c r="J182" s="29"/>
      <c r="K182" s="29"/>
      <c r="L182" s="29"/>
      <c r="M182" s="29"/>
      <c r="N182" s="29"/>
      <c r="O182" s="147"/>
      <c r="Q182" s="29"/>
      <c r="R182" s="30"/>
      <c r="S182" s="29"/>
      <c r="T182" s="29"/>
      <c r="U182" s="29"/>
      <c r="V182" s="30"/>
    </row>
    <row r="183" spans="2:22" s="127" customFormat="1" x14ac:dyDescent="0.15">
      <c r="B183" s="29"/>
      <c r="C183" s="29"/>
      <c r="D183" s="29"/>
      <c r="E183" s="29"/>
      <c r="F183" s="29"/>
      <c r="G183" s="29"/>
      <c r="H183" s="147"/>
      <c r="I183" s="29"/>
      <c r="J183" s="29"/>
      <c r="K183" s="29"/>
      <c r="L183" s="29"/>
      <c r="M183" s="29"/>
      <c r="N183" s="29"/>
      <c r="O183" s="147"/>
      <c r="Q183" s="29"/>
      <c r="R183" s="30"/>
      <c r="S183" s="29"/>
      <c r="T183" s="29"/>
      <c r="U183" s="29"/>
      <c r="V183" s="30"/>
    </row>
    <row r="184" spans="2:22" s="127" customFormat="1" x14ac:dyDescent="0.15">
      <c r="B184" s="29"/>
      <c r="C184" s="29"/>
      <c r="D184" s="29"/>
      <c r="E184" s="29"/>
      <c r="F184" s="29"/>
      <c r="G184" s="29"/>
      <c r="H184" s="147"/>
      <c r="I184" s="29"/>
      <c r="J184" s="29"/>
      <c r="K184" s="29"/>
      <c r="L184" s="29"/>
      <c r="M184" s="29"/>
      <c r="N184" s="29"/>
      <c r="O184" s="147"/>
      <c r="Q184" s="29"/>
      <c r="R184" s="30"/>
      <c r="S184" s="29"/>
      <c r="T184" s="29"/>
      <c r="U184" s="29"/>
      <c r="V184" s="30"/>
    </row>
    <row r="185" spans="2:22" s="127" customFormat="1" x14ac:dyDescent="0.15">
      <c r="B185" s="29"/>
      <c r="C185" s="29"/>
      <c r="D185" s="29"/>
      <c r="E185" s="29"/>
      <c r="F185" s="29"/>
      <c r="G185" s="29"/>
      <c r="H185" s="147"/>
      <c r="I185" s="29"/>
      <c r="J185" s="29"/>
      <c r="K185" s="29"/>
      <c r="L185" s="29"/>
      <c r="M185" s="29"/>
      <c r="N185" s="29"/>
      <c r="O185" s="147"/>
      <c r="Q185" s="29"/>
      <c r="R185" s="30"/>
      <c r="S185" s="29"/>
      <c r="T185" s="29"/>
      <c r="U185" s="29"/>
      <c r="V185" s="30"/>
    </row>
    <row r="186" spans="2:22" s="127" customFormat="1" x14ac:dyDescent="0.15">
      <c r="B186" s="29"/>
      <c r="C186" s="29"/>
      <c r="D186" s="29"/>
      <c r="E186" s="29"/>
      <c r="F186" s="29"/>
      <c r="G186" s="29"/>
      <c r="H186" s="147"/>
      <c r="I186" s="29"/>
      <c r="J186" s="29"/>
      <c r="K186" s="29"/>
      <c r="L186" s="29"/>
      <c r="M186" s="29"/>
      <c r="N186" s="29"/>
      <c r="O186" s="147"/>
      <c r="Q186" s="29"/>
      <c r="R186" s="30"/>
      <c r="S186" s="29"/>
      <c r="T186" s="29"/>
      <c r="U186" s="29"/>
      <c r="V186" s="30"/>
    </row>
    <row r="187" spans="2:22" s="127" customFormat="1" x14ac:dyDescent="0.15">
      <c r="B187" s="29"/>
      <c r="C187" s="29"/>
      <c r="D187" s="29"/>
      <c r="E187" s="29"/>
      <c r="F187" s="29"/>
      <c r="G187" s="29"/>
      <c r="H187" s="147"/>
      <c r="I187" s="29"/>
      <c r="J187" s="29"/>
      <c r="K187" s="29"/>
      <c r="L187" s="29"/>
      <c r="M187" s="29"/>
      <c r="N187" s="29"/>
      <c r="O187" s="147"/>
      <c r="Q187" s="29"/>
      <c r="R187" s="30"/>
      <c r="S187" s="29"/>
      <c r="T187" s="29"/>
      <c r="U187" s="29"/>
      <c r="V187" s="30"/>
    </row>
    <row r="188" spans="2:22" s="127" customFormat="1" x14ac:dyDescent="0.15">
      <c r="B188" s="29"/>
      <c r="C188" s="29"/>
      <c r="D188" s="29"/>
      <c r="E188" s="29"/>
      <c r="F188" s="29"/>
      <c r="G188" s="29"/>
      <c r="H188" s="147"/>
      <c r="I188" s="29"/>
      <c r="J188" s="29"/>
      <c r="K188" s="29"/>
      <c r="L188" s="29"/>
      <c r="M188" s="29"/>
      <c r="N188" s="29"/>
      <c r="O188" s="147"/>
      <c r="Q188" s="29"/>
      <c r="R188" s="30"/>
      <c r="S188" s="29"/>
      <c r="T188" s="29"/>
      <c r="U188" s="29"/>
      <c r="V188" s="30"/>
    </row>
    <row r="189" spans="2:22" s="127" customFormat="1" x14ac:dyDescent="0.15">
      <c r="B189" s="29"/>
      <c r="C189" s="29"/>
      <c r="D189" s="29"/>
      <c r="E189" s="29"/>
      <c r="F189" s="29"/>
      <c r="G189" s="29"/>
      <c r="H189" s="147"/>
      <c r="I189" s="29"/>
      <c r="J189" s="29"/>
      <c r="K189" s="29"/>
      <c r="L189" s="29"/>
      <c r="M189" s="29"/>
      <c r="N189" s="29"/>
      <c r="O189" s="147"/>
      <c r="Q189" s="29"/>
      <c r="R189" s="30"/>
      <c r="S189" s="29"/>
      <c r="T189" s="29"/>
      <c r="U189" s="29"/>
      <c r="V189" s="30"/>
    </row>
    <row r="190" spans="2:22" s="127" customFormat="1" x14ac:dyDescent="0.15">
      <c r="B190" s="29"/>
      <c r="C190" s="29"/>
      <c r="D190" s="29"/>
      <c r="E190" s="29"/>
      <c r="F190" s="29"/>
      <c r="G190" s="29"/>
      <c r="H190" s="147"/>
      <c r="I190" s="29"/>
      <c r="J190" s="29"/>
      <c r="K190" s="29"/>
      <c r="L190" s="29"/>
      <c r="M190" s="29"/>
      <c r="N190" s="29"/>
      <c r="O190" s="147"/>
      <c r="Q190" s="29"/>
      <c r="R190" s="30"/>
      <c r="S190" s="29"/>
      <c r="T190" s="29"/>
      <c r="U190" s="29"/>
      <c r="V190" s="30"/>
    </row>
    <row r="191" spans="2:22" s="127" customFormat="1" x14ac:dyDescent="0.15">
      <c r="B191" s="29"/>
      <c r="C191" s="29"/>
      <c r="D191" s="29"/>
      <c r="E191" s="29"/>
      <c r="F191" s="29"/>
      <c r="G191" s="29"/>
      <c r="H191" s="147"/>
      <c r="I191" s="29"/>
      <c r="J191" s="29"/>
      <c r="K191" s="29"/>
      <c r="L191" s="29"/>
      <c r="M191" s="29"/>
      <c r="N191" s="29"/>
      <c r="O191" s="147"/>
      <c r="Q191" s="29"/>
      <c r="R191" s="30"/>
      <c r="S191" s="29"/>
      <c r="T191" s="29"/>
      <c r="U191" s="29"/>
      <c r="V191" s="30"/>
    </row>
    <row r="192" spans="2:22" s="127" customFormat="1" x14ac:dyDescent="0.15">
      <c r="B192" s="29"/>
      <c r="C192" s="29"/>
      <c r="D192" s="29"/>
      <c r="E192" s="29"/>
      <c r="F192" s="29"/>
      <c r="G192" s="29"/>
      <c r="H192" s="147"/>
      <c r="I192" s="29"/>
      <c r="J192" s="29"/>
      <c r="K192" s="29"/>
      <c r="L192" s="29"/>
      <c r="M192" s="29"/>
      <c r="N192" s="29"/>
      <c r="O192" s="147"/>
      <c r="Q192" s="29"/>
      <c r="R192" s="30"/>
      <c r="S192" s="29"/>
      <c r="T192" s="29"/>
      <c r="U192" s="29"/>
      <c r="V192" s="30"/>
    </row>
    <row r="193" spans="2:22" s="127" customFormat="1" x14ac:dyDescent="0.15">
      <c r="B193" s="29"/>
      <c r="C193" s="29"/>
      <c r="D193" s="29"/>
      <c r="E193" s="29"/>
      <c r="F193" s="29"/>
      <c r="G193" s="29"/>
      <c r="H193" s="147"/>
      <c r="I193" s="29"/>
      <c r="J193" s="29"/>
      <c r="K193" s="29"/>
      <c r="L193" s="29"/>
      <c r="M193" s="29"/>
      <c r="N193" s="29"/>
      <c r="O193" s="147"/>
      <c r="Q193" s="29"/>
      <c r="R193" s="30"/>
      <c r="S193" s="29"/>
      <c r="T193" s="29"/>
      <c r="U193" s="29"/>
      <c r="V193" s="30"/>
    </row>
    <row r="194" spans="2:22" s="127" customFormat="1" x14ac:dyDescent="0.15">
      <c r="B194" s="29"/>
      <c r="C194" s="29"/>
      <c r="D194" s="29"/>
      <c r="E194" s="29"/>
      <c r="F194" s="29"/>
      <c r="G194" s="29"/>
      <c r="H194" s="147"/>
      <c r="I194" s="29"/>
      <c r="J194" s="29"/>
      <c r="K194" s="29"/>
      <c r="L194" s="29"/>
      <c r="M194" s="29"/>
      <c r="N194" s="29"/>
      <c r="O194" s="147"/>
      <c r="Q194" s="29"/>
      <c r="R194" s="30"/>
      <c r="S194" s="29"/>
      <c r="T194" s="29"/>
      <c r="U194" s="29"/>
      <c r="V194" s="30"/>
    </row>
    <row r="195" spans="2:22" s="127" customFormat="1" x14ac:dyDescent="0.15">
      <c r="B195" s="29"/>
      <c r="C195" s="29"/>
      <c r="D195" s="29"/>
      <c r="E195" s="29"/>
      <c r="F195" s="29"/>
      <c r="G195" s="29"/>
      <c r="H195" s="147"/>
      <c r="I195" s="29"/>
      <c r="J195" s="29"/>
      <c r="K195" s="29"/>
      <c r="L195" s="29"/>
      <c r="M195" s="29"/>
      <c r="N195" s="29"/>
      <c r="O195" s="147"/>
      <c r="Q195" s="29"/>
      <c r="R195" s="30"/>
      <c r="S195" s="29"/>
      <c r="T195" s="29"/>
      <c r="U195" s="29"/>
      <c r="V195" s="30"/>
    </row>
  </sheetData>
  <mergeCells count="72">
    <mergeCell ref="B5:B7"/>
    <mergeCell ref="T5:U5"/>
    <mergeCell ref="I6:I11"/>
    <mergeCell ref="T6:U6"/>
    <mergeCell ref="T7:U7"/>
    <mergeCell ref="I4:I5"/>
    <mergeCell ref="J4:J5"/>
    <mergeCell ref="M4:M5"/>
    <mergeCell ref="N4:N5"/>
    <mergeCell ref="T4:U4"/>
    <mergeCell ref="B8:B12"/>
    <mergeCell ref="T8:U8"/>
    <mergeCell ref="T9:U9"/>
    <mergeCell ref="T10:U10"/>
    <mergeCell ref="T11:U11"/>
    <mergeCell ref="I12:I16"/>
    <mergeCell ref="T12:U12"/>
    <mergeCell ref="B13:B17"/>
    <mergeCell ref="T13:U13"/>
    <mergeCell ref="T14:U14"/>
    <mergeCell ref="T15:U15"/>
    <mergeCell ref="T16:U16"/>
    <mergeCell ref="I17:I20"/>
    <mergeCell ref="T17:U17"/>
    <mergeCell ref="B18:B21"/>
    <mergeCell ref="T18:U18"/>
    <mergeCell ref="T19:U19"/>
    <mergeCell ref="T20:U20"/>
    <mergeCell ref="I21:I24"/>
    <mergeCell ref="T21:U21"/>
    <mergeCell ref="B22:B25"/>
    <mergeCell ref="I25:I28"/>
    <mergeCell ref="K51:L51"/>
    <mergeCell ref="B29:B42"/>
    <mergeCell ref="I29:I33"/>
    <mergeCell ref="K38:L38"/>
    <mergeCell ref="I39:I46"/>
    <mergeCell ref="K39:L39"/>
    <mergeCell ref="K40:L40"/>
    <mergeCell ref="K41:L41"/>
    <mergeCell ref="K61:L61"/>
    <mergeCell ref="Q41:R41"/>
    <mergeCell ref="K42:L42"/>
    <mergeCell ref="P42:P48"/>
    <mergeCell ref="B43:B53"/>
    <mergeCell ref="K43:L43"/>
    <mergeCell ref="K44:L44"/>
    <mergeCell ref="K45:L45"/>
    <mergeCell ref="K46:L46"/>
    <mergeCell ref="I47:I50"/>
    <mergeCell ref="K47:L47"/>
    <mergeCell ref="K48:L48"/>
    <mergeCell ref="K49:L49"/>
    <mergeCell ref="P49:P60"/>
    <mergeCell ref="Q49:Q53"/>
    <mergeCell ref="K50:L50"/>
    <mergeCell ref="P61:Q61"/>
    <mergeCell ref="B54:B57"/>
    <mergeCell ref="K54:L54"/>
    <mergeCell ref="I55:I60"/>
    <mergeCell ref="K55:L55"/>
    <mergeCell ref="Q55:Q59"/>
    <mergeCell ref="K56:L56"/>
    <mergeCell ref="K57:L57"/>
    <mergeCell ref="B58:B61"/>
    <mergeCell ref="K58:L58"/>
    <mergeCell ref="K59:L59"/>
    <mergeCell ref="I51:I54"/>
    <mergeCell ref="K52:L52"/>
    <mergeCell ref="K53:L53"/>
    <mergeCell ref="K60:L60"/>
    <mergeCell ref="I61:J61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horizontalDpi="4294967293" verticalDpi="300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1"/>
  <sheetViews>
    <sheetView view="pageBreakPreview" zoomScale="60" zoomScaleNormal="100" workbookViewId="0">
      <selection activeCell="AR26" sqref="AR26"/>
    </sheetView>
  </sheetViews>
  <sheetFormatPr defaultRowHeight="13.5" x14ac:dyDescent="0.15"/>
  <cols>
    <col min="1" max="1" width="9" style="313"/>
    <col min="2" max="2" width="24.25" style="313" customWidth="1"/>
    <col min="3" max="257" width="9" style="313"/>
    <col min="258" max="258" width="24.25" style="313" customWidth="1"/>
    <col min="259" max="513" width="9" style="313"/>
    <col min="514" max="514" width="24.25" style="313" customWidth="1"/>
    <col min="515" max="769" width="9" style="313"/>
    <col min="770" max="770" width="24.25" style="313" customWidth="1"/>
    <col min="771" max="1025" width="9" style="313"/>
    <col min="1026" max="1026" width="24.25" style="313" customWidth="1"/>
    <col min="1027" max="1281" width="9" style="313"/>
    <col min="1282" max="1282" width="24.25" style="313" customWidth="1"/>
    <col min="1283" max="1537" width="9" style="313"/>
    <col min="1538" max="1538" width="24.25" style="313" customWidth="1"/>
    <col min="1539" max="1793" width="9" style="313"/>
    <col min="1794" max="1794" width="24.25" style="313" customWidth="1"/>
    <col min="1795" max="2049" width="9" style="313"/>
    <col min="2050" max="2050" width="24.25" style="313" customWidth="1"/>
    <col min="2051" max="2305" width="9" style="313"/>
    <col min="2306" max="2306" width="24.25" style="313" customWidth="1"/>
    <col min="2307" max="2561" width="9" style="313"/>
    <col min="2562" max="2562" width="24.25" style="313" customWidth="1"/>
    <col min="2563" max="2817" width="9" style="313"/>
    <col min="2818" max="2818" width="24.25" style="313" customWidth="1"/>
    <col min="2819" max="3073" width="9" style="313"/>
    <col min="3074" max="3074" width="24.25" style="313" customWidth="1"/>
    <col min="3075" max="3329" width="9" style="313"/>
    <col min="3330" max="3330" width="24.25" style="313" customWidth="1"/>
    <col min="3331" max="3585" width="9" style="313"/>
    <col min="3586" max="3586" width="24.25" style="313" customWidth="1"/>
    <col min="3587" max="3841" width="9" style="313"/>
    <col min="3842" max="3842" width="24.25" style="313" customWidth="1"/>
    <col min="3843" max="4097" width="9" style="313"/>
    <col min="4098" max="4098" width="24.25" style="313" customWidth="1"/>
    <col min="4099" max="4353" width="9" style="313"/>
    <col min="4354" max="4354" width="24.25" style="313" customWidth="1"/>
    <col min="4355" max="4609" width="9" style="313"/>
    <col min="4610" max="4610" width="24.25" style="313" customWidth="1"/>
    <col min="4611" max="4865" width="9" style="313"/>
    <col min="4866" max="4866" width="24.25" style="313" customWidth="1"/>
    <col min="4867" max="5121" width="9" style="313"/>
    <col min="5122" max="5122" width="24.25" style="313" customWidth="1"/>
    <col min="5123" max="5377" width="9" style="313"/>
    <col min="5378" max="5378" width="24.25" style="313" customWidth="1"/>
    <col min="5379" max="5633" width="9" style="313"/>
    <col min="5634" max="5634" width="24.25" style="313" customWidth="1"/>
    <col min="5635" max="5889" width="9" style="313"/>
    <col min="5890" max="5890" width="24.25" style="313" customWidth="1"/>
    <col min="5891" max="6145" width="9" style="313"/>
    <col min="6146" max="6146" width="24.25" style="313" customWidth="1"/>
    <col min="6147" max="6401" width="9" style="313"/>
    <col min="6402" max="6402" width="24.25" style="313" customWidth="1"/>
    <col min="6403" max="6657" width="9" style="313"/>
    <col min="6658" max="6658" width="24.25" style="313" customWidth="1"/>
    <col min="6659" max="6913" width="9" style="313"/>
    <col min="6914" max="6914" width="24.25" style="313" customWidth="1"/>
    <col min="6915" max="7169" width="9" style="313"/>
    <col min="7170" max="7170" width="24.25" style="313" customWidth="1"/>
    <col min="7171" max="7425" width="9" style="313"/>
    <col min="7426" max="7426" width="24.25" style="313" customWidth="1"/>
    <col min="7427" max="7681" width="9" style="313"/>
    <col min="7682" max="7682" width="24.25" style="313" customWidth="1"/>
    <col min="7683" max="7937" width="9" style="313"/>
    <col min="7938" max="7938" width="24.25" style="313" customWidth="1"/>
    <col min="7939" max="8193" width="9" style="313"/>
    <col min="8194" max="8194" width="24.25" style="313" customWidth="1"/>
    <col min="8195" max="8449" width="9" style="313"/>
    <col min="8450" max="8450" width="24.25" style="313" customWidth="1"/>
    <col min="8451" max="8705" width="9" style="313"/>
    <col min="8706" max="8706" width="24.25" style="313" customWidth="1"/>
    <col min="8707" max="8961" width="9" style="313"/>
    <col min="8962" max="8962" width="24.25" style="313" customWidth="1"/>
    <col min="8963" max="9217" width="9" style="313"/>
    <col min="9218" max="9218" width="24.25" style="313" customWidth="1"/>
    <col min="9219" max="9473" width="9" style="313"/>
    <col min="9474" max="9474" width="24.25" style="313" customWidth="1"/>
    <col min="9475" max="9729" width="9" style="313"/>
    <col min="9730" max="9730" width="24.25" style="313" customWidth="1"/>
    <col min="9731" max="9985" width="9" style="313"/>
    <col min="9986" max="9986" width="24.25" style="313" customWidth="1"/>
    <col min="9987" max="10241" width="9" style="313"/>
    <col min="10242" max="10242" width="24.25" style="313" customWidth="1"/>
    <col min="10243" max="10497" width="9" style="313"/>
    <col min="10498" max="10498" width="24.25" style="313" customWidth="1"/>
    <col min="10499" max="10753" width="9" style="313"/>
    <col min="10754" max="10754" width="24.25" style="313" customWidth="1"/>
    <col min="10755" max="11009" width="9" style="313"/>
    <col min="11010" max="11010" width="24.25" style="313" customWidth="1"/>
    <col min="11011" max="11265" width="9" style="313"/>
    <col min="11266" max="11266" width="24.25" style="313" customWidth="1"/>
    <col min="11267" max="11521" width="9" style="313"/>
    <col min="11522" max="11522" width="24.25" style="313" customWidth="1"/>
    <col min="11523" max="11777" width="9" style="313"/>
    <col min="11778" max="11778" width="24.25" style="313" customWidth="1"/>
    <col min="11779" max="12033" width="9" style="313"/>
    <col min="12034" max="12034" width="24.25" style="313" customWidth="1"/>
    <col min="12035" max="12289" width="9" style="313"/>
    <col min="12290" max="12290" width="24.25" style="313" customWidth="1"/>
    <col min="12291" max="12545" width="9" style="313"/>
    <col min="12546" max="12546" width="24.25" style="313" customWidth="1"/>
    <col min="12547" max="12801" width="9" style="313"/>
    <col min="12802" max="12802" width="24.25" style="313" customWidth="1"/>
    <col min="12803" max="13057" width="9" style="313"/>
    <col min="13058" max="13058" width="24.25" style="313" customWidth="1"/>
    <col min="13059" max="13313" width="9" style="313"/>
    <col min="13314" max="13314" width="24.25" style="313" customWidth="1"/>
    <col min="13315" max="13569" width="9" style="313"/>
    <col min="13570" max="13570" width="24.25" style="313" customWidth="1"/>
    <col min="13571" max="13825" width="9" style="313"/>
    <col min="13826" max="13826" width="24.25" style="313" customWidth="1"/>
    <col min="13827" max="14081" width="9" style="313"/>
    <col min="14082" max="14082" width="24.25" style="313" customWidth="1"/>
    <col min="14083" max="14337" width="9" style="313"/>
    <col min="14338" max="14338" width="24.25" style="313" customWidth="1"/>
    <col min="14339" max="14593" width="9" style="313"/>
    <col min="14594" max="14594" width="24.25" style="313" customWidth="1"/>
    <col min="14595" max="14849" width="9" style="313"/>
    <col min="14850" max="14850" width="24.25" style="313" customWidth="1"/>
    <col min="14851" max="15105" width="9" style="313"/>
    <col min="15106" max="15106" width="24.25" style="313" customWidth="1"/>
    <col min="15107" max="15361" width="9" style="313"/>
    <col min="15362" max="15362" width="24.25" style="313" customWidth="1"/>
    <col min="15363" max="15617" width="9" style="313"/>
    <col min="15618" max="15618" width="24.25" style="313" customWidth="1"/>
    <col min="15619" max="15873" width="9" style="313"/>
    <col min="15874" max="15874" width="24.25" style="313" customWidth="1"/>
    <col min="15875" max="16129" width="9" style="313"/>
    <col min="16130" max="16130" width="24.25" style="313" customWidth="1"/>
    <col min="16131" max="16384" width="9" style="313"/>
  </cols>
  <sheetData>
    <row r="1" spans="1:12" ht="14.25" thickBot="1" x14ac:dyDescent="0.2"/>
    <row r="2" spans="1:12" ht="14.25" thickBot="1" x14ac:dyDescent="0.2">
      <c r="A2" s="314"/>
      <c r="B2" s="315" t="s">
        <v>109</v>
      </c>
      <c r="C2" s="316" t="s">
        <v>250</v>
      </c>
      <c r="D2" s="316" t="s">
        <v>251</v>
      </c>
      <c r="E2" s="316" t="s">
        <v>252</v>
      </c>
      <c r="F2" s="316" t="s">
        <v>253</v>
      </c>
      <c r="G2" s="315" t="s">
        <v>110</v>
      </c>
      <c r="H2" s="317" t="s">
        <v>111</v>
      </c>
      <c r="I2" s="318" t="s">
        <v>112</v>
      </c>
      <c r="K2" s="319" t="s">
        <v>254</v>
      </c>
      <c r="L2" s="319"/>
    </row>
    <row r="3" spans="1:12" x14ac:dyDescent="0.15">
      <c r="A3" s="916" t="s">
        <v>255</v>
      </c>
      <c r="B3" s="320" t="s">
        <v>256</v>
      </c>
      <c r="C3" s="321">
        <v>500</v>
      </c>
      <c r="D3" s="321">
        <v>200</v>
      </c>
      <c r="E3" s="321">
        <v>500</v>
      </c>
      <c r="F3" s="322">
        <f>ROUNDDOWN(K3*1.1,-1)</f>
        <v>3660</v>
      </c>
      <c r="G3" s="323">
        <f>+D3/C3*1000</f>
        <v>400</v>
      </c>
      <c r="H3" s="321" t="s">
        <v>257</v>
      </c>
      <c r="I3" s="324">
        <f>+F3/E3*G3</f>
        <v>2928</v>
      </c>
      <c r="K3" s="313">
        <v>3335</v>
      </c>
    </row>
    <row r="4" spans="1:12" x14ac:dyDescent="0.15">
      <c r="A4" s="917"/>
      <c r="B4" s="320" t="s">
        <v>258</v>
      </c>
      <c r="C4" s="321">
        <v>800</v>
      </c>
      <c r="D4" s="321">
        <v>300</v>
      </c>
      <c r="E4" s="325">
        <v>500</v>
      </c>
      <c r="F4" s="326">
        <f t="shared" ref="F4:F10" si="0">ROUNDDOWN(K4*1.1,-1)</f>
        <v>1840</v>
      </c>
      <c r="G4" s="327">
        <f t="shared" ref="G4:G9" si="1">+D4/C4*1000</f>
        <v>375</v>
      </c>
      <c r="H4" s="321" t="s">
        <v>257</v>
      </c>
      <c r="I4" s="324">
        <f t="shared" ref="I4:I10" si="2">+F4/E4*G4</f>
        <v>1380</v>
      </c>
      <c r="K4" s="313">
        <v>1678</v>
      </c>
    </row>
    <row r="5" spans="1:12" x14ac:dyDescent="0.15">
      <c r="A5" s="917"/>
      <c r="B5" s="328" t="s">
        <v>259</v>
      </c>
      <c r="C5" s="321">
        <v>1500</v>
      </c>
      <c r="D5" s="321">
        <v>300</v>
      </c>
      <c r="E5" s="321">
        <v>500</v>
      </c>
      <c r="F5" s="322">
        <f t="shared" si="0"/>
        <v>6260</v>
      </c>
      <c r="G5" s="323">
        <f>+D5/C5*1000</f>
        <v>200</v>
      </c>
      <c r="H5" s="321" t="s">
        <v>257</v>
      </c>
      <c r="I5" s="324">
        <f t="shared" si="2"/>
        <v>2504</v>
      </c>
      <c r="K5" s="313">
        <v>5693</v>
      </c>
    </row>
    <row r="6" spans="1:12" x14ac:dyDescent="0.15">
      <c r="A6" s="917"/>
      <c r="B6" s="320" t="s">
        <v>260</v>
      </c>
      <c r="C6" s="321">
        <v>2000</v>
      </c>
      <c r="D6" s="321">
        <v>300</v>
      </c>
      <c r="E6" s="321">
        <v>500</v>
      </c>
      <c r="F6" s="322">
        <f t="shared" si="0"/>
        <v>3690</v>
      </c>
      <c r="G6" s="323">
        <f t="shared" si="1"/>
        <v>150</v>
      </c>
      <c r="H6" s="321" t="s">
        <v>257</v>
      </c>
      <c r="I6" s="324">
        <f t="shared" si="2"/>
        <v>1107</v>
      </c>
      <c r="K6" s="313">
        <v>3360</v>
      </c>
    </row>
    <row r="7" spans="1:12" x14ac:dyDescent="0.15">
      <c r="A7" s="917"/>
      <c r="B7" s="328" t="s">
        <v>261</v>
      </c>
      <c r="C7" s="321">
        <v>2000</v>
      </c>
      <c r="D7" s="321">
        <v>300</v>
      </c>
      <c r="E7" s="321">
        <v>500</v>
      </c>
      <c r="F7" s="322">
        <f t="shared" si="0"/>
        <v>4570</v>
      </c>
      <c r="G7" s="323">
        <f t="shared" si="1"/>
        <v>150</v>
      </c>
      <c r="H7" s="321" t="s">
        <v>257</v>
      </c>
      <c r="I7" s="324">
        <f t="shared" si="2"/>
        <v>1371</v>
      </c>
      <c r="K7" s="313">
        <v>4155</v>
      </c>
    </row>
    <row r="8" spans="1:12" x14ac:dyDescent="0.15">
      <c r="A8" s="917"/>
      <c r="B8" s="328" t="s">
        <v>262</v>
      </c>
      <c r="C8" s="321">
        <v>3000</v>
      </c>
      <c r="D8" s="321">
        <v>300</v>
      </c>
      <c r="E8" s="321">
        <v>500</v>
      </c>
      <c r="F8" s="322">
        <f t="shared" si="0"/>
        <v>6350</v>
      </c>
      <c r="G8" s="323">
        <f t="shared" si="1"/>
        <v>100</v>
      </c>
      <c r="H8" s="321" t="s">
        <v>257</v>
      </c>
      <c r="I8" s="324">
        <f t="shared" si="2"/>
        <v>1270</v>
      </c>
      <c r="K8" s="313">
        <v>5775</v>
      </c>
    </row>
    <row r="9" spans="1:12" x14ac:dyDescent="0.15">
      <c r="A9" s="917"/>
      <c r="B9" s="328" t="s">
        <v>263</v>
      </c>
      <c r="C9" s="321">
        <v>3000</v>
      </c>
      <c r="D9" s="321">
        <v>300</v>
      </c>
      <c r="E9" s="321">
        <v>500</v>
      </c>
      <c r="F9" s="322">
        <f t="shared" si="0"/>
        <v>8080</v>
      </c>
      <c r="G9" s="323">
        <f t="shared" si="1"/>
        <v>100</v>
      </c>
      <c r="H9" s="321" t="s">
        <v>257</v>
      </c>
      <c r="I9" s="324">
        <f t="shared" si="2"/>
        <v>1616</v>
      </c>
      <c r="K9" s="313">
        <v>7354</v>
      </c>
    </row>
    <row r="10" spans="1:12" x14ac:dyDescent="0.15">
      <c r="A10" s="917"/>
      <c r="B10" s="328" t="s">
        <v>264</v>
      </c>
      <c r="C10" s="321">
        <v>50</v>
      </c>
      <c r="D10" s="321">
        <v>400</v>
      </c>
      <c r="E10" s="321">
        <v>20000</v>
      </c>
      <c r="F10" s="322">
        <f t="shared" si="0"/>
        <v>5970</v>
      </c>
      <c r="G10" s="323">
        <f>+D10/C10*1000</f>
        <v>8000</v>
      </c>
      <c r="H10" s="321" t="s">
        <v>257</v>
      </c>
      <c r="I10" s="324">
        <f t="shared" si="2"/>
        <v>2388</v>
      </c>
      <c r="K10" s="313">
        <v>5436</v>
      </c>
    </row>
    <row r="11" spans="1:12" ht="14.25" thickBot="1" x14ac:dyDescent="0.2">
      <c r="A11" s="918"/>
      <c r="B11" s="329" t="s">
        <v>265</v>
      </c>
      <c r="C11" s="329"/>
      <c r="D11" s="329"/>
      <c r="E11" s="329"/>
      <c r="F11" s="329"/>
      <c r="G11" s="330"/>
      <c r="H11" s="330"/>
      <c r="I11" s="331">
        <f>SUM(I3:I10)</f>
        <v>14564</v>
      </c>
    </row>
    <row r="12" spans="1:12" ht="14.25" thickTop="1" x14ac:dyDescent="0.15">
      <c r="A12" s="919" t="s">
        <v>266</v>
      </c>
      <c r="B12" s="328" t="s">
        <v>267</v>
      </c>
      <c r="C12" s="321">
        <v>10</v>
      </c>
      <c r="D12" s="321">
        <v>200</v>
      </c>
      <c r="E12" s="321">
        <v>18000</v>
      </c>
      <c r="F12" s="322">
        <f>ROUNDDOWN(K12*1.1,-1)</f>
        <v>2560</v>
      </c>
      <c r="G12" s="323">
        <f>+D12/C12*1000</f>
        <v>20000</v>
      </c>
      <c r="H12" s="321" t="s">
        <v>257</v>
      </c>
      <c r="I12" s="324">
        <f>+F12/E12*G12</f>
        <v>2844.4444444444443</v>
      </c>
      <c r="K12" s="313">
        <v>2329</v>
      </c>
    </row>
    <row r="13" spans="1:12" x14ac:dyDescent="0.15">
      <c r="A13" s="917"/>
      <c r="B13" s="320" t="s">
        <v>268</v>
      </c>
      <c r="C13" s="321">
        <v>1500</v>
      </c>
      <c r="D13" s="321">
        <v>300</v>
      </c>
      <c r="E13" s="332">
        <v>500</v>
      </c>
      <c r="F13" s="333">
        <f t="shared" ref="F13:F20" si="3">ROUNDDOWN(K13*1.1,-1)</f>
        <v>2380</v>
      </c>
      <c r="G13" s="323">
        <f t="shared" ref="G13:G16" si="4">+D13/C13*1000</f>
        <v>200</v>
      </c>
      <c r="H13" s="321" t="s">
        <v>257</v>
      </c>
      <c r="I13" s="324">
        <f t="shared" ref="I13:I18" si="5">+F13/E13*G13</f>
        <v>952</v>
      </c>
      <c r="K13" s="313">
        <v>2167</v>
      </c>
    </row>
    <row r="14" spans="1:12" x14ac:dyDescent="0.15">
      <c r="A14" s="917"/>
      <c r="B14" s="320" t="s">
        <v>269</v>
      </c>
      <c r="C14" s="321">
        <v>4000</v>
      </c>
      <c r="D14" s="321">
        <v>300</v>
      </c>
      <c r="E14" s="321">
        <v>500</v>
      </c>
      <c r="F14" s="322">
        <f t="shared" si="3"/>
        <v>8340</v>
      </c>
      <c r="G14" s="323">
        <f t="shared" si="4"/>
        <v>75</v>
      </c>
      <c r="H14" s="321" t="s">
        <v>257</v>
      </c>
      <c r="I14" s="324">
        <f>+F14/E14*G14</f>
        <v>1251</v>
      </c>
      <c r="K14" s="313">
        <v>7590</v>
      </c>
    </row>
    <row r="15" spans="1:12" x14ac:dyDescent="0.15">
      <c r="A15" s="917"/>
      <c r="B15" s="334" t="s">
        <v>270</v>
      </c>
      <c r="C15" s="332">
        <v>2000</v>
      </c>
      <c r="D15" s="321">
        <v>300</v>
      </c>
      <c r="E15" s="332">
        <v>500</v>
      </c>
      <c r="F15" s="333">
        <f t="shared" si="3"/>
        <v>3180</v>
      </c>
      <c r="G15" s="335">
        <f t="shared" si="4"/>
        <v>150</v>
      </c>
      <c r="H15" s="332" t="s">
        <v>257</v>
      </c>
      <c r="I15" s="336">
        <f t="shared" si="5"/>
        <v>954</v>
      </c>
      <c r="K15" s="313">
        <v>2896</v>
      </c>
    </row>
    <row r="16" spans="1:12" x14ac:dyDescent="0.15">
      <c r="A16" s="917"/>
      <c r="B16" s="337" t="s">
        <v>271</v>
      </c>
      <c r="C16" s="332">
        <v>1500</v>
      </c>
      <c r="D16" s="321">
        <v>300</v>
      </c>
      <c r="E16" s="332">
        <v>500</v>
      </c>
      <c r="F16" s="333">
        <f t="shared" si="3"/>
        <v>4900</v>
      </c>
      <c r="G16" s="335">
        <f t="shared" si="4"/>
        <v>200</v>
      </c>
      <c r="H16" s="332" t="s">
        <v>257</v>
      </c>
      <c r="I16" s="336">
        <f t="shared" si="5"/>
        <v>1960.0000000000002</v>
      </c>
      <c r="K16" s="313">
        <v>4462</v>
      </c>
    </row>
    <row r="17" spans="1:11" x14ac:dyDescent="0.15">
      <c r="A17" s="917"/>
      <c r="B17" s="338" t="s">
        <v>272</v>
      </c>
      <c r="C17" s="332">
        <v>1500</v>
      </c>
      <c r="D17" s="332">
        <v>300</v>
      </c>
      <c r="E17" s="332">
        <v>500</v>
      </c>
      <c r="F17" s="333">
        <f t="shared" si="3"/>
        <v>3300</v>
      </c>
      <c r="G17" s="335">
        <f>+D17/C17*1000</f>
        <v>200</v>
      </c>
      <c r="H17" s="332" t="s">
        <v>257</v>
      </c>
      <c r="I17" s="336">
        <f t="shared" si="5"/>
        <v>1320</v>
      </c>
      <c r="K17" s="313">
        <v>3005</v>
      </c>
    </row>
    <row r="18" spans="1:11" x14ac:dyDescent="0.15">
      <c r="A18" s="917"/>
      <c r="B18" s="339" t="s">
        <v>269</v>
      </c>
      <c r="C18" s="340">
        <v>2000</v>
      </c>
      <c r="D18" s="340">
        <v>300</v>
      </c>
      <c r="E18" s="340">
        <v>500</v>
      </c>
      <c r="F18" s="341">
        <f t="shared" si="3"/>
        <v>8340</v>
      </c>
      <c r="G18" s="342">
        <f>+D18/C18*1000</f>
        <v>150</v>
      </c>
      <c r="H18" s="340" t="s">
        <v>257</v>
      </c>
      <c r="I18" s="343">
        <f t="shared" si="5"/>
        <v>2502</v>
      </c>
      <c r="K18" s="313">
        <v>7590</v>
      </c>
    </row>
    <row r="19" spans="1:11" ht="14.25" thickBot="1" x14ac:dyDescent="0.2">
      <c r="A19" s="918"/>
      <c r="B19" s="344" t="s">
        <v>117</v>
      </c>
      <c r="C19" s="344"/>
      <c r="D19" s="344"/>
      <c r="E19" s="344"/>
      <c r="F19" s="344"/>
      <c r="G19" s="345"/>
      <c r="H19" s="345"/>
      <c r="I19" s="346">
        <f>SUM(I13:I17)</f>
        <v>6437</v>
      </c>
    </row>
    <row r="20" spans="1:11" ht="14.25" thickTop="1" x14ac:dyDescent="0.15">
      <c r="A20" s="347" t="s">
        <v>273</v>
      </c>
      <c r="B20" s="348" t="s">
        <v>274</v>
      </c>
      <c r="C20" s="321">
        <v>100</v>
      </c>
      <c r="D20" s="321">
        <v>100</v>
      </c>
      <c r="E20" s="321">
        <v>22000</v>
      </c>
      <c r="F20" s="322">
        <f t="shared" si="3"/>
        <v>45740</v>
      </c>
      <c r="G20" s="323">
        <f>+D20/C20*1000</f>
        <v>1000</v>
      </c>
      <c r="H20" s="321" t="s">
        <v>257</v>
      </c>
      <c r="I20" s="349">
        <f>+F20/E20*G20</f>
        <v>2079.090909090909</v>
      </c>
      <c r="J20" s="313" t="s">
        <v>275</v>
      </c>
      <c r="K20" s="313">
        <v>41585</v>
      </c>
    </row>
    <row r="21" spans="1:11" x14ac:dyDescent="0.15">
      <c r="A21" s="347" t="s">
        <v>276</v>
      </c>
      <c r="B21" s="321"/>
      <c r="C21" s="321"/>
      <c r="D21" s="321"/>
      <c r="E21" s="321"/>
      <c r="F21" s="322"/>
      <c r="G21" s="323"/>
      <c r="H21" s="321"/>
      <c r="I21" s="324"/>
    </row>
    <row r="22" spans="1:11" x14ac:dyDescent="0.15">
      <c r="A22" s="347" t="s">
        <v>277</v>
      </c>
      <c r="B22" s="321"/>
      <c r="C22" s="321"/>
      <c r="D22" s="321"/>
      <c r="E22" s="321"/>
      <c r="F22" s="322"/>
      <c r="G22" s="323"/>
      <c r="H22" s="321"/>
      <c r="I22" s="324"/>
    </row>
    <row r="23" spans="1:11" ht="14.25" thickBot="1" x14ac:dyDescent="0.2">
      <c r="A23" s="350"/>
      <c r="B23" s="344" t="s">
        <v>117</v>
      </c>
      <c r="C23" s="344"/>
      <c r="D23" s="344"/>
      <c r="E23" s="344"/>
      <c r="F23" s="344"/>
      <c r="G23" s="345"/>
      <c r="H23" s="345"/>
      <c r="I23" s="346">
        <f>SUM(I20:I22)</f>
        <v>2079.090909090909</v>
      </c>
    </row>
    <row r="24" spans="1:11" ht="14.25" thickTop="1" x14ac:dyDescent="0.15">
      <c r="A24" s="351" t="s">
        <v>278</v>
      </c>
      <c r="B24" s="348" t="s">
        <v>279</v>
      </c>
      <c r="C24" s="321"/>
      <c r="D24" s="321"/>
      <c r="E24" s="321">
        <v>200</v>
      </c>
      <c r="F24" s="352">
        <f t="shared" ref="F24:F25" si="6">ROUNDDOWN(K24*1.1,-1)</f>
        <v>840</v>
      </c>
      <c r="G24" s="321">
        <v>200</v>
      </c>
      <c r="H24" s="332" t="s">
        <v>257</v>
      </c>
      <c r="I24" s="324">
        <f t="shared" ref="I24:I25" si="7">+F24/E24*G24</f>
        <v>840</v>
      </c>
      <c r="K24" s="313">
        <v>766</v>
      </c>
    </row>
    <row r="25" spans="1:11" x14ac:dyDescent="0.15">
      <c r="A25" s="351" t="s">
        <v>280</v>
      </c>
      <c r="B25" s="348" t="s">
        <v>281</v>
      </c>
      <c r="C25" s="321"/>
      <c r="D25" s="321"/>
      <c r="E25" s="321">
        <v>10</v>
      </c>
      <c r="F25" s="352">
        <f t="shared" si="6"/>
        <v>1680</v>
      </c>
      <c r="G25" s="321">
        <v>10</v>
      </c>
      <c r="H25" s="332" t="s">
        <v>257</v>
      </c>
      <c r="I25" s="324">
        <f t="shared" si="7"/>
        <v>1680</v>
      </c>
      <c r="K25" s="313">
        <v>1533</v>
      </c>
    </row>
    <row r="26" spans="1:11" x14ac:dyDescent="0.15">
      <c r="A26" s="351" t="s">
        <v>282</v>
      </c>
      <c r="B26" s="348" t="s">
        <v>283</v>
      </c>
      <c r="C26" s="321">
        <v>800</v>
      </c>
      <c r="D26" s="321">
        <v>150</v>
      </c>
      <c r="E26" s="321">
        <v>100</v>
      </c>
      <c r="F26" s="352">
        <f>ROUNDDOWN(K26*1.1,-1)</f>
        <v>5540</v>
      </c>
      <c r="G26" s="323">
        <f t="shared" ref="G26" si="8">+D26/C26*1000</f>
        <v>187.5</v>
      </c>
      <c r="H26" s="332" t="s">
        <v>257</v>
      </c>
      <c r="I26" s="324">
        <f>+F26/E26*G26</f>
        <v>10387.5</v>
      </c>
      <c r="K26" s="313">
        <v>5040</v>
      </c>
    </row>
    <row r="27" spans="1:11" ht="14.25" thickBot="1" x14ac:dyDescent="0.2">
      <c r="A27" s="353"/>
      <c r="B27" s="354" t="s">
        <v>284</v>
      </c>
      <c r="C27" s="354"/>
      <c r="D27" s="354"/>
      <c r="E27" s="354"/>
      <c r="F27" s="354"/>
      <c r="G27" s="355"/>
      <c r="H27" s="355"/>
      <c r="I27" s="356">
        <f>SUM(I24:I26)</f>
        <v>12907.5</v>
      </c>
    </row>
    <row r="28" spans="1:11" ht="14.25" thickBot="1" x14ac:dyDescent="0.2">
      <c r="A28" s="920" t="s">
        <v>22</v>
      </c>
      <c r="B28" s="921"/>
      <c r="C28" s="357"/>
      <c r="D28" s="357"/>
      <c r="E28" s="357"/>
      <c r="F28" s="357"/>
      <c r="G28" s="358"/>
      <c r="H28" s="358"/>
      <c r="I28" s="359">
        <f>SUM(I25:I27)</f>
        <v>24975</v>
      </c>
    </row>
    <row r="29" spans="1:11" x14ac:dyDescent="0.15">
      <c r="B29" s="348" t="s">
        <v>400</v>
      </c>
      <c r="E29" s="483">
        <v>200</v>
      </c>
      <c r="F29" s="313">
        <v>840</v>
      </c>
      <c r="G29" s="487">
        <f>+G24*4</f>
        <v>800</v>
      </c>
      <c r="I29" s="324">
        <f t="shared" ref="I29:I31" si="9">+F29/E29*G29</f>
        <v>3360</v>
      </c>
    </row>
    <row r="30" spans="1:11" x14ac:dyDescent="0.15">
      <c r="B30" s="483" t="s">
        <v>401</v>
      </c>
      <c r="C30" s="313">
        <v>1000</v>
      </c>
      <c r="D30" s="313">
        <v>2</v>
      </c>
      <c r="E30" s="483">
        <v>500</v>
      </c>
      <c r="F30" s="313">
        <v>2250</v>
      </c>
      <c r="G30" s="487">
        <f>+D30/C30*1000</f>
        <v>2</v>
      </c>
      <c r="I30" s="324">
        <f t="shared" si="9"/>
        <v>9</v>
      </c>
    </row>
    <row r="31" spans="1:11" x14ac:dyDescent="0.15">
      <c r="B31" s="483" t="s">
        <v>402</v>
      </c>
      <c r="C31" s="313">
        <v>1000</v>
      </c>
      <c r="D31" s="313">
        <v>150</v>
      </c>
      <c r="E31" s="483">
        <v>100</v>
      </c>
      <c r="F31" s="490">
        <v>5540</v>
      </c>
      <c r="G31" s="487">
        <f>+D31/C31*1000</f>
        <v>150</v>
      </c>
      <c r="I31" s="324">
        <f t="shared" si="9"/>
        <v>8310</v>
      </c>
    </row>
  </sheetData>
  <mergeCells count="3">
    <mergeCell ref="A3:A11"/>
    <mergeCell ref="A12:A19"/>
    <mergeCell ref="A28:B28"/>
  </mergeCells>
  <phoneticPr fontId="4"/>
  <pageMargins left="0.7" right="0.7" top="0.75" bottom="0.75" header="0.3" footer="0.3"/>
  <pageSetup paperSize="9"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2"/>
  <sheetViews>
    <sheetView view="pageBreakPreview" zoomScale="60" zoomScaleNormal="100" workbookViewId="0">
      <selection activeCell="AR26" sqref="AR26"/>
    </sheetView>
  </sheetViews>
  <sheetFormatPr defaultRowHeight="13.5" x14ac:dyDescent="0.15"/>
  <cols>
    <col min="1" max="1" width="22.75" style="313" customWidth="1"/>
    <col min="2" max="2" width="7.625" style="313" customWidth="1"/>
    <col min="3" max="3" width="9" style="360"/>
    <col min="4" max="256" width="9" style="313"/>
    <col min="257" max="257" width="14.125" style="313" customWidth="1"/>
    <col min="258" max="512" width="9" style="313"/>
    <col min="513" max="513" width="14.125" style="313" customWidth="1"/>
    <col min="514" max="768" width="9" style="313"/>
    <col min="769" max="769" width="14.125" style="313" customWidth="1"/>
    <col min="770" max="1024" width="9" style="313"/>
    <col min="1025" max="1025" width="14.125" style="313" customWidth="1"/>
    <col min="1026" max="1280" width="9" style="313"/>
    <col min="1281" max="1281" width="14.125" style="313" customWidth="1"/>
    <col min="1282" max="1536" width="9" style="313"/>
    <col min="1537" max="1537" width="14.125" style="313" customWidth="1"/>
    <col min="1538" max="1792" width="9" style="313"/>
    <col min="1793" max="1793" width="14.125" style="313" customWidth="1"/>
    <col min="1794" max="2048" width="9" style="313"/>
    <col min="2049" max="2049" width="14.125" style="313" customWidth="1"/>
    <col min="2050" max="2304" width="9" style="313"/>
    <col min="2305" max="2305" width="14.125" style="313" customWidth="1"/>
    <col min="2306" max="2560" width="9" style="313"/>
    <col min="2561" max="2561" width="14.125" style="313" customWidth="1"/>
    <col min="2562" max="2816" width="9" style="313"/>
    <col min="2817" max="2817" width="14.125" style="313" customWidth="1"/>
    <col min="2818" max="3072" width="9" style="313"/>
    <col min="3073" max="3073" width="14.125" style="313" customWidth="1"/>
    <col min="3074" max="3328" width="9" style="313"/>
    <col min="3329" max="3329" width="14.125" style="313" customWidth="1"/>
    <col min="3330" max="3584" width="9" style="313"/>
    <col min="3585" max="3585" width="14.125" style="313" customWidth="1"/>
    <col min="3586" max="3840" width="9" style="313"/>
    <col min="3841" max="3841" width="14.125" style="313" customWidth="1"/>
    <col min="3842" max="4096" width="9" style="313"/>
    <col min="4097" max="4097" width="14.125" style="313" customWidth="1"/>
    <col min="4098" max="4352" width="9" style="313"/>
    <col min="4353" max="4353" width="14.125" style="313" customWidth="1"/>
    <col min="4354" max="4608" width="9" style="313"/>
    <col min="4609" max="4609" width="14.125" style="313" customWidth="1"/>
    <col min="4610" max="4864" width="9" style="313"/>
    <col min="4865" max="4865" width="14.125" style="313" customWidth="1"/>
    <col min="4866" max="5120" width="9" style="313"/>
    <col min="5121" max="5121" width="14.125" style="313" customWidth="1"/>
    <col min="5122" max="5376" width="9" style="313"/>
    <col min="5377" max="5377" width="14.125" style="313" customWidth="1"/>
    <col min="5378" max="5632" width="9" style="313"/>
    <col min="5633" max="5633" width="14.125" style="313" customWidth="1"/>
    <col min="5634" max="5888" width="9" style="313"/>
    <col min="5889" max="5889" width="14.125" style="313" customWidth="1"/>
    <col min="5890" max="6144" width="9" style="313"/>
    <col min="6145" max="6145" width="14.125" style="313" customWidth="1"/>
    <col min="6146" max="6400" width="9" style="313"/>
    <col min="6401" max="6401" width="14.125" style="313" customWidth="1"/>
    <col min="6402" max="6656" width="9" style="313"/>
    <col min="6657" max="6657" width="14.125" style="313" customWidth="1"/>
    <col min="6658" max="6912" width="9" style="313"/>
    <col min="6913" max="6913" width="14.125" style="313" customWidth="1"/>
    <col min="6914" max="7168" width="9" style="313"/>
    <col min="7169" max="7169" width="14.125" style="313" customWidth="1"/>
    <col min="7170" max="7424" width="9" style="313"/>
    <col min="7425" max="7425" width="14.125" style="313" customWidth="1"/>
    <col min="7426" max="7680" width="9" style="313"/>
    <col min="7681" max="7681" width="14.125" style="313" customWidth="1"/>
    <col min="7682" max="7936" width="9" style="313"/>
    <col min="7937" max="7937" width="14.125" style="313" customWidth="1"/>
    <col min="7938" max="8192" width="9" style="313"/>
    <col min="8193" max="8193" width="14.125" style="313" customWidth="1"/>
    <col min="8194" max="8448" width="9" style="313"/>
    <col min="8449" max="8449" width="14.125" style="313" customWidth="1"/>
    <col min="8450" max="8704" width="9" style="313"/>
    <col min="8705" max="8705" width="14.125" style="313" customWidth="1"/>
    <col min="8706" max="8960" width="9" style="313"/>
    <col min="8961" max="8961" width="14.125" style="313" customWidth="1"/>
    <col min="8962" max="9216" width="9" style="313"/>
    <col min="9217" max="9217" width="14.125" style="313" customWidth="1"/>
    <col min="9218" max="9472" width="9" style="313"/>
    <col min="9473" max="9473" width="14.125" style="313" customWidth="1"/>
    <col min="9474" max="9728" width="9" style="313"/>
    <col min="9729" max="9729" width="14.125" style="313" customWidth="1"/>
    <col min="9730" max="9984" width="9" style="313"/>
    <col min="9985" max="9985" width="14.125" style="313" customWidth="1"/>
    <col min="9986" max="10240" width="9" style="313"/>
    <col min="10241" max="10241" width="14.125" style="313" customWidth="1"/>
    <col min="10242" max="10496" width="9" style="313"/>
    <col min="10497" max="10497" width="14.125" style="313" customWidth="1"/>
    <col min="10498" max="10752" width="9" style="313"/>
    <col min="10753" max="10753" width="14.125" style="313" customWidth="1"/>
    <col min="10754" max="11008" width="9" style="313"/>
    <col min="11009" max="11009" width="14.125" style="313" customWidth="1"/>
    <col min="11010" max="11264" width="9" style="313"/>
    <col min="11265" max="11265" width="14.125" style="313" customWidth="1"/>
    <col min="11266" max="11520" width="9" style="313"/>
    <col min="11521" max="11521" width="14.125" style="313" customWidth="1"/>
    <col min="11522" max="11776" width="9" style="313"/>
    <col min="11777" max="11777" width="14.125" style="313" customWidth="1"/>
    <col min="11778" max="12032" width="9" style="313"/>
    <col min="12033" max="12033" width="14.125" style="313" customWidth="1"/>
    <col min="12034" max="12288" width="9" style="313"/>
    <col min="12289" max="12289" width="14.125" style="313" customWidth="1"/>
    <col min="12290" max="12544" width="9" style="313"/>
    <col min="12545" max="12545" width="14.125" style="313" customWidth="1"/>
    <col min="12546" max="12800" width="9" style="313"/>
    <col min="12801" max="12801" width="14.125" style="313" customWidth="1"/>
    <col min="12802" max="13056" width="9" style="313"/>
    <col min="13057" max="13057" width="14.125" style="313" customWidth="1"/>
    <col min="13058" max="13312" width="9" style="313"/>
    <col min="13313" max="13313" width="14.125" style="313" customWidth="1"/>
    <col min="13314" max="13568" width="9" style="313"/>
    <col min="13569" max="13569" width="14.125" style="313" customWidth="1"/>
    <col min="13570" max="13824" width="9" style="313"/>
    <col min="13825" max="13825" width="14.125" style="313" customWidth="1"/>
    <col min="13826" max="14080" width="9" style="313"/>
    <col min="14081" max="14081" width="14.125" style="313" customWidth="1"/>
    <col min="14082" max="14336" width="9" style="313"/>
    <col min="14337" max="14337" width="14.125" style="313" customWidth="1"/>
    <col min="14338" max="14592" width="9" style="313"/>
    <col min="14593" max="14593" width="14.125" style="313" customWidth="1"/>
    <col min="14594" max="14848" width="9" style="313"/>
    <col min="14849" max="14849" width="14.125" style="313" customWidth="1"/>
    <col min="14850" max="15104" width="9" style="313"/>
    <col min="15105" max="15105" width="14.125" style="313" customWidth="1"/>
    <col min="15106" max="15360" width="9" style="313"/>
    <col min="15361" max="15361" width="14.125" style="313" customWidth="1"/>
    <col min="15362" max="15616" width="9" style="313"/>
    <col min="15617" max="15617" width="14.125" style="313" customWidth="1"/>
    <col min="15618" max="15872" width="9" style="313"/>
    <col min="15873" max="15873" width="14.125" style="313" customWidth="1"/>
    <col min="15874" max="16128" width="9" style="313"/>
    <col min="16129" max="16129" width="14.125" style="313" customWidth="1"/>
    <col min="16130" max="16384" width="9" style="313"/>
  </cols>
  <sheetData>
    <row r="1" spans="1:14" ht="14.25" thickBot="1" x14ac:dyDescent="0.2"/>
    <row r="2" spans="1:14" x14ac:dyDescent="0.15">
      <c r="A2" s="361" t="s">
        <v>285</v>
      </c>
      <c r="B2" s="362" t="s">
        <v>7</v>
      </c>
      <c r="C2" s="363" t="s">
        <v>286</v>
      </c>
      <c r="D2" s="922" t="s">
        <v>287</v>
      </c>
      <c r="E2" s="923"/>
      <c r="F2" s="924"/>
      <c r="G2" s="922" t="s">
        <v>288</v>
      </c>
      <c r="H2" s="923"/>
      <c r="I2" s="924"/>
      <c r="J2" s="364" t="s">
        <v>289</v>
      </c>
      <c r="K2" s="362" t="s">
        <v>290</v>
      </c>
      <c r="L2" s="365" t="s">
        <v>24</v>
      </c>
      <c r="N2" s="366" t="s">
        <v>254</v>
      </c>
    </row>
    <row r="3" spans="1:14" x14ac:dyDescent="0.15">
      <c r="A3" s="367"/>
      <c r="B3" s="368"/>
      <c r="C3" s="369"/>
      <c r="D3" s="370" t="s">
        <v>291</v>
      </c>
      <c r="E3" s="368" t="s">
        <v>292</v>
      </c>
      <c r="F3" s="371" t="s">
        <v>293</v>
      </c>
      <c r="G3" s="370" t="s">
        <v>291</v>
      </c>
      <c r="H3" s="368" t="s">
        <v>292</v>
      </c>
      <c r="I3" s="371" t="s">
        <v>293</v>
      </c>
      <c r="J3" s="372"/>
      <c r="K3" s="368"/>
      <c r="L3" s="371"/>
    </row>
    <row r="4" spans="1:14" x14ac:dyDescent="0.15">
      <c r="A4" s="373" t="s">
        <v>294</v>
      </c>
      <c r="B4" s="368" t="s">
        <v>295</v>
      </c>
      <c r="C4" s="374">
        <v>3000</v>
      </c>
      <c r="D4" s="373"/>
      <c r="E4" s="375"/>
      <c r="F4" s="376"/>
      <c r="G4" s="377"/>
      <c r="H4" s="378"/>
      <c r="I4" s="379"/>
      <c r="J4" s="380">
        <v>2000</v>
      </c>
      <c r="K4" s="375">
        <f>ROUNDDOWN(N4*1.1,-1)</f>
        <v>44320</v>
      </c>
      <c r="L4" s="381">
        <f>+K4/J4*C4</f>
        <v>66480</v>
      </c>
      <c r="N4" s="313">
        <v>40299</v>
      </c>
    </row>
    <row r="5" spans="1:14" x14ac:dyDescent="0.15">
      <c r="A5" s="373" t="s">
        <v>296</v>
      </c>
      <c r="B5" s="368" t="s">
        <v>297</v>
      </c>
      <c r="C5" s="382">
        <v>15</v>
      </c>
      <c r="D5" s="373">
        <v>16</v>
      </c>
      <c r="E5" s="375">
        <v>10</v>
      </c>
      <c r="F5" s="376">
        <v>14</v>
      </c>
      <c r="G5" s="377">
        <f t="shared" ref="G5:G11" si="0">+C5*D5/100</f>
        <v>2.4</v>
      </c>
      <c r="H5" s="378">
        <f t="shared" ref="H5:H11" si="1">+C5*E5/100</f>
        <v>1.5</v>
      </c>
      <c r="I5" s="379">
        <f t="shared" ref="I5:I11" si="2">+C5*F5/100</f>
        <v>2.1</v>
      </c>
      <c r="J5" s="380">
        <v>20</v>
      </c>
      <c r="K5" s="375">
        <f t="shared" ref="K5:K11" si="3">ROUNDDOWN(N5*1.1,-1)</f>
        <v>3200</v>
      </c>
      <c r="L5" s="381">
        <f>+K5/J5*C5</f>
        <v>2400</v>
      </c>
      <c r="N5" s="313">
        <v>2916</v>
      </c>
    </row>
    <row r="6" spans="1:14" x14ac:dyDescent="0.15">
      <c r="A6" s="373" t="s">
        <v>298</v>
      </c>
      <c r="B6" s="368" t="s">
        <v>297</v>
      </c>
      <c r="C6" s="382">
        <v>40</v>
      </c>
      <c r="D6" s="373">
        <v>9</v>
      </c>
      <c r="E6" s="375">
        <v>12</v>
      </c>
      <c r="F6" s="376">
        <v>10</v>
      </c>
      <c r="G6" s="377">
        <f t="shared" si="0"/>
        <v>3.6</v>
      </c>
      <c r="H6" s="378">
        <f t="shared" si="1"/>
        <v>4.8</v>
      </c>
      <c r="I6" s="379">
        <f t="shared" si="2"/>
        <v>4</v>
      </c>
      <c r="J6" s="380">
        <v>20</v>
      </c>
      <c r="K6" s="375">
        <f t="shared" si="3"/>
        <v>2880</v>
      </c>
      <c r="L6" s="381">
        <f t="shared" ref="L6:L11" si="4">+K6/J6*C6</f>
        <v>5760</v>
      </c>
      <c r="N6" s="313">
        <v>2623</v>
      </c>
    </row>
    <row r="7" spans="1:14" x14ac:dyDescent="0.15">
      <c r="A7" s="373" t="s">
        <v>299</v>
      </c>
      <c r="B7" s="368" t="s">
        <v>297</v>
      </c>
      <c r="C7" s="382">
        <v>40</v>
      </c>
      <c r="D7" s="373"/>
      <c r="E7" s="375"/>
      <c r="F7" s="376"/>
      <c r="G7" s="377">
        <f t="shared" si="0"/>
        <v>0</v>
      </c>
      <c r="H7" s="378">
        <f t="shared" si="1"/>
        <v>0</v>
      </c>
      <c r="I7" s="379">
        <f t="shared" si="2"/>
        <v>0</v>
      </c>
      <c r="J7" s="380">
        <v>20</v>
      </c>
      <c r="K7" s="375">
        <f t="shared" si="3"/>
        <v>860</v>
      </c>
      <c r="L7" s="381">
        <f t="shared" si="4"/>
        <v>1720</v>
      </c>
      <c r="N7" s="313">
        <v>787</v>
      </c>
    </row>
    <row r="8" spans="1:14" x14ac:dyDescent="0.15">
      <c r="A8" s="373" t="s">
        <v>300</v>
      </c>
      <c r="B8" s="368" t="s">
        <v>297</v>
      </c>
      <c r="C8" s="382">
        <v>4</v>
      </c>
      <c r="D8" s="373"/>
      <c r="E8" s="375"/>
      <c r="F8" s="376"/>
      <c r="G8" s="377">
        <f t="shared" si="0"/>
        <v>0</v>
      </c>
      <c r="H8" s="378">
        <f t="shared" si="1"/>
        <v>0</v>
      </c>
      <c r="I8" s="379">
        <f t="shared" si="2"/>
        <v>0</v>
      </c>
      <c r="J8" s="380">
        <v>2</v>
      </c>
      <c r="K8" s="375">
        <f t="shared" si="3"/>
        <v>730</v>
      </c>
      <c r="L8" s="381">
        <f t="shared" si="4"/>
        <v>1460</v>
      </c>
      <c r="N8" s="313">
        <v>669</v>
      </c>
    </row>
    <row r="9" spans="1:14" x14ac:dyDescent="0.15">
      <c r="A9" s="383" t="s">
        <v>301</v>
      </c>
      <c r="B9" s="368" t="s">
        <v>297</v>
      </c>
      <c r="C9" s="382">
        <v>30</v>
      </c>
      <c r="D9" s="383"/>
      <c r="E9" s="384"/>
      <c r="F9" s="385"/>
      <c r="G9" s="377">
        <f t="shared" si="0"/>
        <v>0</v>
      </c>
      <c r="H9" s="378">
        <f t="shared" si="1"/>
        <v>0</v>
      </c>
      <c r="I9" s="379">
        <f t="shared" si="2"/>
        <v>0</v>
      </c>
      <c r="J9" s="386">
        <v>15</v>
      </c>
      <c r="K9" s="384">
        <f t="shared" si="3"/>
        <v>4410</v>
      </c>
      <c r="L9" s="381">
        <f t="shared" si="4"/>
        <v>8820</v>
      </c>
      <c r="N9" s="313">
        <v>4017</v>
      </c>
    </row>
    <row r="10" spans="1:14" x14ac:dyDescent="0.15">
      <c r="A10" s="383" t="s">
        <v>302</v>
      </c>
      <c r="B10" s="368" t="s">
        <v>297</v>
      </c>
      <c r="C10" s="382">
        <v>30</v>
      </c>
      <c r="D10" s="383"/>
      <c r="E10" s="384"/>
      <c r="F10" s="385"/>
      <c r="G10" s="377">
        <f t="shared" si="0"/>
        <v>0</v>
      </c>
      <c r="H10" s="378">
        <f t="shared" si="1"/>
        <v>0</v>
      </c>
      <c r="I10" s="379">
        <f t="shared" si="2"/>
        <v>0</v>
      </c>
      <c r="J10" s="386">
        <v>15</v>
      </c>
      <c r="K10" s="384">
        <f t="shared" si="3"/>
        <v>4930</v>
      </c>
      <c r="L10" s="381">
        <f t="shared" si="4"/>
        <v>9860</v>
      </c>
      <c r="N10" s="313">
        <v>4485</v>
      </c>
    </row>
    <row r="11" spans="1:14" ht="14.25" thickBot="1" x14ac:dyDescent="0.2">
      <c r="A11" s="387" t="s">
        <v>303</v>
      </c>
      <c r="B11" s="388" t="s">
        <v>297</v>
      </c>
      <c r="C11" s="389">
        <v>1.2</v>
      </c>
      <c r="D11" s="387">
        <v>7</v>
      </c>
      <c r="E11" s="390">
        <v>5</v>
      </c>
      <c r="F11" s="391">
        <v>3</v>
      </c>
      <c r="G11" s="392">
        <f t="shared" si="0"/>
        <v>8.4000000000000005E-2</v>
      </c>
      <c r="H11" s="393">
        <f t="shared" si="1"/>
        <v>0.06</v>
      </c>
      <c r="I11" s="394">
        <f t="shared" si="2"/>
        <v>3.5999999999999997E-2</v>
      </c>
      <c r="J11" s="395">
        <v>6</v>
      </c>
      <c r="K11" s="390">
        <f t="shared" si="3"/>
        <v>8250</v>
      </c>
      <c r="L11" s="396">
        <f t="shared" si="4"/>
        <v>1650</v>
      </c>
      <c r="N11" s="313">
        <v>7509</v>
      </c>
    </row>
    <row r="12" spans="1:14" ht="14.25" thickBot="1" x14ac:dyDescent="0.2">
      <c r="A12" s="397" t="s">
        <v>22</v>
      </c>
      <c r="B12" s="398"/>
      <c r="C12" s="399"/>
      <c r="D12" s="397"/>
      <c r="E12" s="398"/>
      <c r="F12" s="400"/>
      <c r="G12" s="401">
        <f>SUM(G5:G11)</f>
        <v>6.0839999999999996</v>
      </c>
      <c r="H12" s="402">
        <f>SUM(H5:H11)</f>
        <v>6.3599999999999994</v>
      </c>
      <c r="I12" s="403">
        <f>SUM(I5:I11)</f>
        <v>6.1359999999999992</v>
      </c>
      <c r="J12" s="404"/>
      <c r="K12" s="398"/>
      <c r="L12" s="405">
        <f>SUM(L4:L11)</f>
        <v>98150</v>
      </c>
    </row>
  </sheetData>
  <mergeCells count="2">
    <mergeCell ref="D2:F2"/>
    <mergeCell ref="G2:I2"/>
  </mergeCells>
  <phoneticPr fontId="4"/>
  <pageMargins left="0.7" right="0.7" top="0.75" bottom="0.75" header="0.3" footer="0.3"/>
  <pageSetup paperSize="9" orientation="portrait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"/>
  <sheetViews>
    <sheetView zoomScale="75" zoomScaleNormal="75" zoomScaleSheetLayoutView="100" workbookViewId="0">
      <selection activeCell="T14" sqref="T14"/>
    </sheetView>
  </sheetViews>
  <sheetFormatPr defaultRowHeight="13.5" x14ac:dyDescent="0.15"/>
  <cols>
    <col min="1" max="1" width="1.625" style="29" customWidth="1"/>
    <col min="2" max="2" width="18" style="29" customWidth="1"/>
    <col min="3" max="15" width="6.125" style="29" customWidth="1"/>
    <col min="16" max="16384" width="9" style="29"/>
  </cols>
  <sheetData>
    <row r="1" spans="2:15" ht="9.9499999999999993" customHeight="1" x14ac:dyDescent="0.15"/>
    <row r="2" spans="2:15" ht="24.95" customHeight="1" x14ac:dyDescent="0.15">
      <c r="B2" s="29" t="s">
        <v>475</v>
      </c>
    </row>
    <row r="3" spans="2:15" ht="20.100000000000001" customHeight="1" x14ac:dyDescent="0.15">
      <c r="D3" s="101" t="s">
        <v>192</v>
      </c>
      <c r="E3" s="100" t="s">
        <v>472</v>
      </c>
      <c r="F3" s="100"/>
      <c r="G3" s="101" t="s">
        <v>193</v>
      </c>
      <c r="H3" s="100"/>
      <c r="I3" s="100"/>
    </row>
    <row r="4" spans="2:15" ht="20.100000000000001" customHeight="1" thickBot="1" x14ac:dyDescent="0.2">
      <c r="B4" s="4" t="s">
        <v>206</v>
      </c>
      <c r="C4" s="4" t="s">
        <v>207</v>
      </c>
      <c r="D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5" ht="20.100000000000001" customHeight="1" x14ac:dyDescent="0.15">
      <c r="B5" s="285" t="s">
        <v>245</v>
      </c>
      <c r="C5" s="289">
        <v>1</v>
      </c>
      <c r="D5" s="289">
        <v>2</v>
      </c>
      <c r="E5" s="289">
        <v>3</v>
      </c>
      <c r="F5" s="289">
        <v>4</v>
      </c>
      <c r="G5" s="289">
        <v>5</v>
      </c>
      <c r="H5" s="289">
        <v>6</v>
      </c>
      <c r="I5" s="289">
        <v>7</v>
      </c>
      <c r="J5" s="289">
        <v>8</v>
      </c>
      <c r="K5" s="289">
        <v>9</v>
      </c>
      <c r="L5" s="289">
        <v>10</v>
      </c>
      <c r="M5" s="289">
        <v>11</v>
      </c>
      <c r="N5" s="289">
        <v>12</v>
      </c>
      <c r="O5" s="132" t="s">
        <v>208</v>
      </c>
    </row>
    <row r="6" spans="2:15" ht="20.100000000000001" customHeight="1" x14ac:dyDescent="0.15">
      <c r="B6" s="290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133"/>
    </row>
    <row r="7" spans="2:15" ht="20.100000000000001" customHeight="1" x14ac:dyDescent="0.15">
      <c r="B7" s="290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133"/>
    </row>
    <row r="8" spans="2:15" ht="20.100000000000001" customHeight="1" x14ac:dyDescent="0.15">
      <c r="B8" s="290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133"/>
    </row>
    <row r="9" spans="2:15" ht="20.100000000000001" customHeight="1" x14ac:dyDescent="0.15">
      <c r="B9" s="290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133"/>
    </row>
    <row r="10" spans="2:15" ht="20.100000000000001" customHeight="1" x14ac:dyDescent="0.15">
      <c r="B10" s="290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133"/>
    </row>
    <row r="11" spans="2:15" ht="20.100000000000001" customHeight="1" thickBot="1" x14ac:dyDescent="0.2">
      <c r="B11" s="288" t="s">
        <v>209</v>
      </c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  <c r="N11" s="286"/>
      <c r="O11" s="287"/>
    </row>
    <row r="12" spans="2:15" ht="20.100000000000001" customHeight="1" x14ac:dyDescent="0.15"/>
    <row r="13" spans="2:15" ht="20.100000000000001" customHeight="1" thickBot="1" x14ac:dyDescent="0.2">
      <c r="B13" s="4" t="s">
        <v>206</v>
      </c>
      <c r="C13" s="4" t="s">
        <v>246</v>
      </c>
      <c r="D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2:15" ht="20.100000000000001" customHeight="1" x14ac:dyDescent="0.15">
      <c r="B14" s="285" t="s">
        <v>245</v>
      </c>
      <c r="C14" s="289">
        <v>1</v>
      </c>
      <c r="D14" s="289">
        <v>2</v>
      </c>
      <c r="E14" s="289">
        <v>3</v>
      </c>
      <c r="F14" s="289">
        <v>4</v>
      </c>
      <c r="G14" s="289">
        <v>5</v>
      </c>
      <c r="H14" s="289">
        <v>6</v>
      </c>
      <c r="I14" s="289">
        <v>7</v>
      </c>
      <c r="J14" s="289">
        <v>8</v>
      </c>
      <c r="K14" s="289">
        <v>9</v>
      </c>
      <c r="L14" s="289">
        <v>10</v>
      </c>
      <c r="M14" s="289">
        <v>11</v>
      </c>
      <c r="N14" s="289">
        <v>12</v>
      </c>
      <c r="O14" s="132" t="s">
        <v>208</v>
      </c>
    </row>
    <row r="15" spans="2:15" ht="20.100000000000001" customHeight="1" x14ac:dyDescent="0.15">
      <c r="B15" s="290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133"/>
    </row>
    <row r="16" spans="2:15" ht="20.100000000000001" customHeight="1" x14ac:dyDescent="0.15">
      <c r="B16" s="290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133"/>
    </row>
    <row r="17" spans="2:15" ht="20.100000000000001" customHeight="1" x14ac:dyDescent="0.15">
      <c r="B17" s="290" t="s">
        <v>474</v>
      </c>
      <c r="C17" s="244"/>
      <c r="D17" s="244"/>
      <c r="E17" s="244"/>
      <c r="F17" s="244"/>
      <c r="G17" s="244"/>
      <c r="H17" s="244">
        <v>1635</v>
      </c>
      <c r="I17" s="244">
        <v>1811</v>
      </c>
      <c r="J17" s="244">
        <v>1449</v>
      </c>
      <c r="K17" s="244">
        <v>930</v>
      </c>
      <c r="L17" s="244">
        <v>924</v>
      </c>
      <c r="M17" s="244">
        <v>934</v>
      </c>
      <c r="N17" s="244"/>
      <c r="O17" s="133">
        <f>AVERAGE(H17:M17)</f>
        <v>1280.5</v>
      </c>
    </row>
    <row r="18" spans="2:15" ht="20.100000000000001" customHeight="1" x14ac:dyDescent="0.15">
      <c r="B18" s="290" t="s">
        <v>619</v>
      </c>
      <c r="C18" s="244"/>
      <c r="D18" s="244"/>
      <c r="E18" s="244"/>
      <c r="F18" s="244"/>
      <c r="G18" s="244"/>
      <c r="H18" s="244">
        <v>1632</v>
      </c>
      <c r="I18" s="244">
        <v>1787</v>
      </c>
      <c r="J18" s="244">
        <v>1461</v>
      </c>
      <c r="K18" s="244">
        <v>902</v>
      </c>
      <c r="L18" s="244">
        <v>765</v>
      </c>
      <c r="M18" s="244">
        <v>893</v>
      </c>
      <c r="N18" s="244"/>
      <c r="O18" s="133">
        <f t="shared" ref="O18:O19" si="0">AVERAGE(H18:M18)</f>
        <v>1240</v>
      </c>
    </row>
    <row r="19" spans="2:15" ht="20.100000000000001" customHeight="1" x14ac:dyDescent="0.15">
      <c r="B19" s="290" t="s">
        <v>618</v>
      </c>
      <c r="C19" s="244"/>
      <c r="D19" s="244"/>
      <c r="E19" s="244"/>
      <c r="F19" s="244"/>
      <c r="G19" s="244"/>
      <c r="H19" s="244">
        <v>1703</v>
      </c>
      <c r="I19" s="244">
        <v>1861</v>
      </c>
      <c r="J19" s="244">
        <v>1472</v>
      </c>
      <c r="K19" s="244">
        <v>903</v>
      </c>
      <c r="L19" s="244">
        <v>800</v>
      </c>
      <c r="M19" s="244">
        <v>1031</v>
      </c>
      <c r="N19" s="244"/>
      <c r="O19" s="133">
        <f t="shared" si="0"/>
        <v>1295</v>
      </c>
    </row>
    <row r="20" spans="2:15" ht="20.100000000000001" customHeight="1" thickBot="1" x14ac:dyDescent="0.2">
      <c r="B20" s="288" t="s">
        <v>209</v>
      </c>
      <c r="C20" s="286"/>
      <c r="D20" s="286"/>
      <c r="E20" s="286"/>
      <c r="F20" s="286"/>
      <c r="G20" s="286"/>
      <c r="H20" s="286">
        <f t="shared" ref="H20" si="1">AVERAGE(H15:H19)</f>
        <v>1656.6666666666667</v>
      </c>
      <c r="I20" s="286">
        <f t="shared" ref="I20" si="2">AVERAGE(I15:I19)</f>
        <v>1819.6666666666667</v>
      </c>
      <c r="J20" s="286">
        <f t="shared" ref="J20" si="3">AVERAGE(J15:J19)</f>
        <v>1460.6666666666667</v>
      </c>
      <c r="K20" s="286">
        <f t="shared" ref="K20" si="4">AVERAGE(K15:K19)</f>
        <v>911.66666666666663</v>
      </c>
      <c r="L20" s="286">
        <f t="shared" ref="L20" si="5">AVERAGE(L15:L19)</f>
        <v>829.66666666666663</v>
      </c>
      <c r="M20" s="286">
        <f t="shared" ref="M20" si="6">AVERAGE(M15:M19)</f>
        <v>952.66666666666663</v>
      </c>
      <c r="N20" s="286"/>
      <c r="O20" s="287">
        <f t="shared" ref="O20" si="7">AVERAGE(O15:O19)</f>
        <v>1271.8333333333333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"/>
  <sheetViews>
    <sheetView zoomScale="75" zoomScaleNormal="75" zoomScaleSheetLayoutView="100" workbookViewId="0"/>
  </sheetViews>
  <sheetFormatPr defaultRowHeight="13.5" x14ac:dyDescent="0.15"/>
  <cols>
    <col min="1" max="1" width="1.625" style="29" customWidth="1"/>
    <col min="2" max="2" width="18" style="29" customWidth="1"/>
    <col min="3" max="15" width="6.125" style="29" customWidth="1"/>
    <col min="16" max="16384" width="9" style="29"/>
  </cols>
  <sheetData>
    <row r="1" spans="2:15" ht="9.9499999999999993" customHeight="1" x14ac:dyDescent="0.15"/>
    <row r="2" spans="2:15" ht="24.95" customHeight="1" x14ac:dyDescent="0.15">
      <c r="B2" s="29" t="s">
        <v>476</v>
      </c>
    </row>
    <row r="3" spans="2:15" ht="20.100000000000001" customHeight="1" x14ac:dyDescent="0.15">
      <c r="D3" s="101" t="s">
        <v>192</v>
      </c>
      <c r="E3" s="100" t="s">
        <v>473</v>
      </c>
      <c r="F3" s="100"/>
      <c r="G3" s="101" t="s">
        <v>193</v>
      </c>
      <c r="H3" s="100"/>
      <c r="I3" s="100"/>
    </row>
    <row r="4" spans="2:15" ht="20.100000000000001" customHeight="1" thickBot="1" x14ac:dyDescent="0.2">
      <c r="B4" s="4" t="s">
        <v>206</v>
      </c>
      <c r="C4" s="4" t="s">
        <v>207</v>
      </c>
      <c r="D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5" ht="20.100000000000001" customHeight="1" x14ac:dyDescent="0.15">
      <c r="B5" s="285" t="s">
        <v>245</v>
      </c>
      <c r="C5" s="289">
        <v>1</v>
      </c>
      <c r="D5" s="289">
        <v>2</v>
      </c>
      <c r="E5" s="289">
        <v>3</v>
      </c>
      <c r="F5" s="289">
        <v>4</v>
      </c>
      <c r="G5" s="289">
        <v>5</v>
      </c>
      <c r="H5" s="289">
        <v>6</v>
      </c>
      <c r="I5" s="289">
        <v>7</v>
      </c>
      <c r="J5" s="289">
        <v>8</v>
      </c>
      <c r="K5" s="289">
        <v>9</v>
      </c>
      <c r="L5" s="289">
        <v>10</v>
      </c>
      <c r="M5" s="289">
        <v>11</v>
      </c>
      <c r="N5" s="289">
        <v>12</v>
      </c>
      <c r="O5" s="132" t="s">
        <v>208</v>
      </c>
    </row>
    <row r="6" spans="2:15" ht="20.100000000000001" customHeight="1" x14ac:dyDescent="0.15">
      <c r="B6" s="290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133"/>
    </row>
    <row r="7" spans="2:15" ht="20.100000000000001" customHeight="1" x14ac:dyDescent="0.15">
      <c r="B7" s="290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133"/>
    </row>
    <row r="8" spans="2:15" ht="20.100000000000001" customHeight="1" x14ac:dyDescent="0.15">
      <c r="B8" s="290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133"/>
    </row>
    <row r="9" spans="2:15" ht="20.100000000000001" customHeight="1" x14ac:dyDescent="0.15">
      <c r="B9" s="290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133"/>
    </row>
    <row r="10" spans="2:15" ht="20.100000000000001" customHeight="1" x14ac:dyDescent="0.15">
      <c r="B10" s="290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133"/>
    </row>
    <row r="11" spans="2:15" ht="20.100000000000001" customHeight="1" thickBot="1" x14ac:dyDescent="0.2">
      <c r="B11" s="288" t="s">
        <v>209</v>
      </c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  <c r="N11" s="286"/>
      <c r="O11" s="287"/>
    </row>
    <row r="12" spans="2:15" ht="20.100000000000001" customHeight="1" x14ac:dyDescent="0.15"/>
    <row r="13" spans="2:15" ht="20.100000000000001" customHeight="1" thickBot="1" x14ac:dyDescent="0.2">
      <c r="B13" s="4" t="s">
        <v>206</v>
      </c>
      <c r="C13" s="4" t="s">
        <v>246</v>
      </c>
      <c r="D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2:15" ht="20.100000000000001" customHeight="1" x14ac:dyDescent="0.15">
      <c r="B14" s="285" t="s">
        <v>245</v>
      </c>
      <c r="C14" s="289">
        <v>1</v>
      </c>
      <c r="D14" s="289">
        <v>2</v>
      </c>
      <c r="E14" s="289">
        <v>3</v>
      </c>
      <c r="F14" s="289">
        <v>4</v>
      </c>
      <c r="G14" s="289">
        <v>5</v>
      </c>
      <c r="H14" s="289">
        <v>6</v>
      </c>
      <c r="I14" s="289">
        <v>7</v>
      </c>
      <c r="J14" s="289">
        <v>8</v>
      </c>
      <c r="K14" s="289">
        <v>9</v>
      </c>
      <c r="L14" s="289">
        <v>10</v>
      </c>
      <c r="M14" s="289">
        <v>11</v>
      </c>
      <c r="N14" s="289">
        <v>12</v>
      </c>
      <c r="O14" s="132" t="s">
        <v>208</v>
      </c>
    </row>
    <row r="15" spans="2:15" ht="20.100000000000001" customHeight="1" x14ac:dyDescent="0.15">
      <c r="B15" s="290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133"/>
    </row>
    <row r="16" spans="2:15" ht="20.100000000000001" customHeight="1" x14ac:dyDescent="0.15">
      <c r="B16" s="290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133"/>
    </row>
    <row r="17" spans="2:15" ht="20.100000000000001" customHeight="1" x14ac:dyDescent="0.15">
      <c r="B17" s="290" t="s">
        <v>474</v>
      </c>
      <c r="C17" s="244"/>
      <c r="D17" s="244"/>
      <c r="E17" s="244"/>
      <c r="F17" s="244"/>
      <c r="G17" s="244"/>
      <c r="H17" s="244"/>
      <c r="I17" s="244">
        <v>929</v>
      </c>
      <c r="J17" s="244">
        <v>621</v>
      </c>
      <c r="K17" s="244">
        <v>533</v>
      </c>
      <c r="L17" s="244">
        <v>567</v>
      </c>
      <c r="M17" s="244"/>
      <c r="N17" s="244"/>
      <c r="O17" s="133">
        <f>AVERAGE(I17:L17)</f>
        <v>662.5</v>
      </c>
    </row>
    <row r="18" spans="2:15" ht="20.100000000000001" customHeight="1" x14ac:dyDescent="0.15">
      <c r="B18" s="290" t="s">
        <v>619</v>
      </c>
      <c r="C18" s="244"/>
      <c r="D18" s="244"/>
      <c r="E18" s="244"/>
      <c r="F18" s="244"/>
      <c r="G18" s="244"/>
      <c r="H18" s="244"/>
      <c r="I18" s="244">
        <v>955</v>
      </c>
      <c r="J18" s="244">
        <v>647</v>
      </c>
      <c r="K18" s="244">
        <v>526</v>
      </c>
      <c r="L18" s="244">
        <v>514</v>
      </c>
      <c r="M18" s="244"/>
      <c r="N18" s="244"/>
      <c r="O18" s="133">
        <f t="shared" ref="O18:O19" si="0">AVERAGE(I18:L18)</f>
        <v>660.5</v>
      </c>
    </row>
    <row r="19" spans="2:15" ht="20.100000000000001" customHeight="1" x14ac:dyDescent="0.15">
      <c r="B19" s="290" t="s">
        <v>618</v>
      </c>
      <c r="C19" s="244"/>
      <c r="D19" s="244"/>
      <c r="E19" s="244"/>
      <c r="F19" s="244"/>
      <c r="G19" s="244"/>
      <c r="H19" s="244"/>
      <c r="I19" s="244">
        <v>917</v>
      </c>
      <c r="J19" s="244">
        <v>638</v>
      </c>
      <c r="K19" s="244">
        <v>555</v>
      </c>
      <c r="L19" s="244">
        <v>496</v>
      </c>
      <c r="M19" s="244"/>
      <c r="N19" s="244"/>
      <c r="O19" s="133">
        <f t="shared" si="0"/>
        <v>651.5</v>
      </c>
    </row>
    <row r="20" spans="2:15" ht="20.100000000000001" customHeight="1" thickBot="1" x14ac:dyDescent="0.2">
      <c r="B20" s="288" t="s">
        <v>209</v>
      </c>
      <c r="C20" s="286"/>
      <c r="D20" s="286"/>
      <c r="E20" s="286"/>
      <c r="F20" s="286"/>
      <c r="G20" s="286"/>
      <c r="H20" s="286"/>
      <c r="I20" s="286">
        <f t="shared" ref="I20:L20" si="1">AVERAGE(I15:I19)</f>
        <v>933.66666666666663</v>
      </c>
      <c r="J20" s="286">
        <f t="shared" si="1"/>
        <v>635.33333333333337</v>
      </c>
      <c r="K20" s="286">
        <f t="shared" si="1"/>
        <v>538</v>
      </c>
      <c r="L20" s="286">
        <f t="shared" si="1"/>
        <v>525.66666666666663</v>
      </c>
      <c r="M20" s="286"/>
      <c r="N20" s="286"/>
      <c r="O20" s="133">
        <f>AVERAGE(I20:L20)</f>
        <v>658.16666666666663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zoomScale="75" zoomScaleNormal="75" workbookViewId="0">
      <selection activeCell="B36" sqref="B36"/>
    </sheetView>
  </sheetViews>
  <sheetFormatPr defaultRowHeight="13.5" x14ac:dyDescent="0.15"/>
  <cols>
    <col min="1" max="1" width="1.625" style="29" customWidth="1"/>
    <col min="2" max="2" width="18" style="29" customWidth="1"/>
    <col min="3" max="15" width="6.125" style="29" customWidth="1"/>
    <col min="16" max="16384" width="9" style="29"/>
  </cols>
  <sheetData>
    <row r="1" spans="2:15" ht="9.9499999999999993" customHeight="1" x14ac:dyDescent="0.15"/>
    <row r="2" spans="2:15" ht="24.95" customHeight="1" x14ac:dyDescent="0.15">
      <c r="B2" s="29" t="s">
        <v>632</v>
      </c>
    </row>
    <row r="3" spans="2:15" ht="20.100000000000001" customHeight="1" x14ac:dyDescent="0.15">
      <c r="D3" s="101" t="s">
        <v>192</v>
      </c>
      <c r="E3" s="100" t="s">
        <v>620</v>
      </c>
      <c r="F3" s="100"/>
      <c r="H3" s="100" t="s">
        <v>623</v>
      </c>
      <c r="I3" s="100"/>
      <c r="K3" s="101"/>
    </row>
    <row r="4" spans="2:15" ht="20.100000000000001" customHeight="1" thickBot="1" x14ac:dyDescent="0.2">
      <c r="B4" s="4" t="s">
        <v>206</v>
      </c>
      <c r="C4" s="4" t="s">
        <v>621</v>
      </c>
      <c r="D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5" ht="20.100000000000001" customHeight="1" x14ac:dyDescent="0.15">
      <c r="B5" s="285" t="s">
        <v>245</v>
      </c>
      <c r="C5" s="581">
        <v>1</v>
      </c>
      <c r="D5" s="581">
        <v>2</v>
      </c>
      <c r="E5" s="581">
        <v>3</v>
      </c>
      <c r="F5" s="581">
        <v>4</v>
      </c>
      <c r="G5" s="581">
        <v>5</v>
      </c>
      <c r="H5" s="581">
        <v>6</v>
      </c>
      <c r="I5" s="581">
        <v>7</v>
      </c>
      <c r="J5" s="581">
        <v>8</v>
      </c>
      <c r="K5" s="581">
        <v>9</v>
      </c>
      <c r="L5" s="581">
        <v>10</v>
      </c>
      <c r="M5" s="581">
        <v>11</v>
      </c>
      <c r="N5" s="581">
        <v>12</v>
      </c>
      <c r="O5" s="582" t="s">
        <v>208</v>
      </c>
    </row>
    <row r="6" spans="2:15" ht="20.100000000000001" customHeight="1" x14ac:dyDescent="0.15">
      <c r="B6" s="290"/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3"/>
      <c r="N6" s="583"/>
      <c r="O6" s="414"/>
    </row>
    <row r="7" spans="2:15" ht="20.100000000000001" customHeight="1" x14ac:dyDescent="0.15">
      <c r="B7" s="290"/>
      <c r="C7" s="583"/>
      <c r="D7" s="583"/>
      <c r="E7" s="583"/>
      <c r="F7" s="583"/>
      <c r="G7" s="583"/>
      <c r="H7" s="583"/>
      <c r="I7" s="583"/>
      <c r="J7" s="583"/>
      <c r="K7" s="583"/>
      <c r="L7" s="583"/>
      <c r="M7" s="583"/>
      <c r="N7" s="583"/>
      <c r="O7" s="414"/>
    </row>
    <row r="8" spans="2:15" ht="20.100000000000001" customHeight="1" x14ac:dyDescent="0.15">
      <c r="B8" s="290"/>
      <c r="C8" s="583"/>
      <c r="D8" s="583"/>
      <c r="E8" s="583"/>
      <c r="F8" s="583"/>
      <c r="G8" s="583"/>
      <c r="H8" s="583"/>
      <c r="I8" s="583"/>
      <c r="J8" s="583"/>
      <c r="K8" s="583"/>
      <c r="L8" s="583"/>
      <c r="M8" s="583"/>
      <c r="N8" s="583"/>
      <c r="O8" s="414"/>
    </row>
    <row r="9" spans="2:15" ht="20.100000000000001" customHeight="1" x14ac:dyDescent="0.15">
      <c r="B9" s="290"/>
      <c r="C9" s="583"/>
      <c r="D9" s="583"/>
      <c r="E9" s="583"/>
      <c r="F9" s="583"/>
      <c r="G9" s="583"/>
      <c r="H9" s="583"/>
      <c r="I9" s="583"/>
      <c r="J9" s="583"/>
      <c r="K9" s="583"/>
      <c r="L9" s="583"/>
      <c r="M9" s="583"/>
      <c r="N9" s="583"/>
      <c r="O9" s="414"/>
    </row>
    <row r="10" spans="2:15" ht="20.100000000000001" customHeight="1" x14ac:dyDescent="0.15">
      <c r="B10" s="290"/>
      <c r="C10" s="583"/>
      <c r="D10" s="583"/>
      <c r="E10" s="583"/>
      <c r="F10" s="583"/>
      <c r="G10" s="583"/>
      <c r="H10" s="583"/>
      <c r="I10" s="583"/>
      <c r="J10" s="583"/>
      <c r="K10" s="583"/>
      <c r="L10" s="583"/>
      <c r="M10" s="583"/>
      <c r="N10" s="583"/>
      <c r="O10" s="414"/>
    </row>
    <row r="11" spans="2:15" ht="20.100000000000001" customHeight="1" thickBot="1" x14ac:dyDescent="0.2">
      <c r="B11" s="288" t="s">
        <v>209</v>
      </c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  <c r="N11" s="286"/>
      <c r="O11" s="287"/>
    </row>
    <row r="12" spans="2:15" ht="20.100000000000001" customHeight="1" x14ac:dyDescent="0.15"/>
    <row r="13" spans="2:15" ht="20.100000000000001" customHeight="1" thickBot="1" x14ac:dyDescent="0.2">
      <c r="B13" s="4" t="s">
        <v>206</v>
      </c>
      <c r="C13" s="4" t="s">
        <v>246</v>
      </c>
      <c r="D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2:15" ht="20.100000000000001" customHeight="1" x14ac:dyDescent="0.15">
      <c r="B14" s="285" t="s">
        <v>245</v>
      </c>
      <c r="C14" s="581">
        <v>1</v>
      </c>
      <c r="D14" s="581">
        <v>2</v>
      </c>
      <c r="E14" s="581">
        <v>3</v>
      </c>
      <c r="F14" s="581">
        <v>4</v>
      </c>
      <c r="G14" s="581">
        <v>5</v>
      </c>
      <c r="H14" s="581">
        <v>6</v>
      </c>
      <c r="I14" s="581">
        <v>7</v>
      </c>
      <c r="J14" s="581">
        <v>8</v>
      </c>
      <c r="K14" s="581">
        <v>9</v>
      </c>
      <c r="L14" s="581">
        <v>10</v>
      </c>
      <c r="M14" s="581">
        <v>11</v>
      </c>
      <c r="N14" s="581">
        <v>12</v>
      </c>
      <c r="O14" s="582" t="s">
        <v>208</v>
      </c>
    </row>
    <row r="15" spans="2:15" ht="20.100000000000001" customHeight="1" x14ac:dyDescent="0.15">
      <c r="B15" s="290"/>
      <c r="C15" s="583"/>
      <c r="D15" s="583"/>
      <c r="E15" s="583"/>
      <c r="F15" s="583"/>
      <c r="G15" s="583"/>
      <c r="H15" s="583"/>
      <c r="I15" s="583"/>
      <c r="J15" s="583"/>
      <c r="K15" s="583"/>
      <c r="L15" s="583"/>
      <c r="M15" s="583"/>
      <c r="N15" s="583"/>
      <c r="O15" s="414"/>
    </row>
    <row r="16" spans="2:15" ht="20.100000000000001" customHeight="1" x14ac:dyDescent="0.15">
      <c r="B16" s="290"/>
      <c r="C16" s="583"/>
      <c r="D16" s="583"/>
      <c r="E16" s="583"/>
      <c r="F16" s="583"/>
      <c r="G16" s="583"/>
      <c r="H16" s="583"/>
      <c r="I16" s="583"/>
      <c r="J16" s="583"/>
      <c r="K16" s="583"/>
      <c r="L16" s="583"/>
      <c r="M16" s="583"/>
      <c r="N16" s="583"/>
      <c r="O16" s="414"/>
    </row>
    <row r="17" spans="2:15" ht="20.100000000000001" customHeight="1" x14ac:dyDescent="0.15">
      <c r="B17" s="290"/>
      <c r="C17" s="583"/>
      <c r="D17" s="583"/>
      <c r="E17" s="583"/>
      <c r="F17" s="583"/>
      <c r="G17" s="583"/>
      <c r="H17" s="583"/>
      <c r="I17" s="583"/>
      <c r="J17" s="583"/>
      <c r="K17" s="583"/>
      <c r="L17" s="583"/>
      <c r="M17" s="583"/>
      <c r="N17" s="583"/>
      <c r="O17" s="414"/>
    </row>
    <row r="18" spans="2:15" ht="20.100000000000001" customHeight="1" x14ac:dyDescent="0.15">
      <c r="B18" s="290" t="s">
        <v>618</v>
      </c>
      <c r="C18" s="583"/>
      <c r="D18" s="583"/>
      <c r="E18" s="583"/>
      <c r="F18" s="583"/>
      <c r="G18" s="583"/>
      <c r="H18" s="583"/>
      <c r="I18" s="583">
        <v>2150</v>
      </c>
      <c r="J18" s="583">
        <v>1605</v>
      </c>
      <c r="K18" s="583">
        <v>1057</v>
      </c>
      <c r="L18" s="583">
        <v>1155</v>
      </c>
      <c r="M18" s="583">
        <v>1333</v>
      </c>
      <c r="N18" s="583"/>
      <c r="O18" s="414">
        <f t="shared" ref="O18:O19" si="0">AVERAGE(C18:N18)</f>
        <v>1460</v>
      </c>
    </row>
    <row r="19" spans="2:15" ht="20.100000000000001" customHeight="1" x14ac:dyDescent="0.15">
      <c r="B19" s="290" t="s">
        <v>622</v>
      </c>
      <c r="C19" s="583"/>
      <c r="D19" s="583"/>
      <c r="E19" s="583"/>
      <c r="F19" s="583"/>
      <c r="G19" s="583"/>
      <c r="H19" s="583"/>
      <c r="I19" s="583">
        <v>2034</v>
      </c>
      <c r="J19" s="583">
        <v>1547</v>
      </c>
      <c r="K19" s="583">
        <v>1114</v>
      </c>
      <c r="L19" s="583">
        <v>1193</v>
      </c>
      <c r="M19" s="583">
        <v>1256</v>
      </c>
      <c r="N19" s="583"/>
      <c r="O19" s="414">
        <f t="shared" si="0"/>
        <v>1428.8</v>
      </c>
    </row>
    <row r="20" spans="2:15" ht="20.100000000000001" customHeight="1" thickBot="1" x14ac:dyDescent="0.2">
      <c r="B20" s="288" t="s">
        <v>209</v>
      </c>
      <c r="C20" s="286"/>
      <c r="D20" s="286"/>
      <c r="E20" s="286"/>
      <c r="F20" s="286"/>
      <c r="G20" s="286"/>
      <c r="H20" s="286"/>
      <c r="I20" s="286">
        <f t="shared" ref="I20:O20" si="1">AVERAGE(I15:I19)</f>
        <v>2092</v>
      </c>
      <c r="J20" s="286">
        <f t="shared" si="1"/>
        <v>1576</v>
      </c>
      <c r="K20" s="286">
        <f t="shared" si="1"/>
        <v>1085.5</v>
      </c>
      <c r="L20" s="286">
        <f t="shared" si="1"/>
        <v>1174</v>
      </c>
      <c r="M20" s="286">
        <f t="shared" si="1"/>
        <v>1294.5</v>
      </c>
      <c r="N20" s="286"/>
      <c r="O20" s="287">
        <f t="shared" si="1"/>
        <v>1444.4</v>
      </c>
    </row>
  </sheetData>
  <phoneticPr fontId="4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zoomScale="75" zoomScaleNormal="75" zoomScaleSheetLayoutView="65" workbookViewId="0"/>
  </sheetViews>
  <sheetFormatPr defaultRowHeight="13.5" x14ac:dyDescent="0.15"/>
  <cols>
    <col min="1" max="1" width="1.625" style="67" customWidth="1"/>
    <col min="2" max="2" width="7.625" style="68" customWidth="1"/>
    <col min="3" max="3" width="25.625" style="68" customWidth="1"/>
    <col min="4" max="6" width="15.625" style="68" customWidth="1"/>
    <col min="7" max="8" width="18.625" style="68" customWidth="1"/>
    <col min="9" max="13" width="15.625" style="68" customWidth="1"/>
    <col min="14" max="15" width="18.625" style="68" customWidth="1"/>
    <col min="16" max="16384" width="9" style="68"/>
  </cols>
  <sheetData>
    <row r="1" spans="1:15" ht="9.9499999999999993" customHeight="1" x14ac:dyDescent="0.15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5" ht="24.95" customHeight="1" thickBot="1" x14ac:dyDescent="0.2">
      <c r="B2" s="68" t="s">
        <v>564</v>
      </c>
      <c r="F2" s="240" t="s">
        <v>192</v>
      </c>
      <c r="G2" s="68" t="s">
        <v>565</v>
      </c>
      <c r="I2" s="240" t="s">
        <v>193</v>
      </c>
      <c r="J2" s="68" t="s">
        <v>422</v>
      </c>
      <c r="N2" s="499"/>
    </row>
    <row r="3" spans="1:15" ht="20.100000000000001" customHeight="1" x14ac:dyDescent="0.15">
      <c r="B3" s="693" t="s">
        <v>89</v>
      </c>
      <c r="C3" s="694"/>
      <c r="D3" s="554" t="s">
        <v>489</v>
      </c>
      <c r="E3" s="554" t="s">
        <v>490</v>
      </c>
      <c r="F3" s="554" t="s">
        <v>491</v>
      </c>
      <c r="G3" s="554" t="s">
        <v>492</v>
      </c>
      <c r="H3" s="554" t="s">
        <v>493</v>
      </c>
      <c r="I3" s="554" t="s">
        <v>494</v>
      </c>
      <c r="J3" s="554" t="s">
        <v>495</v>
      </c>
      <c r="K3" s="554" t="s">
        <v>496</v>
      </c>
      <c r="L3" s="554" t="s">
        <v>497</v>
      </c>
      <c r="M3" s="562" t="s">
        <v>498</v>
      </c>
      <c r="N3" s="551" t="s">
        <v>499</v>
      </c>
      <c r="O3" s="521" t="s">
        <v>500</v>
      </c>
    </row>
    <row r="4" spans="1:15" ht="150" customHeight="1" x14ac:dyDescent="0.15">
      <c r="B4" s="695" t="s">
        <v>80</v>
      </c>
      <c r="C4" s="550" t="s">
        <v>81</v>
      </c>
      <c r="D4" s="70" t="s">
        <v>501</v>
      </c>
      <c r="E4" s="70" t="s">
        <v>579</v>
      </c>
      <c r="F4" s="70"/>
      <c r="G4" s="70" t="s">
        <v>503</v>
      </c>
      <c r="H4" s="70" t="s">
        <v>604</v>
      </c>
      <c r="I4" s="70" t="s">
        <v>605</v>
      </c>
      <c r="J4" s="70" t="s">
        <v>504</v>
      </c>
      <c r="K4" s="70"/>
      <c r="L4" s="70"/>
      <c r="M4" s="556" t="s">
        <v>505</v>
      </c>
      <c r="N4" s="497" t="s">
        <v>506</v>
      </c>
      <c r="O4" s="501" t="s">
        <v>518</v>
      </c>
    </row>
    <row r="5" spans="1:15" ht="20.100000000000001" customHeight="1" x14ac:dyDescent="0.15">
      <c r="B5" s="695"/>
      <c r="C5" s="550" t="s">
        <v>82</v>
      </c>
      <c r="D5" s="550" t="s">
        <v>542</v>
      </c>
      <c r="E5" s="550" t="s">
        <v>606</v>
      </c>
      <c r="F5" s="550" t="s">
        <v>594</v>
      </c>
      <c r="G5" s="550" t="s">
        <v>595</v>
      </c>
      <c r="H5" s="550" t="s">
        <v>596</v>
      </c>
      <c r="I5" s="550" t="s">
        <v>543</v>
      </c>
      <c r="J5" s="550" t="s">
        <v>544</v>
      </c>
      <c r="K5" s="550" t="s">
        <v>586</v>
      </c>
      <c r="L5" s="550" t="s">
        <v>545</v>
      </c>
      <c r="M5" s="495" t="s">
        <v>597</v>
      </c>
      <c r="N5" s="552" t="s">
        <v>585</v>
      </c>
      <c r="O5" s="522" t="s">
        <v>598</v>
      </c>
    </row>
    <row r="6" spans="1:15" ht="150" customHeight="1" x14ac:dyDescent="0.15">
      <c r="B6" s="695"/>
      <c r="C6" s="550" t="s">
        <v>88</v>
      </c>
      <c r="D6" s="70"/>
      <c r="E6" s="70" t="s">
        <v>509</v>
      </c>
      <c r="F6" s="70" t="s">
        <v>188</v>
      </c>
      <c r="G6" s="70" t="s">
        <v>587</v>
      </c>
      <c r="H6" s="70"/>
      <c r="I6" s="70"/>
      <c r="J6" s="70" t="s">
        <v>510</v>
      </c>
      <c r="K6" s="70"/>
      <c r="L6" s="70" t="s">
        <v>188</v>
      </c>
      <c r="M6" s="556"/>
      <c r="N6" s="553" t="s">
        <v>511</v>
      </c>
      <c r="O6" s="501"/>
    </row>
    <row r="7" spans="1:15" ht="20.100000000000001" customHeight="1" x14ac:dyDescent="0.15">
      <c r="B7" s="695"/>
      <c r="C7" s="557" t="s">
        <v>85</v>
      </c>
      <c r="D7" s="550"/>
      <c r="E7" s="550">
        <v>1</v>
      </c>
      <c r="F7" s="550">
        <v>1</v>
      </c>
      <c r="G7" s="550">
        <v>9.5</v>
      </c>
      <c r="H7" s="550"/>
      <c r="I7" s="550"/>
      <c r="J7" s="550">
        <v>6</v>
      </c>
      <c r="K7" s="550">
        <v>4.2</v>
      </c>
      <c r="L7" s="550">
        <v>10</v>
      </c>
      <c r="M7" s="495"/>
      <c r="N7" s="552">
        <v>12</v>
      </c>
      <c r="O7" s="522">
        <v>3</v>
      </c>
    </row>
    <row r="8" spans="1:15" ht="20.100000000000001" customHeight="1" x14ac:dyDescent="0.15">
      <c r="B8" s="695"/>
      <c r="C8" s="550" t="s">
        <v>86</v>
      </c>
      <c r="D8" s="550">
        <v>12</v>
      </c>
      <c r="E8" s="550">
        <v>22</v>
      </c>
      <c r="F8" s="550">
        <v>4.5</v>
      </c>
      <c r="G8" s="550">
        <v>9.5</v>
      </c>
      <c r="H8" s="550">
        <v>96</v>
      </c>
      <c r="I8" s="550">
        <v>10</v>
      </c>
      <c r="J8" s="550">
        <v>6</v>
      </c>
      <c r="K8" s="550">
        <v>4.2</v>
      </c>
      <c r="L8" s="550">
        <v>80</v>
      </c>
      <c r="M8" s="495">
        <v>4</v>
      </c>
      <c r="N8" s="552">
        <v>12</v>
      </c>
      <c r="O8" s="522">
        <v>96</v>
      </c>
    </row>
    <row r="9" spans="1:15" ht="20.100000000000001" customHeight="1" x14ac:dyDescent="0.15">
      <c r="B9" s="695"/>
      <c r="C9" s="550" t="s">
        <v>87</v>
      </c>
      <c r="D9" s="550"/>
      <c r="E9" s="550"/>
      <c r="F9" s="550"/>
      <c r="G9" s="550"/>
      <c r="H9" s="550"/>
      <c r="I9" s="550"/>
      <c r="J9" s="550"/>
      <c r="K9" s="550"/>
      <c r="L9" s="550"/>
      <c r="M9" s="495"/>
      <c r="N9" s="552"/>
      <c r="O9" s="522"/>
    </row>
    <row r="10" spans="1:15" ht="150" customHeight="1" x14ac:dyDescent="0.15">
      <c r="B10" s="696" t="s">
        <v>83</v>
      </c>
      <c r="C10" s="697"/>
      <c r="D10" s="550" t="s">
        <v>512</v>
      </c>
      <c r="E10" s="550" t="s">
        <v>580</v>
      </c>
      <c r="F10" s="550"/>
      <c r="G10" s="550" t="s">
        <v>514</v>
      </c>
      <c r="H10" s="550" t="s">
        <v>583</v>
      </c>
      <c r="I10" s="550" t="s">
        <v>515</v>
      </c>
      <c r="J10" s="550" t="s">
        <v>29</v>
      </c>
      <c r="K10" s="550"/>
      <c r="L10" s="550" t="s">
        <v>516</v>
      </c>
      <c r="M10" s="495"/>
      <c r="N10" s="552"/>
      <c r="O10" s="558" t="s">
        <v>546</v>
      </c>
    </row>
    <row r="11" spans="1:15" ht="150" customHeight="1" thickBot="1" x14ac:dyDescent="0.2">
      <c r="A11" s="589"/>
      <c r="B11" s="700" t="s">
        <v>84</v>
      </c>
      <c r="C11" s="701"/>
      <c r="D11" s="544" t="s">
        <v>517</v>
      </c>
      <c r="E11" s="544"/>
      <c r="F11" s="568"/>
      <c r="G11" s="541"/>
      <c r="H11" s="541"/>
      <c r="I11" s="541"/>
      <c r="J11" s="541"/>
      <c r="K11" s="541"/>
      <c r="L11" s="541"/>
      <c r="M11" s="542"/>
      <c r="N11" s="502"/>
      <c r="O11" s="503"/>
    </row>
    <row r="12" spans="1:15" ht="9.75" customHeight="1" x14ac:dyDescent="0.15">
      <c r="B12" s="561"/>
      <c r="N12" s="67"/>
      <c r="O12" s="67"/>
    </row>
  </sheetData>
  <mergeCells count="4">
    <mergeCell ref="B3:C3"/>
    <mergeCell ref="B4:B9"/>
    <mergeCell ref="B10:C10"/>
    <mergeCell ref="B11:C11"/>
  </mergeCells>
  <phoneticPr fontId="4"/>
  <pageMargins left="0.78740157480314965" right="0.78740157480314965" top="0.78740157480314965" bottom="0.78740157480314965" header="0.39370078740157483" footer="0.39370078740157483"/>
  <pageSetup paperSize="9" scale="5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"/>
  <sheetViews>
    <sheetView view="pageBreakPreview" zoomScale="60" zoomScaleNormal="65" workbookViewId="0">
      <selection activeCell="I7" sqref="I7"/>
    </sheetView>
  </sheetViews>
  <sheetFormatPr defaultRowHeight="13.5" x14ac:dyDescent="0.15"/>
  <cols>
    <col min="1" max="1" width="1.625" style="68" customWidth="1"/>
    <col min="2" max="2" width="7.625" style="68" customWidth="1"/>
    <col min="3" max="3" width="25.625" style="68" customWidth="1"/>
    <col min="4" max="4" width="19.125" style="68" customWidth="1"/>
    <col min="5" max="6" width="15.625" style="68" customWidth="1"/>
    <col min="7" max="8" width="18.625" style="68" customWidth="1"/>
    <col min="9" max="9" width="15.625" style="68" customWidth="1"/>
    <col min="10" max="10" width="16" style="68" customWidth="1"/>
    <col min="11" max="11" width="15.25" style="68" customWidth="1"/>
    <col min="12" max="14" width="15.625" style="68" customWidth="1"/>
    <col min="15" max="15" width="18.625" style="68" customWidth="1"/>
    <col min="16" max="16384" width="9" style="68"/>
  </cols>
  <sheetData>
    <row r="1" spans="2:15" ht="9.9499999999999993" customHeight="1" x14ac:dyDescent="0.15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2:15" ht="24.95" customHeight="1" thickBot="1" x14ac:dyDescent="0.2">
      <c r="B2" s="68" t="s">
        <v>566</v>
      </c>
      <c r="G2" s="240" t="s">
        <v>192</v>
      </c>
      <c r="H2" s="68" t="s">
        <v>567</v>
      </c>
      <c r="J2" s="240" t="s">
        <v>193</v>
      </c>
      <c r="K2" s="68" t="s">
        <v>408</v>
      </c>
    </row>
    <row r="3" spans="2:15" ht="20.100000000000001" customHeight="1" x14ac:dyDescent="0.15">
      <c r="B3" s="693" t="s">
        <v>89</v>
      </c>
      <c r="C3" s="694"/>
      <c r="D3" s="554" t="s">
        <v>489</v>
      </c>
      <c r="E3" s="554" t="s">
        <v>490</v>
      </c>
      <c r="F3" s="554" t="s">
        <v>491</v>
      </c>
      <c r="G3" s="554" t="s">
        <v>492</v>
      </c>
      <c r="H3" s="554" t="s">
        <v>493</v>
      </c>
      <c r="I3" s="554" t="s">
        <v>494</v>
      </c>
      <c r="J3" s="554" t="s">
        <v>495</v>
      </c>
      <c r="K3" s="554" t="s">
        <v>496</v>
      </c>
      <c r="L3" s="554" t="s">
        <v>497</v>
      </c>
      <c r="M3" s="554" t="s">
        <v>498</v>
      </c>
      <c r="N3" s="555" t="s">
        <v>499</v>
      </c>
      <c r="O3" s="521" t="s">
        <v>500</v>
      </c>
    </row>
    <row r="4" spans="2:15" ht="150" customHeight="1" x14ac:dyDescent="0.15">
      <c r="B4" s="695" t="s">
        <v>80</v>
      </c>
      <c r="C4" s="550" t="s">
        <v>81</v>
      </c>
      <c r="D4" s="70" t="s">
        <v>501</v>
      </c>
      <c r="E4" s="70" t="s">
        <v>579</v>
      </c>
      <c r="F4" s="70"/>
      <c r="G4" s="70" t="s">
        <v>503</v>
      </c>
      <c r="H4" s="70" t="s">
        <v>607</v>
      </c>
      <c r="I4" s="70" t="s">
        <v>605</v>
      </c>
      <c r="J4" s="70" t="s">
        <v>504</v>
      </c>
      <c r="K4" s="70"/>
      <c r="L4" s="70"/>
      <c r="M4" s="70" t="s">
        <v>505</v>
      </c>
      <c r="N4" s="556" t="s">
        <v>506</v>
      </c>
      <c r="O4" s="501" t="s">
        <v>518</v>
      </c>
    </row>
    <row r="5" spans="2:15" ht="20.100000000000001" customHeight="1" x14ac:dyDescent="0.15">
      <c r="B5" s="695"/>
      <c r="C5" s="550" t="s">
        <v>82</v>
      </c>
      <c r="D5" s="550" t="s">
        <v>549</v>
      </c>
      <c r="E5" s="550" t="s">
        <v>519</v>
      </c>
      <c r="F5" s="550" t="s">
        <v>608</v>
      </c>
      <c r="G5" s="550" t="s">
        <v>599</v>
      </c>
      <c r="H5" s="550" t="s">
        <v>519</v>
      </c>
      <c r="I5" s="550" t="s">
        <v>508</v>
      </c>
      <c r="J5" s="550" t="s">
        <v>544</v>
      </c>
      <c r="K5" s="550" t="s">
        <v>547</v>
      </c>
      <c r="L5" s="550" t="s">
        <v>584</v>
      </c>
      <c r="M5" s="563" t="s">
        <v>593</v>
      </c>
      <c r="N5" s="495" t="s">
        <v>585</v>
      </c>
      <c r="O5" s="522" t="s">
        <v>609</v>
      </c>
    </row>
    <row r="6" spans="2:15" ht="150" customHeight="1" x14ac:dyDescent="0.15">
      <c r="B6" s="695"/>
      <c r="C6" s="550" t="s">
        <v>88</v>
      </c>
      <c r="D6" s="70"/>
      <c r="E6" s="70" t="s">
        <v>509</v>
      </c>
      <c r="F6" s="70" t="s">
        <v>520</v>
      </c>
      <c r="G6" s="70" t="s">
        <v>587</v>
      </c>
      <c r="H6" s="70"/>
      <c r="I6" s="70"/>
      <c r="J6" s="70" t="s">
        <v>510</v>
      </c>
      <c r="K6" s="70"/>
      <c r="L6" s="70" t="s">
        <v>188</v>
      </c>
      <c r="M6" s="70"/>
      <c r="N6" s="556" t="s">
        <v>511</v>
      </c>
      <c r="O6" s="501"/>
    </row>
    <row r="7" spans="2:15" ht="20.100000000000001" customHeight="1" x14ac:dyDescent="0.15">
      <c r="B7" s="695"/>
      <c r="C7" s="557" t="s">
        <v>85</v>
      </c>
      <c r="D7" s="550"/>
      <c r="E7" s="550">
        <v>1</v>
      </c>
      <c r="F7" s="550">
        <v>1</v>
      </c>
      <c r="G7" s="550">
        <v>9</v>
      </c>
      <c r="H7" s="550"/>
      <c r="I7" s="550"/>
      <c r="J7" s="550">
        <v>5</v>
      </c>
      <c r="K7" s="550">
        <v>4.4000000000000004</v>
      </c>
      <c r="L7" s="550">
        <v>10</v>
      </c>
      <c r="M7" s="495"/>
      <c r="N7" s="552">
        <v>14</v>
      </c>
      <c r="O7" s="522">
        <v>2</v>
      </c>
    </row>
    <row r="8" spans="2:15" ht="20.100000000000001" customHeight="1" x14ac:dyDescent="0.15">
      <c r="B8" s="695"/>
      <c r="C8" s="550" t="s">
        <v>86</v>
      </c>
      <c r="D8" s="550">
        <v>12</v>
      </c>
      <c r="E8" s="550">
        <v>22</v>
      </c>
      <c r="F8" s="550">
        <v>4.5</v>
      </c>
      <c r="G8" s="550">
        <v>9</v>
      </c>
      <c r="H8" s="550">
        <v>68</v>
      </c>
      <c r="I8" s="550">
        <v>8</v>
      </c>
      <c r="J8" s="550">
        <v>5</v>
      </c>
      <c r="K8" s="550">
        <v>4.4000000000000004</v>
      </c>
      <c r="L8" s="550">
        <v>80</v>
      </c>
      <c r="M8" s="495">
        <v>4</v>
      </c>
      <c r="N8" s="552">
        <v>14</v>
      </c>
      <c r="O8" s="522">
        <v>40</v>
      </c>
    </row>
    <row r="9" spans="2:15" ht="20.100000000000001" customHeight="1" x14ac:dyDescent="0.15">
      <c r="B9" s="695"/>
      <c r="C9" s="550" t="s">
        <v>87</v>
      </c>
      <c r="D9" s="550"/>
      <c r="E9" s="550"/>
      <c r="F9" s="550"/>
      <c r="G9" s="550"/>
      <c r="H9" s="550"/>
      <c r="I9" s="550"/>
      <c r="J9" s="550"/>
      <c r="K9" s="550"/>
      <c r="L9" s="550"/>
      <c r="M9" s="550"/>
      <c r="N9" s="495"/>
      <c r="O9" s="522"/>
    </row>
    <row r="10" spans="2:15" ht="150" customHeight="1" x14ac:dyDescent="0.15">
      <c r="B10" s="696" t="s">
        <v>83</v>
      </c>
      <c r="C10" s="697"/>
      <c r="D10" s="550" t="s">
        <v>512</v>
      </c>
      <c r="E10" s="550" t="s">
        <v>513</v>
      </c>
      <c r="F10" s="550"/>
      <c r="G10" s="550" t="s">
        <v>514</v>
      </c>
      <c r="H10" s="550" t="s">
        <v>582</v>
      </c>
      <c r="I10" s="550" t="s">
        <v>515</v>
      </c>
      <c r="J10" s="550" t="s">
        <v>29</v>
      </c>
      <c r="K10" s="550"/>
      <c r="L10" s="550" t="s">
        <v>516</v>
      </c>
      <c r="M10" s="550"/>
      <c r="N10" s="495"/>
      <c r="O10" s="558" t="s">
        <v>521</v>
      </c>
    </row>
    <row r="11" spans="2:15" ht="150" customHeight="1" thickBot="1" x14ac:dyDescent="0.2">
      <c r="B11" s="698" t="s">
        <v>84</v>
      </c>
      <c r="C11" s="699"/>
      <c r="D11" s="559" t="s">
        <v>517</v>
      </c>
      <c r="E11" s="559"/>
      <c r="F11" s="559"/>
      <c r="G11" s="560"/>
      <c r="H11" s="71"/>
      <c r="I11" s="71"/>
      <c r="J11" s="71"/>
      <c r="K11" s="71"/>
      <c r="L11" s="71"/>
      <c r="M11" s="71"/>
      <c r="N11" s="496"/>
      <c r="O11" s="503"/>
    </row>
    <row r="12" spans="2:15" ht="9.75" customHeight="1" x14ac:dyDescent="0.15">
      <c r="B12" s="561"/>
    </row>
  </sheetData>
  <mergeCells count="4">
    <mergeCell ref="B3:C3"/>
    <mergeCell ref="B4:B9"/>
    <mergeCell ref="B10:C10"/>
    <mergeCell ref="B11:C11"/>
  </mergeCells>
  <phoneticPr fontId="4"/>
  <pageMargins left="0.78740157480314965" right="0.78740157480314965" top="0.78740157480314965" bottom="0.78740157480314965" header="0.39370078740157483" footer="0.39370078740157483"/>
  <pageSetup paperSize="9" scale="55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"/>
  <sheetViews>
    <sheetView zoomScale="75" zoomScaleNormal="75" zoomScaleSheetLayoutView="65" workbookViewId="0"/>
  </sheetViews>
  <sheetFormatPr defaultRowHeight="13.5" x14ac:dyDescent="0.15"/>
  <cols>
    <col min="1" max="1" width="1.625" style="68" customWidth="1"/>
    <col min="2" max="2" width="7.625" style="68" customWidth="1"/>
    <col min="3" max="3" width="25.625" style="68" customWidth="1"/>
    <col min="4" max="6" width="15.625" style="68" customWidth="1"/>
    <col min="7" max="7" width="18.5" style="68" customWidth="1"/>
    <col min="8" max="15" width="15.625" style="68" customWidth="1"/>
    <col min="16" max="16384" width="9" style="68"/>
  </cols>
  <sheetData>
    <row r="1" spans="2:15" ht="9.9499999999999993" customHeight="1" x14ac:dyDescent="0.15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2:15" ht="24.95" customHeight="1" thickBot="1" x14ac:dyDescent="0.2">
      <c r="B2" s="220" t="s">
        <v>566</v>
      </c>
      <c r="F2" s="240" t="s">
        <v>192</v>
      </c>
      <c r="G2" s="68" t="s">
        <v>568</v>
      </c>
      <c r="I2" s="240" t="s">
        <v>193</v>
      </c>
      <c r="J2" s="68" t="s">
        <v>408</v>
      </c>
    </row>
    <row r="3" spans="2:15" ht="20.100000000000001" customHeight="1" x14ac:dyDescent="0.15">
      <c r="B3" s="702" t="s">
        <v>89</v>
      </c>
      <c r="C3" s="703"/>
      <c r="D3" s="564" t="s">
        <v>489</v>
      </c>
      <c r="E3" s="564" t="s">
        <v>490</v>
      </c>
      <c r="F3" s="564" t="s">
        <v>491</v>
      </c>
      <c r="G3" s="564" t="s">
        <v>492</v>
      </c>
      <c r="H3" s="564" t="s">
        <v>493</v>
      </c>
      <c r="I3" s="564" t="s">
        <v>494</v>
      </c>
      <c r="J3" s="564" t="s">
        <v>495</v>
      </c>
      <c r="K3" s="564" t="s">
        <v>496</v>
      </c>
      <c r="L3" s="564" t="s">
        <v>497</v>
      </c>
      <c r="M3" s="565" t="s">
        <v>548</v>
      </c>
      <c r="N3" s="546" t="s">
        <v>499</v>
      </c>
      <c r="O3" s="547" t="s">
        <v>500</v>
      </c>
    </row>
    <row r="4" spans="2:15" ht="150" customHeight="1" x14ac:dyDescent="0.15">
      <c r="B4" s="704" t="s">
        <v>80</v>
      </c>
      <c r="C4" s="539" t="s">
        <v>81</v>
      </c>
      <c r="D4" s="540" t="s">
        <v>501</v>
      </c>
      <c r="E4" s="540" t="s">
        <v>502</v>
      </c>
      <c r="F4" s="540"/>
      <c r="G4" s="540" t="s">
        <v>503</v>
      </c>
      <c r="H4" s="540" t="s">
        <v>610</v>
      </c>
      <c r="I4" s="540" t="s">
        <v>611</v>
      </c>
      <c r="J4" s="540" t="s">
        <v>504</v>
      </c>
      <c r="K4" s="540"/>
      <c r="L4" s="540"/>
      <c r="M4" s="556" t="s">
        <v>505</v>
      </c>
      <c r="N4" s="540" t="s">
        <v>506</v>
      </c>
      <c r="O4" s="543" t="s">
        <v>518</v>
      </c>
    </row>
    <row r="5" spans="2:15" ht="20.100000000000001" customHeight="1" x14ac:dyDescent="0.15">
      <c r="B5" s="704"/>
      <c r="C5" s="539" t="s">
        <v>82</v>
      </c>
      <c r="D5" s="539" t="s">
        <v>549</v>
      </c>
      <c r="E5" s="539" t="s">
        <v>519</v>
      </c>
      <c r="F5" s="539" t="s">
        <v>612</v>
      </c>
      <c r="G5" s="539" t="s">
        <v>599</v>
      </c>
      <c r="H5" s="539" t="s">
        <v>519</v>
      </c>
      <c r="I5" s="539" t="s">
        <v>508</v>
      </c>
      <c r="J5" s="539" t="s">
        <v>544</v>
      </c>
      <c r="K5" s="539" t="s">
        <v>507</v>
      </c>
      <c r="L5" s="539" t="s">
        <v>550</v>
      </c>
      <c r="M5" s="566" t="s">
        <v>593</v>
      </c>
      <c r="N5" s="539" t="s">
        <v>585</v>
      </c>
      <c r="O5" s="543" t="s">
        <v>603</v>
      </c>
    </row>
    <row r="6" spans="2:15" ht="150" customHeight="1" x14ac:dyDescent="0.15">
      <c r="B6" s="704"/>
      <c r="C6" s="539" t="s">
        <v>88</v>
      </c>
      <c r="D6" s="540"/>
      <c r="E6" s="540" t="s">
        <v>509</v>
      </c>
      <c r="F6" s="540" t="s">
        <v>188</v>
      </c>
      <c r="G6" s="540" t="s">
        <v>587</v>
      </c>
      <c r="H6" s="540"/>
      <c r="I6" s="540"/>
      <c r="J6" s="540" t="s">
        <v>510</v>
      </c>
      <c r="K6" s="540"/>
      <c r="L6" s="540" t="s">
        <v>188</v>
      </c>
      <c r="M6" s="556"/>
      <c r="N6" s="540" t="s">
        <v>511</v>
      </c>
      <c r="O6" s="543"/>
    </row>
    <row r="7" spans="2:15" ht="20.100000000000001" customHeight="1" x14ac:dyDescent="0.15">
      <c r="B7" s="704"/>
      <c r="C7" s="567" t="s">
        <v>85</v>
      </c>
      <c r="D7" s="539"/>
      <c r="E7" s="539">
        <v>1</v>
      </c>
      <c r="F7" s="539">
        <v>1</v>
      </c>
      <c r="G7" s="539">
        <v>9</v>
      </c>
      <c r="H7" s="539"/>
      <c r="I7" s="539"/>
      <c r="J7" s="539">
        <v>5</v>
      </c>
      <c r="K7" s="539">
        <v>4.4000000000000004</v>
      </c>
      <c r="L7" s="539">
        <v>10</v>
      </c>
      <c r="M7" s="495"/>
      <c r="N7" s="539">
        <v>14</v>
      </c>
      <c r="O7" s="548">
        <v>2</v>
      </c>
    </row>
    <row r="8" spans="2:15" ht="20.100000000000001" customHeight="1" x14ac:dyDescent="0.15">
      <c r="B8" s="704"/>
      <c r="C8" s="539" t="s">
        <v>86</v>
      </c>
      <c r="D8" s="539">
        <v>12</v>
      </c>
      <c r="E8" s="539">
        <v>22</v>
      </c>
      <c r="F8" s="539">
        <v>4.5</v>
      </c>
      <c r="G8" s="539">
        <v>9</v>
      </c>
      <c r="H8" s="539">
        <v>68</v>
      </c>
      <c r="I8" s="539">
        <v>8</v>
      </c>
      <c r="J8" s="539">
        <v>5</v>
      </c>
      <c r="K8" s="539">
        <v>4.4000000000000004</v>
      </c>
      <c r="L8" s="539">
        <v>80</v>
      </c>
      <c r="M8" s="495">
        <v>14</v>
      </c>
      <c r="N8" s="539">
        <v>14</v>
      </c>
      <c r="O8" s="548">
        <v>40</v>
      </c>
    </row>
    <row r="9" spans="2:15" ht="20.100000000000001" customHeight="1" x14ac:dyDescent="0.15">
      <c r="B9" s="704"/>
      <c r="C9" s="539" t="s">
        <v>87</v>
      </c>
      <c r="D9" s="539"/>
      <c r="E9" s="539"/>
      <c r="F9" s="539"/>
      <c r="G9" s="539"/>
      <c r="H9" s="539"/>
      <c r="I9" s="539"/>
      <c r="J9" s="539"/>
      <c r="K9" s="539"/>
      <c r="L9" s="539"/>
      <c r="M9" s="495"/>
      <c r="N9" s="540"/>
      <c r="O9" s="543"/>
    </row>
    <row r="10" spans="2:15" ht="150" customHeight="1" x14ac:dyDescent="0.15">
      <c r="B10" s="705" t="s">
        <v>83</v>
      </c>
      <c r="C10" s="706"/>
      <c r="D10" s="539" t="s">
        <v>512</v>
      </c>
      <c r="E10" s="539" t="s">
        <v>513</v>
      </c>
      <c r="F10" s="539"/>
      <c r="G10" s="539" t="s">
        <v>514</v>
      </c>
      <c r="H10" s="539" t="s">
        <v>581</v>
      </c>
      <c r="I10" s="539" t="s">
        <v>515</v>
      </c>
      <c r="J10" s="539" t="s">
        <v>29</v>
      </c>
      <c r="K10" s="539"/>
      <c r="L10" s="539" t="s">
        <v>516</v>
      </c>
      <c r="M10" s="495"/>
      <c r="N10" s="539"/>
      <c r="O10" s="548" t="s">
        <v>521</v>
      </c>
    </row>
    <row r="11" spans="2:15" ht="150" customHeight="1" thickBot="1" x14ac:dyDescent="0.2">
      <c r="B11" s="707" t="s">
        <v>84</v>
      </c>
      <c r="C11" s="701"/>
      <c r="D11" s="544" t="s">
        <v>517</v>
      </c>
      <c r="E11" s="544"/>
      <c r="F11" s="568"/>
      <c r="G11" s="541"/>
      <c r="H11" s="541"/>
      <c r="I11" s="541"/>
      <c r="J11" s="541"/>
      <c r="K11" s="541"/>
      <c r="L11" s="541"/>
      <c r="M11" s="542"/>
      <c r="N11" s="544"/>
      <c r="O11" s="545"/>
    </row>
    <row r="12" spans="2:15" ht="9.75" customHeight="1" x14ac:dyDescent="0.15">
      <c r="B12" s="561"/>
    </row>
  </sheetData>
  <mergeCells count="4">
    <mergeCell ref="B3:C3"/>
    <mergeCell ref="B4:B9"/>
    <mergeCell ref="B10:C10"/>
    <mergeCell ref="B11:C11"/>
  </mergeCells>
  <phoneticPr fontId="4"/>
  <pageMargins left="0.78740157480314965" right="0.78740157480314965" top="0.78740157480314965" bottom="0.78740157480314965" header="0.39370078740157483" footer="0.39370078740157483"/>
  <pageSetup paperSize="9" scale="57" orientation="landscape" verticalDpi="300" r:id="rId1"/>
  <headerFooter alignWithMargins="0"/>
  <rowBreaks count="1" manualBreakCount="1">
    <brk id="2" max="14" man="1"/>
  </rowBreaks>
  <colBreaks count="1" manualBreakCount="1">
    <brk id="13" max="1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8"/>
  <sheetViews>
    <sheetView showZeros="0" zoomScale="75" zoomScaleNormal="75" zoomScaleSheetLayoutView="82" workbookViewId="0"/>
  </sheetViews>
  <sheetFormatPr defaultRowHeight="13.5" x14ac:dyDescent="0.15"/>
  <cols>
    <col min="1" max="1" width="1.625" style="10" customWidth="1"/>
    <col min="2" max="2" width="7.625" style="10" customWidth="1"/>
    <col min="3" max="3" width="15.625" style="10" customWidth="1"/>
    <col min="4" max="8" width="20.625" style="10" customWidth="1"/>
    <col min="9" max="9" width="20.625" style="10" hidden="1" customWidth="1"/>
    <col min="10" max="10" width="20.625" style="10" customWidth="1"/>
    <col min="11" max="17" width="12.625" style="10" customWidth="1"/>
    <col min="18" max="16384" width="9" style="10"/>
  </cols>
  <sheetData>
    <row r="1" spans="2:17" ht="9.9499999999999993" customHeight="1" x14ac:dyDescent="0.15"/>
    <row r="2" spans="2:17" ht="24.95" customHeight="1" thickBot="1" x14ac:dyDescent="0.2">
      <c r="B2" s="11" t="s">
        <v>79</v>
      </c>
      <c r="C2" s="12"/>
      <c r="D2" s="12"/>
      <c r="P2" s="13"/>
      <c r="Q2" s="13"/>
    </row>
    <row r="3" spans="2:17" ht="20.100000000000001" customHeight="1" x14ac:dyDescent="0.15">
      <c r="B3" s="708" t="s">
        <v>242</v>
      </c>
      <c r="C3" s="709"/>
      <c r="D3" s="709"/>
      <c r="E3" s="709"/>
      <c r="F3" s="14" t="s">
        <v>22</v>
      </c>
      <c r="G3" s="276" t="s">
        <v>431</v>
      </c>
      <c r="H3" s="276" t="s">
        <v>432</v>
      </c>
      <c r="I3" s="276" t="s">
        <v>433</v>
      </c>
      <c r="J3" s="491" t="s">
        <v>434</v>
      </c>
      <c r="K3" s="739" t="s">
        <v>241</v>
      </c>
      <c r="L3" s="740"/>
      <c r="M3" s="740"/>
      <c r="N3" s="740"/>
      <c r="O3" s="740"/>
      <c r="P3" s="740"/>
      <c r="Q3" s="741"/>
    </row>
    <row r="4" spans="2:17" ht="20.100000000000001" customHeight="1" thickBot="1" x14ac:dyDescent="0.2">
      <c r="B4" s="710"/>
      <c r="C4" s="711"/>
      <c r="D4" s="711"/>
      <c r="E4" s="711"/>
      <c r="F4" s="264">
        <f>SUM(G4:J4)</f>
        <v>60</v>
      </c>
      <c r="G4" s="277">
        <v>10</v>
      </c>
      <c r="H4" s="277">
        <v>10</v>
      </c>
      <c r="I4" s="277">
        <v>0</v>
      </c>
      <c r="J4" s="264">
        <v>40</v>
      </c>
      <c r="K4" s="742"/>
      <c r="L4" s="743"/>
      <c r="M4" s="743"/>
      <c r="N4" s="743"/>
      <c r="O4" s="743"/>
      <c r="P4" s="743"/>
      <c r="Q4" s="744"/>
    </row>
    <row r="5" spans="2:17" ht="20.100000000000001" customHeight="1" x14ac:dyDescent="0.15">
      <c r="B5" s="720" t="s">
        <v>44</v>
      </c>
      <c r="C5" s="721"/>
      <c r="D5" s="15" t="s">
        <v>163</v>
      </c>
      <c r="E5" s="16"/>
      <c r="F5" s="17">
        <f t="shared" ref="F5:F21" si="0">SUM(G5:J5)</f>
        <v>9883500</v>
      </c>
      <c r="G5" s="493">
        <f>+'７－１　ピオーネトンネル部門収支'!F4*G$4/10</f>
        <v>1313160</v>
      </c>
      <c r="H5" s="493">
        <f>'７－２　ベリーＡ保温メッシュ部門収支'!F4*H$4/10</f>
        <v>1533060</v>
      </c>
      <c r="I5" s="494">
        <f>'７－３　ベリーＡトンネル部門収支'!F4*I$4/10</f>
        <v>0</v>
      </c>
      <c r="J5" s="265">
        <f>'７－３　シャイントンネル部門収支'!F4*J$4/10</f>
        <v>7037280</v>
      </c>
      <c r="K5" s="745"/>
      <c r="L5" s="746"/>
      <c r="M5" s="746"/>
      <c r="N5" s="746"/>
      <c r="O5" s="746"/>
      <c r="P5" s="746"/>
      <c r="Q5" s="747"/>
    </row>
    <row r="6" spans="2:17" ht="20.100000000000001" customHeight="1" x14ac:dyDescent="0.15">
      <c r="B6" s="722"/>
      <c r="C6" s="723"/>
      <c r="D6" s="18" t="s">
        <v>71</v>
      </c>
      <c r="E6" s="19"/>
      <c r="F6" s="20">
        <f t="shared" si="0"/>
        <v>0</v>
      </c>
      <c r="G6" s="492">
        <f>+'７－１　ピオーネトンネル部門収支'!F5*G$4/10</f>
        <v>0</v>
      </c>
      <c r="H6" s="492">
        <f>'７－２　ベリーＡ保温メッシュ部門収支'!F5*H$4/10</f>
        <v>0</v>
      </c>
      <c r="I6" s="492">
        <f>'７－３　ベリーＡトンネル部門収支'!F5*I$4/10</f>
        <v>0</v>
      </c>
      <c r="J6" s="23">
        <f>'７－３　シャイントンネル部門収支'!F5*J$4/10</f>
        <v>0</v>
      </c>
      <c r="K6" s="726"/>
      <c r="L6" s="727"/>
      <c r="M6" s="727"/>
      <c r="N6" s="727"/>
      <c r="O6" s="727"/>
      <c r="P6" s="727"/>
      <c r="Q6" s="728"/>
    </row>
    <row r="7" spans="2:17" ht="20.100000000000001" customHeight="1" x14ac:dyDescent="0.15">
      <c r="B7" s="724"/>
      <c r="C7" s="725"/>
      <c r="D7" s="712" t="s">
        <v>159</v>
      </c>
      <c r="E7" s="713"/>
      <c r="F7" s="21">
        <f t="shared" si="0"/>
        <v>9883500</v>
      </c>
      <c r="G7" s="22">
        <f t="shared" ref="G7:J7" si="1">G5+G6</f>
        <v>1313160</v>
      </c>
      <c r="H7" s="312">
        <f t="shared" si="1"/>
        <v>1533060</v>
      </c>
      <c r="I7" s="312">
        <f t="shared" si="1"/>
        <v>0</v>
      </c>
      <c r="J7" s="22">
        <f t="shared" si="1"/>
        <v>7037280</v>
      </c>
      <c r="K7" s="726"/>
      <c r="L7" s="727"/>
      <c r="M7" s="727"/>
      <c r="N7" s="727"/>
      <c r="O7" s="727"/>
      <c r="P7" s="727"/>
      <c r="Q7" s="728"/>
    </row>
    <row r="8" spans="2:17" ht="20.100000000000001" customHeight="1" x14ac:dyDescent="0.15">
      <c r="B8" s="751" t="s">
        <v>228</v>
      </c>
      <c r="C8" s="757" t="s">
        <v>243</v>
      </c>
      <c r="D8" s="18" t="s">
        <v>45</v>
      </c>
      <c r="E8" s="19"/>
      <c r="F8" s="20"/>
      <c r="G8" s="24"/>
      <c r="H8" s="24"/>
      <c r="I8" s="24"/>
      <c r="J8" s="23"/>
      <c r="K8" s="726"/>
      <c r="L8" s="727"/>
      <c r="M8" s="727"/>
      <c r="N8" s="727"/>
      <c r="O8" s="727"/>
      <c r="P8" s="727"/>
      <c r="Q8" s="728"/>
    </row>
    <row r="9" spans="2:17" ht="20.100000000000001" customHeight="1" x14ac:dyDescent="0.15">
      <c r="B9" s="752"/>
      <c r="C9" s="758"/>
      <c r="D9" s="18" t="s">
        <v>46</v>
      </c>
      <c r="E9" s="19"/>
      <c r="F9" s="20">
        <f t="shared" si="0"/>
        <v>582450</v>
      </c>
      <c r="G9" s="24">
        <f>+'７－１　ピオーネトンネル部門収支'!F7*G$4/10</f>
        <v>97075</v>
      </c>
      <c r="H9" s="24">
        <f>'７－２　ベリーＡ保温メッシュ部門収支'!F7*H$4/10</f>
        <v>97075</v>
      </c>
      <c r="I9" s="24">
        <f>'７－３　ベリーＡトンネル部門収支'!F7*I$4/10</f>
        <v>0</v>
      </c>
      <c r="J9" s="23">
        <f>'７－３　シャイントンネル部門収支'!F7*J$4/10</f>
        <v>388300</v>
      </c>
      <c r="K9" s="726"/>
      <c r="L9" s="727"/>
      <c r="M9" s="727"/>
      <c r="N9" s="727"/>
      <c r="O9" s="727"/>
      <c r="P9" s="727"/>
      <c r="Q9" s="728"/>
    </row>
    <row r="10" spans="2:17" ht="20.100000000000001" customHeight="1" x14ac:dyDescent="0.15">
      <c r="B10" s="752"/>
      <c r="C10" s="758"/>
      <c r="D10" s="18" t="s">
        <v>47</v>
      </c>
      <c r="E10" s="19"/>
      <c r="F10" s="20">
        <f t="shared" si="0"/>
        <v>272957.25757575757</v>
      </c>
      <c r="G10" s="24">
        <f>+'７－１　ピオーネトンネル部門収支'!F8*G$4/10</f>
        <v>48189.126262626261</v>
      </c>
      <c r="H10" s="24">
        <f>'７－２　ベリーＡ保温メッシュ部門収支'!F8*H$4/10</f>
        <v>40321.626262626261</v>
      </c>
      <c r="I10" s="24">
        <f>'７－３　ベリーＡトンネル部門収支'!F8*I$4/10</f>
        <v>0</v>
      </c>
      <c r="J10" s="23">
        <f>'７－３　シャイントンネル部門収支'!F8*J$4/10</f>
        <v>184446.50505050505</v>
      </c>
      <c r="K10" s="726"/>
      <c r="L10" s="727"/>
      <c r="M10" s="727"/>
      <c r="N10" s="727"/>
      <c r="O10" s="727"/>
      <c r="P10" s="727"/>
      <c r="Q10" s="728"/>
    </row>
    <row r="11" spans="2:17" ht="20.100000000000001" customHeight="1" x14ac:dyDescent="0.15">
      <c r="B11" s="752"/>
      <c r="C11" s="758"/>
      <c r="D11" s="18" t="s">
        <v>72</v>
      </c>
      <c r="E11" s="19"/>
      <c r="F11" s="20">
        <f t="shared" si="0"/>
        <v>153918.75</v>
      </c>
      <c r="G11" s="24">
        <f>+'７－１　ピオーネトンネル部門収支'!F9*G$4/10</f>
        <v>25340.15</v>
      </c>
      <c r="H11" s="24">
        <f>'７－２　ベリーＡ保温メッシュ部門収支'!F9*H$4/10</f>
        <v>27218</v>
      </c>
      <c r="I11" s="24">
        <f>'７－３　ベリーＡトンネル部門収支'!F9*I$4/10</f>
        <v>0</v>
      </c>
      <c r="J11" s="23">
        <f>'７－３　シャイントンネル部門収支'!F9*J$4/10</f>
        <v>101360.6</v>
      </c>
      <c r="K11" s="726"/>
      <c r="L11" s="727"/>
      <c r="M11" s="727"/>
      <c r="N11" s="727"/>
      <c r="O11" s="727"/>
      <c r="P11" s="727"/>
      <c r="Q11" s="728"/>
    </row>
    <row r="12" spans="2:17" ht="20.100000000000001" customHeight="1" x14ac:dyDescent="0.15">
      <c r="B12" s="752"/>
      <c r="C12" s="758"/>
      <c r="D12" s="18" t="s">
        <v>48</v>
      </c>
      <c r="E12" s="19"/>
      <c r="F12" s="20">
        <f t="shared" si="0"/>
        <v>254638.4</v>
      </c>
      <c r="G12" s="24">
        <f>+'７－１　ピオーネトンネル部門収支'!F10*G$4/10</f>
        <v>37330.400000000001</v>
      </c>
      <c r="H12" s="24">
        <f>'７－２　ベリーＡ保温メッシュ部門収支'!F10*H$4/10</f>
        <v>66850.399999999994</v>
      </c>
      <c r="I12" s="24">
        <f>'７－３　ベリーＡトンネル部門収支'!F10*I$4/10</f>
        <v>0</v>
      </c>
      <c r="J12" s="23">
        <f>'７－３　シャイントンネル部門収支'!F10*J$4/10</f>
        <v>150457.60000000001</v>
      </c>
      <c r="K12" s="726"/>
      <c r="L12" s="727"/>
      <c r="M12" s="727"/>
      <c r="N12" s="727"/>
      <c r="O12" s="727"/>
      <c r="P12" s="727"/>
      <c r="Q12" s="728"/>
    </row>
    <row r="13" spans="2:17" ht="20.100000000000001" customHeight="1" x14ac:dyDescent="0.15">
      <c r="B13" s="752"/>
      <c r="C13" s="758"/>
      <c r="D13" s="18" t="s">
        <v>4</v>
      </c>
      <c r="E13" s="19"/>
      <c r="F13" s="20">
        <f t="shared" si="0"/>
        <v>92139.57142857142</v>
      </c>
      <c r="G13" s="24">
        <f>+'７－１　ピオーネトンネル部門収支'!F11*G$4/10</f>
        <v>6771.971428571429</v>
      </c>
      <c r="H13" s="24">
        <f>'７－２　ベリーＡ保温メッシュ部門収支'!F11*H$4/10</f>
        <v>58279.714285714283</v>
      </c>
      <c r="I13" s="24">
        <f>'７－３　ベリーＡトンネル部門収支'!F11*I$4/10</f>
        <v>0</v>
      </c>
      <c r="J13" s="23">
        <f>'７－３　シャイントンネル部門収支'!F11*J$4/10</f>
        <v>27087.885714285716</v>
      </c>
      <c r="K13" s="726"/>
      <c r="L13" s="727"/>
      <c r="M13" s="727"/>
      <c r="N13" s="727"/>
      <c r="O13" s="727"/>
      <c r="P13" s="727"/>
      <c r="Q13" s="728"/>
    </row>
    <row r="14" spans="2:17" ht="20.100000000000001" customHeight="1" x14ac:dyDescent="0.15">
      <c r="B14" s="752"/>
      <c r="C14" s="758"/>
      <c r="D14" s="18" t="s">
        <v>5</v>
      </c>
      <c r="E14" s="19"/>
      <c r="F14" s="23">
        <f t="shared" si="0"/>
        <v>60000</v>
      </c>
      <c r="G14" s="24">
        <f>+'７－１　ピオーネトンネル部門収支'!F12*G$4/10</f>
        <v>10000</v>
      </c>
      <c r="H14" s="24">
        <f>'７－２　ベリーＡ保温メッシュ部門収支'!F12*H$4/10</f>
        <v>10000</v>
      </c>
      <c r="I14" s="24">
        <f>'７－３　ベリーＡトンネル部門収支'!F12*I$4/10</f>
        <v>0</v>
      </c>
      <c r="J14" s="23">
        <f>'７－３　シャイントンネル部門収支'!F12*J$4/10</f>
        <v>40000</v>
      </c>
      <c r="K14" s="726" t="s">
        <v>624</v>
      </c>
      <c r="L14" s="727"/>
      <c r="M14" s="727"/>
      <c r="N14" s="727"/>
      <c r="O14" s="727"/>
      <c r="P14" s="727"/>
      <c r="Q14" s="728"/>
    </row>
    <row r="15" spans="2:17" ht="20.100000000000001" customHeight="1" x14ac:dyDescent="0.15">
      <c r="B15" s="752"/>
      <c r="C15" s="758"/>
      <c r="D15" s="714" t="s">
        <v>49</v>
      </c>
      <c r="E15" s="258" t="s">
        <v>152</v>
      </c>
      <c r="F15" s="23">
        <f>SUM(G15:J15)</f>
        <v>13944.642857142859</v>
      </c>
      <c r="G15" s="24">
        <f>+'７－１　ピオーネトンネル部門収支'!F13*G$4/10</f>
        <v>2324.1071428571431</v>
      </c>
      <c r="H15" s="24">
        <f>'７－２　ベリーＡ保温メッシュ部門収支'!F13*H$4/10</f>
        <v>2324.1071428571431</v>
      </c>
      <c r="I15" s="24">
        <f>'７－３　ベリーＡトンネル部門収支'!F13*I$4/10</f>
        <v>0</v>
      </c>
      <c r="J15" s="23">
        <f>'７－３　シャイントンネル部門収支'!F13*J$4/10</f>
        <v>9296.4285714285725</v>
      </c>
      <c r="K15" s="726"/>
      <c r="L15" s="727"/>
      <c r="M15" s="727"/>
      <c r="N15" s="727"/>
      <c r="O15" s="727"/>
      <c r="P15" s="727"/>
      <c r="Q15" s="728"/>
    </row>
    <row r="16" spans="2:17" ht="20.100000000000001" customHeight="1" x14ac:dyDescent="0.15">
      <c r="B16" s="752"/>
      <c r="C16" s="758"/>
      <c r="D16" s="715"/>
      <c r="E16" s="258" t="s">
        <v>153</v>
      </c>
      <c r="F16" s="23">
        <f t="shared" si="0"/>
        <v>13271.428571428569</v>
      </c>
      <c r="G16" s="24">
        <f>+'７－１　ピオーネトンネル部門収支'!F14*G$4/10</f>
        <v>2211.9047619047615</v>
      </c>
      <c r="H16" s="24">
        <f>'７－２　ベリーＡ保温メッシュ部門収支'!F14*H$4/10</f>
        <v>2211.9047619047615</v>
      </c>
      <c r="I16" s="24">
        <f>'７－３　ベリーＡトンネル部門収支'!F14*I$4/10</f>
        <v>0</v>
      </c>
      <c r="J16" s="23">
        <f>'７－３　シャイントンネル部門収支'!F14*J$4/10</f>
        <v>8847.6190476190459</v>
      </c>
      <c r="K16" s="726"/>
      <c r="L16" s="727"/>
      <c r="M16" s="727"/>
      <c r="N16" s="727"/>
      <c r="O16" s="727"/>
      <c r="P16" s="727"/>
      <c r="Q16" s="728"/>
    </row>
    <row r="17" spans="2:17" ht="20.100000000000001" customHeight="1" x14ac:dyDescent="0.15">
      <c r="B17" s="752"/>
      <c r="C17" s="758"/>
      <c r="D17" s="716" t="s">
        <v>73</v>
      </c>
      <c r="E17" s="258" t="s">
        <v>152</v>
      </c>
      <c r="F17" s="23">
        <f t="shared" si="0"/>
        <v>1394464.2857142854</v>
      </c>
      <c r="G17" s="24">
        <f>+'７－１　ピオーネトンネル部門収支'!F15*G$4/10</f>
        <v>232410.71428571426</v>
      </c>
      <c r="H17" s="24">
        <f>'７－２　ベリーＡ保温メッシュ部門収支'!F15*H$4/10</f>
        <v>232410.71428571426</v>
      </c>
      <c r="I17" s="24">
        <f>'７－３　ベリーＡトンネル部門収支'!F15*I$4/10</f>
        <v>0</v>
      </c>
      <c r="J17" s="23">
        <f>'７－３　シャイントンネル部門収支'!F15*J$4/10</f>
        <v>929642.85714285704</v>
      </c>
      <c r="K17" s="726"/>
      <c r="L17" s="727"/>
      <c r="M17" s="727"/>
      <c r="N17" s="727"/>
      <c r="O17" s="727"/>
      <c r="P17" s="727"/>
      <c r="Q17" s="728"/>
    </row>
    <row r="18" spans="2:17" ht="20.100000000000001" customHeight="1" x14ac:dyDescent="0.15">
      <c r="B18" s="752"/>
      <c r="C18" s="758"/>
      <c r="D18" s="717"/>
      <c r="E18" s="258" t="s">
        <v>153</v>
      </c>
      <c r="F18" s="23">
        <f t="shared" si="0"/>
        <v>265428.57142857136</v>
      </c>
      <c r="G18" s="24">
        <f>+'７－１　ピオーネトンネル部門収支'!F16*G$4/10</f>
        <v>44238.095238095229</v>
      </c>
      <c r="H18" s="24">
        <f>'７－２　ベリーＡ保温メッシュ部門収支'!F16*H$4/10</f>
        <v>44238.095238095229</v>
      </c>
      <c r="I18" s="24">
        <f>'７－３　ベリーＡトンネル部門収支'!F16*I$4/10</f>
        <v>0</v>
      </c>
      <c r="J18" s="23">
        <f>'７－３　シャイントンネル部門収支'!F16*J$4/10</f>
        <v>176952.38095238092</v>
      </c>
      <c r="K18" s="726"/>
      <c r="L18" s="727"/>
      <c r="M18" s="727"/>
      <c r="N18" s="727"/>
      <c r="O18" s="727"/>
      <c r="P18" s="727"/>
      <c r="Q18" s="728"/>
    </row>
    <row r="19" spans="2:17" ht="20.100000000000001" customHeight="1" x14ac:dyDescent="0.15">
      <c r="B19" s="752"/>
      <c r="C19" s="758"/>
      <c r="D19" s="715"/>
      <c r="E19" s="259" t="s">
        <v>50</v>
      </c>
      <c r="F19" s="23">
        <f t="shared" si="0"/>
        <v>130463.86666666667</v>
      </c>
      <c r="G19" s="24">
        <f>+'７－１　ピオーネトンネル部門収支'!F17*G$4/10</f>
        <v>18028.466666666667</v>
      </c>
      <c r="H19" s="24">
        <f>'７－２　ベリーＡ保温メッシュ部門収支'!F17*H$4/10</f>
        <v>12990.333333333334</v>
      </c>
      <c r="I19" s="24">
        <f>'７－３　ベリーＡトンネル部門収支'!F17*I$4/10</f>
        <v>0</v>
      </c>
      <c r="J19" s="23">
        <f>'７－３　シャイントンネル部門収支'!F17*J$4/10</f>
        <v>99445.066666666666</v>
      </c>
      <c r="K19" s="726"/>
      <c r="L19" s="727"/>
      <c r="M19" s="727"/>
      <c r="N19" s="727"/>
      <c r="O19" s="727"/>
      <c r="P19" s="727"/>
      <c r="Q19" s="728"/>
    </row>
    <row r="20" spans="2:17" ht="20.100000000000001" customHeight="1" x14ac:dyDescent="0.15">
      <c r="B20" s="752"/>
      <c r="C20" s="758"/>
      <c r="D20" s="18" t="s">
        <v>51</v>
      </c>
      <c r="E20" s="19"/>
      <c r="F20" s="20">
        <f t="shared" si="0"/>
        <v>300000</v>
      </c>
      <c r="G20" s="24">
        <f>+'７－１　ピオーネトンネル部門収支'!F18*G$4/10</f>
        <v>50000</v>
      </c>
      <c r="H20" s="24">
        <f>'７－２　ベリーＡ保温メッシュ部門収支'!F18*H$4/10</f>
        <v>50000</v>
      </c>
      <c r="I20" s="24">
        <f>'７－３　ベリーＡトンネル部門収支'!F18*I$4/10</f>
        <v>0</v>
      </c>
      <c r="J20" s="23">
        <f>'７－３　シャイントンネル部門収支'!F18*J$4/10</f>
        <v>200000</v>
      </c>
      <c r="K20" s="726" t="s">
        <v>625</v>
      </c>
      <c r="L20" s="727"/>
      <c r="M20" s="727"/>
      <c r="N20" s="727"/>
      <c r="O20" s="727"/>
      <c r="P20" s="727"/>
      <c r="Q20" s="728"/>
    </row>
    <row r="21" spans="2:17" ht="20.100000000000001" customHeight="1" x14ac:dyDescent="0.15">
      <c r="B21" s="752"/>
      <c r="C21" s="758"/>
      <c r="D21" s="18" t="s">
        <v>132</v>
      </c>
      <c r="E21" s="19"/>
      <c r="F21" s="20">
        <f t="shared" si="0"/>
        <v>35693.704790327523</v>
      </c>
      <c r="G21" s="24">
        <f>+'７－１　ピオーネトンネル部門収支'!F19*G$4/10</f>
        <v>5797.1710685498574</v>
      </c>
      <c r="H21" s="24">
        <f>'７－２　ベリーＡ保温メッシュ部門収支'!F19*H$4/10</f>
        <v>6504.2413667701549</v>
      </c>
      <c r="I21" s="24">
        <f>'７－３　ベリーＡトンネル部門収支'!F19*I$4/10</f>
        <v>0</v>
      </c>
      <c r="J21" s="23">
        <f>'７－３　シャイントンネル部門収支'!F19*J$4/10</f>
        <v>23392.292355007507</v>
      </c>
      <c r="K21" s="726"/>
      <c r="L21" s="727"/>
      <c r="M21" s="727"/>
      <c r="N21" s="727"/>
      <c r="O21" s="727"/>
      <c r="P21" s="727"/>
      <c r="Q21" s="728"/>
    </row>
    <row r="22" spans="2:17" ht="20.100000000000001" customHeight="1" x14ac:dyDescent="0.15">
      <c r="B22" s="752"/>
      <c r="C22" s="759"/>
      <c r="D22" s="718" t="s">
        <v>160</v>
      </c>
      <c r="E22" s="719"/>
      <c r="F22" s="267">
        <f>SUM(F8:F21)</f>
        <v>3569370.4790327516</v>
      </c>
      <c r="G22" s="267">
        <f t="shared" ref="G22:J22" si="2">SUM(G8:G21)</f>
        <v>579717.10685498558</v>
      </c>
      <c r="H22" s="267">
        <f t="shared" si="2"/>
        <v>650424.13667701546</v>
      </c>
      <c r="I22" s="267">
        <f t="shared" si="2"/>
        <v>0</v>
      </c>
      <c r="J22" s="267">
        <f t="shared" si="2"/>
        <v>2339229.2355007506</v>
      </c>
      <c r="K22" s="726"/>
      <c r="L22" s="727"/>
      <c r="M22" s="727"/>
      <c r="N22" s="727"/>
      <c r="O22" s="727"/>
      <c r="P22" s="727"/>
      <c r="Q22" s="728"/>
    </row>
    <row r="23" spans="2:17" ht="20.100000000000001" customHeight="1" x14ac:dyDescent="0.15">
      <c r="B23" s="752"/>
      <c r="C23" s="760" t="s">
        <v>157</v>
      </c>
      <c r="D23" s="731" t="s">
        <v>52</v>
      </c>
      <c r="E23" s="26" t="s">
        <v>1</v>
      </c>
      <c r="F23" s="23">
        <f t="shared" ref="F23:F31" si="3">SUM(G23:J23)</f>
        <v>806400</v>
      </c>
      <c r="G23" s="24">
        <f>+'７－１　ピオーネトンネル部門収支'!F21*G$4/10</f>
        <v>115200</v>
      </c>
      <c r="H23" s="24">
        <f>'７－２　ベリーＡ保温メッシュ部門収支'!F21*H$4/10</f>
        <v>172800</v>
      </c>
      <c r="I23" s="24">
        <f>'７－３　ベリーＡトンネル部門収支'!F21*I$4/10</f>
        <v>0</v>
      </c>
      <c r="J23" s="23">
        <f>'７－３　シャイントンネル部門収支'!F21*J$4/10</f>
        <v>518400</v>
      </c>
      <c r="K23" s="726"/>
      <c r="L23" s="727"/>
      <c r="M23" s="727"/>
      <c r="N23" s="727"/>
      <c r="O23" s="727"/>
      <c r="P23" s="727"/>
      <c r="Q23" s="728"/>
    </row>
    <row r="24" spans="2:17" ht="20.100000000000001" customHeight="1" x14ac:dyDescent="0.15">
      <c r="B24" s="752"/>
      <c r="C24" s="761"/>
      <c r="D24" s="732"/>
      <c r="E24" s="26" t="s">
        <v>2</v>
      </c>
      <c r="F24" s="23">
        <f t="shared" si="3"/>
        <v>181440</v>
      </c>
      <c r="G24" s="24">
        <f>+'７－１　ピオーネトンネル部門収支'!F22*G$4/10</f>
        <v>25920</v>
      </c>
      <c r="H24" s="24">
        <f>'７－２　ベリーＡ保温メッシュ部門収支'!F22*H$4/10</f>
        <v>38880</v>
      </c>
      <c r="I24" s="24">
        <f>'７－３　ベリーＡトンネル部門収支'!F22*I$4/10</f>
        <v>0</v>
      </c>
      <c r="J24" s="23">
        <f>'７－３　シャイントンネル部門収支'!F22*J$4/10</f>
        <v>116640</v>
      </c>
      <c r="K24" s="726"/>
      <c r="L24" s="727"/>
      <c r="M24" s="727"/>
      <c r="N24" s="727"/>
      <c r="O24" s="727"/>
      <c r="P24" s="727"/>
      <c r="Q24" s="728"/>
    </row>
    <row r="25" spans="2:17" ht="20.100000000000001" customHeight="1" x14ac:dyDescent="0.15">
      <c r="B25" s="752"/>
      <c r="C25" s="761"/>
      <c r="D25" s="733"/>
      <c r="E25" s="26" t="s">
        <v>6</v>
      </c>
      <c r="F25" s="23">
        <f t="shared" si="3"/>
        <v>1087185</v>
      </c>
      <c r="G25" s="24">
        <f>+'７－１　ピオーネトンネル部門収支'!F23*G$4/10</f>
        <v>144447.6</v>
      </c>
      <c r="H25" s="24">
        <f>'７－２　ベリーＡ保温メッシュ部門収支'!F23*H$4/10</f>
        <v>168636.6</v>
      </c>
      <c r="I25" s="24">
        <f>'７－３　ベリーＡトンネル部門収支'!F23*I$4/10</f>
        <v>0</v>
      </c>
      <c r="J25" s="23">
        <f>'７－３　シャイントンネル部門収支'!F23*J$4/10</f>
        <v>774100.8</v>
      </c>
      <c r="K25" s="726"/>
      <c r="L25" s="727"/>
      <c r="M25" s="727"/>
      <c r="N25" s="727"/>
      <c r="O25" s="727"/>
      <c r="P25" s="727"/>
      <c r="Q25" s="728"/>
    </row>
    <row r="26" spans="2:17" ht="20.100000000000001" customHeight="1" x14ac:dyDescent="0.15">
      <c r="B26" s="752"/>
      <c r="C26" s="761"/>
      <c r="D26" s="26" t="s">
        <v>226</v>
      </c>
      <c r="E26" s="27"/>
      <c r="F26" s="23">
        <f t="shared" si="3"/>
        <v>0</v>
      </c>
      <c r="G26" s="24">
        <f>+'７－１　ピオーネトンネル部門収支'!F24*G$4/10</f>
        <v>0</v>
      </c>
      <c r="H26" s="24">
        <f>'７－２　ベリーＡ保温メッシュ部門収支'!F24*H$4/10</f>
        <v>0</v>
      </c>
      <c r="I26" s="24">
        <f>'７－３　ベリーＡトンネル部門収支'!F24*I$4/10</f>
        <v>0</v>
      </c>
      <c r="J26" s="23">
        <f>'７－３　シャイントンネル部門収支'!F24*J$4/10</f>
        <v>0</v>
      </c>
      <c r="K26" s="726"/>
      <c r="L26" s="727"/>
      <c r="M26" s="727"/>
      <c r="N26" s="727"/>
      <c r="O26" s="727"/>
      <c r="P26" s="727"/>
      <c r="Q26" s="728"/>
    </row>
    <row r="27" spans="2:17" ht="20.100000000000001" customHeight="1" x14ac:dyDescent="0.15">
      <c r="B27" s="752"/>
      <c r="C27" s="761"/>
      <c r="D27" s="26" t="s">
        <v>74</v>
      </c>
      <c r="E27" s="27"/>
      <c r="F27" s="23">
        <f t="shared" si="3"/>
        <v>0</v>
      </c>
      <c r="G27" s="24">
        <f>+'７－１　ピオーネトンネル部門収支'!F25*G$4/10</f>
        <v>0</v>
      </c>
      <c r="H27" s="24">
        <f>'７－２　ベリーＡ保温メッシュ部門収支'!F25*H$4/10</f>
        <v>0</v>
      </c>
      <c r="I27" s="24">
        <f>'７－３　ベリーＡトンネル部門収支'!F25*I$4/10</f>
        <v>0</v>
      </c>
      <c r="J27" s="23">
        <f>'７－３　シャイントンネル部門収支'!F25*J$4/10</f>
        <v>0</v>
      </c>
      <c r="K27" s="726"/>
      <c r="L27" s="727"/>
      <c r="M27" s="727"/>
      <c r="N27" s="727"/>
      <c r="O27" s="727"/>
      <c r="P27" s="727"/>
      <c r="Q27" s="728"/>
    </row>
    <row r="28" spans="2:17" ht="20.100000000000001" customHeight="1" x14ac:dyDescent="0.15">
      <c r="B28" s="752"/>
      <c r="C28" s="761"/>
      <c r="D28" s="26" t="s">
        <v>97</v>
      </c>
      <c r="E28" s="27"/>
      <c r="F28" s="23">
        <f t="shared" si="3"/>
        <v>79090</v>
      </c>
      <c r="G28" s="24">
        <f>+'７－１　ピオーネトンネル部門収支'!F26*G$4/10</f>
        <v>13181.666666666668</v>
      </c>
      <c r="H28" s="24">
        <f>'７－２　ベリーＡ保温メッシュ部門収支'!F26*H$4/10</f>
        <v>13181.666666666668</v>
      </c>
      <c r="I28" s="24">
        <f>'７－３　ベリーＡトンネル部門収支'!F26*I$4/10</f>
        <v>0</v>
      </c>
      <c r="J28" s="23">
        <f>'７－３　シャイントンネル部門収支'!F26*J$4/10</f>
        <v>52726.666666666672</v>
      </c>
      <c r="K28" s="726"/>
      <c r="L28" s="727"/>
      <c r="M28" s="727"/>
      <c r="N28" s="727"/>
      <c r="O28" s="727"/>
      <c r="P28" s="727"/>
      <c r="Q28" s="728"/>
    </row>
    <row r="29" spans="2:17" ht="20.100000000000001" customHeight="1" x14ac:dyDescent="0.15">
      <c r="B29" s="752"/>
      <c r="C29" s="761"/>
      <c r="D29" s="26" t="s">
        <v>75</v>
      </c>
      <c r="E29" s="27"/>
      <c r="F29" s="23">
        <f t="shared" si="3"/>
        <v>0</v>
      </c>
      <c r="G29" s="24">
        <f>+'７－１　ピオーネトンネル部門収支'!F27*G$4/10</f>
        <v>0</v>
      </c>
      <c r="H29" s="24">
        <f>'７－２　ベリーＡ保温メッシュ部門収支'!F27*H$4/10</f>
        <v>0</v>
      </c>
      <c r="I29" s="24">
        <f>'７－３　ベリーＡトンネル部門収支'!F27*I$4/10</f>
        <v>0</v>
      </c>
      <c r="J29" s="23">
        <f>'７－３　シャイントンネル部門収支'!F27*J$4/10</f>
        <v>0</v>
      </c>
      <c r="K29" s="726"/>
      <c r="L29" s="727"/>
      <c r="M29" s="727"/>
      <c r="N29" s="727"/>
      <c r="O29" s="727"/>
      <c r="P29" s="727"/>
      <c r="Q29" s="728"/>
    </row>
    <row r="30" spans="2:17" ht="20.100000000000001" customHeight="1" x14ac:dyDescent="0.15">
      <c r="B30" s="752"/>
      <c r="C30" s="761"/>
      <c r="D30" s="26" t="s">
        <v>53</v>
      </c>
      <c r="E30" s="27"/>
      <c r="F30" s="23">
        <f t="shared" si="3"/>
        <v>9100</v>
      </c>
      <c r="G30" s="24">
        <f>+'７－１　ピオーネトンネル部門収支'!F28*G$4/10</f>
        <v>1516.6666666666665</v>
      </c>
      <c r="H30" s="24">
        <f>'７－２　ベリーＡ保温メッシュ部門収支'!F28*H$4/10</f>
        <v>1516.6666666666665</v>
      </c>
      <c r="I30" s="24">
        <f>'７－３　ベリーＡトンネル部門収支'!F28*I$4/10</f>
        <v>0</v>
      </c>
      <c r="J30" s="23">
        <f>'７－３　シャイントンネル部門収支'!F28*J$4/10</f>
        <v>6066.6666666666661</v>
      </c>
      <c r="K30" s="726"/>
      <c r="L30" s="727"/>
      <c r="M30" s="727"/>
      <c r="N30" s="727"/>
      <c r="O30" s="727"/>
      <c r="P30" s="727"/>
      <c r="Q30" s="728"/>
    </row>
    <row r="31" spans="2:17" ht="20.100000000000001" customHeight="1" x14ac:dyDescent="0.15">
      <c r="B31" s="752"/>
      <c r="C31" s="761"/>
      <c r="D31" s="26" t="s">
        <v>227</v>
      </c>
      <c r="E31" s="27"/>
      <c r="F31" s="23">
        <f t="shared" si="3"/>
        <v>21850.656565656569</v>
      </c>
      <c r="G31" s="24">
        <f>+'７－１　ピオーネトンネル部門収支'!F29*G$4/10</f>
        <v>3032.989225589226</v>
      </c>
      <c r="H31" s="24">
        <f>'７－２　ベリーＡ保温メッシュ部門収支'!F29*H$4/10</f>
        <v>3990.049831649832</v>
      </c>
      <c r="I31" s="24">
        <f>'７－３　ベリーＡトンネル部門収支'!F29*I$4/10</f>
        <v>0</v>
      </c>
      <c r="J31" s="23">
        <f>'７－３　シャイントンネル部門収支'!F29*J$4/10</f>
        <v>14827.61750841751</v>
      </c>
      <c r="K31" s="726"/>
      <c r="L31" s="727"/>
      <c r="M31" s="727"/>
      <c r="N31" s="727"/>
      <c r="O31" s="727"/>
      <c r="P31" s="727"/>
      <c r="Q31" s="728"/>
    </row>
    <row r="32" spans="2:17" ht="20.100000000000001" customHeight="1" x14ac:dyDescent="0.15">
      <c r="B32" s="752"/>
      <c r="C32" s="761"/>
      <c r="D32" s="734" t="s">
        <v>229</v>
      </c>
      <c r="E32" s="735"/>
      <c r="F32" s="266">
        <f>SUM(F23:F31)</f>
        <v>2185065.6565656564</v>
      </c>
      <c r="G32" s="266">
        <f t="shared" ref="G32:J32" si="4">SUM(G23:G31)</f>
        <v>303298.92255892255</v>
      </c>
      <c r="H32" s="266">
        <f t="shared" si="4"/>
        <v>399004.98316498316</v>
      </c>
      <c r="I32" s="266">
        <f t="shared" si="4"/>
        <v>0</v>
      </c>
      <c r="J32" s="266">
        <f t="shared" si="4"/>
        <v>1482761.750841751</v>
      </c>
      <c r="K32" s="726"/>
      <c r="L32" s="727"/>
      <c r="M32" s="727"/>
      <c r="N32" s="727"/>
      <c r="O32" s="727"/>
      <c r="P32" s="727"/>
      <c r="Q32" s="728"/>
    </row>
    <row r="33" spans="2:17" ht="20.100000000000001" customHeight="1" x14ac:dyDescent="0.15">
      <c r="B33" s="752"/>
      <c r="C33" s="736" t="s">
        <v>230</v>
      </c>
      <c r="D33" s="737"/>
      <c r="E33" s="738"/>
      <c r="F33" s="23">
        <f>+O37*L33</f>
        <v>1577340.0000000002</v>
      </c>
      <c r="G33" s="283">
        <f>+'５－１　ピオーネトンネル作業時間'!AN39*L33</f>
        <v>0</v>
      </c>
      <c r="H33" s="278">
        <f>+'５－２　ベリーＡ保温メッシュ作業時間 '!AN39*L33</f>
        <v>0</v>
      </c>
      <c r="I33" s="278">
        <f>+'５－３　ベリーＡトンネル作業時間'!AN39*L33</f>
        <v>0</v>
      </c>
      <c r="J33" s="283">
        <f>+'５－３　シャイントンネル作業時間'!AN39*L33</f>
        <v>0</v>
      </c>
      <c r="K33" s="24" t="s">
        <v>232</v>
      </c>
      <c r="L33" s="271">
        <v>900</v>
      </c>
      <c r="M33" s="269" t="s">
        <v>233</v>
      </c>
      <c r="N33" s="269"/>
      <c r="O33" s="269"/>
      <c r="P33" s="269"/>
      <c r="Q33" s="270"/>
    </row>
    <row r="34" spans="2:17" ht="20.100000000000001" customHeight="1" x14ac:dyDescent="0.15">
      <c r="B34" s="729" t="s">
        <v>231</v>
      </c>
      <c r="C34" s="730"/>
      <c r="D34" s="730"/>
      <c r="E34" s="730"/>
      <c r="F34" s="268">
        <f>F22+F32+F33</f>
        <v>7331776.1355984081</v>
      </c>
      <c r="G34" s="279">
        <f t="shared" ref="G34:J34" si="5">G22+G32+G33</f>
        <v>883016.02941390814</v>
      </c>
      <c r="H34" s="279">
        <f t="shared" si="5"/>
        <v>1049429.1198419987</v>
      </c>
      <c r="I34" s="279">
        <f t="shared" si="5"/>
        <v>0</v>
      </c>
      <c r="J34" s="268">
        <f t="shared" si="5"/>
        <v>3821990.9863425018</v>
      </c>
      <c r="K34" s="726"/>
      <c r="L34" s="727"/>
      <c r="M34" s="727"/>
      <c r="N34" s="727"/>
      <c r="O34" s="727"/>
      <c r="P34" s="727"/>
      <c r="Q34" s="728"/>
    </row>
    <row r="35" spans="2:17" ht="20.100000000000001" customHeight="1" x14ac:dyDescent="0.15">
      <c r="B35" s="755" t="s">
        <v>234</v>
      </c>
      <c r="C35" s="756"/>
      <c r="D35" s="756"/>
      <c r="E35" s="756"/>
      <c r="F35" s="272">
        <f>F7-F34</f>
        <v>2551723.8644015919</v>
      </c>
      <c r="G35" s="280">
        <f>G7-G34</f>
        <v>430143.97058609186</v>
      </c>
      <c r="H35" s="280">
        <f t="shared" ref="H35:J35" si="6">H7-H34</f>
        <v>483630.88015800132</v>
      </c>
      <c r="I35" s="280">
        <f t="shared" si="6"/>
        <v>0</v>
      </c>
      <c r="J35" s="272">
        <f t="shared" si="6"/>
        <v>3215289.0136574982</v>
      </c>
      <c r="K35" s="726"/>
      <c r="L35" s="727"/>
      <c r="M35" s="727"/>
      <c r="N35" s="727"/>
      <c r="O35" s="727"/>
      <c r="P35" s="727"/>
      <c r="Q35" s="728"/>
    </row>
    <row r="36" spans="2:17" ht="20.100000000000001" customHeight="1" x14ac:dyDescent="0.15">
      <c r="B36" s="755" t="s">
        <v>235</v>
      </c>
      <c r="C36" s="756"/>
      <c r="D36" s="756"/>
      <c r="E36" s="756"/>
      <c r="F36" s="274">
        <f>F35/F7</f>
        <v>0.25818018560242745</v>
      </c>
      <c r="G36" s="281">
        <f t="shared" ref="G36:J36" si="7">G35/G7</f>
        <v>0.3275640215861676</v>
      </c>
      <c r="H36" s="281">
        <f t="shared" si="7"/>
        <v>0.31546767912410562</v>
      </c>
      <c r="I36" s="281" t="e">
        <f t="shared" si="7"/>
        <v>#DIV/0!</v>
      </c>
      <c r="J36" s="274">
        <f t="shared" si="7"/>
        <v>0.45689371655774647</v>
      </c>
      <c r="K36" s="726"/>
      <c r="L36" s="727"/>
      <c r="M36" s="727"/>
      <c r="N36" s="727"/>
      <c r="O36" s="727"/>
      <c r="P36" s="727"/>
      <c r="Q36" s="728"/>
    </row>
    <row r="37" spans="2:17" ht="20.100000000000001" customHeight="1" x14ac:dyDescent="0.15">
      <c r="B37" s="755" t="s">
        <v>239</v>
      </c>
      <c r="C37" s="756"/>
      <c r="D37" s="756"/>
      <c r="E37" s="756"/>
      <c r="F37" s="272">
        <f>SUM(G37:J37)</f>
        <v>1808.7</v>
      </c>
      <c r="G37" s="280">
        <f>+'５－１　ピオーネトンネル作業時間'!AN32</f>
        <v>280.89999999999998</v>
      </c>
      <c r="H37" s="280">
        <f>+'５－２　ベリーＡ保温メッシュ作業時間 '!AN32</f>
        <v>404.2000000000001</v>
      </c>
      <c r="I37" s="280">
        <f>'５－３　ベリーＡトンネル作業時間'!AN32</f>
        <v>0</v>
      </c>
      <c r="J37" s="272">
        <f>+'５－３　シャイントンネル作業時間'!AN32</f>
        <v>1123.5999999999999</v>
      </c>
      <c r="K37" s="24" t="s">
        <v>236</v>
      </c>
      <c r="L37" s="271">
        <f>+作業時間まとめ!AM4-作業時間まとめ!AM11</f>
        <v>56.099999999999682</v>
      </c>
      <c r="M37" s="269" t="s">
        <v>237</v>
      </c>
      <c r="N37" s="273" t="s">
        <v>238</v>
      </c>
      <c r="O37" s="271">
        <f>+作業時間まとめ!AM11</f>
        <v>1752.6000000000001</v>
      </c>
      <c r="P37" s="269" t="s">
        <v>237</v>
      </c>
      <c r="Q37" s="270"/>
    </row>
    <row r="38" spans="2:17" ht="20.100000000000001" customHeight="1" thickBot="1" x14ac:dyDescent="0.2">
      <c r="B38" s="753" t="s">
        <v>240</v>
      </c>
      <c r="C38" s="754"/>
      <c r="D38" s="754"/>
      <c r="E38" s="754"/>
      <c r="F38" s="275">
        <f>F35/L37</f>
        <v>45485.273875251449</v>
      </c>
      <c r="G38" s="282"/>
      <c r="H38" s="282"/>
      <c r="I38" s="282"/>
      <c r="J38" s="275"/>
      <c r="K38" s="748"/>
      <c r="L38" s="749"/>
      <c r="M38" s="749"/>
      <c r="N38" s="749"/>
      <c r="O38" s="749"/>
      <c r="P38" s="749"/>
      <c r="Q38" s="750"/>
    </row>
  </sheetData>
  <mergeCells count="50">
    <mergeCell ref="B35:E35"/>
    <mergeCell ref="B36:E36"/>
    <mergeCell ref="B37:E37"/>
    <mergeCell ref="C8:C22"/>
    <mergeCell ref="C23:C32"/>
    <mergeCell ref="K38:Q38"/>
    <mergeCell ref="B8:B33"/>
    <mergeCell ref="B38:E38"/>
    <mergeCell ref="K34:Q34"/>
    <mergeCell ref="K35:Q35"/>
    <mergeCell ref="K36:Q36"/>
    <mergeCell ref="K28:Q28"/>
    <mergeCell ref="K29:Q29"/>
    <mergeCell ref="K30:Q30"/>
    <mergeCell ref="K31:Q31"/>
    <mergeCell ref="K32:Q32"/>
    <mergeCell ref="K23:Q23"/>
    <mergeCell ref="K24:Q24"/>
    <mergeCell ref="K25:Q25"/>
    <mergeCell ref="K26:Q26"/>
    <mergeCell ref="K27:Q27"/>
    <mergeCell ref="K3:Q4"/>
    <mergeCell ref="K5:Q5"/>
    <mergeCell ref="K6:Q6"/>
    <mergeCell ref="K7:Q7"/>
    <mergeCell ref="K8:Q8"/>
    <mergeCell ref="K9:Q9"/>
    <mergeCell ref="K10:Q10"/>
    <mergeCell ref="K11:Q11"/>
    <mergeCell ref="K12:Q12"/>
    <mergeCell ref="K13:Q13"/>
    <mergeCell ref="K14:Q14"/>
    <mergeCell ref="K15:Q15"/>
    <mergeCell ref="K16:Q16"/>
    <mergeCell ref="K17:Q17"/>
    <mergeCell ref="B34:E34"/>
    <mergeCell ref="D23:D25"/>
    <mergeCell ref="D32:E32"/>
    <mergeCell ref="K18:Q18"/>
    <mergeCell ref="K19:Q19"/>
    <mergeCell ref="K20:Q20"/>
    <mergeCell ref="K21:Q21"/>
    <mergeCell ref="K22:Q22"/>
    <mergeCell ref="C33:E33"/>
    <mergeCell ref="B3:E4"/>
    <mergeCell ref="D7:E7"/>
    <mergeCell ref="D15:D16"/>
    <mergeCell ref="D17:D19"/>
    <mergeCell ref="D22:E22"/>
    <mergeCell ref="B5:C7"/>
  </mergeCells>
  <phoneticPr fontId="4"/>
  <pageMargins left="0.78740157480314965" right="0.78740157480314965" top="0.78740157480314965" bottom="0.78740157480314965" header="0.39370078740157483" footer="0.39370078740157483"/>
  <pageSetup paperSize="9" scale="55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39"/>
  <sheetViews>
    <sheetView zoomScale="75" zoomScaleNormal="75" workbookViewId="0"/>
  </sheetViews>
  <sheetFormatPr defaultRowHeight="13.5" x14ac:dyDescent="0.15"/>
  <cols>
    <col min="1" max="1" width="1.625" style="29" customWidth="1"/>
    <col min="2" max="3" width="11.625" style="29" customWidth="1"/>
    <col min="4" max="39" width="6.125" style="29" customWidth="1"/>
    <col min="40" max="40" width="7" style="29" customWidth="1"/>
    <col min="41" max="41" width="1.5" style="29" customWidth="1"/>
    <col min="42" max="16384" width="9" style="29"/>
  </cols>
  <sheetData>
    <row r="1" spans="2:63" ht="9.9499999999999993" customHeight="1" x14ac:dyDescent="0.15"/>
    <row r="2" spans="2:63" ht="24.95" customHeight="1" x14ac:dyDescent="0.15">
      <c r="B2" s="4" t="s">
        <v>534</v>
      </c>
      <c r="C2" s="4"/>
      <c r="D2" s="4"/>
      <c r="E2" s="4"/>
      <c r="F2" s="4"/>
      <c r="G2" s="4"/>
      <c r="H2" s="4"/>
      <c r="I2" s="4"/>
      <c r="J2" s="4"/>
      <c r="K2" s="4"/>
      <c r="L2" s="243" t="s">
        <v>192</v>
      </c>
      <c r="M2" s="220" t="s">
        <v>535</v>
      </c>
      <c r="N2" s="220"/>
      <c r="O2" s="243" t="s">
        <v>193</v>
      </c>
      <c r="P2" s="220" t="s">
        <v>536</v>
      </c>
      <c r="Q2" s="4"/>
      <c r="R2" s="4"/>
      <c r="S2" s="4"/>
      <c r="T2" s="4"/>
      <c r="U2" s="4"/>
      <c r="V2" s="4"/>
      <c r="W2" s="31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</row>
    <row r="3" spans="2:63" ht="24.95" customHeight="1" thickBot="1" x14ac:dyDescent="0.2">
      <c r="B3" s="4" t="s">
        <v>196</v>
      </c>
      <c r="C3" s="4"/>
      <c r="D3" s="4"/>
      <c r="E3" s="4"/>
      <c r="F3" s="4"/>
      <c r="G3" s="4"/>
      <c r="H3" s="4"/>
      <c r="I3" s="4"/>
      <c r="J3" s="4"/>
      <c r="K3" s="4"/>
      <c r="L3" s="4"/>
      <c r="M3" s="31"/>
      <c r="N3" s="4"/>
      <c r="O3" s="4"/>
      <c r="P3" s="31"/>
      <c r="Q3" s="4"/>
      <c r="R3" s="4"/>
      <c r="S3" s="4"/>
      <c r="T3" s="4"/>
      <c r="U3" s="4"/>
      <c r="V3" s="4"/>
      <c r="W3" s="31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</row>
    <row r="4" spans="2:63" ht="20.100000000000001" customHeight="1" x14ac:dyDescent="0.15">
      <c r="B4" s="774" t="s">
        <v>98</v>
      </c>
      <c r="C4" s="775"/>
      <c r="D4" s="762">
        <v>1</v>
      </c>
      <c r="E4" s="763"/>
      <c r="F4" s="764"/>
      <c r="G4" s="762">
        <v>2</v>
      </c>
      <c r="H4" s="763"/>
      <c r="I4" s="764"/>
      <c r="J4" s="762">
        <v>3</v>
      </c>
      <c r="K4" s="763"/>
      <c r="L4" s="764"/>
      <c r="M4" s="762">
        <v>4</v>
      </c>
      <c r="N4" s="763"/>
      <c r="O4" s="764"/>
      <c r="P4" s="762">
        <v>5</v>
      </c>
      <c r="Q4" s="763"/>
      <c r="R4" s="764"/>
      <c r="S4" s="762">
        <v>6</v>
      </c>
      <c r="T4" s="763"/>
      <c r="U4" s="764"/>
      <c r="V4" s="762">
        <v>7</v>
      </c>
      <c r="W4" s="763"/>
      <c r="X4" s="764"/>
      <c r="Y4" s="762">
        <v>8</v>
      </c>
      <c r="Z4" s="763"/>
      <c r="AA4" s="764"/>
      <c r="AB4" s="762">
        <v>9</v>
      </c>
      <c r="AC4" s="763"/>
      <c r="AD4" s="764"/>
      <c r="AE4" s="762">
        <v>10</v>
      </c>
      <c r="AF4" s="763"/>
      <c r="AG4" s="764"/>
      <c r="AH4" s="762">
        <v>11</v>
      </c>
      <c r="AI4" s="763"/>
      <c r="AJ4" s="764"/>
      <c r="AK4" s="762">
        <v>12</v>
      </c>
      <c r="AL4" s="763"/>
      <c r="AM4" s="764"/>
      <c r="AN4" s="765" t="s">
        <v>30</v>
      </c>
    </row>
    <row r="5" spans="2:63" ht="20.100000000000001" customHeight="1" x14ac:dyDescent="0.15">
      <c r="B5" s="767"/>
      <c r="C5" s="768"/>
      <c r="D5" s="50" t="s">
        <v>31</v>
      </c>
      <c r="E5" s="51" t="s">
        <v>32</v>
      </c>
      <c r="F5" s="52" t="s">
        <v>33</v>
      </c>
      <c r="G5" s="50" t="s">
        <v>31</v>
      </c>
      <c r="H5" s="52" t="s">
        <v>32</v>
      </c>
      <c r="I5" s="52" t="s">
        <v>33</v>
      </c>
      <c r="J5" s="50" t="s">
        <v>31</v>
      </c>
      <c r="K5" s="52" t="s">
        <v>32</v>
      </c>
      <c r="L5" s="52" t="s">
        <v>33</v>
      </c>
      <c r="M5" s="50" t="s">
        <v>31</v>
      </c>
      <c r="N5" s="52" t="s">
        <v>32</v>
      </c>
      <c r="O5" s="52" t="s">
        <v>33</v>
      </c>
      <c r="P5" s="50" t="s">
        <v>31</v>
      </c>
      <c r="Q5" s="52" t="s">
        <v>32</v>
      </c>
      <c r="R5" s="52" t="s">
        <v>33</v>
      </c>
      <c r="S5" s="50" t="s">
        <v>31</v>
      </c>
      <c r="T5" s="53" t="s">
        <v>32</v>
      </c>
      <c r="U5" s="53" t="s">
        <v>33</v>
      </c>
      <c r="V5" s="50" t="s">
        <v>31</v>
      </c>
      <c r="W5" s="52" t="s">
        <v>32</v>
      </c>
      <c r="X5" s="52" t="s">
        <v>33</v>
      </c>
      <c r="Y5" s="50" t="s">
        <v>31</v>
      </c>
      <c r="Z5" s="52" t="s">
        <v>32</v>
      </c>
      <c r="AA5" s="52" t="s">
        <v>33</v>
      </c>
      <c r="AB5" s="50" t="s">
        <v>31</v>
      </c>
      <c r="AC5" s="52" t="s">
        <v>32</v>
      </c>
      <c r="AD5" s="52" t="s">
        <v>33</v>
      </c>
      <c r="AE5" s="50" t="s">
        <v>31</v>
      </c>
      <c r="AF5" s="52" t="s">
        <v>32</v>
      </c>
      <c r="AG5" s="52" t="s">
        <v>33</v>
      </c>
      <c r="AH5" s="50" t="s">
        <v>31</v>
      </c>
      <c r="AI5" s="52" t="s">
        <v>32</v>
      </c>
      <c r="AJ5" s="52" t="s">
        <v>33</v>
      </c>
      <c r="AK5" s="50" t="s">
        <v>31</v>
      </c>
      <c r="AL5" s="52" t="s">
        <v>32</v>
      </c>
      <c r="AM5" s="52" t="s">
        <v>33</v>
      </c>
      <c r="AN5" s="766"/>
    </row>
    <row r="6" spans="2:63" ht="20.100000000000001" customHeight="1" x14ac:dyDescent="0.15">
      <c r="B6" s="769" t="s">
        <v>99</v>
      </c>
      <c r="C6" s="770"/>
      <c r="D6" s="54"/>
      <c r="E6" s="4"/>
      <c r="F6" s="4"/>
      <c r="G6" s="4"/>
      <c r="H6" s="4"/>
      <c r="I6" s="4"/>
      <c r="J6" s="4"/>
      <c r="K6" s="4"/>
      <c r="L6" s="4"/>
      <c r="M6" s="4"/>
      <c r="N6" s="4"/>
      <c r="O6" s="31"/>
      <c r="P6" s="31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55"/>
    </row>
    <row r="7" spans="2:63" ht="20.100000000000001" customHeight="1" x14ac:dyDescent="0.15">
      <c r="B7" s="772"/>
      <c r="C7" s="784"/>
      <c r="D7" s="54"/>
      <c r="E7" s="4"/>
      <c r="F7" s="4"/>
      <c r="G7" s="4"/>
      <c r="H7" s="4"/>
      <c r="I7" s="4"/>
      <c r="J7" s="4"/>
      <c r="K7" s="4"/>
      <c r="L7" s="504" t="s">
        <v>482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506"/>
      <c r="AB7" s="506"/>
      <c r="AC7" s="506"/>
      <c r="AD7" s="506"/>
      <c r="AE7" s="4"/>
      <c r="AF7" s="4"/>
      <c r="AG7" s="4"/>
      <c r="AH7" s="4"/>
      <c r="AI7" s="4"/>
      <c r="AJ7" s="4"/>
      <c r="AK7" s="4"/>
      <c r="AL7" s="4"/>
      <c r="AM7" s="4"/>
      <c r="AN7" s="55"/>
    </row>
    <row r="8" spans="2:63" ht="20.100000000000001" customHeight="1" x14ac:dyDescent="0.15">
      <c r="B8" s="767"/>
      <c r="C8" s="768"/>
      <c r="D8" s="56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8"/>
    </row>
    <row r="9" spans="2:63" ht="20.100000000000001" customHeight="1" x14ac:dyDescent="0.15">
      <c r="B9" s="782" t="s">
        <v>522</v>
      </c>
      <c r="C9" s="783" t="s">
        <v>522</v>
      </c>
      <c r="D9" s="59">
        <v>2</v>
      </c>
      <c r="E9" s="60">
        <v>2</v>
      </c>
      <c r="F9" s="60">
        <v>2</v>
      </c>
      <c r="G9" s="59"/>
      <c r="H9" s="60"/>
      <c r="I9" s="60"/>
      <c r="J9" s="59"/>
      <c r="K9" s="60"/>
      <c r="L9" s="60"/>
      <c r="M9" s="59"/>
      <c r="N9" s="60"/>
      <c r="O9" s="60"/>
      <c r="P9" s="59"/>
      <c r="Q9" s="60"/>
      <c r="R9" s="60"/>
      <c r="S9" s="59"/>
      <c r="T9" s="60"/>
      <c r="U9" s="60"/>
      <c r="V9" s="59"/>
      <c r="W9" s="60"/>
      <c r="X9" s="60"/>
      <c r="Y9" s="59"/>
      <c r="Z9" s="60"/>
      <c r="AA9" s="60"/>
      <c r="AB9" s="59"/>
      <c r="AC9" s="60"/>
      <c r="AD9" s="60"/>
      <c r="AE9" s="59"/>
      <c r="AF9" s="60"/>
      <c r="AG9" s="60"/>
      <c r="AH9" s="59"/>
      <c r="AI9" s="60"/>
      <c r="AJ9" s="60"/>
      <c r="AK9" s="59">
        <v>2</v>
      </c>
      <c r="AL9" s="60">
        <v>2</v>
      </c>
      <c r="AM9" s="60">
        <v>2</v>
      </c>
      <c r="AN9" s="61">
        <f>SUM(D9:AM9)</f>
        <v>12</v>
      </c>
    </row>
    <row r="10" spans="2:63" ht="20.100000000000001" customHeight="1" x14ac:dyDescent="0.15">
      <c r="B10" s="782" t="s">
        <v>523</v>
      </c>
      <c r="C10" s="783" t="s">
        <v>523</v>
      </c>
      <c r="D10" s="59"/>
      <c r="E10" s="60"/>
      <c r="F10" s="60"/>
      <c r="G10" s="59"/>
      <c r="H10" s="60"/>
      <c r="I10" s="60"/>
      <c r="J10" s="59"/>
      <c r="K10" s="60"/>
      <c r="L10" s="60"/>
      <c r="M10" s="59"/>
      <c r="N10" s="60"/>
      <c r="O10" s="60"/>
      <c r="P10" s="59">
        <v>2</v>
      </c>
      <c r="Q10" s="60">
        <v>2</v>
      </c>
      <c r="R10" s="60">
        <v>8</v>
      </c>
      <c r="S10" s="59">
        <v>4</v>
      </c>
      <c r="T10" s="60">
        <v>2</v>
      </c>
      <c r="U10" s="60">
        <v>2</v>
      </c>
      <c r="V10" s="59"/>
      <c r="W10" s="60">
        <v>2</v>
      </c>
      <c r="X10" s="60"/>
      <c r="Y10" s="59"/>
      <c r="Z10" s="60"/>
      <c r="AA10" s="60"/>
      <c r="AB10" s="59"/>
      <c r="AC10" s="60"/>
      <c r="AD10" s="60"/>
      <c r="AE10" s="59"/>
      <c r="AF10" s="60"/>
      <c r="AG10" s="60"/>
      <c r="AH10" s="59"/>
      <c r="AI10" s="60"/>
      <c r="AJ10" s="60"/>
      <c r="AK10" s="59"/>
      <c r="AL10" s="60"/>
      <c r="AM10" s="60"/>
      <c r="AN10" s="61">
        <f t="shared" ref="AN10:AN22" si="0">SUM(D10:AM10)</f>
        <v>22</v>
      </c>
    </row>
    <row r="11" spans="2:63" ht="20.100000000000001" customHeight="1" x14ac:dyDescent="0.15">
      <c r="B11" s="782" t="s">
        <v>524</v>
      </c>
      <c r="C11" s="783" t="s">
        <v>524</v>
      </c>
      <c r="D11" s="59"/>
      <c r="E11" s="60"/>
      <c r="F11" s="60"/>
      <c r="G11" s="59"/>
      <c r="H11" s="60"/>
      <c r="I11" s="60"/>
      <c r="J11" s="59"/>
      <c r="K11" s="60">
        <v>1.5</v>
      </c>
      <c r="L11" s="60"/>
      <c r="M11" s="59"/>
      <c r="N11" s="60"/>
      <c r="O11" s="60"/>
      <c r="P11" s="59"/>
      <c r="Q11" s="60"/>
      <c r="R11" s="60"/>
      <c r="S11" s="59"/>
      <c r="T11" s="60"/>
      <c r="U11" s="60"/>
      <c r="V11" s="59"/>
      <c r="W11" s="60"/>
      <c r="X11" s="60"/>
      <c r="Y11" s="59"/>
      <c r="Z11" s="60"/>
      <c r="AA11" s="60"/>
      <c r="AB11" s="59"/>
      <c r="AC11" s="60"/>
      <c r="AD11" s="60">
        <v>1.5</v>
      </c>
      <c r="AE11" s="59"/>
      <c r="AF11" s="60">
        <v>1.5</v>
      </c>
      <c r="AG11" s="60"/>
      <c r="AH11" s="59"/>
      <c r="AI11" s="60"/>
      <c r="AJ11" s="60"/>
      <c r="AK11" s="59"/>
      <c r="AL11" s="60"/>
      <c r="AM11" s="60"/>
      <c r="AN11" s="61">
        <f t="shared" si="0"/>
        <v>4.5</v>
      </c>
    </row>
    <row r="12" spans="2:63" ht="20.100000000000001" customHeight="1" x14ac:dyDescent="0.15">
      <c r="B12" s="782" t="s">
        <v>525</v>
      </c>
      <c r="C12" s="783" t="s">
        <v>525</v>
      </c>
      <c r="D12" s="59"/>
      <c r="E12" s="60"/>
      <c r="F12" s="60">
        <v>2</v>
      </c>
      <c r="G12" s="59">
        <v>2</v>
      </c>
      <c r="H12" s="60"/>
      <c r="I12" s="60"/>
      <c r="J12" s="59"/>
      <c r="K12" s="60"/>
      <c r="L12" s="60">
        <v>0.5</v>
      </c>
      <c r="M12" s="59"/>
      <c r="N12" s="60">
        <v>0.5</v>
      </c>
      <c r="O12" s="60">
        <v>0.5</v>
      </c>
      <c r="P12" s="59">
        <v>0.5</v>
      </c>
      <c r="Q12" s="60">
        <v>0.5</v>
      </c>
      <c r="R12" s="60"/>
      <c r="S12" s="59">
        <v>0.5</v>
      </c>
      <c r="T12" s="60"/>
      <c r="U12" s="60">
        <v>0.5</v>
      </c>
      <c r="V12" s="59">
        <v>0.5</v>
      </c>
      <c r="W12" s="60">
        <v>0.5</v>
      </c>
      <c r="X12" s="60"/>
      <c r="Y12" s="59"/>
      <c r="Z12" s="60"/>
      <c r="AA12" s="60"/>
      <c r="AB12" s="59"/>
      <c r="AC12" s="60"/>
      <c r="AD12" s="60"/>
      <c r="AE12" s="59">
        <v>0.5</v>
      </c>
      <c r="AF12" s="60"/>
      <c r="AG12" s="60"/>
      <c r="AH12" s="59"/>
      <c r="AI12" s="60"/>
      <c r="AJ12" s="60"/>
      <c r="AK12" s="59"/>
      <c r="AL12" s="60"/>
      <c r="AM12" s="60"/>
      <c r="AN12" s="61">
        <f t="shared" si="0"/>
        <v>9</v>
      </c>
    </row>
    <row r="13" spans="2:63" ht="20.100000000000001" customHeight="1" x14ac:dyDescent="0.15">
      <c r="B13" s="782" t="s">
        <v>526</v>
      </c>
      <c r="C13" s="783" t="s">
        <v>526</v>
      </c>
      <c r="D13" s="59"/>
      <c r="E13" s="60"/>
      <c r="F13" s="60"/>
      <c r="G13" s="59"/>
      <c r="H13" s="60"/>
      <c r="I13" s="60"/>
      <c r="J13" s="59"/>
      <c r="K13" s="60"/>
      <c r="L13" s="60"/>
      <c r="M13" s="59"/>
      <c r="N13" s="60"/>
      <c r="O13" s="60"/>
      <c r="P13" s="59"/>
      <c r="Q13" s="60"/>
      <c r="R13" s="60">
        <v>8</v>
      </c>
      <c r="S13" s="59">
        <v>8</v>
      </c>
      <c r="T13" s="60">
        <v>8</v>
      </c>
      <c r="U13" s="60">
        <v>20</v>
      </c>
      <c r="V13" s="59">
        <v>20</v>
      </c>
      <c r="W13" s="60">
        <v>4</v>
      </c>
      <c r="X13" s="60"/>
      <c r="Y13" s="59"/>
      <c r="Z13" s="60"/>
      <c r="AA13" s="60"/>
      <c r="AB13" s="59"/>
      <c r="AC13" s="60"/>
      <c r="AD13" s="60"/>
      <c r="AE13" s="59"/>
      <c r="AF13" s="60"/>
      <c r="AG13" s="60"/>
      <c r="AH13" s="59"/>
      <c r="AI13" s="60"/>
      <c r="AJ13" s="60"/>
      <c r="AK13" s="59"/>
      <c r="AL13" s="60"/>
      <c r="AM13" s="60"/>
      <c r="AN13" s="61">
        <f>SUM(D13:AM13)</f>
        <v>68</v>
      </c>
    </row>
    <row r="14" spans="2:63" ht="20.100000000000001" customHeight="1" x14ac:dyDescent="0.15">
      <c r="B14" s="782" t="s">
        <v>527</v>
      </c>
      <c r="C14" s="783" t="s">
        <v>527</v>
      </c>
      <c r="D14" s="59"/>
      <c r="E14" s="60"/>
      <c r="F14" s="60"/>
      <c r="G14" s="59"/>
      <c r="H14" s="60"/>
      <c r="I14" s="60"/>
      <c r="J14" s="59"/>
      <c r="K14" s="60"/>
      <c r="L14" s="60"/>
      <c r="M14" s="59"/>
      <c r="N14" s="60"/>
      <c r="O14" s="60"/>
      <c r="P14" s="59"/>
      <c r="Q14" s="60"/>
      <c r="R14" s="60"/>
      <c r="S14" s="59"/>
      <c r="T14" s="60"/>
      <c r="U14" s="60"/>
      <c r="V14" s="59"/>
      <c r="W14" s="60">
        <v>8</v>
      </c>
      <c r="X14" s="60"/>
      <c r="Y14" s="59"/>
      <c r="Z14" s="60"/>
      <c r="AA14" s="60"/>
      <c r="AB14" s="59"/>
      <c r="AC14" s="60"/>
      <c r="AD14" s="60"/>
      <c r="AE14" s="59"/>
      <c r="AF14" s="60"/>
      <c r="AG14" s="60"/>
      <c r="AH14" s="59"/>
      <c r="AI14" s="60"/>
      <c r="AJ14" s="60"/>
      <c r="AK14" s="59"/>
      <c r="AL14" s="60"/>
      <c r="AM14" s="60"/>
      <c r="AN14" s="61">
        <f t="shared" si="0"/>
        <v>8</v>
      </c>
    </row>
    <row r="15" spans="2:63" ht="20.100000000000001" customHeight="1" x14ac:dyDescent="0.15">
      <c r="B15" s="782" t="s">
        <v>528</v>
      </c>
      <c r="C15" s="783" t="s">
        <v>528</v>
      </c>
      <c r="D15" s="59"/>
      <c r="E15" s="60"/>
      <c r="F15" s="60"/>
      <c r="G15" s="59"/>
      <c r="H15" s="60"/>
      <c r="I15" s="60"/>
      <c r="J15" s="59"/>
      <c r="K15" s="60"/>
      <c r="L15" s="60"/>
      <c r="M15" s="59">
        <v>1</v>
      </c>
      <c r="N15" s="60"/>
      <c r="O15" s="60"/>
      <c r="P15" s="59">
        <v>1</v>
      </c>
      <c r="Q15" s="60"/>
      <c r="R15" s="60"/>
      <c r="S15" s="59">
        <v>1</v>
      </c>
      <c r="T15" s="60"/>
      <c r="U15" s="60"/>
      <c r="V15" s="59">
        <v>1</v>
      </c>
      <c r="W15" s="60"/>
      <c r="X15" s="60"/>
      <c r="Y15" s="59">
        <v>1</v>
      </c>
      <c r="Z15" s="60"/>
      <c r="AA15" s="60"/>
      <c r="AB15" s="59"/>
      <c r="AC15" s="60"/>
      <c r="AD15" s="60"/>
      <c r="AE15" s="59"/>
      <c r="AF15" s="60"/>
      <c r="AG15" s="60"/>
      <c r="AH15" s="59"/>
      <c r="AI15" s="60"/>
      <c r="AJ15" s="60"/>
      <c r="AK15" s="59"/>
      <c r="AL15" s="60"/>
      <c r="AM15" s="60"/>
      <c r="AN15" s="61">
        <f t="shared" si="0"/>
        <v>5</v>
      </c>
    </row>
    <row r="16" spans="2:63" ht="20.100000000000001" customHeight="1" x14ac:dyDescent="0.15">
      <c r="B16" s="782" t="s">
        <v>529</v>
      </c>
      <c r="C16" s="783" t="s">
        <v>529</v>
      </c>
      <c r="D16" s="59"/>
      <c r="E16" s="60"/>
      <c r="F16" s="60"/>
      <c r="G16" s="59"/>
      <c r="H16" s="60"/>
      <c r="I16" s="60"/>
      <c r="J16" s="59"/>
      <c r="K16" s="60"/>
      <c r="L16" s="60">
        <v>0.2</v>
      </c>
      <c r="M16" s="59">
        <v>0.2</v>
      </c>
      <c r="N16" s="60">
        <v>0.2</v>
      </c>
      <c r="O16" s="60">
        <v>0.2</v>
      </c>
      <c r="P16" s="59">
        <v>0.2</v>
      </c>
      <c r="Q16" s="60">
        <v>0.2</v>
      </c>
      <c r="R16" s="60">
        <v>0.2</v>
      </c>
      <c r="S16" s="59">
        <v>0.2</v>
      </c>
      <c r="T16" s="60">
        <v>0.2</v>
      </c>
      <c r="U16" s="60">
        <v>0.2</v>
      </c>
      <c r="V16" s="59">
        <v>0.2</v>
      </c>
      <c r="W16" s="60">
        <v>0.2</v>
      </c>
      <c r="X16" s="60">
        <v>0.2</v>
      </c>
      <c r="Y16" s="59">
        <v>0.2</v>
      </c>
      <c r="Z16" s="60">
        <v>0.2</v>
      </c>
      <c r="AA16" s="60">
        <v>0.2</v>
      </c>
      <c r="AB16" s="59">
        <v>0.2</v>
      </c>
      <c r="AC16" s="60">
        <v>0.2</v>
      </c>
      <c r="AD16" s="60">
        <v>0.2</v>
      </c>
      <c r="AE16" s="59">
        <v>0.2</v>
      </c>
      <c r="AF16" s="60">
        <v>0.2</v>
      </c>
      <c r="AG16" s="60">
        <v>0.2</v>
      </c>
      <c r="AH16" s="59"/>
      <c r="AI16" s="60"/>
      <c r="AJ16" s="60"/>
      <c r="AK16" s="59"/>
      <c r="AL16" s="60"/>
      <c r="AM16" s="60"/>
      <c r="AN16" s="61">
        <f t="shared" si="0"/>
        <v>4.4000000000000012</v>
      </c>
    </row>
    <row r="17" spans="2:40" ht="20.100000000000001" customHeight="1" x14ac:dyDescent="0.15">
      <c r="B17" s="782" t="s">
        <v>530</v>
      </c>
      <c r="C17" s="783" t="s">
        <v>530</v>
      </c>
      <c r="D17" s="59"/>
      <c r="E17" s="60"/>
      <c r="F17" s="60"/>
      <c r="G17" s="59"/>
      <c r="H17" s="60"/>
      <c r="I17" s="60"/>
      <c r="J17" s="59"/>
      <c r="K17" s="60"/>
      <c r="L17" s="60"/>
      <c r="M17" s="59"/>
      <c r="N17" s="60"/>
      <c r="O17" s="60"/>
      <c r="P17" s="59"/>
      <c r="Q17" s="60"/>
      <c r="R17" s="60"/>
      <c r="S17" s="59"/>
      <c r="T17" s="60"/>
      <c r="U17" s="60"/>
      <c r="V17" s="59"/>
      <c r="W17" s="60"/>
      <c r="X17" s="60"/>
      <c r="Y17" s="59"/>
      <c r="Z17" s="60"/>
      <c r="AA17" s="60">
        <v>20</v>
      </c>
      <c r="AB17" s="59">
        <v>25</v>
      </c>
      <c r="AC17" s="60">
        <v>25</v>
      </c>
      <c r="AD17" s="60">
        <v>10</v>
      </c>
      <c r="AE17" s="59"/>
      <c r="AF17" s="60"/>
      <c r="AG17" s="60"/>
      <c r="AH17" s="59"/>
      <c r="AI17" s="60"/>
      <c r="AJ17" s="60"/>
      <c r="AK17" s="59"/>
      <c r="AL17" s="60"/>
      <c r="AM17" s="60"/>
      <c r="AN17" s="61">
        <f t="shared" si="0"/>
        <v>80</v>
      </c>
    </row>
    <row r="18" spans="2:40" ht="20.100000000000001" customHeight="1" x14ac:dyDescent="0.15">
      <c r="B18" s="782" t="s">
        <v>531</v>
      </c>
      <c r="C18" s="783" t="s">
        <v>531</v>
      </c>
      <c r="D18" s="59"/>
      <c r="E18" s="60"/>
      <c r="F18" s="60"/>
      <c r="G18" s="59"/>
      <c r="H18" s="60"/>
      <c r="I18" s="60"/>
      <c r="J18" s="59"/>
      <c r="K18" s="60"/>
      <c r="L18" s="60"/>
      <c r="M18" s="59"/>
      <c r="N18" s="60"/>
      <c r="O18" s="60"/>
      <c r="P18" s="59"/>
      <c r="Q18" s="60"/>
      <c r="R18" s="60"/>
      <c r="S18" s="59"/>
      <c r="T18" s="60"/>
      <c r="U18" s="60"/>
      <c r="V18" s="59"/>
      <c r="W18" s="60"/>
      <c r="X18" s="60"/>
      <c r="Y18" s="59"/>
      <c r="Z18" s="60"/>
      <c r="AA18" s="60"/>
      <c r="AB18" s="59"/>
      <c r="AC18" s="60"/>
      <c r="AD18" s="60"/>
      <c r="AE18" s="59"/>
      <c r="AF18" s="60"/>
      <c r="AG18" s="60">
        <v>2</v>
      </c>
      <c r="AH18" s="59">
        <v>4</v>
      </c>
      <c r="AI18" s="60">
        <v>4</v>
      </c>
      <c r="AJ18" s="60">
        <v>4</v>
      </c>
      <c r="AK18" s="59"/>
      <c r="AL18" s="60"/>
      <c r="AM18" s="60"/>
      <c r="AN18" s="61">
        <f t="shared" si="0"/>
        <v>14</v>
      </c>
    </row>
    <row r="19" spans="2:40" ht="20.100000000000001" customHeight="1" x14ac:dyDescent="0.15">
      <c r="B19" s="782" t="s">
        <v>532</v>
      </c>
      <c r="C19" s="783" t="s">
        <v>532</v>
      </c>
      <c r="D19" s="59"/>
      <c r="E19" s="60"/>
      <c r="F19" s="60"/>
      <c r="G19" s="59"/>
      <c r="H19" s="60"/>
      <c r="I19" s="60"/>
      <c r="J19" s="59"/>
      <c r="K19" s="60"/>
      <c r="L19" s="60">
        <v>16</v>
      </c>
      <c r="M19" s="59">
        <v>16</v>
      </c>
      <c r="N19" s="60"/>
      <c r="O19" s="60"/>
      <c r="P19" s="59"/>
      <c r="Q19" s="60"/>
      <c r="R19" s="60"/>
      <c r="S19" s="59"/>
      <c r="T19" s="60"/>
      <c r="U19" s="60"/>
      <c r="V19" s="59"/>
      <c r="W19" s="60">
        <v>4</v>
      </c>
      <c r="X19" s="60">
        <v>4</v>
      </c>
      <c r="Y19" s="59"/>
      <c r="Z19" s="60"/>
      <c r="AA19" s="60"/>
      <c r="AB19" s="59"/>
      <c r="AC19" s="60"/>
      <c r="AD19" s="60"/>
      <c r="AE19" s="59"/>
      <c r="AF19" s="60"/>
      <c r="AG19" s="60"/>
      <c r="AH19" s="59"/>
      <c r="AI19" s="60"/>
      <c r="AJ19" s="60"/>
      <c r="AK19" s="59"/>
      <c r="AL19" s="60"/>
      <c r="AM19" s="60"/>
      <c r="AN19" s="61">
        <f t="shared" si="0"/>
        <v>40</v>
      </c>
    </row>
    <row r="20" spans="2:40" ht="20.100000000000001" customHeight="1" x14ac:dyDescent="0.15">
      <c r="B20" s="782" t="s">
        <v>533</v>
      </c>
      <c r="C20" s="783" t="s">
        <v>533</v>
      </c>
      <c r="D20" s="59"/>
      <c r="E20" s="60"/>
      <c r="F20" s="60">
        <v>4</v>
      </c>
      <c r="G20" s="59"/>
      <c r="H20" s="60"/>
      <c r="I20" s="60">
        <v>4</v>
      </c>
      <c r="J20" s="59"/>
      <c r="K20" s="60"/>
      <c r="L20" s="60"/>
      <c r="M20" s="59"/>
      <c r="N20" s="60"/>
      <c r="O20" s="60"/>
      <c r="P20" s="59"/>
      <c r="Q20" s="60"/>
      <c r="R20" s="60"/>
      <c r="S20" s="59"/>
      <c r="T20" s="60"/>
      <c r="U20" s="60"/>
      <c r="V20" s="59"/>
      <c r="W20" s="60"/>
      <c r="X20" s="60"/>
      <c r="Y20" s="59"/>
      <c r="Z20" s="60"/>
      <c r="AA20" s="60">
        <v>2</v>
      </c>
      <c r="AB20" s="59"/>
      <c r="AC20" s="60"/>
      <c r="AD20" s="60"/>
      <c r="AE20" s="59"/>
      <c r="AF20" s="60"/>
      <c r="AG20" s="60"/>
      <c r="AH20" s="59"/>
      <c r="AI20" s="60"/>
      <c r="AJ20" s="60">
        <v>4</v>
      </c>
      <c r="AK20" s="59"/>
      <c r="AL20" s="60"/>
      <c r="AM20" s="60"/>
      <c r="AN20" s="61">
        <f t="shared" si="0"/>
        <v>14</v>
      </c>
    </row>
    <row r="21" spans="2:40" ht="20.100000000000001" customHeight="1" x14ac:dyDescent="0.15">
      <c r="B21" s="782"/>
      <c r="C21" s="783"/>
      <c r="D21" s="59"/>
      <c r="E21" s="60"/>
      <c r="F21" s="60"/>
      <c r="G21" s="59"/>
      <c r="H21" s="60"/>
      <c r="I21" s="60"/>
      <c r="J21" s="59"/>
      <c r="K21" s="60"/>
      <c r="L21" s="60"/>
      <c r="M21" s="59"/>
      <c r="N21" s="60"/>
      <c r="O21" s="60"/>
      <c r="P21" s="59"/>
      <c r="Q21" s="60"/>
      <c r="R21" s="60"/>
      <c r="S21" s="59"/>
      <c r="T21" s="60"/>
      <c r="U21" s="60"/>
      <c r="V21" s="59"/>
      <c r="W21" s="60"/>
      <c r="X21" s="60"/>
      <c r="Y21" s="59"/>
      <c r="Z21" s="60"/>
      <c r="AA21" s="60"/>
      <c r="AB21" s="59"/>
      <c r="AC21" s="60"/>
      <c r="AD21" s="60"/>
      <c r="AE21" s="59"/>
      <c r="AF21" s="60"/>
      <c r="AG21" s="60"/>
      <c r="AH21" s="59"/>
      <c r="AI21" s="60"/>
      <c r="AJ21" s="60"/>
      <c r="AK21" s="59"/>
      <c r="AL21" s="60"/>
      <c r="AM21" s="60"/>
      <c r="AN21" s="61">
        <f t="shared" si="0"/>
        <v>0</v>
      </c>
    </row>
    <row r="22" spans="2:40" ht="20.100000000000001" customHeight="1" x14ac:dyDescent="0.15">
      <c r="B22" s="776" t="s">
        <v>100</v>
      </c>
      <c r="C22" s="777"/>
      <c r="D22" s="59">
        <f t="shared" ref="D22:AM22" si="1">SUM(D9:D21)</f>
        <v>2</v>
      </c>
      <c r="E22" s="62">
        <f t="shared" si="1"/>
        <v>2</v>
      </c>
      <c r="F22" s="63">
        <f t="shared" si="1"/>
        <v>8</v>
      </c>
      <c r="G22" s="59">
        <f t="shared" si="1"/>
        <v>2</v>
      </c>
      <c r="H22" s="62">
        <f t="shared" si="1"/>
        <v>0</v>
      </c>
      <c r="I22" s="63">
        <f t="shared" si="1"/>
        <v>4</v>
      </c>
      <c r="J22" s="59">
        <f t="shared" si="1"/>
        <v>0</v>
      </c>
      <c r="K22" s="62">
        <f t="shared" si="1"/>
        <v>1.5</v>
      </c>
      <c r="L22" s="63">
        <f t="shared" si="1"/>
        <v>16.7</v>
      </c>
      <c r="M22" s="59">
        <f t="shared" si="1"/>
        <v>17.2</v>
      </c>
      <c r="N22" s="62">
        <f t="shared" si="1"/>
        <v>0.7</v>
      </c>
      <c r="O22" s="63">
        <f t="shared" si="1"/>
        <v>0.7</v>
      </c>
      <c r="P22" s="59">
        <f t="shared" si="1"/>
        <v>3.7</v>
      </c>
      <c r="Q22" s="62">
        <f t="shared" si="1"/>
        <v>2.7</v>
      </c>
      <c r="R22" s="63">
        <f t="shared" si="1"/>
        <v>16.2</v>
      </c>
      <c r="S22" s="59">
        <f t="shared" si="1"/>
        <v>13.7</v>
      </c>
      <c r="T22" s="62">
        <f t="shared" si="1"/>
        <v>10.199999999999999</v>
      </c>
      <c r="U22" s="63">
        <f t="shared" si="1"/>
        <v>22.7</v>
      </c>
      <c r="V22" s="59">
        <f t="shared" si="1"/>
        <v>21.7</v>
      </c>
      <c r="W22" s="62">
        <f t="shared" si="1"/>
        <v>18.7</v>
      </c>
      <c r="X22" s="63">
        <f t="shared" si="1"/>
        <v>4.2</v>
      </c>
      <c r="Y22" s="59">
        <f t="shared" si="1"/>
        <v>1.2</v>
      </c>
      <c r="Z22" s="62">
        <f t="shared" si="1"/>
        <v>0.2</v>
      </c>
      <c r="AA22" s="63">
        <f t="shared" si="1"/>
        <v>22.2</v>
      </c>
      <c r="AB22" s="59">
        <f t="shared" si="1"/>
        <v>25.2</v>
      </c>
      <c r="AC22" s="62">
        <f t="shared" si="1"/>
        <v>25.2</v>
      </c>
      <c r="AD22" s="63">
        <f t="shared" si="1"/>
        <v>11.7</v>
      </c>
      <c r="AE22" s="59">
        <f t="shared" si="1"/>
        <v>0.7</v>
      </c>
      <c r="AF22" s="62">
        <f t="shared" si="1"/>
        <v>1.7</v>
      </c>
      <c r="AG22" s="63">
        <f t="shared" si="1"/>
        <v>2.2000000000000002</v>
      </c>
      <c r="AH22" s="59">
        <f t="shared" si="1"/>
        <v>4</v>
      </c>
      <c r="AI22" s="62">
        <f t="shared" si="1"/>
        <v>4</v>
      </c>
      <c r="AJ22" s="63">
        <f t="shared" si="1"/>
        <v>8</v>
      </c>
      <c r="AK22" s="59">
        <f t="shared" si="1"/>
        <v>2</v>
      </c>
      <c r="AL22" s="62">
        <f t="shared" si="1"/>
        <v>2</v>
      </c>
      <c r="AM22" s="63">
        <f t="shared" si="1"/>
        <v>2</v>
      </c>
      <c r="AN22" s="61">
        <f t="shared" si="0"/>
        <v>280.89999999999992</v>
      </c>
    </row>
    <row r="23" spans="2:40" ht="20.100000000000001" customHeight="1" thickBot="1" x14ac:dyDescent="0.2">
      <c r="B23" s="778" t="s">
        <v>101</v>
      </c>
      <c r="C23" s="779"/>
      <c r="D23" s="64"/>
      <c r="E23" s="65">
        <f>SUM(D22:F22)</f>
        <v>12</v>
      </c>
      <c r="F23" s="65"/>
      <c r="G23" s="64"/>
      <c r="H23" s="65">
        <f>SUM(G22:I22)</f>
        <v>6</v>
      </c>
      <c r="I23" s="65"/>
      <c r="J23" s="64"/>
      <c r="K23" s="65">
        <f>SUM(J22:L22)</f>
        <v>18.2</v>
      </c>
      <c r="L23" s="65"/>
      <c r="M23" s="64"/>
      <c r="N23" s="65">
        <f>SUM(M22:O22)</f>
        <v>18.599999999999998</v>
      </c>
      <c r="O23" s="65"/>
      <c r="P23" s="64"/>
      <c r="Q23" s="65">
        <f>SUM(P22:R22)</f>
        <v>22.6</v>
      </c>
      <c r="R23" s="65"/>
      <c r="S23" s="64"/>
      <c r="T23" s="65">
        <f>SUM(S22:U22)</f>
        <v>46.599999999999994</v>
      </c>
      <c r="U23" s="65"/>
      <c r="V23" s="64"/>
      <c r="W23" s="65">
        <f>SUM(V22:X22)</f>
        <v>44.6</v>
      </c>
      <c r="X23" s="65"/>
      <c r="Y23" s="64"/>
      <c r="Z23" s="65">
        <f>SUM(Y22:AA22)</f>
        <v>23.599999999999998</v>
      </c>
      <c r="AA23" s="65"/>
      <c r="AB23" s="64"/>
      <c r="AC23" s="65">
        <f>SUM(AB22:AD22)</f>
        <v>62.099999999999994</v>
      </c>
      <c r="AD23" s="65"/>
      <c r="AE23" s="64"/>
      <c r="AF23" s="65">
        <f>SUM(AE22:AG22)</f>
        <v>4.5999999999999996</v>
      </c>
      <c r="AG23" s="65"/>
      <c r="AH23" s="64"/>
      <c r="AI23" s="65">
        <f>SUM(AH22:AJ22)</f>
        <v>16</v>
      </c>
      <c r="AJ23" s="65"/>
      <c r="AK23" s="64"/>
      <c r="AL23" s="65">
        <f>SUM(AK22:AM22)</f>
        <v>6</v>
      </c>
      <c r="AM23" s="65"/>
      <c r="AN23" s="66">
        <f>SUM(AN9:AN21)</f>
        <v>280.89999999999998</v>
      </c>
    </row>
    <row r="24" spans="2:40" ht="9.9499999999999993" customHeight="1" x14ac:dyDescent="0.15"/>
    <row r="25" spans="2:40" ht="24.95" customHeight="1" x14ac:dyDescent="0.15">
      <c r="B25" s="4" t="s">
        <v>197</v>
      </c>
    </row>
    <row r="26" spans="2:40" ht="9.9499999999999993" customHeight="1" thickBot="1" x14ac:dyDescent="0.2"/>
    <row r="27" spans="2:40" ht="20.100000000000001" customHeight="1" thickBot="1" x14ac:dyDescent="0.2">
      <c r="B27" s="29" t="s">
        <v>194</v>
      </c>
      <c r="C27" s="224">
        <f>'４　経営収支'!G4</f>
        <v>10</v>
      </c>
      <c r="D27" s="29" t="s">
        <v>195</v>
      </c>
    </row>
    <row r="28" spans="2:40" ht="9.9499999999999993" customHeight="1" thickBot="1" x14ac:dyDescent="0.2"/>
    <row r="29" spans="2:40" ht="20.100000000000001" customHeight="1" x14ac:dyDescent="0.15">
      <c r="B29" s="774" t="s">
        <v>98</v>
      </c>
      <c r="C29" s="775"/>
      <c r="D29" s="762">
        <v>1</v>
      </c>
      <c r="E29" s="763"/>
      <c r="F29" s="764"/>
      <c r="G29" s="762">
        <v>2</v>
      </c>
      <c r="H29" s="763"/>
      <c r="I29" s="764"/>
      <c r="J29" s="762">
        <v>3</v>
      </c>
      <c r="K29" s="763"/>
      <c r="L29" s="764"/>
      <c r="M29" s="762">
        <v>4</v>
      </c>
      <c r="N29" s="763"/>
      <c r="O29" s="764"/>
      <c r="P29" s="762">
        <v>5</v>
      </c>
      <c r="Q29" s="763"/>
      <c r="R29" s="764"/>
      <c r="S29" s="762">
        <v>6</v>
      </c>
      <c r="T29" s="763"/>
      <c r="U29" s="764"/>
      <c r="V29" s="762">
        <v>7</v>
      </c>
      <c r="W29" s="763"/>
      <c r="X29" s="764"/>
      <c r="Y29" s="762">
        <v>8</v>
      </c>
      <c r="Z29" s="763"/>
      <c r="AA29" s="764"/>
      <c r="AB29" s="762">
        <v>9</v>
      </c>
      <c r="AC29" s="763"/>
      <c r="AD29" s="764"/>
      <c r="AE29" s="762">
        <v>10</v>
      </c>
      <c r="AF29" s="763"/>
      <c r="AG29" s="764"/>
      <c r="AH29" s="762">
        <v>11</v>
      </c>
      <c r="AI29" s="763"/>
      <c r="AJ29" s="764"/>
      <c r="AK29" s="762">
        <v>12</v>
      </c>
      <c r="AL29" s="763"/>
      <c r="AM29" s="764"/>
      <c r="AN29" s="765" t="s">
        <v>30</v>
      </c>
    </row>
    <row r="30" spans="2:40" ht="20.100000000000001" customHeight="1" x14ac:dyDescent="0.15">
      <c r="B30" s="767"/>
      <c r="C30" s="768"/>
      <c r="D30" s="50" t="s">
        <v>31</v>
      </c>
      <c r="E30" s="51" t="s">
        <v>32</v>
      </c>
      <c r="F30" s="52" t="s">
        <v>33</v>
      </c>
      <c r="G30" s="50" t="s">
        <v>31</v>
      </c>
      <c r="H30" s="52" t="s">
        <v>32</v>
      </c>
      <c r="I30" s="52" t="s">
        <v>33</v>
      </c>
      <c r="J30" s="50" t="s">
        <v>31</v>
      </c>
      <c r="K30" s="52" t="s">
        <v>32</v>
      </c>
      <c r="L30" s="52" t="s">
        <v>33</v>
      </c>
      <c r="M30" s="50" t="s">
        <v>31</v>
      </c>
      <c r="N30" s="52" t="s">
        <v>32</v>
      </c>
      <c r="O30" s="52" t="s">
        <v>33</v>
      </c>
      <c r="P30" s="50" t="s">
        <v>31</v>
      </c>
      <c r="Q30" s="52" t="s">
        <v>32</v>
      </c>
      <c r="R30" s="52" t="s">
        <v>33</v>
      </c>
      <c r="S30" s="50" t="s">
        <v>31</v>
      </c>
      <c r="T30" s="53" t="s">
        <v>32</v>
      </c>
      <c r="U30" s="53" t="s">
        <v>33</v>
      </c>
      <c r="V30" s="50" t="s">
        <v>31</v>
      </c>
      <c r="W30" s="52" t="s">
        <v>32</v>
      </c>
      <c r="X30" s="52" t="s">
        <v>33</v>
      </c>
      <c r="Y30" s="50" t="s">
        <v>31</v>
      </c>
      <c r="Z30" s="52" t="s">
        <v>32</v>
      </c>
      <c r="AA30" s="52" t="s">
        <v>33</v>
      </c>
      <c r="AB30" s="50" t="s">
        <v>31</v>
      </c>
      <c r="AC30" s="52" t="s">
        <v>32</v>
      </c>
      <c r="AD30" s="52" t="s">
        <v>33</v>
      </c>
      <c r="AE30" s="50" t="s">
        <v>31</v>
      </c>
      <c r="AF30" s="52" t="s">
        <v>32</v>
      </c>
      <c r="AG30" s="52" t="s">
        <v>33</v>
      </c>
      <c r="AH30" s="50" t="s">
        <v>31</v>
      </c>
      <c r="AI30" s="52" t="s">
        <v>32</v>
      </c>
      <c r="AJ30" s="52" t="s">
        <v>33</v>
      </c>
      <c r="AK30" s="50" t="s">
        <v>31</v>
      </c>
      <c r="AL30" s="52" t="s">
        <v>32</v>
      </c>
      <c r="AM30" s="52" t="s">
        <v>33</v>
      </c>
      <c r="AN30" s="766"/>
    </row>
    <row r="31" spans="2:40" ht="20.100000000000001" customHeight="1" x14ac:dyDescent="0.15">
      <c r="B31" s="767" t="s">
        <v>202</v>
      </c>
      <c r="C31" s="768"/>
      <c r="D31" s="59">
        <f>D22*$C$27/10</f>
        <v>2</v>
      </c>
      <c r="E31" s="62">
        <f t="shared" ref="E31:AM31" si="2">E22*$C$27/10</f>
        <v>2</v>
      </c>
      <c r="F31" s="63">
        <f t="shared" si="2"/>
        <v>8</v>
      </c>
      <c r="G31" s="59">
        <f t="shared" si="2"/>
        <v>2</v>
      </c>
      <c r="H31" s="62">
        <f t="shared" si="2"/>
        <v>0</v>
      </c>
      <c r="I31" s="63">
        <f t="shared" si="2"/>
        <v>4</v>
      </c>
      <c r="J31" s="59">
        <f t="shared" si="2"/>
        <v>0</v>
      </c>
      <c r="K31" s="62">
        <f t="shared" si="2"/>
        <v>1.5</v>
      </c>
      <c r="L31" s="63">
        <f t="shared" si="2"/>
        <v>16.7</v>
      </c>
      <c r="M31" s="59">
        <f t="shared" si="2"/>
        <v>17.2</v>
      </c>
      <c r="N31" s="62">
        <f t="shared" si="2"/>
        <v>0.7</v>
      </c>
      <c r="O31" s="63">
        <f t="shared" si="2"/>
        <v>0.7</v>
      </c>
      <c r="P31" s="59">
        <f t="shared" si="2"/>
        <v>3.7</v>
      </c>
      <c r="Q31" s="62">
        <f t="shared" si="2"/>
        <v>2.7</v>
      </c>
      <c r="R31" s="63">
        <f t="shared" si="2"/>
        <v>16.2</v>
      </c>
      <c r="S31" s="59">
        <f t="shared" si="2"/>
        <v>13.7</v>
      </c>
      <c r="T31" s="62">
        <f t="shared" si="2"/>
        <v>10.199999999999999</v>
      </c>
      <c r="U31" s="63">
        <f t="shared" si="2"/>
        <v>22.7</v>
      </c>
      <c r="V31" s="59">
        <f t="shared" si="2"/>
        <v>21.7</v>
      </c>
      <c r="W31" s="62">
        <f t="shared" si="2"/>
        <v>18.7</v>
      </c>
      <c r="X31" s="63">
        <f t="shared" si="2"/>
        <v>4.2</v>
      </c>
      <c r="Y31" s="59">
        <f t="shared" si="2"/>
        <v>1.2</v>
      </c>
      <c r="Z31" s="62">
        <f t="shared" si="2"/>
        <v>0.2</v>
      </c>
      <c r="AA31" s="63">
        <f t="shared" si="2"/>
        <v>22.2</v>
      </c>
      <c r="AB31" s="59">
        <f t="shared" si="2"/>
        <v>25.2</v>
      </c>
      <c r="AC31" s="62">
        <f t="shared" si="2"/>
        <v>25.2</v>
      </c>
      <c r="AD31" s="63">
        <f t="shared" si="2"/>
        <v>11.7</v>
      </c>
      <c r="AE31" s="59">
        <f t="shared" si="2"/>
        <v>0.7</v>
      </c>
      <c r="AF31" s="62">
        <f t="shared" si="2"/>
        <v>1.7</v>
      </c>
      <c r="AG31" s="63">
        <f t="shared" si="2"/>
        <v>2.2000000000000002</v>
      </c>
      <c r="AH31" s="59">
        <f t="shared" si="2"/>
        <v>4</v>
      </c>
      <c r="AI31" s="62">
        <f t="shared" si="2"/>
        <v>4</v>
      </c>
      <c r="AJ31" s="63">
        <f t="shared" si="2"/>
        <v>8</v>
      </c>
      <c r="AK31" s="59">
        <f t="shared" si="2"/>
        <v>2</v>
      </c>
      <c r="AL31" s="62">
        <f t="shared" si="2"/>
        <v>2</v>
      </c>
      <c r="AM31" s="63">
        <f t="shared" si="2"/>
        <v>2</v>
      </c>
      <c r="AN31" s="61">
        <f t="shared" ref="AN31:AN35" si="3">SUM(D31:AM31)</f>
        <v>280.89999999999992</v>
      </c>
    </row>
    <row r="32" spans="2:40" ht="20.100000000000001" customHeight="1" thickBot="1" x14ac:dyDescent="0.2">
      <c r="B32" s="769" t="s">
        <v>101</v>
      </c>
      <c r="C32" s="770"/>
      <c r="D32" s="226"/>
      <c r="E32" s="223">
        <f>SUM(D31:F31)</f>
        <v>12</v>
      </c>
      <c r="F32" s="223"/>
      <c r="G32" s="226"/>
      <c r="H32" s="223">
        <f>SUM(G31:I31)</f>
        <v>6</v>
      </c>
      <c r="I32" s="223"/>
      <c r="J32" s="226"/>
      <c r="K32" s="223">
        <f>SUM(J31:L31)</f>
        <v>18.2</v>
      </c>
      <c r="L32" s="223"/>
      <c r="M32" s="226"/>
      <c r="N32" s="223">
        <f>SUM(M31:O31)</f>
        <v>18.599999999999998</v>
      </c>
      <c r="O32" s="223"/>
      <c r="P32" s="226"/>
      <c r="Q32" s="223">
        <f>SUM(P31:R31)</f>
        <v>22.6</v>
      </c>
      <c r="R32" s="223"/>
      <c r="S32" s="226"/>
      <c r="T32" s="223">
        <f>SUM(S31:U31)</f>
        <v>46.599999999999994</v>
      </c>
      <c r="U32" s="223"/>
      <c r="V32" s="226"/>
      <c r="W32" s="223">
        <f>SUM(V31:X31)</f>
        <v>44.6</v>
      </c>
      <c r="X32" s="223"/>
      <c r="Y32" s="226"/>
      <c r="Z32" s="223">
        <f>SUM(Y31:AA31)</f>
        <v>23.599999999999998</v>
      </c>
      <c r="AA32" s="223"/>
      <c r="AB32" s="226"/>
      <c r="AC32" s="223">
        <f>SUM(AB31:AD31)</f>
        <v>62.099999999999994</v>
      </c>
      <c r="AD32" s="223"/>
      <c r="AE32" s="226"/>
      <c r="AF32" s="223">
        <f>SUM(AE31:AG31)</f>
        <v>4.5999999999999996</v>
      </c>
      <c r="AG32" s="223"/>
      <c r="AH32" s="226"/>
      <c r="AI32" s="223">
        <f>SUM(AH31:AJ31)</f>
        <v>16</v>
      </c>
      <c r="AJ32" s="223"/>
      <c r="AK32" s="226"/>
      <c r="AL32" s="223">
        <f>SUM(AK31:AM31)</f>
        <v>6</v>
      </c>
      <c r="AM32" s="223"/>
      <c r="AN32" s="227">
        <f t="shared" si="3"/>
        <v>280.89999999999998</v>
      </c>
    </row>
    <row r="33" spans="2:40" ht="20.100000000000001" customHeight="1" thickTop="1" x14ac:dyDescent="0.15">
      <c r="B33" s="771" t="s">
        <v>200</v>
      </c>
      <c r="C33" s="569" t="s">
        <v>198</v>
      </c>
      <c r="D33" s="228">
        <v>60</v>
      </c>
      <c r="E33" s="229">
        <v>60</v>
      </c>
      <c r="F33" s="229">
        <v>60</v>
      </c>
      <c r="G33" s="228">
        <v>60</v>
      </c>
      <c r="H33" s="229">
        <v>60</v>
      </c>
      <c r="I33" s="229">
        <v>60</v>
      </c>
      <c r="J33" s="228">
        <v>60</v>
      </c>
      <c r="K33" s="229">
        <v>60</v>
      </c>
      <c r="L33" s="229">
        <v>60</v>
      </c>
      <c r="M33" s="228">
        <v>60</v>
      </c>
      <c r="N33" s="229">
        <v>60</v>
      </c>
      <c r="O33" s="229">
        <v>60</v>
      </c>
      <c r="P33" s="228">
        <v>60</v>
      </c>
      <c r="Q33" s="229">
        <v>60</v>
      </c>
      <c r="R33" s="229">
        <v>60</v>
      </c>
      <c r="S33" s="228">
        <v>60</v>
      </c>
      <c r="T33" s="229">
        <v>60</v>
      </c>
      <c r="U33" s="229">
        <v>60</v>
      </c>
      <c r="V33" s="228">
        <v>60</v>
      </c>
      <c r="W33" s="229">
        <v>60</v>
      </c>
      <c r="X33" s="229">
        <v>60</v>
      </c>
      <c r="Y33" s="228">
        <v>60</v>
      </c>
      <c r="Z33" s="229">
        <v>60</v>
      </c>
      <c r="AA33" s="229">
        <v>60</v>
      </c>
      <c r="AB33" s="228">
        <v>60</v>
      </c>
      <c r="AC33" s="229">
        <v>60</v>
      </c>
      <c r="AD33" s="229">
        <v>60</v>
      </c>
      <c r="AE33" s="228">
        <v>60</v>
      </c>
      <c r="AF33" s="229">
        <v>60</v>
      </c>
      <c r="AG33" s="229">
        <v>60</v>
      </c>
      <c r="AH33" s="228">
        <v>60</v>
      </c>
      <c r="AI33" s="229">
        <v>60</v>
      </c>
      <c r="AJ33" s="229">
        <v>60</v>
      </c>
      <c r="AK33" s="228">
        <v>60</v>
      </c>
      <c r="AL33" s="229">
        <v>60</v>
      </c>
      <c r="AM33" s="229">
        <v>60</v>
      </c>
      <c r="AN33" s="230">
        <f t="shared" si="3"/>
        <v>2160</v>
      </c>
    </row>
    <row r="34" spans="2:40" ht="20.100000000000001" customHeight="1" x14ac:dyDescent="0.15">
      <c r="B34" s="772"/>
      <c r="C34" s="225" t="s">
        <v>199</v>
      </c>
      <c r="D34" s="231">
        <v>50</v>
      </c>
      <c r="E34" s="60">
        <v>50</v>
      </c>
      <c r="F34" s="60">
        <v>50</v>
      </c>
      <c r="G34" s="231">
        <v>50</v>
      </c>
      <c r="H34" s="60">
        <v>50</v>
      </c>
      <c r="I34" s="60">
        <v>50</v>
      </c>
      <c r="J34" s="231">
        <v>50</v>
      </c>
      <c r="K34" s="60">
        <v>50</v>
      </c>
      <c r="L34" s="60">
        <v>50</v>
      </c>
      <c r="M34" s="231">
        <v>50</v>
      </c>
      <c r="N34" s="60">
        <v>50</v>
      </c>
      <c r="O34" s="60">
        <v>50</v>
      </c>
      <c r="P34" s="231">
        <v>50</v>
      </c>
      <c r="Q34" s="60">
        <v>50</v>
      </c>
      <c r="R34" s="60">
        <v>50</v>
      </c>
      <c r="S34" s="231">
        <v>50</v>
      </c>
      <c r="T34" s="60">
        <v>50</v>
      </c>
      <c r="U34" s="60">
        <v>50</v>
      </c>
      <c r="V34" s="231">
        <v>50</v>
      </c>
      <c r="W34" s="60">
        <v>50</v>
      </c>
      <c r="X34" s="60">
        <v>50</v>
      </c>
      <c r="Y34" s="231">
        <v>50</v>
      </c>
      <c r="Z34" s="60">
        <v>50</v>
      </c>
      <c r="AA34" s="60">
        <v>50</v>
      </c>
      <c r="AB34" s="231">
        <v>50</v>
      </c>
      <c r="AC34" s="60">
        <v>50</v>
      </c>
      <c r="AD34" s="60">
        <v>50</v>
      </c>
      <c r="AE34" s="231">
        <v>50</v>
      </c>
      <c r="AF34" s="60">
        <v>50</v>
      </c>
      <c r="AG34" s="60">
        <v>50</v>
      </c>
      <c r="AH34" s="231">
        <v>50</v>
      </c>
      <c r="AI34" s="60">
        <v>50</v>
      </c>
      <c r="AJ34" s="60">
        <v>50</v>
      </c>
      <c r="AK34" s="231">
        <v>50</v>
      </c>
      <c r="AL34" s="60">
        <v>50</v>
      </c>
      <c r="AM34" s="60">
        <v>50</v>
      </c>
      <c r="AN34" s="61">
        <f t="shared" si="3"/>
        <v>1800</v>
      </c>
    </row>
    <row r="35" spans="2:40" ht="20.100000000000001" customHeight="1" x14ac:dyDescent="0.15">
      <c r="B35" s="772"/>
      <c r="C35" s="225" t="s">
        <v>205</v>
      </c>
      <c r="D35" s="231">
        <v>25</v>
      </c>
      <c r="E35" s="60">
        <v>25</v>
      </c>
      <c r="F35" s="60">
        <v>25</v>
      </c>
      <c r="G35" s="231">
        <v>25</v>
      </c>
      <c r="H35" s="60">
        <v>25</v>
      </c>
      <c r="I35" s="60">
        <v>25</v>
      </c>
      <c r="J35" s="231">
        <v>25</v>
      </c>
      <c r="K35" s="60">
        <v>25</v>
      </c>
      <c r="L35" s="60">
        <v>25</v>
      </c>
      <c r="M35" s="231">
        <v>25</v>
      </c>
      <c r="N35" s="60">
        <v>25</v>
      </c>
      <c r="O35" s="60">
        <v>25</v>
      </c>
      <c r="P35" s="231">
        <v>25</v>
      </c>
      <c r="Q35" s="60">
        <v>25</v>
      </c>
      <c r="R35" s="60">
        <v>25</v>
      </c>
      <c r="S35" s="231">
        <v>25</v>
      </c>
      <c r="T35" s="60">
        <v>25</v>
      </c>
      <c r="U35" s="60">
        <v>25</v>
      </c>
      <c r="V35" s="231">
        <v>25</v>
      </c>
      <c r="W35" s="60">
        <v>25</v>
      </c>
      <c r="X35" s="60">
        <v>25</v>
      </c>
      <c r="Y35" s="231">
        <v>25</v>
      </c>
      <c r="Z35" s="60">
        <v>25</v>
      </c>
      <c r="AA35" s="60">
        <v>25</v>
      </c>
      <c r="AB35" s="231">
        <v>25</v>
      </c>
      <c r="AC35" s="60">
        <v>25</v>
      </c>
      <c r="AD35" s="60">
        <v>25</v>
      </c>
      <c r="AE35" s="231">
        <v>25</v>
      </c>
      <c r="AF35" s="60">
        <v>25</v>
      </c>
      <c r="AG35" s="60">
        <v>25</v>
      </c>
      <c r="AH35" s="231">
        <v>25</v>
      </c>
      <c r="AI35" s="60">
        <v>25</v>
      </c>
      <c r="AJ35" s="60">
        <v>25</v>
      </c>
      <c r="AK35" s="231">
        <v>25</v>
      </c>
      <c r="AL35" s="60">
        <v>25</v>
      </c>
      <c r="AM35" s="60">
        <v>25</v>
      </c>
      <c r="AN35" s="61">
        <f t="shared" si="3"/>
        <v>900</v>
      </c>
    </row>
    <row r="36" spans="2:40" ht="20.100000000000001" customHeight="1" x14ac:dyDescent="0.15">
      <c r="B36" s="772"/>
      <c r="C36" s="225"/>
      <c r="D36" s="231"/>
      <c r="E36" s="60"/>
      <c r="F36" s="60"/>
      <c r="G36" s="231"/>
      <c r="H36" s="60"/>
      <c r="I36" s="60"/>
      <c r="J36" s="231"/>
      <c r="K36" s="60"/>
      <c r="L36" s="60"/>
      <c r="M36" s="231"/>
      <c r="N36" s="60"/>
      <c r="O36" s="60"/>
      <c r="P36" s="231"/>
      <c r="Q36" s="60"/>
      <c r="R36" s="60"/>
      <c r="S36" s="231"/>
      <c r="T36" s="60"/>
      <c r="U36" s="60"/>
      <c r="V36" s="231"/>
      <c r="W36" s="60"/>
      <c r="X36" s="60"/>
      <c r="Y36" s="231"/>
      <c r="Z36" s="60"/>
      <c r="AA36" s="60"/>
      <c r="AB36" s="231"/>
      <c r="AC36" s="60"/>
      <c r="AD36" s="60"/>
      <c r="AE36" s="231"/>
      <c r="AF36" s="60"/>
      <c r="AG36" s="60"/>
      <c r="AH36" s="231"/>
      <c r="AI36" s="60"/>
      <c r="AJ36" s="60"/>
      <c r="AK36" s="231"/>
      <c r="AL36" s="60"/>
      <c r="AM36" s="60"/>
      <c r="AN36" s="61">
        <f t="shared" ref="AN36:AN39" si="4">SUM(D36:AM36)</f>
        <v>0</v>
      </c>
    </row>
    <row r="37" spans="2:40" ht="20.100000000000001" customHeight="1" thickBot="1" x14ac:dyDescent="0.2">
      <c r="B37" s="773"/>
      <c r="C37" s="570" t="s">
        <v>203</v>
      </c>
      <c r="D37" s="232">
        <f>SUM(D33:D36)</f>
        <v>135</v>
      </c>
      <c r="E37" s="233">
        <f t="shared" ref="E37:AM37" si="5">SUM(E33:E36)</f>
        <v>135</v>
      </c>
      <c r="F37" s="233">
        <f t="shared" si="5"/>
        <v>135</v>
      </c>
      <c r="G37" s="232">
        <f t="shared" si="5"/>
        <v>135</v>
      </c>
      <c r="H37" s="233">
        <f t="shared" si="5"/>
        <v>135</v>
      </c>
      <c r="I37" s="233">
        <f t="shared" si="5"/>
        <v>135</v>
      </c>
      <c r="J37" s="232">
        <f t="shared" si="5"/>
        <v>135</v>
      </c>
      <c r="K37" s="233">
        <f t="shared" si="5"/>
        <v>135</v>
      </c>
      <c r="L37" s="233">
        <f t="shared" si="5"/>
        <v>135</v>
      </c>
      <c r="M37" s="232">
        <f t="shared" si="5"/>
        <v>135</v>
      </c>
      <c r="N37" s="233">
        <f t="shared" si="5"/>
        <v>135</v>
      </c>
      <c r="O37" s="233">
        <f t="shared" si="5"/>
        <v>135</v>
      </c>
      <c r="P37" s="232">
        <f t="shared" si="5"/>
        <v>135</v>
      </c>
      <c r="Q37" s="233">
        <f t="shared" si="5"/>
        <v>135</v>
      </c>
      <c r="R37" s="233">
        <f t="shared" si="5"/>
        <v>135</v>
      </c>
      <c r="S37" s="232">
        <f t="shared" si="5"/>
        <v>135</v>
      </c>
      <c r="T37" s="233">
        <f t="shared" si="5"/>
        <v>135</v>
      </c>
      <c r="U37" s="233">
        <f t="shared" si="5"/>
        <v>135</v>
      </c>
      <c r="V37" s="232">
        <f t="shared" si="5"/>
        <v>135</v>
      </c>
      <c r="W37" s="233">
        <f t="shared" si="5"/>
        <v>135</v>
      </c>
      <c r="X37" s="233">
        <f t="shared" si="5"/>
        <v>135</v>
      </c>
      <c r="Y37" s="232">
        <f t="shared" si="5"/>
        <v>135</v>
      </c>
      <c r="Z37" s="233">
        <f t="shared" si="5"/>
        <v>135</v>
      </c>
      <c r="AA37" s="233">
        <f t="shared" si="5"/>
        <v>135</v>
      </c>
      <c r="AB37" s="232">
        <f t="shared" si="5"/>
        <v>135</v>
      </c>
      <c r="AC37" s="233">
        <f t="shared" si="5"/>
        <v>135</v>
      </c>
      <c r="AD37" s="233">
        <f t="shared" si="5"/>
        <v>135</v>
      </c>
      <c r="AE37" s="232">
        <f t="shared" si="5"/>
        <v>135</v>
      </c>
      <c r="AF37" s="233">
        <f t="shared" si="5"/>
        <v>135</v>
      </c>
      <c r="AG37" s="233">
        <f t="shared" si="5"/>
        <v>135</v>
      </c>
      <c r="AH37" s="232">
        <f t="shared" si="5"/>
        <v>135</v>
      </c>
      <c r="AI37" s="233">
        <f t="shared" si="5"/>
        <v>135</v>
      </c>
      <c r="AJ37" s="233">
        <f t="shared" si="5"/>
        <v>135</v>
      </c>
      <c r="AK37" s="232">
        <f t="shared" si="5"/>
        <v>135</v>
      </c>
      <c r="AL37" s="233">
        <f t="shared" si="5"/>
        <v>135</v>
      </c>
      <c r="AM37" s="233">
        <f t="shared" si="5"/>
        <v>135</v>
      </c>
      <c r="AN37" s="234">
        <f t="shared" si="4"/>
        <v>4860</v>
      </c>
    </row>
    <row r="38" spans="2:40" ht="20.100000000000001" customHeight="1" thickTop="1" x14ac:dyDescent="0.15">
      <c r="B38" s="780" t="s">
        <v>204</v>
      </c>
      <c r="C38" s="781"/>
      <c r="D38" s="238">
        <f>D37-D31</f>
        <v>133</v>
      </c>
      <c r="E38" s="239">
        <f t="shared" ref="E38:AM38" si="6">E37-E31</f>
        <v>133</v>
      </c>
      <c r="F38" s="239">
        <f t="shared" si="6"/>
        <v>127</v>
      </c>
      <c r="G38" s="238">
        <f t="shared" si="6"/>
        <v>133</v>
      </c>
      <c r="H38" s="239">
        <f t="shared" si="6"/>
        <v>135</v>
      </c>
      <c r="I38" s="239">
        <f t="shared" si="6"/>
        <v>131</v>
      </c>
      <c r="J38" s="238">
        <f t="shared" si="6"/>
        <v>135</v>
      </c>
      <c r="K38" s="239">
        <f t="shared" si="6"/>
        <v>133.5</v>
      </c>
      <c r="L38" s="239">
        <f t="shared" si="6"/>
        <v>118.3</v>
      </c>
      <c r="M38" s="238">
        <f t="shared" si="6"/>
        <v>117.8</v>
      </c>
      <c r="N38" s="239">
        <f t="shared" si="6"/>
        <v>134.30000000000001</v>
      </c>
      <c r="O38" s="239">
        <f t="shared" si="6"/>
        <v>134.30000000000001</v>
      </c>
      <c r="P38" s="238">
        <f t="shared" si="6"/>
        <v>131.30000000000001</v>
      </c>
      <c r="Q38" s="239">
        <f t="shared" si="6"/>
        <v>132.30000000000001</v>
      </c>
      <c r="R38" s="239">
        <f t="shared" si="6"/>
        <v>118.8</v>
      </c>
      <c r="S38" s="238">
        <f t="shared" si="6"/>
        <v>121.3</v>
      </c>
      <c r="T38" s="239">
        <f t="shared" si="6"/>
        <v>124.8</v>
      </c>
      <c r="U38" s="239">
        <f t="shared" si="6"/>
        <v>112.3</v>
      </c>
      <c r="V38" s="238">
        <f t="shared" si="6"/>
        <v>113.3</v>
      </c>
      <c r="W38" s="239">
        <f t="shared" si="6"/>
        <v>116.3</v>
      </c>
      <c r="X38" s="239">
        <f t="shared" si="6"/>
        <v>130.80000000000001</v>
      </c>
      <c r="Y38" s="238">
        <f t="shared" si="6"/>
        <v>133.80000000000001</v>
      </c>
      <c r="Z38" s="239">
        <f t="shared" si="6"/>
        <v>134.80000000000001</v>
      </c>
      <c r="AA38" s="239">
        <f t="shared" si="6"/>
        <v>112.8</v>
      </c>
      <c r="AB38" s="238">
        <f t="shared" si="6"/>
        <v>109.8</v>
      </c>
      <c r="AC38" s="239">
        <f t="shared" si="6"/>
        <v>109.8</v>
      </c>
      <c r="AD38" s="239">
        <f t="shared" si="6"/>
        <v>123.3</v>
      </c>
      <c r="AE38" s="238">
        <f t="shared" si="6"/>
        <v>134.30000000000001</v>
      </c>
      <c r="AF38" s="239">
        <f t="shared" si="6"/>
        <v>133.30000000000001</v>
      </c>
      <c r="AG38" s="239">
        <f t="shared" si="6"/>
        <v>132.80000000000001</v>
      </c>
      <c r="AH38" s="238">
        <f t="shared" si="6"/>
        <v>131</v>
      </c>
      <c r="AI38" s="239">
        <f t="shared" si="6"/>
        <v>131</v>
      </c>
      <c r="AJ38" s="239">
        <f t="shared" si="6"/>
        <v>127</v>
      </c>
      <c r="AK38" s="238">
        <f t="shared" si="6"/>
        <v>133</v>
      </c>
      <c r="AL38" s="239">
        <f t="shared" si="6"/>
        <v>133</v>
      </c>
      <c r="AM38" s="239">
        <f t="shared" si="6"/>
        <v>133</v>
      </c>
      <c r="AN38" s="230">
        <f t="shared" si="4"/>
        <v>4579.1000000000022</v>
      </c>
    </row>
    <row r="39" spans="2:40" ht="20.100000000000001" customHeight="1" thickBot="1" x14ac:dyDescent="0.2">
      <c r="B39" s="778" t="s">
        <v>201</v>
      </c>
      <c r="C39" s="779"/>
      <c r="D39" s="235"/>
      <c r="E39" s="236"/>
      <c r="F39" s="236"/>
      <c r="G39" s="235"/>
      <c r="H39" s="236"/>
      <c r="I39" s="236"/>
      <c r="J39" s="235"/>
      <c r="K39" s="236"/>
      <c r="L39" s="236"/>
      <c r="M39" s="235"/>
      <c r="N39" s="236"/>
      <c r="O39" s="236"/>
      <c r="P39" s="235"/>
      <c r="Q39" s="236"/>
      <c r="R39" s="236"/>
      <c r="S39" s="235"/>
      <c r="T39" s="236"/>
      <c r="U39" s="236"/>
      <c r="V39" s="235"/>
      <c r="W39" s="236"/>
      <c r="X39" s="236"/>
      <c r="Y39" s="235"/>
      <c r="Z39" s="236"/>
      <c r="AA39" s="236"/>
      <c r="AB39" s="235"/>
      <c r="AC39" s="236"/>
      <c r="AD39" s="236"/>
      <c r="AE39" s="235"/>
      <c r="AF39" s="236"/>
      <c r="AG39" s="236"/>
      <c r="AH39" s="235"/>
      <c r="AI39" s="236"/>
      <c r="AJ39" s="236"/>
      <c r="AK39" s="235"/>
      <c r="AL39" s="236"/>
      <c r="AM39" s="236"/>
      <c r="AN39" s="237">
        <f t="shared" si="4"/>
        <v>0</v>
      </c>
    </row>
  </sheetData>
  <mergeCells count="49">
    <mergeCell ref="M4:O4"/>
    <mergeCell ref="P4:R4"/>
    <mergeCell ref="B17:C17"/>
    <mergeCell ref="AK4:AM4"/>
    <mergeCell ref="B12:C12"/>
    <mergeCell ref="B13:C13"/>
    <mergeCell ref="B14:C14"/>
    <mergeCell ref="B15:C15"/>
    <mergeCell ref="B16:C16"/>
    <mergeCell ref="J29:L29"/>
    <mergeCell ref="AN4:AN5"/>
    <mergeCell ref="B6:C8"/>
    <mergeCell ref="B9:C9"/>
    <mergeCell ref="B10:C10"/>
    <mergeCell ref="B11:C11"/>
    <mergeCell ref="S4:U4"/>
    <mergeCell ref="V4:X4"/>
    <mergeCell ref="Y4:AA4"/>
    <mergeCell ref="AB4:AD4"/>
    <mergeCell ref="AE4:AG4"/>
    <mergeCell ref="AH4:AJ4"/>
    <mergeCell ref="B4:C5"/>
    <mergeCell ref="D4:F4"/>
    <mergeCell ref="G4:I4"/>
    <mergeCell ref="J4:L4"/>
    <mergeCell ref="B22:C22"/>
    <mergeCell ref="B23:C23"/>
    <mergeCell ref="B39:C39"/>
    <mergeCell ref="B38:C38"/>
    <mergeCell ref="B18:C18"/>
    <mergeCell ref="B19:C19"/>
    <mergeCell ref="B20:C20"/>
    <mergeCell ref="B21:C21"/>
    <mergeCell ref="AK29:AM29"/>
    <mergeCell ref="AN29:AN30"/>
    <mergeCell ref="B31:C31"/>
    <mergeCell ref="B32:C32"/>
    <mergeCell ref="B33:B37"/>
    <mergeCell ref="S29:U29"/>
    <mergeCell ref="V29:X29"/>
    <mergeCell ref="Y29:AA29"/>
    <mergeCell ref="AB29:AD29"/>
    <mergeCell ref="AE29:AG29"/>
    <mergeCell ref="AH29:AJ29"/>
    <mergeCell ref="B29:C30"/>
    <mergeCell ref="D29:F29"/>
    <mergeCell ref="G29:I29"/>
    <mergeCell ref="M29:O29"/>
    <mergeCell ref="P29:R29"/>
  </mergeCells>
  <phoneticPr fontId="4"/>
  <pageMargins left="0.78740157480314965" right="0.78740157480314965" top="0.78740157480314965" bottom="0.78740157480314965" header="0.39370078740157483" footer="0.39370078740157483"/>
  <pageSetup paperSize="9" scale="51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39"/>
  <sheetViews>
    <sheetView zoomScale="75" zoomScaleNormal="75" workbookViewId="0"/>
  </sheetViews>
  <sheetFormatPr defaultRowHeight="13.5" x14ac:dyDescent="0.15"/>
  <cols>
    <col min="1" max="1" width="1.625" style="29" customWidth="1"/>
    <col min="2" max="3" width="11.625" style="29" customWidth="1"/>
    <col min="4" max="39" width="6.125" style="29" customWidth="1"/>
    <col min="40" max="40" width="7" style="29" customWidth="1"/>
    <col min="41" max="41" width="1.5" style="29" customWidth="1"/>
    <col min="42" max="16384" width="9" style="29"/>
  </cols>
  <sheetData>
    <row r="1" spans="2:63" ht="9.9499999999999993" customHeight="1" x14ac:dyDescent="0.15"/>
    <row r="2" spans="2:63" ht="24.95" customHeight="1" x14ac:dyDescent="0.15">
      <c r="B2" s="4" t="s">
        <v>553</v>
      </c>
      <c r="C2" s="4"/>
      <c r="D2" s="4"/>
      <c r="E2" s="4"/>
      <c r="F2" s="4"/>
      <c r="G2" s="4"/>
      <c r="H2" s="4"/>
      <c r="I2" s="4"/>
      <c r="J2" s="4"/>
      <c r="K2" s="4"/>
      <c r="L2" s="243" t="s">
        <v>192</v>
      </c>
      <c r="M2" s="220" t="s">
        <v>552</v>
      </c>
      <c r="N2" s="220"/>
      <c r="O2" s="243" t="s">
        <v>193</v>
      </c>
      <c r="P2" s="220" t="s">
        <v>422</v>
      </c>
      <c r="Q2" s="4"/>
      <c r="R2" s="4"/>
      <c r="S2" s="4"/>
      <c r="T2" s="4"/>
      <c r="U2" s="4"/>
      <c r="V2" s="4"/>
      <c r="W2" s="31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</row>
    <row r="3" spans="2:63" ht="24.95" customHeight="1" thickBot="1" x14ac:dyDescent="0.2">
      <c r="B3" s="4" t="s">
        <v>196</v>
      </c>
      <c r="C3" s="4"/>
      <c r="D3" s="4"/>
      <c r="E3" s="4"/>
      <c r="F3" s="4"/>
      <c r="G3" s="4"/>
      <c r="H3" s="4"/>
      <c r="I3" s="4"/>
      <c r="J3" s="4"/>
      <c r="K3" s="4"/>
      <c r="L3" s="4"/>
      <c r="M3" s="31"/>
      <c r="N3" s="4"/>
      <c r="O3" s="4"/>
      <c r="P3" s="31"/>
      <c r="Q3" s="4"/>
      <c r="R3" s="4"/>
      <c r="S3" s="4"/>
      <c r="T3" s="4"/>
      <c r="U3" s="4"/>
      <c r="V3" s="4"/>
      <c r="W3" s="31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</row>
    <row r="4" spans="2:63" ht="20.100000000000001" customHeight="1" x14ac:dyDescent="0.15">
      <c r="B4" s="774" t="s">
        <v>98</v>
      </c>
      <c r="C4" s="775"/>
      <c r="D4" s="762">
        <v>1</v>
      </c>
      <c r="E4" s="763"/>
      <c r="F4" s="764"/>
      <c r="G4" s="762">
        <v>2</v>
      </c>
      <c r="H4" s="763"/>
      <c r="I4" s="764"/>
      <c r="J4" s="762">
        <v>3</v>
      </c>
      <c r="K4" s="763"/>
      <c r="L4" s="764"/>
      <c r="M4" s="762">
        <v>4</v>
      </c>
      <c r="N4" s="763"/>
      <c r="O4" s="764"/>
      <c r="P4" s="762">
        <v>5</v>
      </c>
      <c r="Q4" s="763"/>
      <c r="R4" s="764"/>
      <c r="S4" s="762">
        <v>6</v>
      </c>
      <c r="T4" s="763"/>
      <c r="U4" s="764"/>
      <c r="V4" s="762">
        <v>7</v>
      </c>
      <c r="W4" s="763"/>
      <c r="X4" s="764"/>
      <c r="Y4" s="762">
        <v>8</v>
      </c>
      <c r="Z4" s="763"/>
      <c r="AA4" s="764"/>
      <c r="AB4" s="762">
        <v>9</v>
      </c>
      <c r="AC4" s="763"/>
      <c r="AD4" s="764"/>
      <c r="AE4" s="762">
        <v>10</v>
      </c>
      <c r="AF4" s="763"/>
      <c r="AG4" s="764"/>
      <c r="AH4" s="762">
        <v>11</v>
      </c>
      <c r="AI4" s="763"/>
      <c r="AJ4" s="764"/>
      <c r="AK4" s="762">
        <v>12</v>
      </c>
      <c r="AL4" s="763"/>
      <c r="AM4" s="764"/>
      <c r="AN4" s="765" t="s">
        <v>30</v>
      </c>
    </row>
    <row r="5" spans="2:63" ht="20.100000000000001" customHeight="1" x14ac:dyDescent="0.15">
      <c r="B5" s="767"/>
      <c r="C5" s="768"/>
      <c r="D5" s="50" t="s">
        <v>31</v>
      </c>
      <c r="E5" s="51" t="s">
        <v>32</v>
      </c>
      <c r="F5" s="52" t="s">
        <v>33</v>
      </c>
      <c r="G5" s="50" t="s">
        <v>31</v>
      </c>
      <c r="H5" s="52" t="s">
        <v>32</v>
      </c>
      <c r="I5" s="52" t="s">
        <v>33</v>
      </c>
      <c r="J5" s="50" t="s">
        <v>31</v>
      </c>
      <c r="K5" s="52" t="s">
        <v>32</v>
      </c>
      <c r="L5" s="52" t="s">
        <v>33</v>
      </c>
      <c r="M5" s="50" t="s">
        <v>31</v>
      </c>
      <c r="N5" s="52" t="s">
        <v>32</v>
      </c>
      <c r="O5" s="52" t="s">
        <v>33</v>
      </c>
      <c r="P5" s="50" t="s">
        <v>31</v>
      </c>
      <c r="Q5" s="52" t="s">
        <v>32</v>
      </c>
      <c r="R5" s="52" t="s">
        <v>33</v>
      </c>
      <c r="S5" s="50" t="s">
        <v>31</v>
      </c>
      <c r="T5" s="53" t="s">
        <v>32</v>
      </c>
      <c r="U5" s="53" t="s">
        <v>33</v>
      </c>
      <c r="V5" s="50" t="s">
        <v>31</v>
      </c>
      <c r="W5" s="52" t="s">
        <v>32</v>
      </c>
      <c r="X5" s="52" t="s">
        <v>33</v>
      </c>
      <c r="Y5" s="50" t="s">
        <v>31</v>
      </c>
      <c r="Z5" s="52" t="s">
        <v>32</v>
      </c>
      <c r="AA5" s="52" t="s">
        <v>33</v>
      </c>
      <c r="AB5" s="50" t="s">
        <v>31</v>
      </c>
      <c r="AC5" s="52" t="s">
        <v>32</v>
      </c>
      <c r="AD5" s="52" t="s">
        <v>33</v>
      </c>
      <c r="AE5" s="50" t="s">
        <v>31</v>
      </c>
      <c r="AF5" s="52" t="s">
        <v>32</v>
      </c>
      <c r="AG5" s="52" t="s">
        <v>33</v>
      </c>
      <c r="AH5" s="50" t="s">
        <v>31</v>
      </c>
      <c r="AI5" s="52" t="s">
        <v>32</v>
      </c>
      <c r="AJ5" s="52" t="s">
        <v>33</v>
      </c>
      <c r="AK5" s="50" t="s">
        <v>31</v>
      </c>
      <c r="AL5" s="52" t="s">
        <v>32</v>
      </c>
      <c r="AM5" s="52" t="s">
        <v>33</v>
      </c>
      <c r="AN5" s="766"/>
    </row>
    <row r="6" spans="2:63" ht="20.100000000000001" customHeight="1" x14ac:dyDescent="0.15">
      <c r="B6" s="769" t="s">
        <v>99</v>
      </c>
      <c r="C6" s="770"/>
      <c r="D6" s="54"/>
      <c r="E6" s="4"/>
      <c r="F6" s="4"/>
      <c r="G6" s="4"/>
      <c r="H6" s="4"/>
      <c r="I6" s="4"/>
      <c r="J6" s="4"/>
      <c r="K6" s="4"/>
      <c r="L6" s="4"/>
      <c r="M6" s="4"/>
      <c r="N6" s="4"/>
      <c r="O6" s="31"/>
      <c r="P6" s="31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55"/>
    </row>
    <row r="7" spans="2:63" ht="20.100000000000001" customHeight="1" x14ac:dyDescent="0.15">
      <c r="B7" s="772"/>
      <c r="C7" s="784"/>
      <c r="D7" s="54"/>
      <c r="E7" s="4"/>
      <c r="F7" s="4"/>
      <c r="G7" s="4"/>
      <c r="H7" s="4"/>
      <c r="I7" s="504" t="s">
        <v>482</v>
      </c>
      <c r="J7" s="4"/>
      <c r="K7" s="4"/>
      <c r="L7" s="4"/>
      <c r="N7" s="4"/>
      <c r="O7" s="4"/>
      <c r="P7" s="4"/>
      <c r="Q7" s="4"/>
      <c r="R7" s="4"/>
      <c r="S7" s="4"/>
      <c r="T7" s="4"/>
      <c r="U7" s="4"/>
      <c r="V7" s="4"/>
      <c r="W7" s="4"/>
      <c r="X7" s="506"/>
      <c r="Y7" s="506"/>
      <c r="Z7" s="506"/>
      <c r="AA7" s="506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55"/>
    </row>
    <row r="8" spans="2:63" ht="20.100000000000001" customHeight="1" x14ac:dyDescent="0.15">
      <c r="B8" s="767"/>
      <c r="C8" s="768"/>
      <c r="D8" s="56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8"/>
    </row>
    <row r="9" spans="2:63" ht="20.100000000000001" customHeight="1" x14ac:dyDescent="0.15">
      <c r="B9" s="782" t="s">
        <v>522</v>
      </c>
      <c r="C9" s="783" t="s">
        <v>522</v>
      </c>
      <c r="D9" s="59"/>
      <c r="E9" s="60"/>
      <c r="F9" s="60"/>
      <c r="G9" s="59"/>
      <c r="H9" s="60"/>
      <c r="I9" s="60"/>
      <c r="J9" s="59"/>
      <c r="K9" s="60"/>
      <c r="L9" s="60"/>
      <c r="M9" s="59"/>
      <c r="N9" s="60"/>
      <c r="O9" s="60"/>
      <c r="P9" s="59"/>
      <c r="Q9" s="60"/>
      <c r="R9" s="60"/>
      <c r="S9" s="59"/>
      <c r="T9" s="60"/>
      <c r="U9" s="60"/>
      <c r="V9" s="59"/>
      <c r="W9" s="60"/>
      <c r="X9" s="60"/>
      <c r="Y9" s="59"/>
      <c r="Z9" s="60"/>
      <c r="AA9" s="60"/>
      <c r="AB9" s="59"/>
      <c r="AC9" s="60"/>
      <c r="AD9" s="60"/>
      <c r="AE9" s="59"/>
      <c r="AF9" s="60"/>
      <c r="AG9" s="60"/>
      <c r="AH9" s="59"/>
      <c r="AI9" s="60"/>
      <c r="AJ9" s="60">
        <v>6</v>
      </c>
      <c r="AK9" s="59">
        <v>6</v>
      </c>
      <c r="AL9" s="60">
        <v>4</v>
      </c>
      <c r="AM9" s="60"/>
      <c r="AN9" s="61">
        <f>SUM(D9:AM9)</f>
        <v>16</v>
      </c>
    </row>
    <row r="10" spans="2:63" ht="20.100000000000001" customHeight="1" x14ac:dyDescent="0.15">
      <c r="B10" s="782" t="s">
        <v>523</v>
      </c>
      <c r="C10" s="783" t="s">
        <v>523</v>
      </c>
      <c r="D10" s="59"/>
      <c r="E10" s="60"/>
      <c r="F10" s="60"/>
      <c r="G10" s="59"/>
      <c r="H10" s="60"/>
      <c r="I10" s="60"/>
      <c r="J10" s="59"/>
      <c r="K10" s="60">
        <v>2</v>
      </c>
      <c r="L10" s="60">
        <v>2</v>
      </c>
      <c r="M10" s="59">
        <v>2</v>
      </c>
      <c r="N10" s="60">
        <v>10</v>
      </c>
      <c r="O10" s="60">
        <v>2</v>
      </c>
      <c r="P10" s="59">
        <v>1</v>
      </c>
      <c r="Q10" s="60">
        <v>1</v>
      </c>
      <c r="R10" s="60">
        <v>1</v>
      </c>
      <c r="S10" s="59">
        <v>1</v>
      </c>
      <c r="T10" s="60"/>
      <c r="U10" s="60"/>
      <c r="V10" s="59"/>
      <c r="W10" s="60"/>
      <c r="X10" s="60"/>
      <c r="Y10" s="59"/>
      <c r="Z10" s="60"/>
      <c r="AA10" s="60"/>
      <c r="AB10" s="59"/>
      <c r="AC10" s="60"/>
      <c r="AD10" s="60"/>
      <c r="AE10" s="59"/>
      <c r="AF10" s="60"/>
      <c r="AG10" s="60"/>
      <c r="AH10" s="59"/>
      <c r="AI10" s="60"/>
      <c r="AJ10" s="60"/>
      <c r="AK10" s="59"/>
      <c r="AL10" s="60"/>
      <c r="AM10" s="60"/>
      <c r="AN10" s="61">
        <f t="shared" ref="AN10:AN22" si="0">SUM(D10:AM10)</f>
        <v>22</v>
      </c>
    </row>
    <row r="11" spans="2:63" ht="20.100000000000001" customHeight="1" x14ac:dyDescent="0.15">
      <c r="B11" s="782" t="s">
        <v>524</v>
      </c>
      <c r="C11" s="783" t="s">
        <v>524</v>
      </c>
      <c r="D11" s="59"/>
      <c r="E11" s="60"/>
      <c r="F11" s="60"/>
      <c r="G11" s="59"/>
      <c r="H11" s="60"/>
      <c r="I11" s="60">
        <v>1.5</v>
      </c>
      <c r="J11" s="59"/>
      <c r="K11" s="60"/>
      <c r="L11" s="60"/>
      <c r="M11" s="59"/>
      <c r="N11" s="60"/>
      <c r="O11" s="60"/>
      <c r="P11" s="59"/>
      <c r="Q11" s="60"/>
      <c r="R11" s="60"/>
      <c r="S11" s="59"/>
      <c r="T11" s="60"/>
      <c r="U11" s="60"/>
      <c r="V11" s="59"/>
      <c r="W11" s="60"/>
      <c r="X11" s="60"/>
      <c r="Y11" s="59"/>
      <c r="Z11" s="60"/>
      <c r="AA11" s="60"/>
      <c r="AB11" s="59"/>
      <c r="AC11" s="60"/>
      <c r="AD11" s="60"/>
      <c r="AE11" s="59">
        <v>1.5</v>
      </c>
      <c r="AF11" s="60"/>
      <c r="AG11" s="60"/>
      <c r="AH11" s="59"/>
      <c r="AI11" s="60"/>
      <c r="AJ11" s="60"/>
      <c r="AK11" s="59"/>
      <c r="AL11" s="60">
        <v>1.5</v>
      </c>
      <c r="AM11" s="60"/>
      <c r="AN11" s="61">
        <f t="shared" si="0"/>
        <v>4.5</v>
      </c>
    </row>
    <row r="12" spans="2:63" ht="20.100000000000001" customHeight="1" x14ac:dyDescent="0.15">
      <c r="B12" s="782" t="s">
        <v>525</v>
      </c>
      <c r="C12" s="783" t="s">
        <v>525</v>
      </c>
      <c r="D12" s="59">
        <v>2</v>
      </c>
      <c r="E12" s="60">
        <v>2</v>
      </c>
      <c r="F12" s="60"/>
      <c r="G12" s="59"/>
      <c r="H12" s="60">
        <v>0.5</v>
      </c>
      <c r="I12" s="60"/>
      <c r="J12" s="59"/>
      <c r="K12" s="60">
        <v>0.5</v>
      </c>
      <c r="L12" s="60">
        <v>0.5</v>
      </c>
      <c r="M12" s="59">
        <v>0.5</v>
      </c>
      <c r="N12" s="60">
        <v>0.5</v>
      </c>
      <c r="O12" s="60"/>
      <c r="P12" s="59">
        <v>0.5</v>
      </c>
      <c r="Q12" s="60"/>
      <c r="R12" s="60">
        <v>0.5</v>
      </c>
      <c r="S12" s="59">
        <v>0.5</v>
      </c>
      <c r="T12" s="60"/>
      <c r="U12" s="60">
        <v>0.5</v>
      </c>
      <c r="V12" s="59"/>
      <c r="W12" s="60"/>
      <c r="X12" s="60"/>
      <c r="Y12" s="59"/>
      <c r="Z12" s="60"/>
      <c r="AA12" s="60">
        <v>0.5</v>
      </c>
      <c r="AB12" s="59">
        <v>0.5</v>
      </c>
      <c r="AC12" s="60"/>
      <c r="AD12" s="60"/>
      <c r="AE12" s="59"/>
      <c r="AF12" s="60"/>
      <c r="AG12" s="60"/>
      <c r="AH12" s="59"/>
      <c r="AI12" s="60"/>
      <c r="AJ12" s="60"/>
      <c r="AK12" s="59"/>
      <c r="AL12" s="60"/>
      <c r="AM12" s="60"/>
      <c r="AN12" s="61">
        <f t="shared" si="0"/>
        <v>9.5</v>
      </c>
    </row>
    <row r="13" spans="2:63" ht="20.100000000000001" customHeight="1" x14ac:dyDescent="0.15">
      <c r="B13" s="782" t="s">
        <v>526</v>
      </c>
      <c r="C13" s="783" t="s">
        <v>526</v>
      </c>
      <c r="D13" s="59"/>
      <c r="E13" s="60"/>
      <c r="F13" s="60"/>
      <c r="G13" s="59"/>
      <c r="H13" s="60"/>
      <c r="I13" s="60"/>
      <c r="J13" s="59"/>
      <c r="K13" s="60"/>
      <c r="L13" s="60"/>
      <c r="M13" s="59"/>
      <c r="N13" s="60">
        <v>24</v>
      </c>
      <c r="O13" s="60">
        <v>8</v>
      </c>
      <c r="P13" s="59">
        <v>8</v>
      </c>
      <c r="Q13" s="60">
        <v>28</v>
      </c>
      <c r="R13" s="60">
        <v>28</v>
      </c>
      <c r="S13" s="59"/>
      <c r="T13" s="60"/>
      <c r="U13" s="60"/>
      <c r="V13" s="59"/>
      <c r="W13" s="60"/>
      <c r="X13" s="60"/>
      <c r="Y13" s="59"/>
      <c r="Z13" s="60"/>
      <c r="AA13" s="60"/>
      <c r="AB13" s="59"/>
      <c r="AC13" s="60"/>
      <c r="AD13" s="60"/>
      <c r="AE13" s="59"/>
      <c r="AF13" s="60"/>
      <c r="AG13" s="60"/>
      <c r="AH13" s="59"/>
      <c r="AI13" s="60"/>
      <c r="AJ13" s="60"/>
      <c r="AK13" s="59"/>
      <c r="AL13" s="60"/>
      <c r="AM13" s="60"/>
      <c r="AN13" s="61">
        <f t="shared" si="0"/>
        <v>96</v>
      </c>
    </row>
    <row r="14" spans="2:63" ht="20.100000000000001" customHeight="1" x14ac:dyDescent="0.15">
      <c r="B14" s="782" t="s">
        <v>527</v>
      </c>
      <c r="C14" s="783" t="s">
        <v>527</v>
      </c>
      <c r="D14" s="59"/>
      <c r="E14" s="60"/>
      <c r="F14" s="60"/>
      <c r="G14" s="59"/>
      <c r="H14" s="60"/>
      <c r="I14" s="60"/>
      <c r="J14" s="59"/>
      <c r="K14" s="60"/>
      <c r="L14" s="60"/>
      <c r="M14" s="59"/>
      <c r="N14" s="60"/>
      <c r="O14" s="60"/>
      <c r="P14" s="59"/>
      <c r="Q14" s="60"/>
      <c r="R14" s="60"/>
      <c r="S14" s="59"/>
      <c r="T14" s="60">
        <v>10</v>
      </c>
      <c r="U14" s="60"/>
      <c r="V14" s="59"/>
      <c r="W14" s="60"/>
      <c r="X14" s="60"/>
      <c r="Y14" s="59"/>
      <c r="Z14" s="60"/>
      <c r="AA14" s="60"/>
      <c r="AB14" s="59"/>
      <c r="AC14" s="60"/>
      <c r="AD14" s="60"/>
      <c r="AE14" s="59"/>
      <c r="AF14" s="60"/>
      <c r="AG14" s="60"/>
      <c r="AH14" s="59"/>
      <c r="AI14" s="60"/>
      <c r="AJ14" s="60"/>
      <c r="AK14" s="59"/>
      <c r="AL14" s="60"/>
      <c r="AM14" s="60"/>
      <c r="AN14" s="61">
        <f t="shared" si="0"/>
        <v>10</v>
      </c>
    </row>
    <row r="15" spans="2:63" ht="20.100000000000001" customHeight="1" x14ac:dyDescent="0.15">
      <c r="B15" s="782" t="s">
        <v>528</v>
      </c>
      <c r="C15" s="783" t="s">
        <v>528</v>
      </c>
      <c r="D15" s="59"/>
      <c r="E15" s="60"/>
      <c r="F15" s="60"/>
      <c r="G15" s="59"/>
      <c r="H15" s="60"/>
      <c r="I15" s="60"/>
      <c r="J15" s="59"/>
      <c r="K15" s="60"/>
      <c r="L15" s="60"/>
      <c r="M15" s="59">
        <v>1</v>
      </c>
      <c r="N15" s="60"/>
      <c r="O15" s="60"/>
      <c r="P15" s="59">
        <v>1</v>
      </c>
      <c r="Q15" s="60"/>
      <c r="R15" s="60"/>
      <c r="S15" s="59">
        <v>1</v>
      </c>
      <c r="T15" s="60"/>
      <c r="U15" s="60"/>
      <c r="V15" s="59">
        <v>1</v>
      </c>
      <c r="W15" s="60"/>
      <c r="X15" s="60"/>
      <c r="Y15" s="59"/>
      <c r="Z15" s="60"/>
      <c r="AA15" s="60">
        <v>1</v>
      </c>
      <c r="AB15" s="59"/>
      <c r="AC15" s="60"/>
      <c r="AD15" s="60">
        <v>1</v>
      </c>
      <c r="AE15" s="59"/>
      <c r="AF15" s="60"/>
      <c r="AG15" s="60"/>
      <c r="AH15" s="59"/>
      <c r="AI15" s="60"/>
      <c r="AJ15" s="60"/>
      <c r="AK15" s="59"/>
      <c r="AL15" s="60"/>
      <c r="AM15" s="60"/>
      <c r="AN15" s="61">
        <f t="shared" si="0"/>
        <v>6</v>
      </c>
    </row>
    <row r="16" spans="2:63" ht="20.100000000000001" customHeight="1" x14ac:dyDescent="0.15">
      <c r="B16" s="782" t="s">
        <v>529</v>
      </c>
      <c r="C16" s="783" t="s">
        <v>529</v>
      </c>
      <c r="D16" s="59"/>
      <c r="E16" s="60"/>
      <c r="F16" s="60"/>
      <c r="G16" s="59"/>
      <c r="H16" s="60"/>
      <c r="I16" s="60">
        <v>0.2</v>
      </c>
      <c r="J16" s="59">
        <v>0.2</v>
      </c>
      <c r="K16" s="60">
        <v>0.2</v>
      </c>
      <c r="L16" s="60">
        <v>0.2</v>
      </c>
      <c r="M16" s="59">
        <v>0.2</v>
      </c>
      <c r="N16" s="60">
        <v>0.2</v>
      </c>
      <c r="O16" s="60">
        <v>0.2</v>
      </c>
      <c r="P16" s="59">
        <v>0.2</v>
      </c>
      <c r="Q16" s="60">
        <v>0.2</v>
      </c>
      <c r="R16" s="60">
        <v>0.2</v>
      </c>
      <c r="S16" s="59">
        <v>0.2</v>
      </c>
      <c r="T16" s="60">
        <v>0.2</v>
      </c>
      <c r="U16" s="60">
        <v>0.2</v>
      </c>
      <c r="V16" s="59">
        <v>0.2</v>
      </c>
      <c r="W16" s="60">
        <v>0.2</v>
      </c>
      <c r="X16" s="60">
        <v>0.2</v>
      </c>
      <c r="Y16" s="59">
        <v>0.2</v>
      </c>
      <c r="Z16" s="60">
        <v>0.2</v>
      </c>
      <c r="AA16" s="60">
        <v>0.2</v>
      </c>
      <c r="AB16" s="59"/>
      <c r="AC16" s="60">
        <v>0.2</v>
      </c>
      <c r="AD16" s="60"/>
      <c r="AE16" s="59"/>
      <c r="AF16" s="60">
        <v>0.2</v>
      </c>
      <c r="AG16" s="60"/>
      <c r="AH16" s="59"/>
      <c r="AI16" s="60"/>
      <c r="AJ16" s="60"/>
      <c r="AK16" s="59"/>
      <c r="AL16" s="60"/>
      <c r="AM16" s="60"/>
      <c r="AN16" s="61">
        <f t="shared" si="0"/>
        <v>4.2000000000000011</v>
      </c>
    </row>
    <row r="17" spans="2:40" ht="20.100000000000001" customHeight="1" x14ac:dyDescent="0.15">
      <c r="B17" s="782" t="s">
        <v>530</v>
      </c>
      <c r="C17" s="783" t="s">
        <v>530</v>
      </c>
      <c r="D17" s="59"/>
      <c r="E17" s="60"/>
      <c r="F17" s="60"/>
      <c r="G17" s="59"/>
      <c r="H17" s="60"/>
      <c r="I17" s="60"/>
      <c r="J17" s="59"/>
      <c r="K17" s="60"/>
      <c r="L17" s="60"/>
      <c r="M17" s="59"/>
      <c r="N17" s="60"/>
      <c r="O17" s="60"/>
      <c r="P17" s="59"/>
      <c r="Q17" s="60"/>
      <c r="R17" s="60"/>
      <c r="S17" s="59"/>
      <c r="T17" s="60"/>
      <c r="U17" s="60"/>
      <c r="V17" s="59"/>
      <c r="W17" s="60"/>
      <c r="X17" s="60">
        <v>24</v>
      </c>
      <c r="Y17" s="59">
        <v>28</v>
      </c>
      <c r="Z17" s="60">
        <v>24</v>
      </c>
      <c r="AA17" s="60">
        <v>4</v>
      </c>
      <c r="AB17" s="59"/>
      <c r="AC17" s="60"/>
      <c r="AD17" s="60"/>
      <c r="AE17" s="59"/>
      <c r="AF17" s="60"/>
      <c r="AG17" s="60"/>
      <c r="AH17" s="59"/>
      <c r="AI17" s="60"/>
      <c r="AJ17" s="60"/>
      <c r="AK17" s="59"/>
      <c r="AL17" s="60"/>
      <c r="AM17" s="60"/>
      <c r="AN17" s="61">
        <f t="shared" si="0"/>
        <v>80</v>
      </c>
    </row>
    <row r="18" spans="2:40" ht="20.100000000000001" customHeight="1" x14ac:dyDescent="0.15">
      <c r="B18" s="782" t="s">
        <v>531</v>
      </c>
      <c r="C18" s="783" t="s">
        <v>531</v>
      </c>
      <c r="D18" s="59"/>
      <c r="E18" s="60"/>
      <c r="F18" s="60"/>
      <c r="G18" s="59"/>
      <c r="H18" s="60"/>
      <c r="I18" s="60"/>
      <c r="J18" s="59"/>
      <c r="K18" s="60"/>
      <c r="L18" s="60"/>
      <c r="M18" s="59"/>
      <c r="N18" s="60"/>
      <c r="O18" s="60"/>
      <c r="P18" s="59"/>
      <c r="Q18" s="60"/>
      <c r="R18" s="60"/>
      <c r="S18" s="59"/>
      <c r="T18" s="60"/>
      <c r="U18" s="60"/>
      <c r="V18" s="59"/>
      <c r="W18" s="60"/>
      <c r="X18" s="60"/>
      <c r="Y18" s="59"/>
      <c r="Z18" s="60"/>
      <c r="AA18" s="60"/>
      <c r="AB18" s="59"/>
      <c r="AC18" s="60"/>
      <c r="AD18" s="60"/>
      <c r="AE18" s="59"/>
      <c r="AF18" s="60"/>
      <c r="AG18" s="60">
        <v>2</v>
      </c>
      <c r="AH18" s="59">
        <v>4</v>
      </c>
      <c r="AI18" s="60">
        <v>4</v>
      </c>
      <c r="AJ18" s="60">
        <v>2</v>
      </c>
      <c r="AK18" s="59"/>
      <c r="AL18" s="60"/>
      <c r="AM18" s="60"/>
      <c r="AN18" s="61">
        <f t="shared" si="0"/>
        <v>12</v>
      </c>
    </row>
    <row r="19" spans="2:40" ht="20.100000000000001" customHeight="1" x14ac:dyDescent="0.15">
      <c r="B19" s="782" t="s">
        <v>532</v>
      </c>
      <c r="C19" s="783" t="s">
        <v>532</v>
      </c>
      <c r="D19" s="59"/>
      <c r="E19" s="60"/>
      <c r="F19" s="60"/>
      <c r="G19" s="59">
        <v>26</v>
      </c>
      <c r="H19" s="60">
        <v>26</v>
      </c>
      <c r="I19" s="60">
        <v>12</v>
      </c>
      <c r="J19" s="59"/>
      <c r="K19" s="60"/>
      <c r="L19" s="60"/>
      <c r="M19" s="59"/>
      <c r="N19" s="60"/>
      <c r="O19" s="60"/>
      <c r="P19" s="59"/>
      <c r="Q19" s="60">
        <v>8</v>
      </c>
      <c r="R19" s="60"/>
      <c r="S19" s="59">
        <v>8</v>
      </c>
      <c r="T19" s="60"/>
      <c r="U19" s="60"/>
      <c r="V19" s="59"/>
      <c r="W19" s="60">
        <v>8</v>
      </c>
      <c r="X19" s="60">
        <v>8</v>
      </c>
      <c r="Y19" s="59"/>
      <c r="Z19" s="60"/>
      <c r="AA19" s="60"/>
      <c r="AB19" s="59"/>
      <c r="AC19" s="60"/>
      <c r="AD19" s="60"/>
      <c r="AE19" s="59"/>
      <c r="AF19" s="60"/>
      <c r="AG19" s="60"/>
      <c r="AH19" s="59"/>
      <c r="AI19" s="60"/>
      <c r="AJ19" s="60"/>
      <c r="AK19" s="59"/>
      <c r="AL19" s="60"/>
      <c r="AM19" s="60"/>
      <c r="AN19" s="61">
        <f t="shared" si="0"/>
        <v>96</v>
      </c>
    </row>
    <row r="20" spans="2:40" ht="20.100000000000001" customHeight="1" x14ac:dyDescent="0.15">
      <c r="B20" s="782" t="s">
        <v>533</v>
      </c>
      <c r="C20" s="783" t="s">
        <v>533</v>
      </c>
      <c r="D20" s="59"/>
      <c r="E20" s="60"/>
      <c r="F20" s="60">
        <v>4</v>
      </c>
      <c r="G20" s="59">
        <v>4</v>
      </c>
      <c r="H20" s="60"/>
      <c r="I20" s="60"/>
      <c r="J20" s="59"/>
      <c r="K20" s="60"/>
      <c r="L20" s="60"/>
      <c r="M20" s="59"/>
      <c r="N20" s="60"/>
      <c r="O20" s="60"/>
      <c r="P20" s="59"/>
      <c r="Q20" s="60"/>
      <c r="R20" s="60"/>
      <c r="S20" s="59"/>
      <c r="T20" s="60"/>
      <c r="U20" s="60"/>
      <c r="V20" s="59"/>
      <c r="W20" s="60"/>
      <c r="X20" s="60"/>
      <c r="Y20" s="59"/>
      <c r="Z20" s="60"/>
      <c r="AA20" s="60"/>
      <c r="AB20" s="59"/>
      <c r="AC20" s="60"/>
      <c r="AD20" s="60"/>
      <c r="AE20" s="59"/>
      <c r="AF20" s="60"/>
      <c r="AG20" s="60"/>
      <c r="AH20" s="59"/>
      <c r="AI20" s="60"/>
      <c r="AJ20" s="60"/>
      <c r="AK20" s="59">
        <v>4</v>
      </c>
      <c r="AL20" s="60"/>
      <c r="AM20" s="60"/>
      <c r="AN20" s="61">
        <f t="shared" si="0"/>
        <v>12</v>
      </c>
    </row>
    <row r="21" spans="2:40" ht="20.100000000000001" customHeight="1" x14ac:dyDescent="0.15">
      <c r="B21" s="782" t="s">
        <v>592</v>
      </c>
      <c r="C21" s="783"/>
      <c r="D21" s="59"/>
      <c r="E21" s="60"/>
      <c r="F21" s="60"/>
      <c r="G21" s="59"/>
      <c r="H21" s="60">
        <v>3</v>
      </c>
      <c r="I21" s="60">
        <v>3</v>
      </c>
      <c r="J21" s="59">
        <v>3</v>
      </c>
      <c r="K21" s="60">
        <v>3</v>
      </c>
      <c r="L21" s="60">
        <v>3</v>
      </c>
      <c r="M21" s="59">
        <v>3</v>
      </c>
      <c r="N21" s="60">
        <v>3</v>
      </c>
      <c r="O21" s="60">
        <v>3</v>
      </c>
      <c r="P21" s="59">
        <v>3</v>
      </c>
      <c r="Q21" s="60">
        <v>3</v>
      </c>
      <c r="R21" s="60">
        <v>3</v>
      </c>
      <c r="S21" s="59">
        <v>3</v>
      </c>
      <c r="T21" s="60"/>
      <c r="U21" s="60"/>
      <c r="V21" s="59"/>
      <c r="W21" s="60"/>
      <c r="X21" s="60"/>
      <c r="Y21" s="59"/>
      <c r="Z21" s="60"/>
      <c r="AA21" s="60"/>
      <c r="AB21" s="59"/>
      <c r="AC21" s="60"/>
      <c r="AD21" s="60"/>
      <c r="AE21" s="59"/>
      <c r="AF21" s="60"/>
      <c r="AG21" s="60"/>
      <c r="AH21" s="59"/>
      <c r="AI21" s="60"/>
      <c r="AJ21" s="60"/>
      <c r="AK21" s="59"/>
      <c r="AL21" s="60"/>
      <c r="AM21" s="60"/>
      <c r="AN21" s="61">
        <f t="shared" si="0"/>
        <v>36</v>
      </c>
    </row>
    <row r="22" spans="2:40" ht="20.100000000000001" customHeight="1" x14ac:dyDescent="0.15">
      <c r="B22" s="776" t="s">
        <v>100</v>
      </c>
      <c r="C22" s="777"/>
      <c r="D22" s="59">
        <f t="shared" ref="D22:AM22" si="1">SUM(D9:D21)</f>
        <v>2</v>
      </c>
      <c r="E22" s="62">
        <f t="shared" si="1"/>
        <v>2</v>
      </c>
      <c r="F22" s="63">
        <f t="shared" si="1"/>
        <v>4</v>
      </c>
      <c r="G22" s="59">
        <f t="shared" si="1"/>
        <v>30</v>
      </c>
      <c r="H22" s="62">
        <f t="shared" si="1"/>
        <v>29.5</v>
      </c>
      <c r="I22" s="63">
        <f t="shared" si="1"/>
        <v>16.7</v>
      </c>
      <c r="J22" s="59">
        <f t="shared" si="1"/>
        <v>3.2</v>
      </c>
      <c r="K22" s="62">
        <f t="shared" si="1"/>
        <v>5.7</v>
      </c>
      <c r="L22" s="63">
        <f t="shared" si="1"/>
        <v>5.7</v>
      </c>
      <c r="M22" s="59">
        <f t="shared" si="1"/>
        <v>6.7</v>
      </c>
      <c r="N22" s="62">
        <f t="shared" si="1"/>
        <v>37.700000000000003</v>
      </c>
      <c r="O22" s="63">
        <f t="shared" si="1"/>
        <v>13.2</v>
      </c>
      <c r="P22" s="59">
        <f t="shared" si="1"/>
        <v>13.7</v>
      </c>
      <c r="Q22" s="62">
        <f t="shared" si="1"/>
        <v>40.200000000000003</v>
      </c>
      <c r="R22" s="63">
        <f t="shared" si="1"/>
        <v>32.700000000000003</v>
      </c>
      <c r="S22" s="59">
        <f t="shared" si="1"/>
        <v>13.7</v>
      </c>
      <c r="T22" s="62">
        <f t="shared" si="1"/>
        <v>10.199999999999999</v>
      </c>
      <c r="U22" s="63">
        <f t="shared" si="1"/>
        <v>0.7</v>
      </c>
      <c r="V22" s="59">
        <f t="shared" si="1"/>
        <v>1.2</v>
      </c>
      <c r="W22" s="62">
        <f t="shared" si="1"/>
        <v>8.1999999999999993</v>
      </c>
      <c r="X22" s="63">
        <f t="shared" si="1"/>
        <v>32.200000000000003</v>
      </c>
      <c r="Y22" s="59">
        <f t="shared" si="1"/>
        <v>28.2</v>
      </c>
      <c r="Z22" s="62">
        <f t="shared" si="1"/>
        <v>24.2</v>
      </c>
      <c r="AA22" s="63">
        <f t="shared" si="1"/>
        <v>5.7</v>
      </c>
      <c r="AB22" s="59">
        <f t="shared" si="1"/>
        <v>0.5</v>
      </c>
      <c r="AC22" s="62">
        <f t="shared" si="1"/>
        <v>0.2</v>
      </c>
      <c r="AD22" s="63">
        <f t="shared" si="1"/>
        <v>1</v>
      </c>
      <c r="AE22" s="59">
        <f t="shared" si="1"/>
        <v>1.5</v>
      </c>
      <c r="AF22" s="62">
        <f t="shared" si="1"/>
        <v>0.2</v>
      </c>
      <c r="AG22" s="63">
        <f t="shared" si="1"/>
        <v>2</v>
      </c>
      <c r="AH22" s="59">
        <f t="shared" si="1"/>
        <v>4</v>
      </c>
      <c r="AI22" s="62">
        <f t="shared" si="1"/>
        <v>4</v>
      </c>
      <c r="AJ22" s="63">
        <f t="shared" si="1"/>
        <v>8</v>
      </c>
      <c r="AK22" s="59">
        <f t="shared" si="1"/>
        <v>10</v>
      </c>
      <c r="AL22" s="62">
        <f t="shared" si="1"/>
        <v>5.5</v>
      </c>
      <c r="AM22" s="63">
        <f t="shared" si="1"/>
        <v>0</v>
      </c>
      <c r="AN22" s="61">
        <f t="shared" si="0"/>
        <v>404.19999999999987</v>
      </c>
    </row>
    <row r="23" spans="2:40" ht="20.100000000000001" customHeight="1" thickBot="1" x14ac:dyDescent="0.2">
      <c r="B23" s="778" t="s">
        <v>101</v>
      </c>
      <c r="C23" s="779"/>
      <c r="D23" s="64"/>
      <c r="E23" s="65">
        <f>SUM(D22:F22)</f>
        <v>8</v>
      </c>
      <c r="F23" s="65"/>
      <c r="G23" s="64"/>
      <c r="H23" s="65">
        <f>SUM(G22:I22)</f>
        <v>76.2</v>
      </c>
      <c r="I23" s="65"/>
      <c r="J23" s="64"/>
      <c r="K23" s="65">
        <f>SUM(J22:L22)</f>
        <v>14.600000000000001</v>
      </c>
      <c r="L23" s="65"/>
      <c r="M23" s="64"/>
      <c r="N23" s="65">
        <f>SUM(M22:O22)</f>
        <v>57.600000000000009</v>
      </c>
      <c r="O23" s="65"/>
      <c r="P23" s="64"/>
      <c r="Q23" s="65">
        <f>SUM(P22:R22)</f>
        <v>86.600000000000009</v>
      </c>
      <c r="R23" s="65"/>
      <c r="S23" s="64"/>
      <c r="T23" s="65">
        <f>SUM(S22:U22)</f>
        <v>24.599999999999998</v>
      </c>
      <c r="U23" s="65"/>
      <c r="V23" s="64"/>
      <c r="W23" s="65">
        <f>SUM(V22:X22)</f>
        <v>41.6</v>
      </c>
      <c r="X23" s="65"/>
      <c r="Y23" s="64"/>
      <c r="Z23" s="65">
        <f>SUM(Y22:AA22)</f>
        <v>58.1</v>
      </c>
      <c r="AA23" s="65"/>
      <c r="AB23" s="64"/>
      <c r="AC23" s="65">
        <f>SUM(AB22:AD22)</f>
        <v>1.7</v>
      </c>
      <c r="AD23" s="65"/>
      <c r="AE23" s="64"/>
      <c r="AF23" s="65">
        <f>SUM(AE22:AG22)</f>
        <v>3.7</v>
      </c>
      <c r="AG23" s="65"/>
      <c r="AH23" s="64"/>
      <c r="AI23" s="65">
        <f>SUM(AH22:AJ22)</f>
        <v>16</v>
      </c>
      <c r="AJ23" s="65"/>
      <c r="AK23" s="64"/>
      <c r="AL23" s="65">
        <f>SUM(AK22:AM22)</f>
        <v>15.5</v>
      </c>
      <c r="AM23" s="65"/>
      <c r="AN23" s="66">
        <f>SUM(AN9:AN21)</f>
        <v>404.2</v>
      </c>
    </row>
    <row r="24" spans="2:40" ht="9.9499999999999993" customHeight="1" x14ac:dyDescent="0.15"/>
    <row r="25" spans="2:40" ht="24.95" customHeight="1" x14ac:dyDescent="0.15">
      <c r="B25" s="4" t="s">
        <v>197</v>
      </c>
    </row>
    <row r="26" spans="2:40" ht="9.9499999999999993" customHeight="1" thickBot="1" x14ac:dyDescent="0.2"/>
    <row r="27" spans="2:40" ht="20.100000000000001" customHeight="1" thickBot="1" x14ac:dyDescent="0.2">
      <c r="B27" s="29" t="s">
        <v>194</v>
      </c>
      <c r="C27" s="224">
        <f>'４　経営収支'!H4</f>
        <v>10</v>
      </c>
      <c r="D27" s="29" t="s">
        <v>195</v>
      </c>
    </row>
    <row r="28" spans="2:40" ht="9.9499999999999993" customHeight="1" thickBot="1" x14ac:dyDescent="0.2"/>
    <row r="29" spans="2:40" ht="20.100000000000001" customHeight="1" x14ac:dyDescent="0.15">
      <c r="B29" s="774" t="s">
        <v>98</v>
      </c>
      <c r="C29" s="775"/>
      <c r="D29" s="762">
        <v>1</v>
      </c>
      <c r="E29" s="763"/>
      <c r="F29" s="764"/>
      <c r="G29" s="762">
        <v>2</v>
      </c>
      <c r="H29" s="763"/>
      <c r="I29" s="764"/>
      <c r="J29" s="762">
        <v>3</v>
      </c>
      <c r="K29" s="763"/>
      <c r="L29" s="764"/>
      <c r="M29" s="762">
        <v>4</v>
      </c>
      <c r="N29" s="763"/>
      <c r="O29" s="764"/>
      <c r="P29" s="762">
        <v>5</v>
      </c>
      <c r="Q29" s="763"/>
      <c r="R29" s="764"/>
      <c r="S29" s="762">
        <v>6</v>
      </c>
      <c r="T29" s="763"/>
      <c r="U29" s="764"/>
      <c r="V29" s="762">
        <v>7</v>
      </c>
      <c r="W29" s="763"/>
      <c r="X29" s="764"/>
      <c r="Y29" s="762">
        <v>8</v>
      </c>
      <c r="Z29" s="763"/>
      <c r="AA29" s="764"/>
      <c r="AB29" s="762">
        <v>9</v>
      </c>
      <c r="AC29" s="763"/>
      <c r="AD29" s="764"/>
      <c r="AE29" s="762">
        <v>10</v>
      </c>
      <c r="AF29" s="763"/>
      <c r="AG29" s="764"/>
      <c r="AH29" s="762">
        <v>11</v>
      </c>
      <c r="AI29" s="763"/>
      <c r="AJ29" s="764"/>
      <c r="AK29" s="762">
        <v>12</v>
      </c>
      <c r="AL29" s="763"/>
      <c r="AM29" s="764"/>
      <c r="AN29" s="765" t="s">
        <v>30</v>
      </c>
    </row>
    <row r="30" spans="2:40" ht="20.100000000000001" customHeight="1" x14ac:dyDescent="0.15">
      <c r="B30" s="767"/>
      <c r="C30" s="768"/>
      <c r="D30" s="50" t="s">
        <v>31</v>
      </c>
      <c r="E30" s="51" t="s">
        <v>32</v>
      </c>
      <c r="F30" s="52" t="s">
        <v>33</v>
      </c>
      <c r="G30" s="50" t="s">
        <v>31</v>
      </c>
      <c r="H30" s="52" t="s">
        <v>32</v>
      </c>
      <c r="I30" s="52" t="s">
        <v>33</v>
      </c>
      <c r="J30" s="50" t="s">
        <v>31</v>
      </c>
      <c r="K30" s="52" t="s">
        <v>32</v>
      </c>
      <c r="L30" s="52" t="s">
        <v>33</v>
      </c>
      <c r="M30" s="50" t="s">
        <v>31</v>
      </c>
      <c r="N30" s="52" t="s">
        <v>32</v>
      </c>
      <c r="O30" s="52" t="s">
        <v>33</v>
      </c>
      <c r="P30" s="50" t="s">
        <v>31</v>
      </c>
      <c r="Q30" s="52" t="s">
        <v>32</v>
      </c>
      <c r="R30" s="52" t="s">
        <v>33</v>
      </c>
      <c r="S30" s="50" t="s">
        <v>31</v>
      </c>
      <c r="T30" s="53" t="s">
        <v>32</v>
      </c>
      <c r="U30" s="53" t="s">
        <v>33</v>
      </c>
      <c r="V30" s="50" t="s">
        <v>31</v>
      </c>
      <c r="W30" s="52" t="s">
        <v>32</v>
      </c>
      <c r="X30" s="52" t="s">
        <v>33</v>
      </c>
      <c r="Y30" s="50" t="s">
        <v>31</v>
      </c>
      <c r="Z30" s="52" t="s">
        <v>32</v>
      </c>
      <c r="AA30" s="52" t="s">
        <v>33</v>
      </c>
      <c r="AB30" s="50" t="s">
        <v>31</v>
      </c>
      <c r="AC30" s="52" t="s">
        <v>32</v>
      </c>
      <c r="AD30" s="52" t="s">
        <v>33</v>
      </c>
      <c r="AE30" s="50" t="s">
        <v>31</v>
      </c>
      <c r="AF30" s="52" t="s">
        <v>32</v>
      </c>
      <c r="AG30" s="52" t="s">
        <v>33</v>
      </c>
      <c r="AH30" s="50" t="s">
        <v>31</v>
      </c>
      <c r="AI30" s="52" t="s">
        <v>32</v>
      </c>
      <c r="AJ30" s="52" t="s">
        <v>33</v>
      </c>
      <c r="AK30" s="50" t="s">
        <v>31</v>
      </c>
      <c r="AL30" s="52" t="s">
        <v>32</v>
      </c>
      <c r="AM30" s="52" t="s">
        <v>33</v>
      </c>
      <c r="AN30" s="766"/>
    </row>
    <row r="31" spans="2:40" ht="20.100000000000001" customHeight="1" x14ac:dyDescent="0.15">
      <c r="B31" s="767" t="s">
        <v>202</v>
      </c>
      <c r="C31" s="768"/>
      <c r="D31" s="59">
        <f>D22*$C$27/10</f>
        <v>2</v>
      </c>
      <c r="E31" s="62">
        <f t="shared" ref="E31:AM31" si="2">E22*$C$27/10</f>
        <v>2</v>
      </c>
      <c r="F31" s="63">
        <f t="shared" si="2"/>
        <v>4</v>
      </c>
      <c r="G31" s="59">
        <f t="shared" si="2"/>
        <v>30</v>
      </c>
      <c r="H31" s="62">
        <f t="shared" si="2"/>
        <v>29.5</v>
      </c>
      <c r="I31" s="63">
        <f t="shared" si="2"/>
        <v>16.7</v>
      </c>
      <c r="J31" s="59">
        <f t="shared" si="2"/>
        <v>3.2</v>
      </c>
      <c r="K31" s="62">
        <f t="shared" si="2"/>
        <v>5.7</v>
      </c>
      <c r="L31" s="63">
        <f t="shared" si="2"/>
        <v>5.7</v>
      </c>
      <c r="M31" s="59">
        <f t="shared" si="2"/>
        <v>6.7</v>
      </c>
      <c r="N31" s="62">
        <f t="shared" si="2"/>
        <v>37.700000000000003</v>
      </c>
      <c r="O31" s="63">
        <f t="shared" si="2"/>
        <v>13.2</v>
      </c>
      <c r="P31" s="59">
        <f t="shared" si="2"/>
        <v>13.7</v>
      </c>
      <c r="Q31" s="62">
        <f t="shared" si="2"/>
        <v>40.200000000000003</v>
      </c>
      <c r="R31" s="63">
        <f t="shared" si="2"/>
        <v>32.700000000000003</v>
      </c>
      <c r="S31" s="59">
        <f t="shared" si="2"/>
        <v>13.7</v>
      </c>
      <c r="T31" s="62">
        <f t="shared" si="2"/>
        <v>10.199999999999999</v>
      </c>
      <c r="U31" s="63">
        <f t="shared" si="2"/>
        <v>0.7</v>
      </c>
      <c r="V31" s="59">
        <f t="shared" si="2"/>
        <v>1.2</v>
      </c>
      <c r="W31" s="62">
        <f t="shared" si="2"/>
        <v>8.1999999999999993</v>
      </c>
      <c r="X31" s="63">
        <f t="shared" si="2"/>
        <v>32.200000000000003</v>
      </c>
      <c r="Y31" s="59">
        <f t="shared" si="2"/>
        <v>28.2</v>
      </c>
      <c r="Z31" s="62">
        <f t="shared" si="2"/>
        <v>24.2</v>
      </c>
      <c r="AA31" s="63">
        <f t="shared" si="2"/>
        <v>5.7</v>
      </c>
      <c r="AB31" s="59">
        <f t="shared" si="2"/>
        <v>0.5</v>
      </c>
      <c r="AC31" s="62">
        <f t="shared" si="2"/>
        <v>0.2</v>
      </c>
      <c r="AD31" s="63">
        <f t="shared" si="2"/>
        <v>1</v>
      </c>
      <c r="AE31" s="59">
        <f t="shared" si="2"/>
        <v>1.5</v>
      </c>
      <c r="AF31" s="62">
        <f t="shared" si="2"/>
        <v>0.2</v>
      </c>
      <c r="AG31" s="63">
        <f t="shared" si="2"/>
        <v>2</v>
      </c>
      <c r="AH31" s="59">
        <f t="shared" si="2"/>
        <v>4</v>
      </c>
      <c r="AI31" s="62">
        <f t="shared" si="2"/>
        <v>4</v>
      </c>
      <c r="AJ31" s="63">
        <f t="shared" si="2"/>
        <v>8</v>
      </c>
      <c r="AK31" s="59">
        <f t="shared" si="2"/>
        <v>10</v>
      </c>
      <c r="AL31" s="62">
        <f t="shared" si="2"/>
        <v>5.5</v>
      </c>
      <c r="AM31" s="63">
        <f t="shared" si="2"/>
        <v>0</v>
      </c>
      <c r="AN31" s="61">
        <f t="shared" ref="AN31:AN35" si="3">SUM(D31:AM31)</f>
        <v>404.19999999999987</v>
      </c>
    </row>
    <row r="32" spans="2:40" ht="20.100000000000001" customHeight="1" thickBot="1" x14ac:dyDescent="0.2">
      <c r="B32" s="769" t="s">
        <v>101</v>
      </c>
      <c r="C32" s="770"/>
      <c r="D32" s="226"/>
      <c r="E32" s="223">
        <f>SUM(D31:F31)</f>
        <v>8</v>
      </c>
      <c r="F32" s="223"/>
      <c r="G32" s="226"/>
      <c r="H32" s="223">
        <f>SUM(G31:I31)</f>
        <v>76.2</v>
      </c>
      <c r="I32" s="223"/>
      <c r="J32" s="226"/>
      <c r="K32" s="223">
        <f>SUM(J31:L31)</f>
        <v>14.600000000000001</v>
      </c>
      <c r="L32" s="223"/>
      <c r="M32" s="226"/>
      <c r="N32" s="223">
        <f>SUM(M31:O31)</f>
        <v>57.600000000000009</v>
      </c>
      <c r="O32" s="223"/>
      <c r="P32" s="226"/>
      <c r="Q32" s="223">
        <f>SUM(P31:R31)</f>
        <v>86.600000000000009</v>
      </c>
      <c r="R32" s="223"/>
      <c r="S32" s="226"/>
      <c r="T32" s="223">
        <f>SUM(S31:U31)</f>
        <v>24.599999999999998</v>
      </c>
      <c r="U32" s="223"/>
      <c r="V32" s="226"/>
      <c r="W32" s="223">
        <f>SUM(V31:X31)</f>
        <v>41.6</v>
      </c>
      <c r="X32" s="223"/>
      <c r="Y32" s="226"/>
      <c r="Z32" s="223">
        <f>SUM(Y31:AA31)</f>
        <v>58.1</v>
      </c>
      <c r="AA32" s="223"/>
      <c r="AB32" s="226"/>
      <c r="AC32" s="223">
        <f>SUM(AB31:AD31)</f>
        <v>1.7</v>
      </c>
      <c r="AD32" s="223"/>
      <c r="AE32" s="226"/>
      <c r="AF32" s="223">
        <f>SUM(AE31:AG31)</f>
        <v>3.7</v>
      </c>
      <c r="AG32" s="223"/>
      <c r="AH32" s="226"/>
      <c r="AI32" s="223">
        <f>SUM(AH31:AJ31)</f>
        <v>16</v>
      </c>
      <c r="AJ32" s="223"/>
      <c r="AK32" s="226"/>
      <c r="AL32" s="223">
        <f>SUM(AK31:AM31)</f>
        <v>15.5</v>
      </c>
      <c r="AM32" s="223"/>
      <c r="AN32" s="227">
        <f t="shared" si="3"/>
        <v>404.2000000000001</v>
      </c>
    </row>
    <row r="33" spans="2:40" ht="20.100000000000001" customHeight="1" thickTop="1" x14ac:dyDescent="0.15">
      <c r="B33" s="771" t="s">
        <v>200</v>
      </c>
      <c r="C33" s="569" t="s">
        <v>198</v>
      </c>
      <c r="D33" s="228">
        <v>60</v>
      </c>
      <c r="E33" s="229">
        <v>60</v>
      </c>
      <c r="F33" s="229">
        <v>60</v>
      </c>
      <c r="G33" s="228">
        <v>60</v>
      </c>
      <c r="H33" s="229">
        <v>60</v>
      </c>
      <c r="I33" s="229">
        <v>60</v>
      </c>
      <c r="J33" s="228">
        <v>60</v>
      </c>
      <c r="K33" s="229">
        <v>60</v>
      </c>
      <c r="L33" s="229">
        <v>60</v>
      </c>
      <c r="M33" s="228">
        <v>60</v>
      </c>
      <c r="N33" s="229">
        <v>60</v>
      </c>
      <c r="O33" s="229">
        <v>60</v>
      </c>
      <c r="P33" s="228">
        <v>60</v>
      </c>
      <c r="Q33" s="229">
        <v>60</v>
      </c>
      <c r="R33" s="229">
        <v>60</v>
      </c>
      <c r="S33" s="228">
        <v>60</v>
      </c>
      <c r="T33" s="229">
        <v>60</v>
      </c>
      <c r="U33" s="229">
        <v>60</v>
      </c>
      <c r="V33" s="228">
        <v>60</v>
      </c>
      <c r="W33" s="229">
        <v>60</v>
      </c>
      <c r="X33" s="229">
        <v>60</v>
      </c>
      <c r="Y33" s="228">
        <v>60</v>
      </c>
      <c r="Z33" s="229">
        <v>60</v>
      </c>
      <c r="AA33" s="229">
        <v>60</v>
      </c>
      <c r="AB33" s="228">
        <v>60</v>
      </c>
      <c r="AC33" s="229">
        <v>60</v>
      </c>
      <c r="AD33" s="229">
        <v>60</v>
      </c>
      <c r="AE33" s="228">
        <v>60</v>
      </c>
      <c r="AF33" s="229">
        <v>60</v>
      </c>
      <c r="AG33" s="229">
        <v>60</v>
      </c>
      <c r="AH33" s="228">
        <v>60</v>
      </c>
      <c r="AI33" s="229">
        <v>60</v>
      </c>
      <c r="AJ33" s="229">
        <v>60</v>
      </c>
      <c r="AK33" s="228">
        <v>60</v>
      </c>
      <c r="AL33" s="229">
        <v>60</v>
      </c>
      <c r="AM33" s="229">
        <v>60</v>
      </c>
      <c r="AN33" s="230">
        <f t="shared" si="3"/>
        <v>2160</v>
      </c>
    </row>
    <row r="34" spans="2:40" ht="20.100000000000001" customHeight="1" x14ac:dyDescent="0.15">
      <c r="B34" s="772"/>
      <c r="C34" s="225" t="s">
        <v>199</v>
      </c>
      <c r="D34" s="231">
        <v>50</v>
      </c>
      <c r="E34" s="60">
        <v>50</v>
      </c>
      <c r="F34" s="60">
        <v>50</v>
      </c>
      <c r="G34" s="231">
        <v>50</v>
      </c>
      <c r="H34" s="60">
        <v>50</v>
      </c>
      <c r="I34" s="60">
        <v>50</v>
      </c>
      <c r="J34" s="231">
        <v>50</v>
      </c>
      <c r="K34" s="60">
        <v>50</v>
      </c>
      <c r="L34" s="60">
        <v>50</v>
      </c>
      <c r="M34" s="231">
        <v>50</v>
      </c>
      <c r="N34" s="60">
        <v>50</v>
      </c>
      <c r="O34" s="60">
        <v>50</v>
      </c>
      <c r="P34" s="231">
        <v>50</v>
      </c>
      <c r="Q34" s="60">
        <v>50</v>
      </c>
      <c r="R34" s="60">
        <v>50</v>
      </c>
      <c r="S34" s="231">
        <v>50</v>
      </c>
      <c r="T34" s="60">
        <v>50</v>
      </c>
      <c r="U34" s="60">
        <v>50</v>
      </c>
      <c r="V34" s="231">
        <v>50</v>
      </c>
      <c r="W34" s="60">
        <v>50</v>
      </c>
      <c r="X34" s="60">
        <v>50</v>
      </c>
      <c r="Y34" s="231">
        <v>50</v>
      </c>
      <c r="Z34" s="60">
        <v>50</v>
      </c>
      <c r="AA34" s="60">
        <v>50</v>
      </c>
      <c r="AB34" s="231">
        <v>50</v>
      </c>
      <c r="AC34" s="60">
        <v>50</v>
      </c>
      <c r="AD34" s="60">
        <v>50</v>
      </c>
      <c r="AE34" s="231">
        <v>50</v>
      </c>
      <c r="AF34" s="60">
        <v>50</v>
      </c>
      <c r="AG34" s="60">
        <v>50</v>
      </c>
      <c r="AH34" s="231">
        <v>50</v>
      </c>
      <c r="AI34" s="60">
        <v>50</v>
      </c>
      <c r="AJ34" s="60">
        <v>50</v>
      </c>
      <c r="AK34" s="231">
        <v>50</v>
      </c>
      <c r="AL34" s="60">
        <v>50</v>
      </c>
      <c r="AM34" s="60">
        <v>50</v>
      </c>
      <c r="AN34" s="61">
        <f t="shared" si="3"/>
        <v>1800</v>
      </c>
    </row>
    <row r="35" spans="2:40" ht="20.100000000000001" customHeight="1" x14ac:dyDescent="0.15">
      <c r="B35" s="772"/>
      <c r="C35" s="225" t="s">
        <v>205</v>
      </c>
      <c r="D35" s="231">
        <v>25</v>
      </c>
      <c r="E35" s="60">
        <v>25</v>
      </c>
      <c r="F35" s="60">
        <v>25</v>
      </c>
      <c r="G35" s="231">
        <v>25</v>
      </c>
      <c r="H35" s="60">
        <v>25</v>
      </c>
      <c r="I35" s="60">
        <v>25</v>
      </c>
      <c r="J35" s="231">
        <v>25</v>
      </c>
      <c r="K35" s="60">
        <v>25</v>
      </c>
      <c r="L35" s="60">
        <v>25</v>
      </c>
      <c r="M35" s="231">
        <v>25</v>
      </c>
      <c r="N35" s="60">
        <v>25</v>
      </c>
      <c r="O35" s="60">
        <v>25</v>
      </c>
      <c r="P35" s="231">
        <v>25</v>
      </c>
      <c r="Q35" s="60">
        <v>25</v>
      </c>
      <c r="R35" s="60">
        <v>25</v>
      </c>
      <c r="S35" s="231">
        <v>25</v>
      </c>
      <c r="T35" s="60">
        <v>25</v>
      </c>
      <c r="U35" s="60">
        <v>25</v>
      </c>
      <c r="V35" s="231">
        <v>25</v>
      </c>
      <c r="W35" s="60">
        <v>25</v>
      </c>
      <c r="X35" s="60">
        <v>25</v>
      </c>
      <c r="Y35" s="231">
        <v>25</v>
      </c>
      <c r="Z35" s="60">
        <v>25</v>
      </c>
      <c r="AA35" s="60">
        <v>25</v>
      </c>
      <c r="AB35" s="231">
        <v>25</v>
      </c>
      <c r="AC35" s="60">
        <v>25</v>
      </c>
      <c r="AD35" s="60">
        <v>25</v>
      </c>
      <c r="AE35" s="231">
        <v>25</v>
      </c>
      <c r="AF35" s="60">
        <v>25</v>
      </c>
      <c r="AG35" s="60">
        <v>25</v>
      </c>
      <c r="AH35" s="231">
        <v>25</v>
      </c>
      <c r="AI35" s="60">
        <v>25</v>
      </c>
      <c r="AJ35" s="60">
        <v>25</v>
      </c>
      <c r="AK35" s="231">
        <v>25</v>
      </c>
      <c r="AL35" s="60">
        <v>25</v>
      </c>
      <c r="AM35" s="60">
        <v>25</v>
      </c>
      <c r="AN35" s="61">
        <f t="shared" si="3"/>
        <v>900</v>
      </c>
    </row>
    <row r="36" spans="2:40" ht="20.100000000000001" customHeight="1" x14ac:dyDescent="0.15">
      <c r="B36" s="772"/>
      <c r="C36" s="225"/>
      <c r="D36" s="231"/>
      <c r="E36" s="60"/>
      <c r="F36" s="60"/>
      <c r="G36" s="231"/>
      <c r="H36" s="60"/>
      <c r="I36" s="60"/>
      <c r="J36" s="231"/>
      <c r="K36" s="60"/>
      <c r="L36" s="60"/>
      <c r="M36" s="231"/>
      <c r="N36" s="60"/>
      <c r="O36" s="60"/>
      <c r="P36" s="231"/>
      <c r="Q36" s="60"/>
      <c r="R36" s="60"/>
      <c r="S36" s="231"/>
      <c r="T36" s="60"/>
      <c r="U36" s="60"/>
      <c r="V36" s="231"/>
      <c r="W36" s="60"/>
      <c r="X36" s="60"/>
      <c r="Y36" s="231"/>
      <c r="Z36" s="60"/>
      <c r="AA36" s="60"/>
      <c r="AB36" s="231"/>
      <c r="AC36" s="60"/>
      <c r="AD36" s="60"/>
      <c r="AE36" s="231"/>
      <c r="AF36" s="60"/>
      <c r="AG36" s="60"/>
      <c r="AH36" s="231"/>
      <c r="AI36" s="60"/>
      <c r="AJ36" s="60"/>
      <c r="AK36" s="231"/>
      <c r="AL36" s="60"/>
      <c r="AM36" s="60"/>
      <c r="AN36" s="61">
        <f t="shared" ref="AN36:AN39" si="4">SUM(D36:AM36)</f>
        <v>0</v>
      </c>
    </row>
    <row r="37" spans="2:40" ht="20.100000000000001" customHeight="1" thickBot="1" x14ac:dyDescent="0.2">
      <c r="B37" s="773"/>
      <c r="C37" s="570" t="s">
        <v>203</v>
      </c>
      <c r="D37" s="232">
        <f>SUM(D33:D36)</f>
        <v>135</v>
      </c>
      <c r="E37" s="233">
        <f t="shared" ref="E37:AM37" si="5">SUM(E33:E36)</f>
        <v>135</v>
      </c>
      <c r="F37" s="233">
        <f t="shared" si="5"/>
        <v>135</v>
      </c>
      <c r="G37" s="232">
        <f t="shared" si="5"/>
        <v>135</v>
      </c>
      <c r="H37" s="233">
        <f t="shared" si="5"/>
        <v>135</v>
      </c>
      <c r="I37" s="233">
        <f t="shared" si="5"/>
        <v>135</v>
      </c>
      <c r="J37" s="232">
        <f t="shared" si="5"/>
        <v>135</v>
      </c>
      <c r="K37" s="233">
        <f t="shared" si="5"/>
        <v>135</v>
      </c>
      <c r="L37" s="233">
        <f t="shared" si="5"/>
        <v>135</v>
      </c>
      <c r="M37" s="232">
        <f t="shared" si="5"/>
        <v>135</v>
      </c>
      <c r="N37" s="233">
        <f t="shared" si="5"/>
        <v>135</v>
      </c>
      <c r="O37" s="233">
        <f t="shared" si="5"/>
        <v>135</v>
      </c>
      <c r="P37" s="232">
        <f t="shared" si="5"/>
        <v>135</v>
      </c>
      <c r="Q37" s="233">
        <f t="shared" si="5"/>
        <v>135</v>
      </c>
      <c r="R37" s="233">
        <f t="shared" si="5"/>
        <v>135</v>
      </c>
      <c r="S37" s="232">
        <f t="shared" si="5"/>
        <v>135</v>
      </c>
      <c r="T37" s="233">
        <f t="shared" si="5"/>
        <v>135</v>
      </c>
      <c r="U37" s="233">
        <f t="shared" si="5"/>
        <v>135</v>
      </c>
      <c r="V37" s="232">
        <f t="shared" si="5"/>
        <v>135</v>
      </c>
      <c r="W37" s="233">
        <f t="shared" si="5"/>
        <v>135</v>
      </c>
      <c r="X37" s="233">
        <f t="shared" si="5"/>
        <v>135</v>
      </c>
      <c r="Y37" s="232">
        <f t="shared" si="5"/>
        <v>135</v>
      </c>
      <c r="Z37" s="233">
        <f t="shared" si="5"/>
        <v>135</v>
      </c>
      <c r="AA37" s="233">
        <f t="shared" si="5"/>
        <v>135</v>
      </c>
      <c r="AB37" s="232">
        <f t="shared" si="5"/>
        <v>135</v>
      </c>
      <c r="AC37" s="233">
        <f t="shared" si="5"/>
        <v>135</v>
      </c>
      <c r="AD37" s="233">
        <f t="shared" si="5"/>
        <v>135</v>
      </c>
      <c r="AE37" s="232">
        <f t="shared" si="5"/>
        <v>135</v>
      </c>
      <c r="AF37" s="233">
        <f t="shared" si="5"/>
        <v>135</v>
      </c>
      <c r="AG37" s="233">
        <f t="shared" si="5"/>
        <v>135</v>
      </c>
      <c r="AH37" s="232">
        <f t="shared" si="5"/>
        <v>135</v>
      </c>
      <c r="AI37" s="233">
        <f t="shared" si="5"/>
        <v>135</v>
      </c>
      <c r="AJ37" s="233">
        <f t="shared" si="5"/>
        <v>135</v>
      </c>
      <c r="AK37" s="232">
        <f t="shared" si="5"/>
        <v>135</v>
      </c>
      <c r="AL37" s="233">
        <f t="shared" si="5"/>
        <v>135</v>
      </c>
      <c r="AM37" s="233">
        <f t="shared" si="5"/>
        <v>135</v>
      </c>
      <c r="AN37" s="234">
        <f t="shared" si="4"/>
        <v>4860</v>
      </c>
    </row>
    <row r="38" spans="2:40" ht="20.100000000000001" customHeight="1" thickTop="1" x14ac:dyDescent="0.15">
      <c r="B38" s="780" t="s">
        <v>204</v>
      </c>
      <c r="C38" s="781"/>
      <c r="D38" s="238">
        <f>D37-D31</f>
        <v>133</v>
      </c>
      <c r="E38" s="239">
        <f t="shared" ref="E38:AM38" si="6">E37-E31</f>
        <v>133</v>
      </c>
      <c r="F38" s="239">
        <f t="shared" si="6"/>
        <v>131</v>
      </c>
      <c r="G38" s="238">
        <f t="shared" si="6"/>
        <v>105</v>
      </c>
      <c r="H38" s="239">
        <f t="shared" si="6"/>
        <v>105.5</v>
      </c>
      <c r="I38" s="239">
        <f t="shared" si="6"/>
        <v>118.3</v>
      </c>
      <c r="J38" s="238">
        <f t="shared" si="6"/>
        <v>131.80000000000001</v>
      </c>
      <c r="K38" s="239">
        <f t="shared" si="6"/>
        <v>129.30000000000001</v>
      </c>
      <c r="L38" s="239">
        <f t="shared" si="6"/>
        <v>129.30000000000001</v>
      </c>
      <c r="M38" s="238">
        <f t="shared" si="6"/>
        <v>128.30000000000001</v>
      </c>
      <c r="N38" s="239">
        <f t="shared" si="6"/>
        <v>97.3</v>
      </c>
      <c r="O38" s="239">
        <f t="shared" si="6"/>
        <v>121.8</v>
      </c>
      <c r="P38" s="238">
        <f t="shared" si="6"/>
        <v>121.3</v>
      </c>
      <c r="Q38" s="239">
        <f t="shared" si="6"/>
        <v>94.8</v>
      </c>
      <c r="R38" s="239">
        <f t="shared" si="6"/>
        <v>102.3</v>
      </c>
      <c r="S38" s="238">
        <f t="shared" si="6"/>
        <v>121.3</v>
      </c>
      <c r="T38" s="239">
        <f t="shared" si="6"/>
        <v>124.8</v>
      </c>
      <c r="U38" s="239">
        <f t="shared" si="6"/>
        <v>134.30000000000001</v>
      </c>
      <c r="V38" s="238">
        <f t="shared" si="6"/>
        <v>133.80000000000001</v>
      </c>
      <c r="W38" s="239">
        <f t="shared" si="6"/>
        <v>126.8</v>
      </c>
      <c r="X38" s="239">
        <f t="shared" si="6"/>
        <v>102.8</v>
      </c>
      <c r="Y38" s="238">
        <f t="shared" si="6"/>
        <v>106.8</v>
      </c>
      <c r="Z38" s="239">
        <f t="shared" si="6"/>
        <v>110.8</v>
      </c>
      <c r="AA38" s="239">
        <f t="shared" si="6"/>
        <v>129.30000000000001</v>
      </c>
      <c r="AB38" s="238">
        <f t="shared" si="6"/>
        <v>134.5</v>
      </c>
      <c r="AC38" s="239">
        <f t="shared" si="6"/>
        <v>134.80000000000001</v>
      </c>
      <c r="AD38" s="239">
        <f t="shared" si="6"/>
        <v>134</v>
      </c>
      <c r="AE38" s="238">
        <f t="shared" si="6"/>
        <v>133.5</v>
      </c>
      <c r="AF38" s="239">
        <f t="shared" si="6"/>
        <v>134.80000000000001</v>
      </c>
      <c r="AG38" s="239">
        <f t="shared" si="6"/>
        <v>133</v>
      </c>
      <c r="AH38" s="238">
        <f t="shared" si="6"/>
        <v>131</v>
      </c>
      <c r="AI38" s="239">
        <f t="shared" si="6"/>
        <v>131</v>
      </c>
      <c r="AJ38" s="239">
        <f t="shared" si="6"/>
        <v>127</v>
      </c>
      <c r="AK38" s="238">
        <f t="shared" si="6"/>
        <v>125</v>
      </c>
      <c r="AL38" s="239">
        <f t="shared" si="6"/>
        <v>129.5</v>
      </c>
      <c r="AM38" s="239">
        <f t="shared" si="6"/>
        <v>135</v>
      </c>
      <c r="AN38" s="230">
        <f t="shared" si="4"/>
        <v>4455.8000000000011</v>
      </c>
    </row>
    <row r="39" spans="2:40" ht="20.100000000000001" customHeight="1" thickBot="1" x14ac:dyDescent="0.2">
      <c r="B39" s="778" t="s">
        <v>201</v>
      </c>
      <c r="C39" s="779"/>
      <c r="D39" s="235"/>
      <c r="E39" s="236"/>
      <c r="F39" s="236"/>
      <c r="G39" s="235"/>
      <c r="H39" s="236"/>
      <c r="I39" s="236"/>
      <c r="J39" s="235"/>
      <c r="K39" s="236"/>
      <c r="L39" s="236"/>
      <c r="M39" s="235"/>
      <c r="N39" s="236"/>
      <c r="O39" s="236"/>
      <c r="P39" s="235"/>
      <c r="Q39" s="236"/>
      <c r="R39" s="236"/>
      <c r="S39" s="235"/>
      <c r="T39" s="236"/>
      <c r="U39" s="236"/>
      <c r="V39" s="235"/>
      <c r="W39" s="236"/>
      <c r="X39" s="236"/>
      <c r="Y39" s="235"/>
      <c r="Z39" s="236"/>
      <c r="AA39" s="236"/>
      <c r="AB39" s="235"/>
      <c r="AC39" s="236"/>
      <c r="AD39" s="236"/>
      <c r="AE39" s="235"/>
      <c r="AF39" s="236"/>
      <c r="AG39" s="236"/>
      <c r="AH39" s="235"/>
      <c r="AI39" s="236"/>
      <c r="AJ39" s="236"/>
      <c r="AK39" s="235"/>
      <c r="AL39" s="236"/>
      <c r="AM39" s="236"/>
      <c r="AN39" s="237">
        <f t="shared" si="4"/>
        <v>0</v>
      </c>
    </row>
  </sheetData>
  <mergeCells count="49">
    <mergeCell ref="M4:O4"/>
    <mergeCell ref="P4:R4"/>
    <mergeCell ref="B17:C17"/>
    <mergeCell ref="AK4:AM4"/>
    <mergeCell ref="B12:C12"/>
    <mergeCell ref="B13:C13"/>
    <mergeCell ref="B14:C14"/>
    <mergeCell ref="B15:C15"/>
    <mergeCell ref="B16:C16"/>
    <mergeCell ref="J29:L29"/>
    <mergeCell ref="AN4:AN5"/>
    <mergeCell ref="B6:C8"/>
    <mergeCell ref="B9:C9"/>
    <mergeCell ref="B10:C10"/>
    <mergeCell ref="B11:C11"/>
    <mergeCell ref="S4:U4"/>
    <mergeCell ref="V4:X4"/>
    <mergeCell ref="Y4:AA4"/>
    <mergeCell ref="AB4:AD4"/>
    <mergeCell ref="AE4:AG4"/>
    <mergeCell ref="AH4:AJ4"/>
    <mergeCell ref="B4:C5"/>
    <mergeCell ref="D4:F4"/>
    <mergeCell ref="G4:I4"/>
    <mergeCell ref="J4:L4"/>
    <mergeCell ref="B22:C22"/>
    <mergeCell ref="B23:C23"/>
    <mergeCell ref="B39:C39"/>
    <mergeCell ref="B38:C38"/>
    <mergeCell ref="B18:C18"/>
    <mergeCell ref="B19:C19"/>
    <mergeCell ref="B20:C20"/>
    <mergeCell ref="B21:C21"/>
    <mergeCell ref="AK29:AM29"/>
    <mergeCell ref="AN29:AN30"/>
    <mergeCell ref="B31:C31"/>
    <mergeCell ref="B32:C32"/>
    <mergeCell ref="B33:B37"/>
    <mergeCell ref="S29:U29"/>
    <mergeCell ref="V29:X29"/>
    <mergeCell ref="Y29:AA29"/>
    <mergeCell ref="AB29:AD29"/>
    <mergeCell ref="AE29:AG29"/>
    <mergeCell ref="AH29:AJ29"/>
    <mergeCell ref="B29:C30"/>
    <mergeCell ref="D29:F29"/>
    <mergeCell ref="G29:I29"/>
    <mergeCell ref="M29:O29"/>
    <mergeCell ref="P29:R29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39"/>
  <sheetViews>
    <sheetView view="pageBreakPreview" zoomScale="60" zoomScaleNormal="100" workbookViewId="0">
      <selection sqref="A1:XFD1048576"/>
    </sheetView>
  </sheetViews>
  <sheetFormatPr defaultRowHeight="13.5" x14ac:dyDescent="0.15"/>
  <cols>
    <col min="1" max="1" width="1.625" style="29" customWidth="1"/>
    <col min="2" max="3" width="11.625" style="29" customWidth="1"/>
    <col min="4" max="39" width="6.125" style="29" customWidth="1"/>
    <col min="40" max="40" width="7" style="29" customWidth="1"/>
    <col min="41" max="41" width="1.5" style="29" customWidth="1"/>
    <col min="42" max="16384" width="9" style="29"/>
  </cols>
  <sheetData>
    <row r="1" spans="2:63" ht="9.9499999999999993" customHeight="1" x14ac:dyDescent="0.15"/>
    <row r="2" spans="2:63" ht="24.95" customHeight="1" x14ac:dyDescent="0.15">
      <c r="B2" s="4" t="s">
        <v>551</v>
      </c>
      <c r="C2" s="4"/>
      <c r="D2" s="4"/>
      <c r="E2" s="4"/>
      <c r="F2" s="4"/>
      <c r="G2" s="4"/>
      <c r="H2" s="4"/>
      <c r="I2" s="4"/>
      <c r="J2" s="4"/>
      <c r="K2" s="4"/>
      <c r="L2" s="243" t="s">
        <v>192</v>
      </c>
      <c r="M2" s="220" t="s">
        <v>552</v>
      </c>
      <c r="N2" s="220"/>
      <c r="O2" s="243" t="s">
        <v>193</v>
      </c>
      <c r="P2" s="220" t="s">
        <v>408</v>
      </c>
      <c r="Q2" s="4"/>
      <c r="R2" s="4"/>
      <c r="S2" s="4"/>
      <c r="T2" s="4"/>
      <c r="U2" s="4"/>
      <c r="V2" s="4"/>
      <c r="W2" s="31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</row>
    <row r="3" spans="2:63" ht="24.95" customHeight="1" thickBot="1" x14ac:dyDescent="0.2">
      <c r="B3" s="4" t="s">
        <v>196</v>
      </c>
      <c r="C3" s="4"/>
      <c r="D3" s="4"/>
      <c r="E3" s="4"/>
      <c r="F3" s="4"/>
      <c r="G3" s="4"/>
      <c r="H3" s="4"/>
      <c r="I3" s="4"/>
      <c r="J3" s="4"/>
      <c r="K3" s="4"/>
      <c r="L3" s="4"/>
      <c r="M3" s="31"/>
      <c r="N3" s="4"/>
      <c r="O3" s="4"/>
      <c r="P3" s="31"/>
      <c r="Q3" s="4"/>
      <c r="R3" s="4"/>
      <c r="S3" s="4"/>
      <c r="T3" s="4"/>
      <c r="U3" s="4"/>
      <c r="V3" s="4"/>
      <c r="W3" s="31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</row>
    <row r="4" spans="2:63" ht="20.100000000000001" customHeight="1" x14ac:dyDescent="0.15">
      <c r="B4" s="774" t="s">
        <v>98</v>
      </c>
      <c r="C4" s="775"/>
      <c r="D4" s="762">
        <v>1</v>
      </c>
      <c r="E4" s="763"/>
      <c r="F4" s="764"/>
      <c r="G4" s="762">
        <v>2</v>
      </c>
      <c r="H4" s="763"/>
      <c r="I4" s="764"/>
      <c r="J4" s="762">
        <v>3</v>
      </c>
      <c r="K4" s="763"/>
      <c r="L4" s="764"/>
      <c r="M4" s="762">
        <v>4</v>
      </c>
      <c r="N4" s="763"/>
      <c r="O4" s="764"/>
      <c r="P4" s="762">
        <v>5</v>
      </c>
      <c r="Q4" s="763"/>
      <c r="R4" s="764"/>
      <c r="S4" s="762">
        <v>6</v>
      </c>
      <c r="T4" s="763"/>
      <c r="U4" s="764"/>
      <c r="V4" s="762">
        <v>7</v>
      </c>
      <c r="W4" s="763"/>
      <c r="X4" s="764"/>
      <c r="Y4" s="762">
        <v>8</v>
      </c>
      <c r="Z4" s="763"/>
      <c r="AA4" s="764"/>
      <c r="AB4" s="762">
        <v>9</v>
      </c>
      <c r="AC4" s="763"/>
      <c r="AD4" s="764"/>
      <c r="AE4" s="762">
        <v>10</v>
      </c>
      <c r="AF4" s="763"/>
      <c r="AG4" s="764"/>
      <c r="AH4" s="762">
        <v>11</v>
      </c>
      <c r="AI4" s="763"/>
      <c r="AJ4" s="764"/>
      <c r="AK4" s="762">
        <v>12</v>
      </c>
      <c r="AL4" s="763"/>
      <c r="AM4" s="764"/>
      <c r="AN4" s="765" t="s">
        <v>30</v>
      </c>
    </row>
    <row r="5" spans="2:63" ht="20.100000000000001" customHeight="1" x14ac:dyDescent="0.15">
      <c r="B5" s="767"/>
      <c r="C5" s="768"/>
      <c r="D5" s="50" t="s">
        <v>31</v>
      </c>
      <c r="E5" s="51" t="s">
        <v>32</v>
      </c>
      <c r="F5" s="52" t="s">
        <v>33</v>
      </c>
      <c r="G5" s="50" t="s">
        <v>31</v>
      </c>
      <c r="H5" s="52" t="s">
        <v>32</v>
      </c>
      <c r="I5" s="52" t="s">
        <v>33</v>
      </c>
      <c r="J5" s="50" t="s">
        <v>31</v>
      </c>
      <c r="K5" s="52" t="s">
        <v>32</v>
      </c>
      <c r="L5" s="52" t="s">
        <v>33</v>
      </c>
      <c r="M5" s="50" t="s">
        <v>31</v>
      </c>
      <c r="N5" s="52" t="s">
        <v>32</v>
      </c>
      <c r="O5" s="52" t="s">
        <v>33</v>
      </c>
      <c r="P5" s="50" t="s">
        <v>31</v>
      </c>
      <c r="Q5" s="52" t="s">
        <v>32</v>
      </c>
      <c r="R5" s="52" t="s">
        <v>33</v>
      </c>
      <c r="S5" s="50" t="s">
        <v>31</v>
      </c>
      <c r="T5" s="53" t="s">
        <v>32</v>
      </c>
      <c r="U5" s="53" t="s">
        <v>33</v>
      </c>
      <c r="V5" s="50" t="s">
        <v>31</v>
      </c>
      <c r="W5" s="52" t="s">
        <v>32</v>
      </c>
      <c r="X5" s="52" t="s">
        <v>33</v>
      </c>
      <c r="Y5" s="50" t="s">
        <v>31</v>
      </c>
      <c r="Z5" s="52" t="s">
        <v>32</v>
      </c>
      <c r="AA5" s="52" t="s">
        <v>33</v>
      </c>
      <c r="AB5" s="50" t="s">
        <v>31</v>
      </c>
      <c r="AC5" s="52" t="s">
        <v>32</v>
      </c>
      <c r="AD5" s="52" t="s">
        <v>33</v>
      </c>
      <c r="AE5" s="50" t="s">
        <v>31</v>
      </c>
      <c r="AF5" s="52" t="s">
        <v>32</v>
      </c>
      <c r="AG5" s="52" t="s">
        <v>33</v>
      </c>
      <c r="AH5" s="50" t="s">
        <v>31</v>
      </c>
      <c r="AI5" s="52" t="s">
        <v>32</v>
      </c>
      <c r="AJ5" s="52" t="s">
        <v>33</v>
      </c>
      <c r="AK5" s="50" t="s">
        <v>31</v>
      </c>
      <c r="AL5" s="52" t="s">
        <v>32</v>
      </c>
      <c r="AM5" s="52" t="s">
        <v>33</v>
      </c>
      <c r="AN5" s="766"/>
    </row>
    <row r="6" spans="2:63" ht="20.100000000000001" customHeight="1" x14ac:dyDescent="0.15">
      <c r="B6" s="769" t="s">
        <v>99</v>
      </c>
      <c r="C6" s="770"/>
      <c r="D6" s="54"/>
      <c r="E6" s="4"/>
      <c r="F6" s="4"/>
      <c r="G6" s="4"/>
      <c r="H6" s="4"/>
      <c r="I6" s="4"/>
      <c r="J6" s="4"/>
      <c r="K6" s="4"/>
      <c r="L6" s="4"/>
      <c r="M6" s="4"/>
      <c r="N6" s="4"/>
      <c r="O6" s="31"/>
      <c r="P6" s="31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55"/>
    </row>
    <row r="7" spans="2:63" ht="20.100000000000001" customHeight="1" x14ac:dyDescent="0.15">
      <c r="B7" s="772"/>
      <c r="C7" s="784"/>
      <c r="D7" s="54"/>
      <c r="E7" s="4"/>
      <c r="F7" s="4"/>
      <c r="G7" s="4"/>
      <c r="H7" s="4"/>
      <c r="I7" s="4"/>
      <c r="J7" s="4"/>
      <c r="K7" s="4"/>
      <c r="L7" s="504" t="s">
        <v>482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506"/>
      <c r="AB7" s="506"/>
      <c r="AC7" s="506"/>
      <c r="AD7" s="506"/>
      <c r="AE7" s="4"/>
      <c r="AF7" s="4"/>
      <c r="AG7" s="4"/>
      <c r="AH7" s="4"/>
      <c r="AI7" s="4"/>
      <c r="AJ7" s="4"/>
      <c r="AK7" s="4"/>
      <c r="AL7" s="4"/>
      <c r="AM7" s="4"/>
      <c r="AN7" s="55"/>
    </row>
    <row r="8" spans="2:63" ht="20.100000000000001" customHeight="1" x14ac:dyDescent="0.15">
      <c r="B8" s="767"/>
      <c r="C8" s="768"/>
      <c r="D8" s="56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8"/>
    </row>
    <row r="9" spans="2:63" ht="20.100000000000001" customHeight="1" x14ac:dyDescent="0.15">
      <c r="B9" s="782" t="s">
        <v>522</v>
      </c>
      <c r="C9" s="783" t="s">
        <v>522</v>
      </c>
      <c r="D9" s="59">
        <v>2</v>
      </c>
      <c r="E9" s="60">
        <v>2</v>
      </c>
      <c r="F9" s="60">
        <v>2</v>
      </c>
      <c r="G9" s="59"/>
      <c r="H9" s="60"/>
      <c r="I9" s="60"/>
      <c r="J9" s="59"/>
      <c r="K9" s="60"/>
      <c r="L9" s="60"/>
      <c r="M9" s="59"/>
      <c r="N9" s="60"/>
      <c r="O9" s="60"/>
      <c r="P9" s="59"/>
      <c r="Q9" s="60"/>
      <c r="R9" s="60"/>
      <c r="S9" s="59"/>
      <c r="T9" s="60"/>
      <c r="U9" s="60"/>
      <c r="V9" s="59"/>
      <c r="W9" s="60"/>
      <c r="X9" s="60"/>
      <c r="Y9" s="59"/>
      <c r="Z9" s="60"/>
      <c r="AA9" s="60"/>
      <c r="AB9" s="59"/>
      <c r="AC9" s="60"/>
      <c r="AD9" s="60"/>
      <c r="AE9" s="59"/>
      <c r="AF9" s="60"/>
      <c r="AG9" s="60"/>
      <c r="AH9" s="59"/>
      <c r="AI9" s="60"/>
      <c r="AJ9" s="60"/>
      <c r="AK9" s="59">
        <v>2</v>
      </c>
      <c r="AL9" s="60">
        <v>2</v>
      </c>
      <c r="AM9" s="60">
        <v>2</v>
      </c>
      <c r="AN9" s="61">
        <f>SUM(D9:AM9)</f>
        <v>12</v>
      </c>
    </row>
    <row r="10" spans="2:63" ht="20.100000000000001" customHeight="1" x14ac:dyDescent="0.15">
      <c r="B10" s="782" t="s">
        <v>523</v>
      </c>
      <c r="C10" s="783" t="s">
        <v>523</v>
      </c>
      <c r="D10" s="59"/>
      <c r="E10" s="60"/>
      <c r="F10" s="60"/>
      <c r="G10" s="59"/>
      <c r="H10" s="60"/>
      <c r="I10" s="60"/>
      <c r="J10" s="59"/>
      <c r="K10" s="60"/>
      <c r="L10" s="60"/>
      <c r="M10" s="59"/>
      <c r="N10" s="60">
        <v>2</v>
      </c>
      <c r="O10" s="60">
        <v>2</v>
      </c>
      <c r="P10" s="59">
        <v>2</v>
      </c>
      <c r="Q10" s="60">
        <v>10</v>
      </c>
      <c r="R10" s="60">
        <v>2</v>
      </c>
      <c r="S10" s="59">
        <v>1</v>
      </c>
      <c r="T10" s="60">
        <v>1</v>
      </c>
      <c r="U10" s="60">
        <v>1</v>
      </c>
      <c r="V10" s="59">
        <v>1</v>
      </c>
      <c r="W10" s="60"/>
      <c r="X10" s="60"/>
      <c r="Y10" s="59"/>
      <c r="Z10" s="60"/>
      <c r="AA10" s="60"/>
      <c r="AB10" s="59"/>
      <c r="AC10" s="60"/>
      <c r="AD10" s="60"/>
      <c r="AE10" s="59"/>
      <c r="AF10" s="60"/>
      <c r="AG10" s="60"/>
      <c r="AH10" s="59"/>
      <c r="AI10" s="60"/>
      <c r="AJ10" s="60"/>
      <c r="AK10" s="59"/>
      <c r="AL10" s="60"/>
      <c r="AM10" s="60"/>
      <c r="AN10" s="61">
        <f t="shared" ref="AN10:AN22" si="0">SUM(D10:AM10)</f>
        <v>22</v>
      </c>
    </row>
    <row r="11" spans="2:63" ht="20.100000000000001" customHeight="1" x14ac:dyDescent="0.15">
      <c r="B11" s="782" t="s">
        <v>524</v>
      </c>
      <c r="C11" s="783" t="s">
        <v>524</v>
      </c>
      <c r="D11" s="59"/>
      <c r="E11" s="60"/>
      <c r="F11" s="60"/>
      <c r="G11" s="59"/>
      <c r="H11" s="60"/>
      <c r="I11" s="60"/>
      <c r="J11" s="59"/>
      <c r="K11" s="60">
        <v>1.5</v>
      </c>
      <c r="L11" s="60"/>
      <c r="M11" s="59"/>
      <c r="N11" s="60"/>
      <c r="O11" s="60"/>
      <c r="P11" s="59"/>
      <c r="Q11" s="60"/>
      <c r="R11" s="60"/>
      <c r="S11" s="59"/>
      <c r="T11" s="60"/>
      <c r="U11" s="60"/>
      <c r="V11" s="59"/>
      <c r="W11" s="60"/>
      <c r="X11" s="60"/>
      <c r="Y11" s="59"/>
      <c r="Z11" s="60"/>
      <c r="AA11" s="60"/>
      <c r="AB11" s="59"/>
      <c r="AC11" s="60"/>
      <c r="AD11" s="60">
        <v>1.5</v>
      </c>
      <c r="AE11" s="59"/>
      <c r="AF11" s="60">
        <v>1.5</v>
      </c>
      <c r="AG11" s="60"/>
      <c r="AH11" s="59"/>
      <c r="AI11" s="60"/>
      <c r="AJ11" s="60"/>
      <c r="AK11" s="59"/>
      <c r="AL11" s="60">
        <v>1.5</v>
      </c>
      <c r="AM11" s="60"/>
      <c r="AN11" s="61">
        <f t="shared" si="0"/>
        <v>6</v>
      </c>
    </row>
    <row r="12" spans="2:63" ht="20.100000000000001" customHeight="1" x14ac:dyDescent="0.15">
      <c r="B12" s="782" t="s">
        <v>525</v>
      </c>
      <c r="C12" s="783" t="s">
        <v>525</v>
      </c>
      <c r="D12" s="59"/>
      <c r="E12" s="60">
        <v>2</v>
      </c>
      <c r="F12" s="60">
        <v>2</v>
      </c>
      <c r="G12" s="59"/>
      <c r="H12" s="60"/>
      <c r="I12" s="60"/>
      <c r="J12" s="59"/>
      <c r="K12" s="60"/>
      <c r="L12" s="60">
        <v>0.5</v>
      </c>
      <c r="M12" s="59"/>
      <c r="N12" s="60">
        <v>0.5</v>
      </c>
      <c r="O12" s="60">
        <v>0.5</v>
      </c>
      <c r="P12" s="59">
        <v>0.5</v>
      </c>
      <c r="Q12" s="60">
        <v>0.5</v>
      </c>
      <c r="R12" s="60"/>
      <c r="S12" s="59">
        <v>0.5</v>
      </c>
      <c r="T12" s="60"/>
      <c r="U12" s="60">
        <v>0.5</v>
      </c>
      <c r="V12" s="59">
        <v>0.5</v>
      </c>
      <c r="W12" s="60">
        <v>0.5</v>
      </c>
      <c r="X12" s="60"/>
      <c r="Y12" s="59"/>
      <c r="Z12" s="60"/>
      <c r="AA12" s="60"/>
      <c r="AB12" s="59"/>
      <c r="AC12" s="60"/>
      <c r="AD12" s="60"/>
      <c r="AE12" s="59">
        <v>0.5</v>
      </c>
      <c r="AF12" s="60"/>
      <c r="AG12" s="60"/>
      <c r="AH12" s="59"/>
      <c r="AI12" s="60"/>
      <c r="AJ12" s="60"/>
      <c r="AK12" s="59"/>
      <c r="AL12" s="60"/>
      <c r="AM12" s="60"/>
      <c r="AN12" s="61">
        <f t="shared" si="0"/>
        <v>9</v>
      </c>
    </row>
    <row r="13" spans="2:63" ht="20.100000000000001" customHeight="1" x14ac:dyDescent="0.15">
      <c r="B13" s="782" t="s">
        <v>526</v>
      </c>
      <c r="C13" s="783" t="s">
        <v>526</v>
      </c>
      <c r="D13" s="59"/>
      <c r="E13" s="60"/>
      <c r="F13" s="60"/>
      <c r="G13" s="59"/>
      <c r="H13" s="60"/>
      <c r="I13" s="60"/>
      <c r="J13" s="59"/>
      <c r="K13" s="60"/>
      <c r="L13" s="60"/>
      <c r="M13" s="59"/>
      <c r="N13" s="60"/>
      <c r="O13" s="60"/>
      <c r="P13" s="59"/>
      <c r="Q13" s="60">
        <v>24</v>
      </c>
      <c r="R13" s="60">
        <v>8</v>
      </c>
      <c r="S13" s="59">
        <v>8</v>
      </c>
      <c r="T13" s="60">
        <v>28</v>
      </c>
      <c r="U13" s="60">
        <v>28</v>
      </c>
      <c r="V13" s="59"/>
      <c r="W13" s="60"/>
      <c r="X13" s="60"/>
      <c r="Y13" s="59"/>
      <c r="Z13" s="60"/>
      <c r="AA13" s="60"/>
      <c r="AB13" s="59"/>
      <c r="AC13" s="60"/>
      <c r="AD13" s="60"/>
      <c r="AE13" s="59"/>
      <c r="AF13" s="60"/>
      <c r="AG13" s="60"/>
      <c r="AH13" s="59"/>
      <c r="AI13" s="60"/>
      <c r="AJ13" s="60"/>
      <c r="AK13" s="59"/>
      <c r="AL13" s="60"/>
      <c r="AM13" s="60"/>
      <c r="AN13" s="61">
        <f t="shared" si="0"/>
        <v>96</v>
      </c>
    </row>
    <row r="14" spans="2:63" ht="20.100000000000001" customHeight="1" x14ac:dyDescent="0.15">
      <c r="B14" s="782" t="s">
        <v>527</v>
      </c>
      <c r="C14" s="783" t="s">
        <v>527</v>
      </c>
      <c r="D14" s="59"/>
      <c r="E14" s="60"/>
      <c r="F14" s="60"/>
      <c r="G14" s="59"/>
      <c r="H14" s="60"/>
      <c r="I14" s="60"/>
      <c r="J14" s="59"/>
      <c r="K14" s="60"/>
      <c r="L14" s="60"/>
      <c r="M14" s="59"/>
      <c r="N14" s="60"/>
      <c r="O14" s="60"/>
      <c r="P14" s="59"/>
      <c r="Q14" s="60"/>
      <c r="R14" s="60"/>
      <c r="S14" s="59"/>
      <c r="T14" s="60"/>
      <c r="U14" s="60"/>
      <c r="V14" s="59">
        <v>12</v>
      </c>
      <c r="W14" s="60"/>
      <c r="X14" s="60"/>
      <c r="Y14" s="59"/>
      <c r="Z14" s="60"/>
      <c r="AA14" s="60"/>
      <c r="AB14" s="59"/>
      <c r="AC14" s="60"/>
      <c r="AD14" s="60"/>
      <c r="AE14" s="59"/>
      <c r="AF14" s="60"/>
      <c r="AG14" s="60"/>
      <c r="AH14" s="59"/>
      <c r="AI14" s="60"/>
      <c r="AJ14" s="60"/>
      <c r="AK14" s="59"/>
      <c r="AL14" s="60"/>
      <c r="AM14" s="60"/>
      <c r="AN14" s="61">
        <f t="shared" si="0"/>
        <v>12</v>
      </c>
    </row>
    <row r="15" spans="2:63" ht="20.100000000000001" customHeight="1" x14ac:dyDescent="0.15">
      <c r="B15" s="782" t="s">
        <v>528</v>
      </c>
      <c r="C15" s="783" t="s">
        <v>528</v>
      </c>
      <c r="D15" s="59"/>
      <c r="E15" s="60"/>
      <c r="F15" s="60"/>
      <c r="G15" s="59"/>
      <c r="H15" s="60"/>
      <c r="I15" s="60"/>
      <c r="J15" s="59"/>
      <c r="K15" s="60"/>
      <c r="L15" s="60"/>
      <c r="M15" s="59">
        <v>1</v>
      </c>
      <c r="N15" s="60"/>
      <c r="O15" s="60"/>
      <c r="P15" s="59">
        <v>1</v>
      </c>
      <c r="Q15" s="60"/>
      <c r="R15" s="60"/>
      <c r="S15" s="59">
        <v>1</v>
      </c>
      <c r="T15" s="60"/>
      <c r="U15" s="60"/>
      <c r="V15" s="59">
        <v>1</v>
      </c>
      <c r="W15" s="60"/>
      <c r="X15" s="60"/>
      <c r="Y15" s="59">
        <v>1</v>
      </c>
      <c r="Z15" s="60"/>
      <c r="AA15" s="60"/>
      <c r="AB15" s="59"/>
      <c r="AC15" s="60"/>
      <c r="AD15" s="60"/>
      <c r="AE15" s="59"/>
      <c r="AF15" s="60"/>
      <c r="AG15" s="60"/>
      <c r="AH15" s="59"/>
      <c r="AI15" s="60"/>
      <c r="AJ15" s="60"/>
      <c r="AK15" s="59"/>
      <c r="AL15" s="60"/>
      <c r="AM15" s="60"/>
      <c r="AN15" s="61">
        <f t="shared" si="0"/>
        <v>5</v>
      </c>
    </row>
    <row r="16" spans="2:63" ht="20.100000000000001" customHeight="1" x14ac:dyDescent="0.15">
      <c r="B16" s="782" t="s">
        <v>529</v>
      </c>
      <c r="C16" s="783" t="s">
        <v>529</v>
      </c>
      <c r="D16" s="59"/>
      <c r="E16" s="60"/>
      <c r="F16" s="60"/>
      <c r="G16" s="59"/>
      <c r="H16" s="60"/>
      <c r="I16" s="60"/>
      <c r="J16" s="59"/>
      <c r="K16" s="60"/>
      <c r="L16" s="60">
        <v>0.2</v>
      </c>
      <c r="M16" s="59">
        <v>0.2</v>
      </c>
      <c r="N16" s="60">
        <v>0.2</v>
      </c>
      <c r="O16" s="60">
        <v>0.2</v>
      </c>
      <c r="P16" s="59">
        <v>0.2</v>
      </c>
      <c r="Q16" s="60">
        <v>0.2</v>
      </c>
      <c r="R16" s="60">
        <v>0.2</v>
      </c>
      <c r="S16" s="59">
        <v>0.2</v>
      </c>
      <c r="T16" s="60">
        <v>0.2</v>
      </c>
      <c r="U16" s="60">
        <v>0.2</v>
      </c>
      <c r="V16" s="59">
        <v>0.2</v>
      </c>
      <c r="W16" s="60">
        <v>0.2</v>
      </c>
      <c r="X16" s="60">
        <v>0.2</v>
      </c>
      <c r="Y16" s="59">
        <v>0.2</v>
      </c>
      <c r="Z16" s="60">
        <v>0.2</v>
      </c>
      <c r="AA16" s="60">
        <v>0.2</v>
      </c>
      <c r="AB16" s="59">
        <v>0.2</v>
      </c>
      <c r="AC16" s="60">
        <v>0.2</v>
      </c>
      <c r="AD16" s="60">
        <v>0.2</v>
      </c>
      <c r="AE16" s="59">
        <v>0.2</v>
      </c>
      <c r="AF16" s="60">
        <v>0.2</v>
      </c>
      <c r="AG16" s="60">
        <v>0.2</v>
      </c>
      <c r="AH16" s="59"/>
      <c r="AI16" s="60"/>
      <c r="AJ16" s="60"/>
      <c r="AK16" s="59"/>
      <c r="AL16" s="60"/>
      <c r="AM16" s="60"/>
      <c r="AN16" s="61">
        <f t="shared" si="0"/>
        <v>4.4000000000000012</v>
      </c>
    </row>
    <row r="17" spans="2:40" ht="20.100000000000001" customHeight="1" x14ac:dyDescent="0.15">
      <c r="B17" s="782" t="s">
        <v>530</v>
      </c>
      <c r="C17" s="783" t="s">
        <v>530</v>
      </c>
      <c r="D17" s="59"/>
      <c r="E17" s="60"/>
      <c r="F17" s="60"/>
      <c r="G17" s="59"/>
      <c r="H17" s="60"/>
      <c r="I17" s="60"/>
      <c r="J17" s="59"/>
      <c r="K17" s="60"/>
      <c r="L17" s="60"/>
      <c r="M17" s="59"/>
      <c r="N17" s="60"/>
      <c r="O17" s="60"/>
      <c r="P17" s="59"/>
      <c r="Q17" s="60"/>
      <c r="R17" s="60"/>
      <c r="S17" s="59"/>
      <c r="T17" s="60"/>
      <c r="U17" s="60"/>
      <c r="V17" s="59"/>
      <c r="W17" s="60"/>
      <c r="X17" s="60"/>
      <c r="Y17" s="59"/>
      <c r="Z17" s="60"/>
      <c r="AA17" s="60">
        <v>24</v>
      </c>
      <c r="AB17" s="59">
        <v>24</v>
      </c>
      <c r="AC17" s="60">
        <v>24</v>
      </c>
      <c r="AD17" s="60">
        <v>20</v>
      </c>
      <c r="AE17" s="59">
        <v>4</v>
      </c>
      <c r="AF17" s="60"/>
      <c r="AG17" s="60"/>
      <c r="AH17" s="59"/>
      <c r="AI17" s="60"/>
      <c r="AJ17" s="60"/>
      <c r="AK17" s="59"/>
      <c r="AL17" s="60"/>
      <c r="AM17" s="60"/>
      <c r="AN17" s="61">
        <f t="shared" si="0"/>
        <v>96</v>
      </c>
    </row>
    <row r="18" spans="2:40" ht="20.100000000000001" customHeight="1" x14ac:dyDescent="0.15">
      <c r="B18" s="782" t="s">
        <v>531</v>
      </c>
      <c r="C18" s="783" t="s">
        <v>531</v>
      </c>
      <c r="D18" s="59"/>
      <c r="E18" s="60"/>
      <c r="F18" s="60"/>
      <c r="G18" s="59"/>
      <c r="H18" s="60"/>
      <c r="I18" s="60"/>
      <c r="J18" s="59"/>
      <c r="K18" s="60"/>
      <c r="L18" s="60"/>
      <c r="M18" s="59"/>
      <c r="N18" s="60"/>
      <c r="O18" s="60"/>
      <c r="P18" s="59"/>
      <c r="Q18" s="60"/>
      <c r="R18" s="60"/>
      <c r="S18" s="59"/>
      <c r="T18" s="60"/>
      <c r="U18" s="60"/>
      <c r="V18" s="59"/>
      <c r="W18" s="60"/>
      <c r="X18" s="60"/>
      <c r="Y18" s="59"/>
      <c r="Z18" s="60"/>
      <c r="AA18" s="60"/>
      <c r="AB18" s="59"/>
      <c r="AC18" s="60"/>
      <c r="AD18" s="60"/>
      <c r="AE18" s="59"/>
      <c r="AF18" s="60"/>
      <c r="AG18" s="60">
        <v>2</v>
      </c>
      <c r="AH18" s="59">
        <v>4</v>
      </c>
      <c r="AI18" s="60">
        <v>4</v>
      </c>
      <c r="AJ18" s="60">
        <v>2</v>
      </c>
      <c r="AK18" s="59"/>
      <c r="AL18" s="60"/>
      <c r="AM18" s="60"/>
      <c r="AN18" s="61">
        <f t="shared" si="0"/>
        <v>12</v>
      </c>
    </row>
    <row r="19" spans="2:40" ht="20.100000000000001" customHeight="1" x14ac:dyDescent="0.15">
      <c r="B19" s="782" t="s">
        <v>532</v>
      </c>
      <c r="C19" s="783" t="s">
        <v>532</v>
      </c>
      <c r="D19" s="59"/>
      <c r="E19" s="60"/>
      <c r="F19" s="60"/>
      <c r="G19" s="59"/>
      <c r="H19" s="60"/>
      <c r="I19" s="60"/>
      <c r="J19" s="59"/>
      <c r="K19" s="60"/>
      <c r="L19" s="60">
        <v>16</v>
      </c>
      <c r="M19" s="59">
        <v>16</v>
      </c>
      <c r="N19" s="60"/>
      <c r="O19" s="60"/>
      <c r="P19" s="59"/>
      <c r="Q19" s="60"/>
      <c r="R19" s="60"/>
      <c r="S19" s="59"/>
      <c r="T19" s="60"/>
      <c r="U19" s="60"/>
      <c r="V19" s="59"/>
      <c r="W19" s="60">
        <v>4</v>
      </c>
      <c r="X19" s="60">
        <v>4</v>
      </c>
      <c r="Y19" s="59"/>
      <c r="Z19" s="60"/>
      <c r="AA19" s="60"/>
      <c r="AB19" s="59"/>
      <c r="AC19" s="60"/>
      <c r="AD19" s="60"/>
      <c r="AE19" s="59"/>
      <c r="AF19" s="60"/>
      <c r="AG19" s="60"/>
      <c r="AH19" s="59"/>
      <c r="AI19" s="60"/>
      <c r="AJ19" s="60"/>
      <c r="AK19" s="59"/>
      <c r="AL19" s="60"/>
      <c r="AM19" s="60"/>
      <c r="AN19" s="61">
        <f t="shared" si="0"/>
        <v>40</v>
      </c>
    </row>
    <row r="20" spans="2:40" ht="20.100000000000001" customHeight="1" x14ac:dyDescent="0.15">
      <c r="B20" s="782" t="s">
        <v>533</v>
      </c>
      <c r="C20" s="783" t="s">
        <v>533</v>
      </c>
      <c r="D20" s="59"/>
      <c r="E20" s="60"/>
      <c r="F20" s="60">
        <v>4</v>
      </c>
      <c r="G20" s="59"/>
      <c r="H20" s="60"/>
      <c r="I20" s="60">
        <v>4</v>
      </c>
      <c r="J20" s="59"/>
      <c r="K20" s="60"/>
      <c r="L20" s="60"/>
      <c r="M20" s="59"/>
      <c r="N20" s="60"/>
      <c r="O20" s="60"/>
      <c r="P20" s="59"/>
      <c r="Q20" s="60"/>
      <c r="R20" s="60"/>
      <c r="S20" s="59"/>
      <c r="T20" s="60"/>
      <c r="U20" s="60"/>
      <c r="V20" s="59"/>
      <c r="W20" s="60"/>
      <c r="X20" s="60"/>
      <c r="Y20" s="59"/>
      <c r="Z20" s="60"/>
      <c r="AA20" s="60"/>
      <c r="AB20" s="59"/>
      <c r="AC20" s="60"/>
      <c r="AD20" s="60"/>
      <c r="AE20" s="59"/>
      <c r="AF20" s="60"/>
      <c r="AG20" s="60"/>
      <c r="AH20" s="59"/>
      <c r="AI20" s="60"/>
      <c r="AJ20" s="60"/>
      <c r="AK20" s="59">
        <v>4</v>
      </c>
      <c r="AL20" s="60"/>
      <c r="AM20" s="60"/>
      <c r="AN20" s="61">
        <f t="shared" si="0"/>
        <v>12</v>
      </c>
    </row>
    <row r="21" spans="2:40" ht="20.100000000000001" customHeight="1" x14ac:dyDescent="0.15">
      <c r="B21" s="782"/>
      <c r="C21" s="783"/>
      <c r="D21" s="59"/>
      <c r="E21" s="60"/>
      <c r="F21" s="60"/>
      <c r="G21" s="59"/>
      <c r="H21" s="60"/>
      <c r="I21" s="60"/>
      <c r="J21" s="59"/>
      <c r="K21" s="60"/>
      <c r="L21" s="60"/>
      <c r="M21" s="59"/>
      <c r="N21" s="60"/>
      <c r="O21" s="60"/>
      <c r="P21" s="59"/>
      <c r="Q21" s="60"/>
      <c r="R21" s="60"/>
      <c r="S21" s="59"/>
      <c r="T21" s="60"/>
      <c r="U21" s="60"/>
      <c r="V21" s="59"/>
      <c r="W21" s="60"/>
      <c r="X21" s="60"/>
      <c r="Y21" s="59"/>
      <c r="Z21" s="60"/>
      <c r="AA21" s="60"/>
      <c r="AB21" s="59"/>
      <c r="AC21" s="60"/>
      <c r="AD21" s="60"/>
      <c r="AE21" s="59"/>
      <c r="AF21" s="60"/>
      <c r="AG21" s="60"/>
      <c r="AH21" s="59"/>
      <c r="AI21" s="60"/>
      <c r="AJ21" s="60"/>
      <c r="AK21" s="59"/>
      <c r="AL21" s="60"/>
      <c r="AM21" s="60"/>
      <c r="AN21" s="61">
        <f t="shared" si="0"/>
        <v>0</v>
      </c>
    </row>
    <row r="22" spans="2:40" ht="20.100000000000001" customHeight="1" x14ac:dyDescent="0.15">
      <c r="B22" s="776" t="s">
        <v>100</v>
      </c>
      <c r="C22" s="777"/>
      <c r="D22" s="59">
        <f t="shared" ref="D22:AM22" si="1">SUM(D9:D21)</f>
        <v>2</v>
      </c>
      <c r="E22" s="62">
        <f t="shared" si="1"/>
        <v>4</v>
      </c>
      <c r="F22" s="63">
        <f t="shared" si="1"/>
        <v>8</v>
      </c>
      <c r="G22" s="59">
        <f t="shared" si="1"/>
        <v>0</v>
      </c>
      <c r="H22" s="62">
        <f t="shared" si="1"/>
        <v>0</v>
      </c>
      <c r="I22" s="63">
        <f t="shared" si="1"/>
        <v>4</v>
      </c>
      <c r="J22" s="59">
        <f t="shared" si="1"/>
        <v>0</v>
      </c>
      <c r="K22" s="62">
        <f t="shared" si="1"/>
        <v>1.5</v>
      </c>
      <c r="L22" s="63">
        <f t="shared" si="1"/>
        <v>16.7</v>
      </c>
      <c r="M22" s="59">
        <f t="shared" si="1"/>
        <v>17.2</v>
      </c>
      <c r="N22" s="62">
        <f t="shared" si="1"/>
        <v>2.7</v>
      </c>
      <c r="O22" s="63">
        <f t="shared" si="1"/>
        <v>2.7</v>
      </c>
      <c r="P22" s="59">
        <f t="shared" si="1"/>
        <v>3.7</v>
      </c>
      <c r="Q22" s="62">
        <f t="shared" si="1"/>
        <v>34.700000000000003</v>
      </c>
      <c r="R22" s="63">
        <f t="shared" si="1"/>
        <v>10.199999999999999</v>
      </c>
      <c r="S22" s="59">
        <f t="shared" si="1"/>
        <v>10.7</v>
      </c>
      <c r="T22" s="62">
        <f t="shared" si="1"/>
        <v>29.2</v>
      </c>
      <c r="U22" s="63">
        <f t="shared" si="1"/>
        <v>29.7</v>
      </c>
      <c r="V22" s="59">
        <f t="shared" si="1"/>
        <v>14.7</v>
      </c>
      <c r="W22" s="62">
        <f t="shared" si="1"/>
        <v>4.7</v>
      </c>
      <c r="X22" s="63">
        <f t="shared" si="1"/>
        <v>4.2</v>
      </c>
      <c r="Y22" s="59">
        <f t="shared" si="1"/>
        <v>1.2</v>
      </c>
      <c r="Z22" s="62">
        <f t="shared" si="1"/>
        <v>0.2</v>
      </c>
      <c r="AA22" s="63">
        <f t="shared" si="1"/>
        <v>24.2</v>
      </c>
      <c r="AB22" s="59">
        <f t="shared" si="1"/>
        <v>24.2</v>
      </c>
      <c r="AC22" s="62">
        <f t="shared" si="1"/>
        <v>24.2</v>
      </c>
      <c r="AD22" s="63">
        <f t="shared" si="1"/>
        <v>21.7</v>
      </c>
      <c r="AE22" s="59">
        <f t="shared" si="1"/>
        <v>4.7</v>
      </c>
      <c r="AF22" s="62">
        <f t="shared" si="1"/>
        <v>1.7</v>
      </c>
      <c r="AG22" s="63">
        <f t="shared" si="1"/>
        <v>2.2000000000000002</v>
      </c>
      <c r="AH22" s="59">
        <f t="shared" si="1"/>
        <v>4</v>
      </c>
      <c r="AI22" s="62">
        <f t="shared" si="1"/>
        <v>4</v>
      </c>
      <c r="AJ22" s="63">
        <f t="shared" si="1"/>
        <v>2</v>
      </c>
      <c r="AK22" s="59">
        <f t="shared" si="1"/>
        <v>6</v>
      </c>
      <c r="AL22" s="62">
        <f t="shared" si="1"/>
        <v>3.5</v>
      </c>
      <c r="AM22" s="63">
        <f t="shared" si="1"/>
        <v>2</v>
      </c>
      <c r="AN22" s="61">
        <f t="shared" si="0"/>
        <v>326.39999999999986</v>
      </c>
    </row>
    <row r="23" spans="2:40" ht="20.100000000000001" customHeight="1" thickBot="1" x14ac:dyDescent="0.2">
      <c r="B23" s="778" t="s">
        <v>101</v>
      </c>
      <c r="C23" s="779"/>
      <c r="D23" s="64"/>
      <c r="E23" s="65">
        <f>SUM(D22:F22)</f>
        <v>14</v>
      </c>
      <c r="F23" s="65"/>
      <c r="G23" s="64"/>
      <c r="H23" s="65">
        <f>SUM(G22:I22)</f>
        <v>4</v>
      </c>
      <c r="I23" s="65"/>
      <c r="J23" s="64"/>
      <c r="K23" s="65">
        <f>SUM(J22:L22)</f>
        <v>18.2</v>
      </c>
      <c r="L23" s="65"/>
      <c r="M23" s="64"/>
      <c r="N23" s="65">
        <f>SUM(M22:O22)</f>
        <v>22.599999999999998</v>
      </c>
      <c r="O23" s="65"/>
      <c r="P23" s="64"/>
      <c r="Q23" s="65">
        <f>SUM(P22:R22)</f>
        <v>48.600000000000009</v>
      </c>
      <c r="R23" s="65"/>
      <c r="S23" s="64"/>
      <c r="T23" s="65">
        <f>SUM(S22:U22)</f>
        <v>69.599999999999994</v>
      </c>
      <c r="U23" s="65"/>
      <c r="V23" s="64"/>
      <c r="W23" s="65">
        <f>SUM(V22:X22)</f>
        <v>23.599999999999998</v>
      </c>
      <c r="X23" s="65"/>
      <c r="Y23" s="64"/>
      <c r="Z23" s="65">
        <f>SUM(Y22:AA22)</f>
        <v>25.599999999999998</v>
      </c>
      <c r="AA23" s="65"/>
      <c r="AB23" s="64"/>
      <c r="AC23" s="65">
        <f>SUM(AB22:AD22)</f>
        <v>70.099999999999994</v>
      </c>
      <c r="AD23" s="65"/>
      <c r="AE23" s="64"/>
      <c r="AF23" s="65">
        <f>SUM(AE22:AG22)</f>
        <v>8.6000000000000014</v>
      </c>
      <c r="AG23" s="65"/>
      <c r="AH23" s="64"/>
      <c r="AI23" s="65">
        <f>SUM(AH22:AJ22)</f>
        <v>10</v>
      </c>
      <c r="AJ23" s="65"/>
      <c r="AK23" s="64"/>
      <c r="AL23" s="65">
        <f>SUM(AK22:AM22)</f>
        <v>11.5</v>
      </c>
      <c r="AM23" s="65"/>
      <c r="AN23" s="66">
        <f>SUM(AN9:AN21)</f>
        <v>326.39999999999998</v>
      </c>
    </row>
    <row r="24" spans="2:40" ht="9.9499999999999993" customHeight="1" x14ac:dyDescent="0.15"/>
    <row r="25" spans="2:40" ht="24.95" customHeight="1" x14ac:dyDescent="0.15">
      <c r="B25" s="4" t="s">
        <v>197</v>
      </c>
    </row>
    <row r="26" spans="2:40" ht="9.9499999999999993" customHeight="1" thickBot="1" x14ac:dyDescent="0.2"/>
    <row r="27" spans="2:40" ht="20.100000000000001" customHeight="1" thickBot="1" x14ac:dyDescent="0.2">
      <c r="B27" s="29" t="s">
        <v>194</v>
      </c>
      <c r="C27" s="224">
        <f>'４　経営収支'!I4</f>
        <v>0</v>
      </c>
      <c r="D27" s="29" t="s">
        <v>195</v>
      </c>
    </row>
    <row r="28" spans="2:40" ht="9.9499999999999993" customHeight="1" thickBot="1" x14ac:dyDescent="0.2"/>
    <row r="29" spans="2:40" ht="20.100000000000001" customHeight="1" x14ac:dyDescent="0.15">
      <c r="B29" s="774" t="s">
        <v>98</v>
      </c>
      <c r="C29" s="775"/>
      <c r="D29" s="762">
        <v>1</v>
      </c>
      <c r="E29" s="763"/>
      <c r="F29" s="764"/>
      <c r="G29" s="762">
        <v>2</v>
      </c>
      <c r="H29" s="763"/>
      <c r="I29" s="764"/>
      <c r="J29" s="762">
        <v>3</v>
      </c>
      <c r="K29" s="763"/>
      <c r="L29" s="764"/>
      <c r="M29" s="762">
        <v>4</v>
      </c>
      <c r="N29" s="763"/>
      <c r="O29" s="764"/>
      <c r="P29" s="762">
        <v>5</v>
      </c>
      <c r="Q29" s="763"/>
      <c r="R29" s="764"/>
      <c r="S29" s="762">
        <v>6</v>
      </c>
      <c r="T29" s="763"/>
      <c r="U29" s="764"/>
      <c r="V29" s="762">
        <v>7</v>
      </c>
      <c r="W29" s="763"/>
      <c r="X29" s="764"/>
      <c r="Y29" s="762">
        <v>8</v>
      </c>
      <c r="Z29" s="763"/>
      <c r="AA29" s="764"/>
      <c r="AB29" s="762">
        <v>9</v>
      </c>
      <c r="AC29" s="763"/>
      <c r="AD29" s="764"/>
      <c r="AE29" s="762">
        <v>10</v>
      </c>
      <c r="AF29" s="763"/>
      <c r="AG29" s="764"/>
      <c r="AH29" s="762">
        <v>11</v>
      </c>
      <c r="AI29" s="763"/>
      <c r="AJ29" s="764"/>
      <c r="AK29" s="762">
        <v>12</v>
      </c>
      <c r="AL29" s="763"/>
      <c r="AM29" s="764"/>
      <c r="AN29" s="765" t="s">
        <v>30</v>
      </c>
    </row>
    <row r="30" spans="2:40" ht="20.100000000000001" customHeight="1" x14ac:dyDescent="0.15">
      <c r="B30" s="767"/>
      <c r="C30" s="768"/>
      <c r="D30" s="50" t="s">
        <v>31</v>
      </c>
      <c r="E30" s="51" t="s">
        <v>32</v>
      </c>
      <c r="F30" s="52" t="s">
        <v>33</v>
      </c>
      <c r="G30" s="50" t="s">
        <v>31</v>
      </c>
      <c r="H30" s="52" t="s">
        <v>32</v>
      </c>
      <c r="I30" s="52" t="s">
        <v>33</v>
      </c>
      <c r="J30" s="50" t="s">
        <v>31</v>
      </c>
      <c r="K30" s="52" t="s">
        <v>32</v>
      </c>
      <c r="L30" s="52" t="s">
        <v>33</v>
      </c>
      <c r="M30" s="50" t="s">
        <v>31</v>
      </c>
      <c r="N30" s="52" t="s">
        <v>32</v>
      </c>
      <c r="O30" s="52" t="s">
        <v>33</v>
      </c>
      <c r="P30" s="50" t="s">
        <v>31</v>
      </c>
      <c r="Q30" s="52" t="s">
        <v>32</v>
      </c>
      <c r="R30" s="52" t="s">
        <v>33</v>
      </c>
      <c r="S30" s="50" t="s">
        <v>31</v>
      </c>
      <c r="T30" s="53" t="s">
        <v>32</v>
      </c>
      <c r="U30" s="53" t="s">
        <v>33</v>
      </c>
      <c r="V30" s="50" t="s">
        <v>31</v>
      </c>
      <c r="W30" s="52" t="s">
        <v>32</v>
      </c>
      <c r="X30" s="52" t="s">
        <v>33</v>
      </c>
      <c r="Y30" s="50" t="s">
        <v>31</v>
      </c>
      <c r="Z30" s="52" t="s">
        <v>32</v>
      </c>
      <c r="AA30" s="52" t="s">
        <v>33</v>
      </c>
      <c r="AB30" s="50" t="s">
        <v>31</v>
      </c>
      <c r="AC30" s="52" t="s">
        <v>32</v>
      </c>
      <c r="AD30" s="52" t="s">
        <v>33</v>
      </c>
      <c r="AE30" s="50" t="s">
        <v>31</v>
      </c>
      <c r="AF30" s="52" t="s">
        <v>32</v>
      </c>
      <c r="AG30" s="52" t="s">
        <v>33</v>
      </c>
      <c r="AH30" s="50" t="s">
        <v>31</v>
      </c>
      <c r="AI30" s="52" t="s">
        <v>32</v>
      </c>
      <c r="AJ30" s="52" t="s">
        <v>33</v>
      </c>
      <c r="AK30" s="50" t="s">
        <v>31</v>
      </c>
      <c r="AL30" s="52" t="s">
        <v>32</v>
      </c>
      <c r="AM30" s="52" t="s">
        <v>33</v>
      </c>
      <c r="AN30" s="766"/>
    </row>
    <row r="31" spans="2:40" ht="20.100000000000001" customHeight="1" x14ac:dyDescent="0.15">
      <c r="B31" s="767" t="s">
        <v>202</v>
      </c>
      <c r="C31" s="768"/>
      <c r="D31" s="59">
        <f>D22*$C$27/10</f>
        <v>0</v>
      </c>
      <c r="E31" s="62">
        <f t="shared" ref="E31:AM31" si="2">E22*$C$27/10</f>
        <v>0</v>
      </c>
      <c r="F31" s="63">
        <f t="shared" si="2"/>
        <v>0</v>
      </c>
      <c r="G31" s="59">
        <f t="shared" si="2"/>
        <v>0</v>
      </c>
      <c r="H31" s="62">
        <f t="shared" si="2"/>
        <v>0</v>
      </c>
      <c r="I31" s="63">
        <f t="shared" si="2"/>
        <v>0</v>
      </c>
      <c r="J31" s="59">
        <f t="shared" si="2"/>
        <v>0</v>
      </c>
      <c r="K31" s="62">
        <f t="shared" si="2"/>
        <v>0</v>
      </c>
      <c r="L31" s="63">
        <f t="shared" si="2"/>
        <v>0</v>
      </c>
      <c r="M31" s="59">
        <f t="shared" si="2"/>
        <v>0</v>
      </c>
      <c r="N31" s="62">
        <f t="shared" si="2"/>
        <v>0</v>
      </c>
      <c r="O31" s="63">
        <f t="shared" si="2"/>
        <v>0</v>
      </c>
      <c r="P31" s="59">
        <f t="shared" si="2"/>
        <v>0</v>
      </c>
      <c r="Q31" s="62">
        <f t="shared" si="2"/>
        <v>0</v>
      </c>
      <c r="R31" s="63">
        <f t="shared" si="2"/>
        <v>0</v>
      </c>
      <c r="S31" s="59">
        <f t="shared" si="2"/>
        <v>0</v>
      </c>
      <c r="T31" s="62">
        <f t="shared" si="2"/>
        <v>0</v>
      </c>
      <c r="U31" s="63">
        <f t="shared" si="2"/>
        <v>0</v>
      </c>
      <c r="V31" s="59">
        <f t="shared" si="2"/>
        <v>0</v>
      </c>
      <c r="W31" s="62">
        <f t="shared" si="2"/>
        <v>0</v>
      </c>
      <c r="X31" s="63">
        <f t="shared" si="2"/>
        <v>0</v>
      </c>
      <c r="Y31" s="59">
        <f t="shared" si="2"/>
        <v>0</v>
      </c>
      <c r="Z31" s="62">
        <f t="shared" si="2"/>
        <v>0</v>
      </c>
      <c r="AA31" s="63">
        <f t="shared" si="2"/>
        <v>0</v>
      </c>
      <c r="AB31" s="59">
        <f t="shared" si="2"/>
        <v>0</v>
      </c>
      <c r="AC31" s="62">
        <f t="shared" si="2"/>
        <v>0</v>
      </c>
      <c r="AD31" s="63">
        <f t="shared" si="2"/>
        <v>0</v>
      </c>
      <c r="AE31" s="59">
        <f t="shared" si="2"/>
        <v>0</v>
      </c>
      <c r="AF31" s="62">
        <f t="shared" si="2"/>
        <v>0</v>
      </c>
      <c r="AG31" s="63">
        <f t="shared" si="2"/>
        <v>0</v>
      </c>
      <c r="AH31" s="59">
        <f t="shared" si="2"/>
        <v>0</v>
      </c>
      <c r="AI31" s="62">
        <f t="shared" si="2"/>
        <v>0</v>
      </c>
      <c r="AJ31" s="63">
        <f t="shared" si="2"/>
        <v>0</v>
      </c>
      <c r="AK31" s="59">
        <f t="shared" si="2"/>
        <v>0</v>
      </c>
      <c r="AL31" s="62">
        <f t="shared" si="2"/>
        <v>0</v>
      </c>
      <c r="AM31" s="63">
        <f t="shared" si="2"/>
        <v>0</v>
      </c>
      <c r="AN31" s="61">
        <f t="shared" ref="AN31:AN35" si="3">SUM(D31:AM31)</f>
        <v>0</v>
      </c>
    </row>
    <row r="32" spans="2:40" ht="20.100000000000001" customHeight="1" thickBot="1" x14ac:dyDescent="0.2">
      <c r="B32" s="769" t="s">
        <v>101</v>
      </c>
      <c r="C32" s="770"/>
      <c r="D32" s="226"/>
      <c r="E32" s="223">
        <f>SUM(D31:F31)</f>
        <v>0</v>
      </c>
      <c r="F32" s="223"/>
      <c r="G32" s="226"/>
      <c r="H32" s="223">
        <f>SUM(G31:I31)</f>
        <v>0</v>
      </c>
      <c r="I32" s="223"/>
      <c r="J32" s="226"/>
      <c r="K32" s="223">
        <f>SUM(J31:L31)</f>
        <v>0</v>
      </c>
      <c r="L32" s="223"/>
      <c r="M32" s="226"/>
      <c r="N32" s="223">
        <f>SUM(M31:O31)</f>
        <v>0</v>
      </c>
      <c r="O32" s="223"/>
      <c r="P32" s="226"/>
      <c r="Q32" s="223">
        <f>SUM(P31:R31)</f>
        <v>0</v>
      </c>
      <c r="R32" s="223"/>
      <c r="S32" s="226"/>
      <c r="T32" s="223">
        <f>SUM(S31:U31)</f>
        <v>0</v>
      </c>
      <c r="U32" s="223"/>
      <c r="V32" s="226"/>
      <c r="W32" s="223">
        <f>SUM(V31:X31)</f>
        <v>0</v>
      </c>
      <c r="X32" s="223"/>
      <c r="Y32" s="226"/>
      <c r="Z32" s="223">
        <f>SUM(Y31:AA31)</f>
        <v>0</v>
      </c>
      <c r="AA32" s="223"/>
      <c r="AB32" s="226"/>
      <c r="AC32" s="223">
        <f>SUM(AB31:AD31)</f>
        <v>0</v>
      </c>
      <c r="AD32" s="223"/>
      <c r="AE32" s="226"/>
      <c r="AF32" s="223">
        <f>SUM(AE31:AG31)</f>
        <v>0</v>
      </c>
      <c r="AG32" s="223"/>
      <c r="AH32" s="226"/>
      <c r="AI32" s="223">
        <f>SUM(AH31:AJ31)</f>
        <v>0</v>
      </c>
      <c r="AJ32" s="223"/>
      <c r="AK32" s="226"/>
      <c r="AL32" s="223">
        <f>SUM(AK31:AM31)</f>
        <v>0</v>
      </c>
      <c r="AM32" s="223"/>
      <c r="AN32" s="227">
        <f t="shared" si="3"/>
        <v>0</v>
      </c>
    </row>
    <row r="33" spans="2:40" ht="20.100000000000001" customHeight="1" thickTop="1" x14ac:dyDescent="0.15">
      <c r="B33" s="771" t="s">
        <v>200</v>
      </c>
      <c r="C33" s="569" t="s">
        <v>198</v>
      </c>
      <c r="D33" s="228">
        <v>60</v>
      </c>
      <c r="E33" s="229">
        <v>60</v>
      </c>
      <c r="F33" s="229">
        <v>60</v>
      </c>
      <c r="G33" s="228">
        <v>60</v>
      </c>
      <c r="H33" s="229">
        <v>60</v>
      </c>
      <c r="I33" s="229">
        <v>60</v>
      </c>
      <c r="J33" s="228">
        <v>60</v>
      </c>
      <c r="K33" s="229">
        <v>60</v>
      </c>
      <c r="L33" s="229">
        <v>60</v>
      </c>
      <c r="M33" s="228">
        <v>60</v>
      </c>
      <c r="N33" s="229">
        <v>60</v>
      </c>
      <c r="O33" s="229">
        <v>60</v>
      </c>
      <c r="P33" s="228">
        <v>60</v>
      </c>
      <c r="Q33" s="229">
        <v>60</v>
      </c>
      <c r="R33" s="229">
        <v>60</v>
      </c>
      <c r="S33" s="228">
        <v>60</v>
      </c>
      <c r="T33" s="229">
        <v>60</v>
      </c>
      <c r="U33" s="229">
        <v>60</v>
      </c>
      <c r="V33" s="228">
        <v>60</v>
      </c>
      <c r="W33" s="229">
        <v>60</v>
      </c>
      <c r="X33" s="229">
        <v>60</v>
      </c>
      <c r="Y33" s="228">
        <v>60</v>
      </c>
      <c r="Z33" s="229">
        <v>60</v>
      </c>
      <c r="AA33" s="229">
        <v>60</v>
      </c>
      <c r="AB33" s="228">
        <v>60</v>
      </c>
      <c r="AC33" s="229">
        <v>60</v>
      </c>
      <c r="AD33" s="229">
        <v>60</v>
      </c>
      <c r="AE33" s="228">
        <v>60</v>
      </c>
      <c r="AF33" s="229">
        <v>60</v>
      </c>
      <c r="AG33" s="229">
        <v>60</v>
      </c>
      <c r="AH33" s="228">
        <v>60</v>
      </c>
      <c r="AI33" s="229">
        <v>60</v>
      </c>
      <c r="AJ33" s="229">
        <v>60</v>
      </c>
      <c r="AK33" s="228">
        <v>60</v>
      </c>
      <c r="AL33" s="229">
        <v>60</v>
      </c>
      <c r="AM33" s="229">
        <v>60</v>
      </c>
      <c r="AN33" s="230">
        <f t="shared" si="3"/>
        <v>2160</v>
      </c>
    </row>
    <row r="34" spans="2:40" ht="20.100000000000001" customHeight="1" x14ac:dyDescent="0.15">
      <c r="B34" s="772"/>
      <c r="C34" s="225" t="s">
        <v>199</v>
      </c>
      <c r="D34" s="231">
        <v>50</v>
      </c>
      <c r="E34" s="60">
        <v>50</v>
      </c>
      <c r="F34" s="60">
        <v>50</v>
      </c>
      <c r="G34" s="231">
        <v>50</v>
      </c>
      <c r="H34" s="60">
        <v>50</v>
      </c>
      <c r="I34" s="60">
        <v>50</v>
      </c>
      <c r="J34" s="231">
        <v>50</v>
      </c>
      <c r="K34" s="60">
        <v>50</v>
      </c>
      <c r="L34" s="60">
        <v>50</v>
      </c>
      <c r="M34" s="231">
        <v>50</v>
      </c>
      <c r="N34" s="60">
        <v>50</v>
      </c>
      <c r="O34" s="60">
        <v>50</v>
      </c>
      <c r="P34" s="231">
        <v>50</v>
      </c>
      <c r="Q34" s="60">
        <v>50</v>
      </c>
      <c r="R34" s="60">
        <v>50</v>
      </c>
      <c r="S34" s="231">
        <v>50</v>
      </c>
      <c r="T34" s="60">
        <v>50</v>
      </c>
      <c r="U34" s="60">
        <v>50</v>
      </c>
      <c r="V34" s="231">
        <v>50</v>
      </c>
      <c r="W34" s="60">
        <v>50</v>
      </c>
      <c r="X34" s="60">
        <v>50</v>
      </c>
      <c r="Y34" s="231">
        <v>50</v>
      </c>
      <c r="Z34" s="60">
        <v>50</v>
      </c>
      <c r="AA34" s="60">
        <v>50</v>
      </c>
      <c r="AB34" s="231">
        <v>50</v>
      </c>
      <c r="AC34" s="60">
        <v>50</v>
      </c>
      <c r="AD34" s="60">
        <v>50</v>
      </c>
      <c r="AE34" s="231">
        <v>50</v>
      </c>
      <c r="AF34" s="60">
        <v>50</v>
      </c>
      <c r="AG34" s="60">
        <v>50</v>
      </c>
      <c r="AH34" s="231">
        <v>50</v>
      </c>
      <c r="AI34" s="60">
        <v>50</v>
      </c>
      <c r="AJ34" s="60">
        <v>50</v>
      </c>
      <c r="AK34" s="231">
        <v>50</v>
      </c>
      <c r="AL34" s="60">
        <v>50</v>
      </c>
      <c r="AM34" s="60">
        <v>50</v>
      </c>
      <c r="AN34" s="61">
        <f t="shared" si="3"/>
        <v>1800</v>
      </c>
    </row>
    <row r="35" spans="2:40" ht="20.100000000000001" customHeight="1" x14ac:dyDescent="0.15">
      <c r="B35" s="772"/>
      <c r="C35" s="225" t="s">
        <v>205</v>
      </c>
      <c r="D35" s="231">
        <v>25</v>
      </c>
      <c r="E35" s="60">
        <v>25</v>
      </c>
      <c r="F35" s="60">
        <v>25</v>
      </c>
      <c r="G35" s="231">
        <v>25</v>
      </c>
      <c r="H35" s="60">
        <v>25</v>
      </c>
      <c r="I35" s="60">
        <v>25</v>
      </c>
      <c r="J35" s="231">
        <v>25</v>
      </c>
      <c r="K35" s="60">
        <v>25</v>
      </c>
      <c r="L35" s="60">
        <v>25</v>
      </c>
      <c r="M35" s="231">
        <v>25</v>
      </c>
      <c r="N35" s="60">
        <v>25</v>
      </c>
      <c r="O35" s="60">
        <v>25</v>
      </c>
      <c r="P35" s="231">
        <v>25</v>
      </c>
      <c r="Q35" s="60">
        <v>25</v>
      </c>
      <c r="R35" s="60">
        <v>25</v>
      </c>
      <c r="S35" s="231">
        <v>25</v>
      </c>
      <c r="T35" s="60">
        <v>25</v>
      </c>
      <c r="U35" s="60">
        <v>25</v>
      </c>
      <c r="V35" s="231">
        <v>25</v>
      </c>
      <c r="W35" s="60">
        <v>25</v>
      </c>
      <c r="X35" s="60">
        <v>25</v>
      </c>
      <c r="Y35" s="231">
        <v>25</v>
      </c>
      <c r="Z35" s="60">
        <v>25</v>
      </c>
      <c r="AA35" s="60">
        <v>25</v>
      </c>
      <c r="AB35" s="231">
        <v>25</v>
      </c>
      <c r="AC35" s="60">
        <v>25</v>
      </c>
      <c r="AD35" s="60">
        <v>25</v>
      </c>
      <c r="AE35" s="231">
        <v>25</v>
      </c>
      <c r="AF35" s="60">
        <v>25</v>
      </c>
      <c r="AG35" s="60">
        <v>25</v>
      </c>
      <c r="AH35" s="231">
        <v>25</v>
      </c>
      <c r="AI35" s="60">
        <v>25</v>
      </c>
      <c r="AJ35" s="60">
        <v>25</v>
      </c>
      <c r="AK35" s="231">
        <v>25</v>
      </c>
      <c r="AL35" s="60">
        <v>25</v>
      </c>
      <c r="AM35" s="60">
        <v>25</v>
      </c>
      <c r="AN35" s="61">
        <f t="shared" si="3"/>
        <v>900</v>
      </c>
    </row>
    <row r="36" spans="2:40" ht="20.100000000000001" customHeight="1" x14ac:dyDescent="0.15">
      <c r="B36" s="772"/>
      <c r="C36" s="225"/>
      <c r="D36" s="231"/>
      <c r="E36" s="60"/>
      <c r="F36" s="60"/>
      <c r="G36" s="231"/>
      <c r="H36" s="60"/>
      <c r="I36" s="60"/>
      <c r="J36" s="231"/>
      <c r="K36" s="60"/>
      <c r="L36" s="60"/>
      <c r="M36" s="231"/>
      <c r="N36" s="60"/>
      <c r="O36" s="60"/>
      <c r="P36" s="231"/>
      <c r="Q36" s="60"/>
      <c r="R36" s="60"/>
      <c r="S36" s="231"/>
      <c r="T36" s="60"/>
      <c r="U36" s="60"/>
      <c r="V36" s="231"/>
      <c r="W36" s="60"/>
      <c r="X36" s="60"/>
      <c r="Y36" s="231"/>
      <c r="Z36" s="60"/>
      <c r="AA36" s="60"/>
      <c r="AB36" s="231"/>
      <c r="AC36" s="60"/>
      <c r="AD36" s="60"/>
      <c r="AE36" s="231"/>
      <c r="AF36" s="60"/>
      <c r="AG36" s="60"/>
      <c r="AH36" s="231"/>
      <c r="AI36" s="60"/>
      <c r="AJ36" s="60"/>
      <c r="AK36" s="231"/>
      <c r="AL36" s="60"/>
      <c r="AM36" s="60"/>
      <c r="AN36" s="61">
        <f t="shared" ref="AN36:AN39" si="4">SUM(D36:AM36)</f>
        <v>0</v>
      </c>
    </row>
    <row r="37" spans="2:40" ht="20.100000000000001" customHeight="1" thickBot="1" x14ac:dyDescent="0.2">
      <c r="B37" s="773"/>
      <c r="C37" s="570" t="s">
        <v>203</v>
      </c>
      <c r="D37" s="232">
        <f>SUM(D33:D36)</f>
        <v>135</v>
      </c>
      <c r="E37" s="233">
        <f t="shared" ref="E37:AM37" si="5">SUM(E33:E36)</f>
        <v>135</v>
      </c>
      <c r="F37" s="233">
        <f t="shared" si="5"/>
        <v>135</v>
      </c>
      <c r="G37" s="232">
        <f t="shared" si="5"/>
        <v>135</v>
      </c>
      <c r="H37" s="233">
        <f t="shared" si="5"/>
        <v>135</v>
      </c>
      <c r="I37" s="233">
        <f t="shared" si="5"/>
        <v>135</v>
      </c>
      <c r="J37" s="232">
        <f t="shared" si="5"/>
        <v>135</v>
      </c>
      <c r="K37" s="233">
        <f t="shared" si="5"/>
        <v>135</v>
      </c>
      <c r="L37" s="233">
        <f t="shared" si="5"/>
        <v>135</v>
      </c>
      <c r="M37" s="232">
        <f t="shared" si="5"/>
        <v>135</v>
      </c>
      <c r="N37" s="233">
        <f t="shared" si="5"/>
        <v>135</v>
      </c>
      <c r="O37" s="233">
        <f t="shared" si="5"/>
        <v>135</v>
      </c>
      <c r="P37" s="232">
        <f t="shared" si="5"/>
        <v>135</v>
      </c>
      <c r="Q37" s="233">
        <f t="shared" si="5"/>
        <v>135</v>
      </c>
      <c r="R37" s="233">
        <f t="shared" si="5"/>
        <v>135</v>
      </c>
      <c r="S37" s="232">
        <f t="shared" si="5"/>
        <v>135</v>
      </c>
      <c r="T37" s="233">
        <f t="shared" si="5"/>
        <v>135</v>
      </c>
      <c r="U37" s="233">
        <f t="shared" si="5"/>
        <v>135</v>
      </c>
      <c r="V37" s="232">
        <f t="shared" si="5"/>
        <v>135</v>
      </c>
      <c r="W37" s="233">
        <f t="shared" si="5"/>
        <v>135</v>
      </c>
      <c r="X37" s="233">
        <f t="shared" si="5"/>
        <v>135</v>
      </c>
      <c r="Y37" s="232">
        <f t="shared" si="5"/>
        <v>135</v>
      </c>
      <c r="Z37" s="233">
        <f t="shared" si="5"/>
        <v>135</v>
      </c>
      <c r="AA37" s="233">
        <f t="shared" si="5"/>
        <v>135</v>
      </c>
      <c r="AB37" s="232">
        <f t="shared" si="5"/>
        <v>135</v>
      </c>
      <c r="AC37" s="233">
        <f t="shared" si="5"/>
        <v>135</v>
      </c>
      <c r="AD37" s="233">
        <f t="shared" si="5"/>
        <v>135</v>
      </c>
      <c r="AE37" s="232">
        <f t="shared" si="5"/>
        <v>135</v>
      </c>
      <c r="AF37" s="233">
        <f t="shared" si="5"/>
        <v>135</v>
      </c>
      <c r="AG37" s="233">
        <f t="shared" si="5"/>
        <v>135</v>
      </c>
      <c r="AH37" s="232">
        <f t="shared" si="5"/>
        <v>135</v>
      </c>
      <c r="AI37" s="233">
        <f t="shared" si="5"/>
        <v>135</v>
      </c>
      <c r="AJ37" s="233">
        <f t="shared" si="5"/>
        <v>135</v>
      </c>
      <c r="AK37" s="232">
        <f t="shared" si="5"/>
        <v>135</v>
      </c>
      <c r="AL37" s="233">
        <f t="shared" si="5"/>
        <v>135</v>
      </c>
      <c r="AM37" s="233">
        <f t="shared" si="5"/>
        <v>135</v>
      </c>
      <c r="AN37" s="234">
        <f t="shared" si="4"/>
        <v>4860</v>
      </c>
    </row>
    <row r="38" spans="2:40" ht="20.100000000000001" customHeight="1" thickTop="1" x14ac:dyDescent="0.15">
      <c r="B38" s="780" t="s">
        <v>204</v>
      </c>
      <c r="C38" s="781"/>
      <c r="D38" s="238">
        <f>D37-D31</f>
        <v>135</v>
      </c>
      <c r="E38" s="239">
        <f t="shared" ref="E38:AM38" si="6">E37-E31</f>
        <v>135</v>
      </c>
      <c r="F38" s="239">
        <f t="shared" si="6"/>
        <v>135</v>
      </c>
      <c r="G38" s="238">
        <f t="shared" si="6"/>
        <v>135</v>
      </c>
      <c r="H38" s="239">
        <f t="shared" si="6"/>
        <v>135</v>
      </c>
      <c r="I38" s="239">
        <f t="shared" si="6"/>
        <v>135</v>
      </c>
      <c r="J38" s="238">
        <f t="shared" si="6"/>
        <v>135</v>
      </c>
      <c r="K38" s="239">
        <f t="shared" si="6"/>
        <v>135</v>
      </c>
      <c r="L38" s="239">
        <f t="shared" si="6"/>
        <v>135</v>
      </c>
      <c r="M38" s="238">
        <f t="shared" si="6"/>
        <v>135</v>
      </c>
      <c r="N38" s="239">
        <f t="shared" si="6"/>
        <v>135</v>
      </c>
      <c r="O38" s="239">
        <f t="shared" si="6"/>
        <v>135</v>
      </c>
      <c r="P38" s="238">
        <f t="shared" si="6"/>
        <v>135</v>
      </c>
      <c r="Q38" s="239">
        <f t="shared" si="6"/>
        <v>135</v>
      </c>
      <c r="R38" s="239">
        <f t="shared" si="6"/>
        <v>135</v>
      </c>
      <c r="S38" s="238">
        <f t="shared" si="6"/>
        <v>135</v>
      </c>
      <c r="T38" s="239">
        <f t="shared" si="6"/>
        <v>135</v>
      </c>
      <c r="U38" s="239">
        <f t="shared" si="6"/>
        <v>135</v>
      </c>
      <c r="V38" s="238">
        <f t="shared" si="6"/>
        <v>135</v>
      </c>
      <c r="W38" s="239">
        <f t="shared" si="6"/>
        <v>135</v>
      </c>
      <c r="X38" s="239">
        <f t="shared" si="6"/>
        <v>135</v>
      </c>
      <c r="Y38" s="238">
        <f t="shared" si="6"/>
        <v>135</v>
      </c>
      <c r="Z38" s="239">
        <f t="shared" si="6"/>
        <v>135</v>
      </c>
      <c r="AA38" s="239">
        <f t="shared" si="6"/>
        <v>135</v>
      </c>
      <c r="AB38" s="238">
        <f t="shared" si="6"/>
        <v>135</v>
      </c>
      <c r="AC38" s="239">
        <f t="shared" si="6"/>
        <v>135</v>
      </c>
      <c r="AD38" s="239">
        <f t="shared" si="6"/>
        <v>135</v>
      </c>
      <c r="AE38" s="238">
        <f t="shared" si="6"/>
        <v>135</v>
      </c>
      <c r="AF38" s="239">
        <f t="shared" si="6"/>
        <v>135</v>
      </c>
      <c r="AG38" s="239">
        <f t="shared" si="6"/>
        <v>135</v>
      </c>
      <c r="AH38" s="238">
        <f t="shared" si="6"/>
        <v>135</v>
      </c>
      <c r="AI38" s="239">
        <f t="shared" si="6"/>
        <v>135</v>
      </c>
      <c r="AJ38" s="239">
        <f t="shared" si="6"/>
        <v>135</v>
      </c>
      <c r="AK38" s="238">
        <f t="shared" si="6"/>
        <v>135</v>
      </c>
      <c r="AL38" s="239">
        <f t="shared" si="6"/>
        <v>135</v>
      </c>
      <c r="AM38" s="239">
        <f t="shared" si="6"/>
        <v>135</v>
      </c>
      <c r="AN38" s="230">
        <f t="shared" si="4"/>
        <v>4860</v>
      </c>
    </row>
    <row r="39" spans="2:40" ht="20.100000000000001" customHeight="1" thickBot="1" x14ac:dyDescent="0.2">
      <c r="B39" s="778" t="s">
        <v>201</v>
      </c>
      <c r="C39" s="779"/>
      <c r="D39" s="235"/>
      <c r="E39" s="236"/>
      <c r="F39" s="236"/>
      <c r="G39" s="235"/>
      <c r="H39" s="236"/>
      <c r="I39" s="236"/>
      <c r="J39" s="235"/>
      <c r="K39" s="236"/>
      <c r="L39" s="236"/>
      <c r="M39" s="235"/>
      <c r="N39" s="236"/>
      <c r="O39" s="236"/>
      <c r="P39" s="235"/>
      <c r="Q39" s="236"/>
      <c r="R39" s="236"/>
      <c r="S39" s="235"/>
      <c r="T39" s="236"/>
      <c r="U39" s="236"/>
      <c r="V39" s="235"/>
      <c r="W39" s="236"/>
      <c r="X39" s="236"/>
      <c r="Y39" s="235"/>
      <c r="Z39" s="236"/>
      <c r="AA39" s="236"/>
      <c r="AB39" s="235"/>
      <c r="AC39" s="236"/>
      <c r="AD39" s="236"/>
      <c r="AE39" s="235"/>
      <c r="AF39" s="236"/>
      <c r="AG39" s="236"/>
      <c r="AH39" s="235"/>
      <c r="AI39" s="236"/>
      <c r="AJ39" s="236"/>
      <c r="AK39" s="235"/>
      <c r="AL39" s="236"/>
      <c r="AM39" s="236"/>
      <c r="AN39" s="237">
        <f t="shared" si="4"/>
        <v>0</v>
      </c>
    </row>
  </sheetData>
  <mergeCells count="49">
    <mergeCell ref="M4:O4"/>
    <mergeCell ref="P4:R4"/>
    <mergeCell ref="B17:C17"/>
    <mergeCell ref="AK4:AM4"/>
    <mergeCell ref="B12:C12"/>
    <mergeCell ref="B13:C13"/>
    <mergeCell ref="B14:C14"/>
    <mergeCell ref="B15:C15"/>
    <mergeCell ref="B16:C16"/>
    <mergeCell ref="J29:L29"/>
    <mergeCell ref="AN4:AN5"/>
    <mergeCell ref="B6:C8"/>
    <mergeCell ref="B9:C9"/>
    <mergeCell ref="B10:C10"/>
    <mergeCell ref="B11:C11"/>
    <mergeCell ref="S4:U4"/>
    <mergeCell ref="V4:X4"/>
    <mergeCell ref="Y4:AA4"/>
    <mergeCell ref="AB4:AD4"/>
    <mergeCell ref="AE4:AG4"/>
    <mergeCell ref="AH4:AJ4"/>
    <mergeCell ref="B4:C5"/>
    <mergeCell ref="D4:F4"/>
    <mergeCell ref="G4:I4"/>
    <mergeCell ref="J4:L4"/>
    <mergeCell ref="B22:C22"/>
    <mergeCell ref="B23:C23"/>
    <mergeCell ref="B39:C39"/>
    <mergeCell ref="B38:C38"/>
    <mergeCell ref="B18:C18"/>
    <mergeCell ref="B19:C19"/>
    <mergeCell ref="B20:C20"/>
    <mergeCell ref="B21:C21"/>
    <mergeCell ref="AK29:AM29"/>
    <mergeCell ref="AN29:AN30"/>
    <mergeCell ref="B31:C31"/>
    <mergeCell ref="B32:C32"/>
    <mergeCell ref="B33:B37"/>
    <mergeCell ref="S29:U29"/>
    <mergeCell ref="V29:X29"/>
    <mergeCell ref="Y29:AA29"/>
    <mergeCell ref="AB29:AD29"/>
    <mergeCell ref="AE29:AG29"/>
    <mergeCell ref="AH29:AJ29"/>
    <mergeCell ref="B29:C30"/>
    <mergeCell ref="D29:F29"/>
    <mergeCell ref="G29:I29"/>
    <mergeCell ref="M29:O29"/>
    <mergeCell ref="P29:R29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23</vt:i4>
      </vt:variant>
    </vt:vector>
  </HeadingPairs>
  <TitlesOfParts>
    <vt:vector size="48" baseType="lpstr">
      <vt:lpstr>１　対象経営の概要，２　前提条件</vt:lpstr>
      <vt:lpstr>３-１　ピオーネトンネル標準技術 </vt:lpstr>
      <vt:lpstr>３-２　ベリーＡ保温メッシュ標準技術</vt:lpstr>
      <vt:lpstr>３-３　ベリーＡトンネル標準技術</vt:lpstr>
      <vt:lpstr>３-３　シャイントンネル標準技術</vt:lpstr>
      <vt:lpstr>４　経営収支</vt:lpstr>
      <vt:lpstr>５－１　ピオーネトンネル作業時間</vt:lpstr>
      <vt:lpstr>５－２　ベリーＡ保温メッシュ作業時間 </vt:lpstr>
      <vt:lpstr>５－３　ベリーＡトンネル作業時間</vt:lpstr>
      <vt:lpstr>５－３　シャイントンネル作業時間</vt:lpstr>
      <vt:lpstr>作業時間まとめ</vt:lpstr>
      <vt:lpstr>６　固定資本装備と減価償却費</vt:lpstr>
      <vt:lpstr>７－１　ピオーネトンネル部門収支</vt:lpstr>
      <vt:lpstr>７－２　ベリーＡ保温メッシュ部門収支</vt:lpstr>
      <vt:lpstr>７－３　ベリーＡトンネル部門収支</vt:lpstr>
      <vt:lpstr>７－３　シャイントンネル部門収支</vt:lpstr>
      <vt:lpstr>８－１　ピオーネトンネル算出基礎</vt:lpstr>
      <vt:lpstr>８－２　ベリーＡ保温メッシュ算出基礎</vt:lpstr>
      <vt:lpstr>８－３　ベリーＡトンネル算出基礎</vt:lpstr>
      <vt:lpstr>８－３　シャイントンネル算出基礎 </vt:lpstr>
      <vt:lpstr>農薬算出基礎</vt:lpstr>
      <vt:lpstr>肥料算出基礎</vt:lpstr>
      <vt:lpstr>９-１　ピオーネ単価算出基礎</vt:lpstr>
      <vt:lpstr>９-２　ベリーＡ単価算出基礎</vt:lpstr>
      <vt:lpstr>9-3　シャインマスカット単価算出基礎</vt:lpstr>
      <vt:lpstr>'１　対象経営の概要，２　前提条件'!Print_Area</vt:lpstr>
      <vt:lpstr>'３-１　ピオーネトンネル標準技術 '!Print_Area</vt:lpstr>
      <vt:lpstr>'３-２　ベリーＡ保温メッシュ標準技術'!Print_Area</vt:lpstr>
      <vt:lpstr>'３-３　シャイントンネル標準技術'!Print_Area</vt:lpstr>
      <vt:lpstr>'３-３　ベリーＡトンネル標準技術'!Print_Area</vt:lpstr>
      <vt:lpstr>'４　経営収支'!Print_Area</vt:lpstr>
      <vt:lpstr>'５－１　ピオーネトンネル作業時間'!Print_Area</vt:lpstr>
      <vt:lpstr>'５－２　ベリーＡ保温メッシュ作業時間 '!Print_Area</vt:lpstr>
      <vt:lpstr>'５－３　シャイントンネル作業時間'!Print_Area</vt:lpstr>
      <vt:lpstr>'５－３　ベリーＡトンネル作業時間'!Print_Area</vt:lpstr>
      <vt:lpstr>'６　固定資本装備と減価償却費'!Print_Area</vt:lpstr>
      <vt:lpstr>'７－１　ピオーネトンネル部門収支'!Print_Area</vt:lpstr>
      <vt:lpstr>'７－２　ベリーＡ保温メッシュ部門収支'!Print_Area</vt:lpstr>
      <vt:lpstr>'７－３　シャイントンネル部門収支'!Print_Area</vt:lpstr>
      <vt:lpstr>'７－３　ベリーＡトンネル部門収支'!Print_Area</vt:lpstr>
      <vt:lpstr>'８－１　ピオーネトンネル算出基礎'!Print_Area</vt:lpstr>
      <vt:lpstr>'８－２　ベリーＡ保温メッシュ算出基礎'!Print_Area</vt:lpstr>
      <vt:lpstr>'８－３　シャイントンネル算出基礎 '!Print_Area</vt:lpstr>
      <vt:lpstr>'８－３　ベリーＡトンネル算出基礎'!Print_Area</vt:lpstr>
      <vt:lpstr>'９-１　ピオーネ単価算出基礎'!Print_Area</vt:lpstr>
      <vt:lpstr>'９-２　ベリーＡ単価算出基礎'!Print_Area</vt:lpstr>
      <vt:lpstr>'9-3　シャインマスカット単価算出基礎'!Print_Area</vt:lpstr>
      <vt:lpstr>作業時間まとめ!Print_Area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2015-02-17T01:59:43Z</cp:lastPrinted>
  <dcterms:created xsi:type="dcterms:W3CDTF">2005-02-26T02:20:11Z</dcterms:created>
  <dcterms:modified xsi:type="dcterms:W3CDTF">2015-03-25T05:51:40Z</dcterms:modified>
</cp:coreProperties>
</file>