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9200" windowHeight="8745" tabRatio="881"/>
  </bookViews>
  <sheets>
    <sheet name="１　対象経営の概要，２　前提条件" sheetId="19" r:id="rId1"/>
    <sheet name="３　ブロッコリー標準技術" sheetId="45" r:id="rId2"/>
    <sheet name="４　経営収支" sheetId="22" r:id="rId3"/>
    <sheet name="５ ブロッコリー作業時間" sheetId="27" r:id="rId4"/>
    <sheet name="６　固定資本装備と減価償却費" sheetId="30" r:id="rId5"/>
    <sheet name="７-１　ブロッコリー（春まき）部門収支" sheetId="35" r:id="rId6"/>
    <sheet name="７-2　ブロッコリー（夏まき）部門収支" sheetId="47" r:id="rId7"/>
    <sheet name="８-１　ブロッコリー（春まき）算出基礎" sheetId="36" r:id="rId8"/>
    <sheet name="８-２　ブロッコリー（夏まき）算出基礎" sheetId="48" r:id="rId9"/>
    <sheet name="９　ブロッコリー単価算出基礎" sheetId="42" r:id="rId10"/>
    <sheet name="Sheet1" sheetId="43" state="hidden" r:id="rId11"/>
  </sheets>
  <definedNames>
    <definedName name="_a1" localSheetId="1" hidden="1">#REF!</definedName>
    <definedName name="_a1" localSheetId="6" hidden="1">#REF!</definedName>
    <definedName name="_a1" localSheetId="8" hidden="1">#REF!</definedName>
    <definedName name="_a1" hidden="1">#REF!</definedName>
    <definedName name="_a2" localSheetId="1" hidden="1">#REF!</definedName>
    <definedName name="_a2" localSheetId="6" hidden="1">#REF!</definedName>
    <definedName name="_a2" localSheetId="8" hidden="1">#REF!</definedName>
    <definedName name="_a2" hidden="1">#REF!</definedName>
    <definedName name="_a3" localSheetId="1" hidden="1">#REF!</definedName>
    <definedName name="_a3" localSheetId="6" hidden="1">#REF!</definedName>
    <definedName name="_a3" localSheetId="8" hidden="1">#REF!</definedName>
    <definedName name="_a3" hidden="1">#REF!</definedName>
    <definedName name="_a4" localSheetId="1" hidden="1">#REF!</definedName>
    <definedName name="_a4" localSheetId="6" hidden="1">#REF!</definedName>
    <definedName name="_a4" localSheetId="8" hidden="1">#REF!</definedName>
    <definedName name="_a4" hidden="1">#REF!</definedName>
    <definedName name="_a5" localSheetId="1" hidden="1">#REF!</definedName>
    <definedName name="_a5" localSheetId="6" hidden="1">#REF!</definedName>
    <definedName name="_a5" localSheetId="8" hidden="1">#REF!</definedName>
    <definedName name="_a5" hidden="1">#REF!</definedName>
    <definedName name="_a6" localSheetId="1" hidden="1">#REF!</definedName>
    <definedName name="_a6" localSheetId="6" hidden="1">#REF!</definedName>
    <definedName name="_a6" localSheetId="8" hidden="1">#REF!</definedName>
    <definedName name="_a6" hidden="1">#REF!</definedName>
    <definedName name="_a7" localSheetId="1" hidden="1">#REF!</definedName>
    <definedName name="_a7" localSheetId="6" hidden="1">#REF!</definedName>
    <definedName name="_a7" localSheetId="8" hidden="1">#REF!</definedName>
    <definedName name="_a7" hidden="1">#REF!</definedName>
    <definedName name="aaa" localSheetId="1" hidden="1">#REF!</definedName>
    <definedName name="aaa" localSheetId="6" hidden="1">#REF!</definedName>
    <definedName name="aaa" localSheetId="8" hidden="1">#REF!</definedName>
    <definedName name="aaa" hidden="1">#REF!</definedName>
    <definedName name="bbb" localSheetId="1" hidden="1">#REF!</definedName>
    <definedName name="bbb" localSheetId="6" hidden="1">#REF!</definedName>
    <definedName name="bbb" localSheetId="8" hidden="1">#REF!</definedName>
    <definedName name="bbb" hidden="1">#REF!</definedName>
    <definedName name="ccc" localSheetId="1" hidden="1">#REF!</definedName>
    <definedName name="ccc" localSheetId="6" hidden="1">#REF!</definedName>
    <definedName name="ccc" localSheetId="8" hidden="1">#REF!</definedName>
    <definedName name="ccc" hidden="1">#REF!</definedName>
    <definedName name="ddd" localSheetId="1" hidden="1">#REF!</definedName>
    <definedName name="ddd" localSheetId="6" hidden="1">#REF!</definedName>
    <definedName name="ddd" localSheetId="8" hidden="1">#REF!</definedName>
    <definedName name="ddd" hidden="1">#REF!</definedName>
    <definedName name="eee" localSheetId="1" hidden="1">#REF!</definedName>
    <definedName name="eee" localSheetId="6" hidden="1">#REF!</definedName>
    <definedName name="eee" localSheetId="8" hidden="1">#REF!</definedName>
    <definedName name="eee" hidden="1">#REF!</definedName>
    <definedName name="fff" localSheetId="1" hidden="1">#REF!</definedName>
    <definedName name="fff" localSheetId="6" hidden="1">#REF!</definedName>
    <definedName name="fff" localSheetId="8" hidden="1">#REF!</definedName>
    <definedName name="fff" hidden="1">#REF!</definedName>
    <definedName name="ggg" localSheetId="1" hidden="1">#REF!</definedName>
    <definedName name="ggg" localSheetId="6" hidden="1">#REF!</definedName>
    <definedName name="ggg" localSheetId="8" hidden="1">#REF!</definedName>
    <definedName name="ggg" hidden="1">#REF!</definedName>
    <definedName name="hhh" localSheetId="1" hidden="1">#REF!</definedName>
    <definedName name="hhh" localSheetId="6" hidden="1">#REF!</definedName>
    <definedName name="hhh" localSheetId="8" hidden="1">#REF!</definedName>
    <definedName name="hhh" hidden="1">#REF!</definedName>
    <definedName name="_xlnm.Print_Area" localSheetId="2">'４　経営収支'!$A$1:$O$38</definedName>
    <definedName name="_xlnm.Print_Area" localSheetId="3">'５ ブロッコリー作業時間'!$A$1:$AO$46</definedName>
    <definedName name="_xlnm.Print_Area" localSheetId="4">'６　固定資本装備と減価償却費'!$1:$36</definedName>
    <definedName name="_xlnm.Print_Area" localSheetId="5">'７-１　ブロッコリー（春まき）部門収支'!$A$1:$S$45</definedName>
    <definedName name="_xlnm.Print_Area" localSheetId="6">'７-2　ブロッコリー（夏まき）部門収支'!$A$1:$S$45</definedName>
    <definedName name="simizu" localSheetId="1" hidden="1">#REF!</definedName>
    <definedName name="simizu" localSheetId="6" hidden="1">#REF!</definedName>
    <definedName name="simizu" localSheetId="8" hidden="1">#REF!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F7" i="22" l="1"/>
  <c r="O31" i="47" l="1"/>
  <c r="O30" i="47"/>
  <c r="O31" i="35"/>
  <c r="O30" i="35"/>
  <c r="K7" i="30" l="1"/>
  <c r="G7" i="30"/>
  <c r="I7" i="30" s="1"/>
  <c r="L7" i="30" l="1"/>
  <c r="V26" i="48"/>
  <c r="V26" i="36"/>
  <c r="N19" i="48"/>
  <c r="L19" i="48"/>
  <c r="K19" i="48"/>
  <c r="N16" i="48"/>
  <c r="L16" i="48"/>
  <c r="K16" i="48"/>
  <c r="N15" i="48"/>
  <c r="N19" i="36"/>
  <c r="L19" i="36"/>
  <c r="N15" i="36"/>
  <c r="K19" i="36"/>
  <c r="K16" i="36"/>
  <c r="L16" i="36"/>
  <c r="N16" i="36"/>
  <c r="P7" i="30" l="1"/>
  <c r="N7" i="30"/>
  <c r="K5" i="30"/>
  <c r="G6" i="30"/>
  <c r="K16" i="30" l="1"/>
  <c r="V5" i="48" l="1"/>
  <c r="J37" i="22"/>
  <c r="H37" i="22" s="1"/>
  <c r="J36" i="22"/>
  <c r="G37" i="22" s="1"/>
  <c r="V5" i="36"/>
  <c r="K15" i="30" l="1"/>
  <c r="K14" i="30"/>
  <c r="K13" i="30"/>
  <c r="K6" i="30"/>
  <c r="K18" i="30"/>
  <c r="K17" i="30"/>
  <c r="N51" i="48" l="1"/>
  <c r="N51" i="36"/>
  <c r="T51" i="48"/>
  <c r="V51" i="48" s="1"/>
  <c r="T45" i="36"/>
  <c r="V45" i="36" s="1"/>
  <c r="N52" i="48"/>
  <c r="T45" i="48"/>
  <c r="V45" i="48" s="1"/>
  <c r="T51" i="36"/>
  <c r="V51" i="36" s="1"/>
  <c r="N43" i="36"/>
  <c r="N43" i="48"/>
  <c r="N52" i="36"/>
  <c r="AB38" i="27"/>
  <c r="AC38" i="27"/>
  <c r="AD38" i="27"/>
  <c r="AE38" i="27"/>
  <c r="AF38" i="27"/>
  <c r="AG38" i="27"/>
  <c r="AH38" i="27"/>
  <c r="AI38" i="27"/>
  <c r="AJ38" i="27"/>
  <c r="Y38" i="27"/>
  <c r="Z38" i="27"/>
  <c r="AA38" i="27"/>
  <c r="W38" i="27"/>
  <c r="X38" i="27"/>
  <c r="V38" i="27"/>
  <c r="AL30" i="27"/>
  <c r="Z30" i="27"/>
  <c r="AM29" i="27"/>
  <c r="AL29" i="27"/>
  <c r="AK29" i="27"/>
  <c r="AJ29" i="27"/>
  <c r="AI29" i="27"/>
  <c r="AH29" i="27"/>
  <c r="AI30" i="27" s="1"/>
  <c r="AG29" i="27"/>
  <c r="AF29" i="27"/>
  <c r="AF30" i="27" s="1"/>
  <c r="AE29" i="27"/>
  <c r="AD29" i="27"/>
  <c r="AC29" i="27"/>
  <c r="AB29" i="27"/>
  <c r="AC30" i="27" s="1"/>
  <c r="AA29" i="27"/>
  <c r="Z29" i="27"/>
  <c r="Y29" i="27"/>
  <c r="X29" i="27"/>
  <c r="W29" i="27"/>
  <c r="V29" i="27"/>
  <c r="W30" i="27" s="1"/>
  <c r="U29" i="27"/>
  <c r="T29" i="27"/>
  <c r="T30" i="27" s="1"/>
  <c r="S29" i="27"/>
  <c r="R29" i="27"/>
  <c r="Q29" i="27"/>
  <c r="P29" i="27"/>
  <c r="O29" i="27"/>
  <c r="N29" i="27"/>
  <c r="M29" i="27"/>
  <c r="N30" i="27" s="1"/>
  <c r="L29" i="27"/>
  <c r="K29" i="27"/>
  <c r="J29" i="27"/>
  <c r="K30" i="27" s="1"/>
  <c r="I29" i="27"/>
  <c r="H29" i="27"/>
  <c r="H30" i="27" s="1"/>
  <c r="G29" i="27"/>
  <c r="F29" i="27"/>
  <c r="E29" i="27"/>
  <c r="D29" i="27"/>
  <c r="E30" i="27" s="1"/>
  <c r="AN28" i="27"/>
  <c r="AN27" i="27"/>
  <c r="AN26" i="27"/>
  <c r="AN25" i="27"/>
  <c r="AN24" i="27"/>
  <c r="AN23" i="27"/>
  <c r="AN41" i="27"/>
  <c r="AN40" i="27"/>
  <c r="Q30" i="27" l="1"/>
  <c r="AN30" i="27"/>
  <c r="AN29" i="27"/>
  <c r="F22" i="35" l="1"/>
  <c r="F21" i="35"/>
  <c r="F22" i="47"/>
  <c r="F21" i="47"/>
  <c r="I18" i="30" l="1"/>
  <c r="L18" i="30" s="1"/>
  <c r="P24" i="47" l="1"/>
  <c r="H29" i="22" l="1"/>
  <c r="G24" i="22"/>
  <c r="H26" i="22"/>
  <c r="H23" i="22"/>
  <c r="H6" i="22"/>
  <c r="P26" i="47"/>
  <c r="P25" i="47"/>
  <c r="P19" i="47"/>
  <c r="P18" i="47"/>
  <c r="P17" i="47"/>
  <c r="G42" i="36"/>
  <c r="G41" i="36"/>
  <c r="G40" i="36"/>
  <c r="M5" i="35"/>
  <c r="H14" i="22" l="1"/>
  <c r="H27" i="22"/>
  <c r="H24" i="22"/>
  <c r="H8" i="22"/>
  <c r="H20" i="22"/>
  <c r="G56" i="48"/>
  <c r="G55" i="48"/>
  <c r="G54" i="48"/>
  <c r="G57" i="48" s="1"/>
  <c r="G52" i="48"/>
  <c r="V56" i="48"/>
  <c r="G51" i="48"/>
  <c r="G53" i="48" s="1"/>
  <c r="N50" i="48"/>
  <c r="G50" i="48"/>
  <c r="G48" i="48"/>
  <c r="G47" i="48"/>
  <c r="G46" i="48"/>
  <c r="V50" i="48"/>
  <c r="G45" i="48"/>
  <c r="V44" i="48"/>
  <c r="G44" i="48"/>
  <c r="G43" i="48"/>
  <c r="G42" i="48"/>
  <c r="G41" i="48"/>
  <c r="G40" i="48"/>
  <c r="G39" i="48"/>
  <c r="G49" i="48" s="1"/>
  <c r="G37" i="48"/>
  <c r="G36" i="48"/>
  <c r="G35" i="48"/>
  <c r="G34" i="48"/>
  <c r="G33" i="48"/>
  <c r="G32" i="48"/>
  <c r="L31" i="48"/>
  <c r="K31" i="48"/>
  <c r="G31" i="48"/>
  <c r="N30" i="48"/>
  <c r="N31" i="48" s="1"/>
  <c r="G30" i="48"/>
  <c r="N29" i="48"/>
  <c r="G29" i="48"/>
  <c r="G38" i="48" s="1"/>
  <c r="G28" i="48"/>
  <c r="N27" i="48"/>
  <c r="L27" i="48"/>
  <c r="K27" i="48"/>
  <c r="N26" i="48"/>
  <c r="V25" i="48"/>
  <c r="N25" i="48"/>
  <c r="V24" i="48"/>
  <c r="L23" i="48"/>
  <c r="K23" i="48"/>
  <c r="G23" i="48"/>
  <c r="N22" i="48"/>
  <c r="N23" i="48" s="1"/>
  <c r="G22" i="48"/>
  <c r="N21" i="48"/>
  <c r="G21" i="48"/>
  <c r="G24" i="48" s="1"/>
  <c r="G19" i="48"/>
  <c r="N18" i="48"/>
  <c r="G18" i="48"/>
  <c r="N17" i="48"/>
  <c r="G17" i="48"/>
  <c r="G20" i="48" s="1"/>
  <c r="G15" i="48"/>
  <c r="N14" i="48"/>
  <c r="G14" i="48"/>
  <c r="N13" i="48"/>
  <c r="G13" i="48"/>
  <c r="N12" i="48"/>
  <c r="G12" i="48"/>
  <c r="G16" i="48" s="1"/>
  <c r="N11" i="48"/>
  <c r="L10" i="48"/>
  <c r="K10" i="48"/>
  <c r="G10" i="48"/>
  <c r="N9" i="48"/>
  <c r="G9" i="48"/>
  <c r="N8" i="48"/>
  <c r="G8" i="48"/>
  <c r="G11" i="48" s="1"/>
  <c r="N7" i="48"/>
  <c r="G7" i="48"/>
  <c r="N6" i="48"/>
  <c r="G6" i="48"/>
  <c r="G5" i="48"/>
  <c r="P36" i="47"/>
  <c r="P35" i="47"/>
  <c r="P34" i="47"/>
  <c r="P27" i="47"/>
  <c r="P22" i="47"/>
  <c r="F7" i="47" s="1"/>
  <c r="H9" i="22" s="1"/>
  <c r="P13" i="47"/>
  <c r="P11" i="47"/>
  <c r="M6" i="47"/>
  <c r="N6" i="47" s="1"/>
  <c r="F6" i="47"/>
  <c r="M5" i="47"/>
  <c r="N5" i="47" s="1"/>
  <c r="Z44" i="27"/>
  <c r="N46" i="48" l="1"/>
  <c r="V34" i="48"/>
  <c r="F11" i="47" s="1"/>
  <c r="H13" i="22" s="1"/>
  <c r="P31" i="47"/>
  <c r="N10" i="48"/>
  <c r="P30" i="47" s="1"/>
  <c r="V20" i="48"/>
  <c r="F10" i="47" s="1"/>
  <c r="H12" i="22" s="1"/>
  <c r="N56" i="48"/>
  <c r="V57" i="48"/>
  <c r="F26" i="47" s="1"/>
  <c r="R11" i="47"/>
  <c r="P15" i="47"/>
  <c r="F4" i="47" l="1"/>
  <c r="Q11" i="47"/>
  <c r="F23" i="47" l="1"/>
  <c r="H25" i="22" s="1"/>
  <c r="H5" i="22"/>
  <c r="H7" i="22" s="1"/>
  <c r="AG44" i="27"/>
  <c r="G32" i="36" l="1"/>
  <c r="V25" i="36" l="1"/>
  <c r="L10" i="36" l="1"/>
  <c r="N11" i="36"/>
  <c r="N12" i="36"/>
  <c r="N13" i="36"/>
  <c r="N14" i="36"/>
  <c r="P32" i="47" l="1"/>
  <c r="N6" i="36"/>
  <c r="I16" i="30" l="1"/>
  <c r="L16" i="30" s="1"/>
  <c r="N16" i="30" s="1"/>
  <c r="P16" i="30" s="1"/>
  <c r="I17" i="30"/>
  <c r="L17" i="30" s="1"/>
  <c r="N17" i="30" s="1"/>
  <c r="I5" i="30"/>
  <c r="K35" i="48" l="1"/>
  <c r="N35" i="48" s="1"/>
  <c r="K35" i="36"/>
  <c r="N35" i="36" s="1"/>
  <c r="P17" i="30"/>
  <c r="N11" i="42" l="1"/>
  <c r="G26" i="22" l="1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C11" i="42"/>
  <c r="G6" i="22"/>
  <c r="F6" i="22" s="1"/>
  <c r="G44" i="36" l="1"/>
  <c r="G45" i="36"/>
  <c r="G46" i="36"/>
  <c r="G47" i="36"/>
  <c r="G31" i="36"/>
  <c r="G33" i="36"/>
  <c r="G34" i="36"/>
  <c r="G35" i="36"/>
  <c r="L27" i="36"/>
  <c r="K27" i="36"/>
  <c r="N26" i="36"/>
  <c r="N25" i="36"/>
  <c r="N27" i="36" l="1"/>
  <c r="P35" i="35" s="1"/>
  <c r="N50" i="36"/>
  <c r="N46" i="36"/>
  <c r="V56" i="36"/>
  <c r="V50" i="36"/>
  <c r="V44" i="36"/>
  <c r="V24" i="36"/>
  <c r="V34" i="36" s="1"/>
  <c r="N56" i="36" l="1"/>
  <c r="V57" i="36"/>
  <c r="H28" i="22" s="1"/>
  <c r="L5" i="30"/>
  <c r="N5" i="30" s="1"/>
  <c r="P9" i="30"/>
  <c r="P10" i="30"/>
  <c r="I6" i="30"/>
  <c r="K36" i="48" l="1"/>
  <c r="N36" i="48" s="1"/>
  <c r="N42" i="48" s="1"/>
  <c r="N57" i="48" s="1"/>
  <c r="K36" i="36"/>
  <c r="N36" i="36" s="1"/>
  <c r="N42" i="36" s="1"/>
  <c r="N57" i="36"/>
  <c r="F28" i="47" s="1"/>
  <c r="L6" i="30"/>
  <c r="F29" i="47" l="1"/>
  <c r="H30" i="22"/>
  <c r="AM44" i="27"/>
  <c r="AL44" i="27"/>
  <c r="AL45" i="27" s="1"/>
  <c r="AK44" i="27"/>
  <c r="AJ44" i="27"/>
  <c r="AJ45" i="27" s="1"/>
  <c r="AI44" i="27"/>
  <c r="AH44" i="27"/>
  <c r="AH45" i="27" s="1"/>
  <c r="AF44" i="27"/>
  <c r="AE44" i="27"/>
  <c r="AD44" i="27"/>
  <c r="AC44" i="27"/>
  <c r="AB44" i="27"/>
  <c r="AA44" i="27"/>
  <c r="Y44" i="27"/>
  <c r="X44" i="27"/>
  <c r="W44" i="27"/>
  <c r="V44" i="27"/>
  <c r="V45" i="27" s="1"/>
  <c r="U44" i="27"/>
  <c r="T44" i="27"/>
  <c r="S44" i="27"/>
  <c r="R44" i="27"/>
  <c r="R45" i="27" s="1"/>
  <c r="Q44" i="27"/>
  <c r="P44" i="27"/>
  <c r="O44" i="27"/>
  <c r="N44" i="27"/>
  <c r="N45" i="27" s="1"/>
  <c r="M44" i="27"/>
  <c r="L44" i="27"/>
  <c r="K44" i="27"/>
  <c r="J44" i="27"/>
  <c r="J45" i="27" s="1"/>
  <c r="I44" i="27"/>
  <c r="H44" i="27"/>
  <c r="G44" i="27"/>
  <c r="F44" i="27"/>
  <c r="F45" i="27" s="1"/>
  <c r="E44" i="27"/>
  <c r="D44" i="27"/>
  <c r="G19" i="36"/>
  <c r="G18" i="36"/>
  <c r="L31" i="36"/>
  <c r="K31" i="36"/>
  <c r="L23" i="36"/>
  <c r="K23" i="36"/>
  <c r="N30" i="36"/>
  <c r="N29" i="36"/>
  <c r="N22" i="36"/>
  <c r="N21" i="36"/>
  <c r="N18" i="36"/>
  <c r="N17" i="36"/>
  <c r="K10" i="36"/>
  <c r="N7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G56" i="36"/>
  <c r="G55" i="36"/>
  <c r="G54" i="36"/>
  <c r="G52" i="36"/>
  <c r="G51" i="36"/>
  <c r="G50" i="36"/>
  <c r="G48" i="36"/>
  <c r="G39" i="36"/>
  <c r="G37" i="36"/>
  <c r="G36" i="36"/>
  <c r="G30" i="36"/>
  <c r="G29" i="36"/>
  <c r="G28" i="36"/>
  <c r="P13" i="35"/>
  <c r="N5" i="35"/>
  <c r="I14" i="30"/>
  <c r="L14" i="30" s="1"/>
  <c r="P27" i="30"/>
  <c r="P26" i="30"/>
  <c r="P20" i="30"/>
  <c r="P19" i="30"/>
  <c r="I15" i="30"/>
  <c r="L15" i="30" s="1"/>
  <c r="G35" i="30"/>
  <c r="P34" i="30"/>
  <c r="P33" i="30"/>
  <c r="P32" i="30"/>
  <c r="G30" i="30"/>
  <c r="P28" i="30"/>
  <c r="P25" i="30"/>
  <c r="P21" i="30"/>
  <c r="I13" i="30"/>
  <c r="G12" i="30"/>
  <c r="P11" i="30"/>
  <c r="P8" i="30"/>
  <c r="AN9" i="27"/>
  <c r="AM15" i="27"/>
  <c r="AM38" i="27" s="1"/>
  <c r="AL15" i="27"/>
  <c r="AL38" i="27" s="1"/>
  <c r="AK15" i="27"/>
  <c r="AK38" i="27" s="1"/>
  <c r="AJ15" i="27"/>
  <c r="AI15" i="27"/>
  <c r="AH15" i="27"/>
  <c r="AG15" i="27"/>
  <c r="AG45" i="27" s="1"/>
  <c r="AF15" i="27"/>
  <c r="AE15" i="27"/>
  <c r="AD15" i="27"/>
  <c r="AC15" i="27"/>
  <c r="AB15" i="27"/>
  <c r="AA15" i="27"/>
  <c r="Z15" i="27"/>
  <c r="Z45" i="27" s="1"/>
  <c r="X15" i="27"/>
  <c r="W15" i="27"/>
  <c r="V15" i="27"/>
  <c r="U15" i="27"/>
  <c r="U38" i="27" s="1"/>
  <c r="T15" i="27"/>
  <c r="T38" i="27" s="1"/>
  <c r="S15" i="27"/>
  <c r="S38" i="27" s="1"/>
  <c r="R15" i="27"/>
  <c r="R38" i="27" s="1"/>
  <c r="Q15" i="27"/>
  <c r="Q38" i="27" s="1"/>
  <c r="P15" i="27"/>
  <c r="P38" i="27" s="1"/>
  <c r="O15" i="27"/>
  <c r="O38" i="27" s="1"/>
  <c r="N15" i="27"/>
  <c r="N38" i="27" s="1"/>
  <c r="M15" i="27"/>
  <c r="M38" i="27" s="1"/>
  <c r="L15" i="27"/>
  <c r="L38" i="27" s="1"/>
  <c r="K15" i="27"/>
  <c r="K38" i="27" s="1"/>
  <c r="J15" i="27"/>
  <c r="J38" i="27" s="1"/>
  <c r="I15" i="27"/>
  <c r="I38" i="27" s="1"/>
  <c r="H15" i="27"/>
  <c r="H38" i="27" s="1"/>
  <c r="G15" i="27"/>
  <c r="G38" i="27" s="1"/>
  <c r="F15" i="27"/>
  <c r="F38" i="27" s="1"/>
  <c r="E15" i="27"/>
  <c r="E38" i="27" s="1"/>
  <c r="D15" i="27"/>
  <c r="D38" i="27" s="1"/>
  <c r="AN14" i="27"/>
  <c r="AN13" i="27"/>
  <c r="AN12" i="27"/>
  <c r="AN11" i="27"/>
  <c r="AN10" i="27"/>
  <c r="AA45" i="27" l="1"/>
  <c r="AA46" i="27" s="1"/>
  <c r="AE45" i="27"/>
  <c r="D45" i="27"/>
  <c r="AN44" i="27"/>
  <c r="H45" i="27"/>
  <c r="H46" i="27" s="1"/>
  <c r="L45" i="27"/>
  <c r="L46" i="27" s="1"/>
  <c r="P45" i="27"/>
  <c r="T45" i="27"/>
  <c r="T46" i="27" s="1"/>
  <c r="X45" i="27"/>
  <c r="X46" i="27" s="1"/>
  <c r="AC45" i="27"/>
  <c r="E45" i="27"/>
  <c r="I45" i="27"/>
  <c r="M45" i="27"/>
  <c r="Q45" i="27"/>
  <c r="Q46" i="27" s="1"/>
  <c r="U45" i="27"/>
  <c r="Y45" i="27"/>
  <c r="Y46" i="27" s="1"/>
  <c r="AD45" i="27"/>
  <c r="AD46" i="27" s="1"/>
  <c r="AI45" i="27"/>
  <c r="AI46" i="27" s="1"/>
  <c r="AM45" i="27"/>
  <c r="G45" i="27"/>
  <c r="K45" i="27"/>
  <c r="K46" i="27" s="1"/>
  <c r="O45" i="27"/>
  <c r="O46" i="27" s="1"/>
  <c r="S45" i="27"/>
  <c r="W45" i="27"/>
  <c r="AB45" i="27"/>
  <c r="AB46" i="27" s="1"/>
  <c r="AF45" i="27"/>
  <c r="AF46" i="27" s="1"/>
  <c r="AK45" i="27"/>
  <c r="F30" i="47"/>
  <c r="H31" i="22"/>
  <c r="H32" i="22" s="1"/>
  <c r="F24" i="22"/>
  <c r="G23" i="22"/>
  <c r="F23" i="22" s="1"/>
  <c r="F6" i="35"/>
  <c r="G8" i="22" s="1"/>
  <c r="F8" i="22" s="1"/>
  <c r="I35" i="30"/>
  <c r="P5" i="30"/>
  <c r="S46" i="27"/>
  <c r="G46" i="27"/>
  <c r="AE46" i="27"/>
  <c r="AM46" i="27"/>
  <c r="N46" i="27"/>
  <c r="V46" i="27"/>
  <c r="AH46" i="27"/>
  <c r="E46" i="27"/>
  <c r="M46" i="27"/>
  <c r="U46" i="27"/>
  <c r="AG46" i="27"/>
  <c r="AK46" i="27"/>
  <c r="F46" i="27"/>
  <c r="J46" i="27"/>
  <c r="R46" i="27"/>
  <c r="Z46" i="27"/>
  <c r="AL46" i="27"/>
  <c r="I46" i="27"/>
  <c r="AC46" i="27"/>
  <c r="P46" i="27"/>
  <c r="AJ46" i="27"/>
  <c r="D46" i="27"/>
  <c r="K16" i="27"/>
  <c r="H16" i="27"/>
  <c r="G20" i="36"/>
  <c r="R11" i="35"/>
  <c r="P31" i="35"/>
  <c r="F11" i="35"/>
  <c r="G13" i="22" s="1"/>
  <c r="F13" i="22" s="1"/>
  <c r="N31" i="36"/>
  <c r="P36" i="35" s="1"/>
  <c r="N23" i="36"/>
  <c r="P34" i="35" s="1"/>
  <c r="N10" i="36"/>
  <c r="P30" i="35" s="1"/>
  <c r="G7" i="36"/>
  <c r="P17" i="35" s="1"/>
  <c r="G11" i="36"/>
  <c r="P18" i="35" s="1"/>
  <c r="G16" i="36"/>
  <c r="P19" i="35" s="1"/>
  <c r="G24" i="36"/>
  <c r="G53" i="36"/>
  <c r="P26" i="35" s="1"/>
  <c r="V20" i="36"/>
  <c r="F10" i="35" s="1"/>
  <c r="G12" i="22" s="1"/>
  <c r="F12" i="22" s="1"/>
  <c r="G57" i="36"/>
  <c r="P15" i="35"/>
  <c r="G49" i="36"/>
  <c r="G38" i="36"/>
  <c r="P24" i="35" s="1"/>
  <c r="N15" i="30"/>
  <c r="P15" i="30" s="1"/>
  <c r="I30" i="30"/>
  <c r="G36" i="30"/>
  <c r="I12" i="30"/>
  <c r="P29" i="30"/>
  <c r="N6" i="30"/>
  <c r="P6" i="30" s="1"/>
  <c r="P23" i="30"/>
  <c r="P24" i="30"/>
  <c r="N18" i="30"/>
  <c r="P18" i="30" s="1"/>
  <c r="L13" i="30"/>
  <c r="AN15" i="27"/>
  <c r="T16" i="27"/>
  <c r="T39" i="27" s="1"/>
  <c r="AF16" i="27"/>
  <c r="AF39" i="27" s="1"/>
  <c r="W16" i="27"/>
  <c r="W39" i="27" s="1"/>
  <c r="AI16" i="27"/>
  <c r="AI39" i="27" s="1"/>
  <c r="AL16" i="27"/>
  <c r="AL39" i="27" s="1"/>
  <c r="AN16" i="27"/>
  <c r="E16" i="27"/>
  <c r="E39" i="27" s="1"/>
  <c r="Q16" i="27"/>
  <c r="Q39" i="27" s="1"/>
  <c r="AC16" i="27"/>
  <c r="AC39" i="27" s="1"/>
  <c r="N16" i="27"/>
  <c r="N39" i="27" s="1"/>
  <c r="Z16" i="27"/>
  <c r="Z39" i="27" s="1"/>
  <c r="P33" i="35" l="1"/>
  <c r="P33" i="47"/>
  <c r="P37" i="47" s="1"/>
  <c r="F9" i="47" s="1"/>
  <c r="H11" i="22" s="1"/>
  <c r="AN45" i="27"/>
  <c r="W46" i="27"/>
  <c r="AN46" i="27" s="1"/>
  <c r="H33" i="22" s="1"/>
  <c r="J38" i="22"/>
  <c r="P25" i="35"/>
  <c r="P28" i="35" s="1"/>
  <c r="F8" i="35" s="1"/>
  <c r="G10" i="22" s="1"/>
  <c r="P28" i="47"/>
  <c r="F8" i="47" s="1"/>
  <c r="H10" i="22" s="1"/>
  <c r="P32" i="35"/>
  <c r="F4" i="35"/>
  <c r="P12" i="30"/>
  <c r="F26" i="35"/>
  <c r="L12" i="30"/>
  <c r="K39" i="27"/>
  <c r="H39" i="27"/>
  <c r="AN38" i="27"/>
  <c r="P22" i="35"/>
  <c r="F7" i="35" s="1"/>
  <c r="G9" i="22" s="1"/>
  <c r="F9" i="22" s="1"/>
  <c r="Q11" i="35"/>
  <c r="I36" i="30"/>
  <c r="P22" i="30"/>
  <c r="L30" i="30"/>
  <c r="N13" i="30"/>
  <c r="P13" i="30" s="1"/>
  <c r="L35" i="30"/>
  <c r="P31" i="30"/>
  <c r="P35" i="30" s="1"/>
  <c r="N14" i="30"/>
  <c r="P14" i="30" s="1"/>
  <c r="F23" i="35" l="1"/>
  <c r="G25" i="22" s="1"/>
  <c r="F25" i="22" s="1"/>
  <c r="G5" i="22"/>
  <c r="F5" i="22" s="1"/>
  <c r="F17" i="35"/>
  <c r="G19" i="22" s="1"/>
  <c r="F17" i="47"/>
  <c r="H19" i="22" s="1"/>
  <c r="P37" i="35"/>
  <c r="F9" i="35" s="1"/>
  <c r="G11" i="22" s="1"/>
  <c r="F11" i="22" s="1"/>
  <c r="F14" i="35"/>
  <c r="G16" i="22" s="1"/>
  <c r="F14" i="47"/>
  <c r="H16" i="22" s="1"/>
  <c r="F13" i="47"/>
  <c r="H15" i="22" s="1"/>
  <c r="F13" i="35"/>
  <c r="G15" i="22" s="1"/>
  <c r="F15" i="47"/>
  <c r="H17" i="22" s="1"/>
  <c r="F15" i="35"/>
  <c r="G17" i="22" s="1"/>
  <c r="F10" i="22"/>
  <c r="M37" i="22"/>
  <c r="G33" i="22"/>
  <c r="F33" i="22" s="1"/>
  <c r="G28" i="22"/>
  <c r="F28" i="22" s="1"/>
  <c r="P30" i="30"/>
  <c r="F28" i="35"/>
  <c r="G30" i="22" s="1"/>
  <c r="F30" i="22" s="1"/>
  <c r="L36" i="30"/>
  <c r="AN39" i="27"/>
  <c r="F19" i="22" l="1"/>
  <c r="F16" i="35"/>
  <c r="G18" i="22" s="1"/>
  <c r="F16" i="47"/>
  <c r="F17" i="22"/>
  <c r="F16" i="22"/>
  <c r="F15" i="22"/>
  <c r="F29" i="35"/>
  <c r="G31" i="22" s="1"/>
  <c r="F31" i="22" s="1"/>
  <c r="F32" i="22" s="1"/>
  <c r="P36" i="30"/>
  <c r="G7" i="22"/>
  <c r="F37" i="22" l="1"/>
  <c r="F19" i="47"/>
  <c r="H21" i="22" s="1"/>
  <c r="H18" i="22"/>
  <c r="F18" i="22" s="1"/>
  <c r="F30" i="35"/>
  <c r="F19" i="35"/>
  <c r="G21" i="22" s="1"/>
  <c r="H22" i="22" l="1"/>
  <c r="H34" i="22" s="1"/>
  <c r="H35" i="22" s="1"/>
  <c r="H38" i="22" s="1"/>
  <c r="F20" i="47"/>
  <c r="F21" i="22"/>
  <c r="F22" i="22" s="1"/>
  <c r="F34" i="22" s="1"/>
  <c r="F20" i="35"/>
  <c r="G22" i="22"/>
  <c r="F35" i="22" l="1"/>
  <c r="F36" i="22" s="1"/>
  <c r="H36" i="22"/>
  <c r="G32" i="22"/>
  <c r="G34" i="22" s="1"/>
  <c r="G35" i="22" s="1"/>
  <c r="G38" i="22" s="1"/>
  <c r="F38" i="22" l="1"/>
  <c r="G36" i="22"/>
</calcChain>
</file>

<file path=xl/sharedStrings.xml><?xml version="1.0" encoding="utf-8"?>
<sst xmlns="http://schemas.openxmlformats.org/spreadsheetml/2006/main" count="969" uniqueCount="422">
  <si>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</si>
  <si>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</si>
  <si>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</si>
  <si>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</si>
  <si>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</si>
  <si>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</si>
  <si>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</si>
  <si>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</si>
  <si>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</si>
  <si>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</si>
  <si>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</si>
  <si>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</si>
  <si>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</si>
  <si>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</si>
  <si>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</si>
  <si>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</si>
  <si>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</si>
  <si>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</si>
  <si>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</si>
  <si>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</si>
  <si>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</si>
  <si>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</si>
  <si>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</si>
  <si>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</si>
  <si>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</si>
  <si>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</si>
  <si>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</si>
  <si>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</si>
  <si>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</si>
  <si>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</si>
  <si>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</si>
  <si>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</si>
  <si>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</si>
  <si>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</si>
  <si>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</si>
  <si>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</si>
  <si>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</si>
  <si>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</si>
  <si>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</si>
  <si>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</si>
  <si>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</si>
  <si>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</si>
  <si>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</si>
  <si>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</si>
  <si>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</si>
  <si>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</si>
  <si>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</si>
  <si>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</si>
  <si>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</si>
  <si>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</si>
  <si>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</si>
  <si>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</si>
  <si>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</si>
  <si>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</si>
  <si>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</si>
  <si>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</si>
  <si>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</si>
  <si>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</si>
  <si>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</si>
  <si>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</si>
  <si>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</si>
  <si>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</si>
  <si>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</si>
  <si>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</si>
  <si>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</si>
  <si>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</si>
  <si>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</si>
  <si>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</si>
  <si>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</si>
  <si>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</si>
  <si>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</si>
  <si>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</si>
  <si>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</si>
  <si>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</si>
  <si>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</si>
  <si>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</si>
  <si>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</si>
  <si>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</si>
  <si>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</si>
  <si>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</si>
  <si>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</si>
  <si>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</si>
  <si>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</si>
  <si>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</si>
  <si>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</si>
  <si>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</si>
  <si>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</si>
  <si>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</si>
  <si>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</si>
  <si>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</si>
  <si>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</si>
  <si>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</si>
  <si>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</si>
  <si>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</si>
  <si>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</si>
  <si>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</si>
  <si>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</si>
  <si>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</si>
  <si>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</si>
  <si>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</si>
  <si>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</si>
  <si>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</si>
  <si>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</si>
  <si>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</si>
  <si>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</si>
  <si>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</si>
  <si>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</si>
  <si>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</si>
  <si>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</si>
  <si>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</si>
  <si>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</si>
  <si>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</si>
  <si>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</si>
  <si>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</si>
  <si>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</si>
  <si>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</si>
  <si>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</si>
  <si>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</si>
  <si>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</si>
  <si>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</si>
  <si>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</si>
  <si>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</si>
  <si>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</si>
  <si>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</si>
  <si>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</si>
  <si>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</si>
  <si>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</si>
  <si>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</si>
  <si>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</si>
  <si>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</si>
  <si>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</si>
  <si>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</si>
  <si>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</si>
  <si>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</si>
  <si>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</si>
  <si>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</si>
  <si>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</si>
  <si>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</si>
  <si>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</si>
  <si>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</si>
  <si>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</si>
  <si>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</si>
  <si>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</si>
  <si>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</si>
  <si>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</si>
  <si>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</si>
  <si>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</si>
  <si>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</si>
  <si>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</si>
  <si>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</si>
  <si>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</si>
  <si>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</si>
  <si>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</si>
  <si>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</si>
  <si>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</si>
  <si>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</si>
  <si>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</si>
  <si>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</si>
  <si>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</si>
  <si>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</si>
  <si>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</si>
  <si>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</si>
  <si>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</si>
  <si>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</si>
  <si>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</si>
  <si>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</si>
  <si>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</si>
  <si>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</si>
  <si>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</si>
  <si>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</si>
  <si>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</si>
  <si>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</si>
  <si>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</si>
  <si>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</si>
  <si>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</si>
  <si>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</si>
  <si>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</si>
  <si>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</si>
  <si>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</si>
  <si>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</si>
  <si>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</si>
  <si>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</si>
  <si>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</si>
  <si>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</si>
  <si>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</si>
  <si>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</si>
  <si>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</si>
  <si>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</si>
  <si>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</si>
  <si>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</si>
  <si>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</si>
  <si>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</si>
  <si>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</si>
  <si>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</si>
  <si>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</si>
  <si>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</si>
  <si>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</si>
  <si>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</si>
  <si>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</si>
  <si>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</si>
  <si>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</si>
  <si>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</si>
  <si>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</si>
  <si>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</si>
  <si>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</si>
  <si>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</si>
  <si>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</si>
  <si>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</si>
  <si>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</si>
  <si>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</si>
  <si>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</si>
  <si>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資材・農機具庫</t>
  </si>
  <si>
    <t>〃</t>
  </si>
  <si>
    <t>25ps</t>
  </si>
  <si>
    <t>動力噴霧機</t>
  </si>
  <si>
    <t>可搬式6ps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</si>
  <si>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</si>
  <si>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</si>
  <si>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</si>
  <si>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</si>
  <si>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</si>
  <si>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</si>
  <si>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</si>
  <si>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</si>
  <si>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</si>
  <si>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</si>
  <si>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</si>
  <si>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</si>
  <si>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</si>
  <si>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</si>
  <si>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</si>
  <si>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</si>
  <si>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</si>
  <si>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</si>
  <si>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</si>
  <si>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</si>
  <si>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</si>
  <si>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</si>
  <si>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</si>
  <si>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</si>
  <si>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</si>
  <si>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</si>
  <si>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</si>
  <si>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</si>
  <si>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</si>
  <si>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</si>
  <si>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</si>
  <si>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</si>
  <si>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</si>
  <si>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</si>
  <si>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</si>
  <si>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</si>
  <si>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</si>
  <si>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</si>
  <si>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</si>
  <si>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９　単価の算出基礎（○○，1kg当たり）</t>
    <rPh sb="2" eb="4">
      <t>タンカ</t>
    </rPh>
    <phoneticPr fontId="4"/>
  </si>
  <si>
    <t>ブロッコリー</t>
    <phoneticPr fontId="3"/>
  </si>
  <si>
    <t>中型機械体系</t>
    <rPh sb="0" eb="2">
      <t>チュウガタ</t>
    </rPh>
    <rPh sb="2" eb="4">
      <t>キカイ</t>
    </rPh>
    <rPh sb="4" eb="6">
      <t>タイケイ</t>
    </rPh>
    <phoneticPr fontId="3"/>
  </si>
  <si>
    <t>夏まき</t>
    <rPh sb="0" eb="1">
      <t>ナツ</t>
    </rPh>
    <phoneticPr fontId="4"/>
  </si>
  <si>
    <t>ブロッコリー</t>
    <phoneticPr fontId="4"/>
  </si>
  <si>
    <t>ブロッコリー　夏まき</t>
    <rPh sb="7" eb="8">
      <t>ナツ</t>
    </rPh>
    <phoneticPr fontId="4"/>
  </si>
  <si>
    <t>ブロッコリー</t>
    <phoneticPr fontId="4"/>
  </si>
  <si>
    <t>平成25年</t>
    <phoneticPr fontId="4"/>
  </si>
  <si>
    <t>平成21年</t>
  </si>
  <si>
    <t>平成22年</t>
  </si>
  <si>
    <t>平成23年</t>
  </si>
  <si>
    <t>平成24年</t>
  </si>
  <si>
    <t>平成25年</t>
    <phoneticPr fontId="4"/>
  </si>
  <si>
    <t>-</t>
    <phoneticPr fontId="4"/>
  </si>
  <si>
    <t>-</t>
    <phoneticPr fontId="4"/>
  </si>
  <si>
    <t>-</t>
    <phoneticPr fontId="4"/>
  </si>
  <si>
    <t>堆肥</t>
    <rPh sb="0" eb="2">
      <t>タイヒ</t>
    </rPh>
    <phoneticPr fontId="4"/>
  </si>
  <si>
    <t>1種類</t>
    <phoneticPr fontId="4"/>
  </si>
  <si>
    <t>3種類</t>
    <phoneticPr fontId="4"/>
  </si>
  <si>
    <t>0種類</t>
    <phoneticPr fontId="4"/>
  </si>
  <si>
    <t>1種類</t>
    <phoneticPr fontId="4"/>
  </si>
  <si>
    <t>10a機械</t>
    <phoneticPr fontId="4"/>
  </si>
  <si>
    <t>ℓ・kw／時</t>
    <rPh sb="5" eb="6">
      <t>ジ</t>
    </rPh>
    <phoneticPr fontId="4"/>
  </si>
  <si>
    <t>堆肥散布・基肥施用</t>
    <rPh sb="0" eb="2">
      <t>タイヒ</t>
    </rPh>
    <rPh sb="2" eb="4">
      <t>サンプ</t>
    </rPh>
    <rPh sb="5" eb="7">
      <t>モトゴエ</t>
    </rPh>
    <rPh sb="7" eb="9">
      <t>セヨウ</t>
    </rPh>
    <phoneticPr fontId="4"/>
  </si>
  <si>
    <t>耕起・整地・畝立</t>
    <rPh sb="0" eb="2">
      <t>コウキ</t>
    </rPh>
    <rPh sb="3" eb="5">
      <t>セイチ</t>
    </rPh>
    <rPh sb="6" eb="7">
      <t>ウネ</t>
    </rPh>
    <rPh sb="7" eb="8">
      <t>タ</t>
    </rPh>
    <phoneticPr fontId="4"/>
  </si>
  <si>
    <t>定植</t>
    <rPh sb="0" eb="2">
      <t>テイショク</t>
    </rPh>
    <phoneticPr fontId="4"/>
  </si>
  <si>
    <t>防除</t>
    <rPh sb="0" eb="2">
      <t>ボウジョ</t>
    </rPh>
    <phoneticPr fontId="4"/>
  </si>
  <si>
    <t>追肥・土寄せ</t>
    <rPh sb="0" eb="2">
      <t>ツイヒ</t>
    </rPh>
    <rPh sb="3" eb="5">
      <t>ツチヨ</t>
    </rPh>
    <phoneticPr fontId="4"/>
  </si>
  <si>
    <t>ブロッコリー</t>
    <phoneticPr fontId="4"/>
  </si>
  <si>
    <t>定植（半自動移植機）</t>
    <rPh sb="0" eb="2">
      <t>テイショク</t>
    </rPh>
    <rPh sb="3" eb="4">
      <t>ハン</t>
    </rPh>
    <rPh sb="4" eb="6">
      <t>ジドウ</t>
    </rPh>
    <rPh sb="6" eb="8">
      <t>イショク</t>
    </rPh>
    <rPh sb="8" eb="9">
      <t>キ</t>
    </rPh>
    <phoneticPr fontId="4"/>
  </si>
  <si>
    <t>病害虫防除（動噴）</t>
    <rPh sb="0" eb="5">
      <t>ビョウガイチュウボウジョ</t>
    </rPh>
    <rPh sb="6" eb="8">
      <t>ドウフン</t>
    </rPh>
    <phoneticPr fontId="4"/>
  </si>
  <si>
    <t>出荷（軽トラック）</t>
    <rPh sb="0" eb="2">
      <t>シュッカ</t>
    </rPh>
    <rPh sb="3" eb="4">
      <t>ケイ</t>
    </rPh>
    <phoneticPr fontId="4"/>
  </si>
  <si>
    <t>作業場</t>
    <rPh sb="0" eb="2">
      <t>サギョウ</t>
    </rPh>
    <rPh sb="2" eb="3">
      <t>バ</t>
    </rPh>
    <phoneticPr fontId="4"/>
  </si>
  <si>
    <t>資材・農機具庫</t>
    <rPh sb="0" eb="2">
      <t>シザイ</t>
    </rPh>
    <rPh sb="3" eb="6">
      <t>ノウキグ</t>
    </rPh>
    <rPh sb="6" eb="7">
      <t>コ</t>
    </rPh>
    <phoneticPr fontId="4"/>
  </si>
  <si>
    <t>移植機</t>
    <rPh sb="0" eb="3">
      <t>イショクキ</t>
    </rPh>
    <phoneticPr fontId="4"/>
  </si>
  <si>
    <t>歩行半自動</t>
    <rPh sb="0" eb="2">
      <t>ホコウ</t>
    </rPh>
    <rPh sb="2" eb="3">
      <t>ハン</t>
    </rPh>
    <rPh sb="3" eb="5">
      <t>ジドウ</t>
    </rPh>
    <phoneticPr fontId="4"/>
  </si>
  <si>
    <t>台</t>
    <phoneticPr fontId="4"/>
  </si>
  <si>
    <t>包丁</t>
    <rPh sb="0" eb="2">
      <t>ホウチョウ</t>
    </rPh>
    <phoneticPr fontId="4"/>
  </si>
  <si>
    <t>丁</t>
    <rPh sb="0" eb="1">
      <t>チョウ</t>
    </rPh>
    <phoneticPr fontId="4"/>
  </si>
  <si>
    <t>スミサンスイR　露地ワイド</t>
    <rPh sb="8" eb="10">
      <t>ロジ</t>
    </rPh>
    <phoneticPr fontId="4"/>
  </si>
  <si>
    <t>育苗管理</t>
    <rPh sb="0" eb="2">
      <t>イクビョウ</t>
    </rPh>
    <rPh sb="2" eb="4">
      <t>カンリ</t>
    </rPh>
    <phoneticPr fontId="4"/>
  </si>
  <si>
    <t>圃場準備</t>
    <rPh sb="0" eb="2">
      <t>ホジョウ</t>
    </rPh>
    <rPh sb="2" eb="4">
      <t>ジュンビ</t>
    </rPh>
    <phoneticPr fontId="4"/>
  </si>
  <si>
    <t>病害虫防除</t>
    <rPh sb="0" eb="5">
      <t>ビョウガイチュウボウジョ</t>
    </rPh>
    <phoneticPr fontId="4"/>
  </si>
  <si>
    <t>動力噴霧器</t>
    <rPh sb="0" eb="2">
      <t>ドウリョク</t>
    </rPh>
    <rPh sb="2" eb="5">
      <t>フンムキ</t>
    </rPh>
    <phoneticPr fontId="4"/>
  </si>
  <si>
    <t>管理機</t>
    <rPh sb="0" eb="2">
      <t>カンリ</t>
    </rPh>
    <rPh sb="2" eb="3">
      <t>キ</t>
    </rPh>
    <phoneticPr fontId="4"/>
  </si>
  <si>
    <t>※販売額×11.5%</t>
    <rPh sb="1" eb="3">
      <t>ハンバイ</t>
    </rPh>
    <rPh sb="3" eb="4">
      <t>ガク</t>
    </rPh>
    <phoneticPr fontId="4"/>
  </si>
  <si>
    <t>土寄せ（管理機）</t>
    <rPh sb="0" eb="2">
      <t>ツチヨ</t>
    </rPh>
    <rPh sb="4" eb="6">
      <t>カンリ</t>
    </rPh>
    <rPh sb="6" eb="7">
      <t>キ</t>
    </rPh>
    <phoneticPr fontId="4"/>
  </si>
  <si>
    <t>クワ</t>
    <phoneticPr fontId="4"/>
  </si>
  <si>
    <t>本</t>
    <rPh sb="0" eb="1">
      <t>ホン</t>
    </rPh>
    <phoneticPr fontId="4"/>
  </si>
  <si>
    <t>6.3ps</t>
    <phoneticPr fontId="4"/>
  </si>
  <si>
    <t>堆肥・基肥散布（トラクター）</t>
    <rPh sb="0" eb="2">
      <t>タイヒ</t>
    </rPh>
    <rPh sb="3" eb="5">
      <t>モトゴエ</t>
    </rPh>
    <rPh sb="5" eb="7">
      <t>サンプ</t>
    </rPh>
    <phoneticPr fontId="4"/>
  </si>
  <si>
    <t>耕起・畝立（トラクター）</t>
    <rPh sb="0" eb="2">
      <t>コウキ</t>
    </rPh>
    <rPh sb="3" eb="4">
      <t>ウネ</t>
    </rPh>
    <rPh sb="4" eb="5">
      <t>タ</t>
    </rPh>
    <phoneticPr fontId="4"/>
  </si>
  <si>
    <t>4作業</t>
    <rPh sb="1" eb="3">
      <t>サギョウ</t>
    </rPh>
    <phoneticPr fontId="4"/>
  </si>
  <si>
    <t>5種類</t>
    <phoneticPr fontId="4"/>
  </si>
  <si>
    <t>2作業</t>
    <rPh sb="1" eb="3">
      <t>サギョウ</t>
    </rPh>
    <phoneticPr fontId="4"/>
  </si>
  <si>
    <t>収穫台車　楽太郎　RA-90</t>
    <rPh sb="0" eb="2">
      <t>シュウカク</t>
    </rPh>
    <rPh sb="2" eb="4">
      <t>ダイシャ</t>
    </rPh>
    <rPh sb="5" eb="6">
      <t>ラク</t>
    </rPh>
    <rPh sb="6" eb="8">
      <t>タロウ</t>
    </rPh>
    <phoneticPr fontId="4"/>
  </si>
  <si>
    <t>台</t>
    <rPh sb="0" eb="1">
      <t>ダイ</t>
    </rPh>
    <phoneticPr fontId="4"/>
  </si>
  <si>
    <t>ブロッコリー（夏まき）</t>
    <rPh sb="7" eb="8">
      <t>ナツ</t>
    </rPh>
    <phoneticPr fontId="3"/>
  </si>
  <si>
    <t>ブロッコリー（春まき）</t>
    <rPh sb="7" eb="8">
      <t>ハル</t>
    </rPh>
    <phoneticPr fontId="3"/>
  </si>
  <si>
    <t>春まき</t>
    <rPh sb="0" eb="1">
      <t>ハル</t>
    </rPh>
    <phoneticPr fontId="4"/>
  </si>
  <si>
    <t>5種類</t>
    <phoneticPr fontId="4"/>
  </si>
  <si>
    <t>4種類</t>
    <rPh sb="1" eb="3">
      <t>シュルイ</t>
    </rPh>
    <phoneticPr fontId="4"/>
  </si>
  <si>
    <t>ブロッコリー　春まき</t>
    <rPh sb="7" eb="8">
      <t>ハル</t>
    </rPh>
    <phoneticPr fontId="4"/>
  </si>
  <si>
    <t>家族労働時間（春）</t>
    <rPh sb="0" eb="2">
      <t>カゾク</t>
    </rPh>
    <rPh sb="2" eb="4">
      <t>ロウドウ</t>
    </rPh>
    <rPh sb="4" eb="6">
      <t>ジカン</t>
    </rPh>
    <rPh sb="7" eb="8">
      <t>ハル</t>
    </rPh>
    <phoneticPr fontId="4"/>
  </si>
  <si>
    <t>家族労働時間（夏）</t>
    <rPh sb="0" eb="2">
      <t>カゾク</t>
    </rPh>
    <rPh sb="2" eb="4">
      <t>ロウドウ</t>
    </rPh>
    <rPh sb="4" eb="6">
      <t>ジカン</t>
    </rPh>
    <rPh sb="7" eb="8">
      <t>ナツ</t>
    </rPh>
    <phoneticPr fontId="4"/>
  </si>
  <si>
    <t>合計</t>
    <rPh sb="0" eb="2">
      <t>ゴウケイ</t>
    </rPh>
    <phoneticPr fontId="4"/>
  </si>
  <si>
    <t>※春と秋で分割</t>
    <rPh sb="1" eb="2">
      <t>ハル</t>
    </rPh>
    <rPh sb="3" eb="4">
      <t>アキ</t>
    </rPh>
    <rPh sb="5" eb="7">
      <t>ブンカツ</t>
    </rPh>
    <phoneticPr fontId="4"/>
  </si>
  <si>
    <t>合計（延べ面積）</t>
    <rPh sb="0" eb="2">
      <t>ゴウケイ</t>
    </rPh>
    <rPh sb="3" eb="4">
      <t>ノ</t>
    </rPh>
    <rPh sb="5" eb="7">
      <t>メンセキ</t>
    </rPh>
    <phoneticPr fontId="4"/>
  </si>
  <si>
    <t>春まき，夏まき</t>
    <rPh sb="0" eb="1">
      <t>ハル</t>
    </rPh>
    <rPh sb="4" eb="5">
      <t>ナツ</t>
    </rPh>
    <phoneticPr fontId="4"/>
  </si>
  <si>
    <t>春まき，夏まき</t>
    <rPh sb="0" eb="1">
      <t>ハル</t>
    </rPh>
    <rPh sb="4" eb="5">
      <t>ナツ</t>
    </rPh>
    <phoneticPr fontId="3"/>
  </si>
  <si>
    <t>右表（粗収益の算出基礎，単価は広島中央卸売市場広島産５カ年平均）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4">
      <t>タンカ</t>
    </rPh>
    <phoneticPr fontId="4"/>
  </si>
  <si>
    <t>作業時期（春まき）</t>
    <rPh sb="0" eb="2">
      <t>サギョウ</t>
    </rPh>
    <rPh sb="2" eb="4">
      <t>ジキ</t>
    </rPh>
    <rPh sb="5" eb="6">
      <t>ハル</t>
    </rPh>
    <phoneticPr fontId="4"/>
  </si>
  <si>
    <t>作業時期（夏まき）</t>
    <rPh sb="0" eb="2">
      <t>サギョウ</t>
    </rPh>
    <rPh sb="2" eb="4">
      <t>ジキ</t>
    </rPh>
    <rPh sb="5" eb="6">
      <t>ナツ</t>
    </rPh>
    <phoneticPr fontId="4"/>
  </si>
  <si>
    <t>排水良好な圃場を選び，明渠の設置など排水対策を行うことで湿害を回避する。
土寄せを行うことで，初期生育を促す。</t>
    <rPh sb="0" eb="2">
      <t>ハイスイ</t>
    </rPh>
    <rPh sb="2" eb="4">
      <t>リョウコウ</t>
    </rPh>
    <rPh sb="5" eb="7">
      <t>ホジョウ</t>
    </rPh>
    <rPh sb="8" eb="9">
      <t>エラ</t>
    </rPh>
    <rPh sb="11" eb="13">
      <t>メイキョ</t>
    </rPh>
    <rPh sb="14" eb="16">
      <t>セッチ</t>
    </rPh>
    <rPh sb="18" eb="20">
      <t>ハイスイ</t>
    </rPh>
    <rPh sb="20" eb="22">
      <t>タイサク</t>
    </rPh>
    <rPh sb="23" eb="24">
      <t>オコナ</t>
    </rPh>
    <rPh sb="28" eb="29">
      <t>シツ</t>
    </rPh>
    <rPh sb="29" eb="30">
      <t>ガイ</t>
    </rPh>
    <rPh sb="31" eb="33">
      <t>カイヒ</t>
    </rPh>
    <rPh sb="37" eb="39">
      <t>ツチヨ</t>
    </rPh>
    <rPh sb="41" eb="42">
      <t>オコナ</t>
    </rPh>
    <rPh sb="47" eb="49">
      <t>ショキ</t>
    </rPh>
    <rPh sb="49" eb="51">
      <t>セイイク</t>
    </rPh>
    <rPh sb="52" eb="53">
      <t>ウナガ</t>
    </rPh>
    <phoneticPr fontId="3"/>
  </si>
  <si>
    <t>台</t>
    <phoneticPr fontId="4"/>
  </si>
  <si>
    <t>共選共販</t>
    <rPh sb="0" eb="2">
      <t>キョウセン</t>
    </rPh>
    <rPh sb="2" eb="4">
      <t>キョウハン</t>
    </rPh>
    <phoneticPr fontId="3"/>
  </si>
  <si>
    <t>A</t>
    <phoneticPr fontId="4"/>
  </si>
  <si>
    <t>B</t>
    <phoneticPr fontId="4"/>
  </si>
  <si>
    <t>移植機，灌水ポンプ</t>
    <rPh sb="0" eb="2">
      <t>イショク</t>
    </rPh>
    <rPh sb="2" eb="3">
      <t>キ</t>
    </rPh>
    <rPh sb="4" eb="6">
      <t>カンスイ</t>
    </rPh>
    <phoneticPr fontId="4"/>
  </si>
  <si>
    <t>殺菌剤　5種類
殺虫剤　5種類</t>
    <rPh sb="0" eb="3">
      <t>サッキンザイ</t>
    </rPh>
    <rPh sb="5" eb="7">
      <t>シュルイ</t>
    </rPh>
    <rPh sb="8" eb="11">
      <t>サッチュウザイ</t>
    </rPh>
    <rPh sb="13" eb="15">
      <t>シュルイ</t>
    </rPh>
    <phoneticPr fontId="4"/>
  </si>
  <si>
    <t>収穫台車
包丁
コンテナ
ダンボール</t>
    <rPh sb="0" eb="2">
      <t>シュウカク</t>
    </rPh>
    <rPh sb="2" eb="4">
      <t>ダイシャ</t>
    </rPh>
    <rPh sb="5" eb="7">
      <t>ホウチョウ</t>
    </rPh>
    <phoneticPr fontId="4"/>
  </si>
  <si>
    <t>潅水チューブ</t>
    <rPh sb="0" eb="2">
      <t>カンスイ</t>
    </rPh>
    <phoneticPr fontId="4"/>
  </si>
  <si>
    <t>トラクター
ロータリー</t>
    <phoneticPr fontId="4"/>
  </si>
  <si>
    <t xml:space="preserve">堆肥
粒状ミネGスーパー
やさい化成１号
やさい化成２号
硫安
</t>
    <rPh sb="0" eb="2">
      <t>タイヒ</t>
    </rPh>
    <rPh sb="3" eb="5">
      <t>リュウジョウ</t>
    </rPh>
    <rPh sb="16" eb="18">
      <t>カセイ</t>
    </rPh>
    <rPh sb="19" eb="20">
      <t>ゴウ</t>
    </rPh>
    <rPh sb="24" eb="26">
      <t>カセイ</t>
    </rPh>
    <rPh sb="27" eb="28">
      <t>ゴウ</t>
    </rPh>
    <rPh sb="29" eb="31">
      <t>リュウアン</t>
    </rPh>
    <phoneticPr fontId="4"/>
  </si>
  <si>
    <t>※販売量×35円/kg（選果料を含む）</t>
    <rPh sb="1" eb="3">
      <t>ハンバイ</t>
    </rPh>
    <rPh sb="3" eb="4">
      <t>リョウ</t>
    </rPh>
    <rPh sb="7" eb="8">
      <t>エン</t>
    </rPh>
    <rPh sb="12" eb="14">
      <t>センカ</t>
    </rPh>
    <rPh sb="14" eb="15">
      <t>リョウ</t>
    </rPh>
    <rPh sb="16" eb="17">
      <t>フク</t>
    </rPh>
    <phoneticPr fontId="4"/>
  </si>
  <si>
    <t>プラグ苗</t>
    <rPh sb="3" eb="4">
      <t>ナエ</t>
    </rPh>
    <phoneticPr fontId="4"/>
  </si>
  <si>
    <t>セル苗（128穴）</t>
    <rPh sb="2" eb="3">
      <t>ナエ</t>
    </rPh>
    <rPh sb="7" eb="8">
      <t>アナ</t>
    </rPh>
    <phoneticPr fontId="4"/>
  </si>
  <si>
    <t>※販売量×35円/kg（選果料を含む）</t>
    <phoneticPr fontId="4"/>
  </si>
  <si>
    <t>※販売量×25円/kg（コンテナ，ダンボール，鮮度保持袋，テープ）</t>
    <rPh sb="1" eb="3">
      <t>ハンバイ</t>
    </rPh>
    <rPh sb="3" eb="4">
      <t>リョウ</t>
    </rPh>
    <rPh sb="7" eb="8">
      <t>エン</t>
    </rPh>
    <rPh sb="23" eb="25">
      <t>センド</t>
    </rPh>
    <rPh sb="25" eb="27">
      <t>ホジ</t>
    </rPh>
    <rPh sb="27" eb="28">
      <t>フクロ</t>
    </rPh>
    <phoneticPr fontId="4"/>
  </si>
  <si>
    <t>※販売量×25円/kg（コンテナ，ダンボール，鮮度保持袋，テープ）</t>
    <phoneticPr fontId="4"/>
  </si>
  <si>
    <t>春まき：恵麟，夏まき：恵麟，翠麟，陽麟</t>
    <rPh sb="0" eb="1">
      <t>ハル</t>
    </rPh>
    <rPh sb="4" eb="5">
      <t>メグ</t>
    </rPh>
    <rPh sb="5" eb="6">
      <t>リン</t>
    </rPh>
    <rPh sb="7" eb="8">
      <t>ナツ</t>
    </rPh>
    <rPh sb="14" eb="15">
      <t>ミドリ</t>
    </rPh>
    <rPh sb="15" eb="16">
      <t>リン</t>
    </rPh>
    <rPh sb="17" eb="18">
      <t>ヨウ</t>
    </rPh>
    <rPh sb="18" eb="19">
      <t>リン</t>
    </rPh>
    <phoneticPr fontId="3"/>
  </si>
  <si>
    <t>10a（借地10a）</t>
    <phoneticPr fontId="4"/>
  </si>
  <si>
    <t>10a</t>
    <phoneticPr fontId="4"/>
  </si>
  <si>
    <t>10a</t>
    <phoneticPr fontId="3"/>
  </si>
  <si>
    <t>３月上旬～４月上旬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</si>
  <si>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３月中旬～３月下旬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</si>
  <si>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４月上旬</t>
    <rPh sb="1" eb="2">
      <t>ガツ</t>
    </rPh>
    <rPh sb="2" eb="4">
      <t>ジョウジュン</t>
    </rPh>
    <phoneticPr fontId="4"/>
  </si>
  <si>
    <t>４月上旬～５月下旬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</si>
  <si>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４月中旬～４月下旬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</si>
  <si>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６月上旬</t>
    <rPh sb="1" eb="2">
      <t>ガツ</t>
    </rPh>
    <rPh sb="2" eb="4">
      <t>ジョウジュン</t>
    </rPh>
    <phoneticPr fontId="4"/>
  </si>
  <si>
    <t>７月上旬～８月上旬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</si>
  <si>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７月中旬～７月下旬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</si>
  <si>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８月上旬</t>
    <rPh sb="1" eb="2">
      <t>ガツ</t>
    </rPh>
    <rPh sb="2" eb="4">
      <t>ジョウジュン</t>
    </rPh>
    <phoneticPr fontId="4"/>
  </si>
  <si>
    <t>８月上旬～10月上旬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</si>
  <si>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８月中旬～８月下旬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</si>
  <si>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10月中旬～10月下旬</t>
    <rPh sb="2" eb="3">
      <t>ガツ</t>
    </rPh>
    <rPh sb="3" eb="5">
      <t>チュウジュン</t>
    </rPh>
    <rPh sb="8" eb="9">
      <t>ガツ</t>
    </rPh>
    <rPh sb="9" eb="11">
      <t>ゲジュン</t>
    </rPh>
    <phoneticPr fontId="4"/>
  </si>
  <si>
    <t>作物：</t>
    <rPh sb="0" eb="2">
      <t>サクモツ</t>
    </rPh>
    <phoneticPr fontId="4"/>
  </si>
  <si>
    <t>５　作業別・旬別作業時間（ブロッコリー春まき，秋まき）</t>
    <rPh sb="19" eb="20">
      <t>ハル</t>
    </rPh>
    <rPh sb="23" eb="24">
      <t>アキ</t>
    </rPh>
    <phoneticPr fontId="4"/>
  </si>
  <si>
    <t>20a</t>
    <phoneticPr fontId="4"/>
  </si>
  <si>
    <t>（１-１）10a当たり春まき</t>
    <rPh sb="8" eb="9">
      <t>ア</t>
    </rPh>
    <rPh sb="11" eb="12">
      <t>ハル</t>
    </rPh>
    <phoneticPr fontId="4"/>
  </si>
  <si>
    <t>（１-２）10a当たり夏まき</t>
    <rPh sb="8" eb="9">
      <t>ア</t>
    </rPh>
    <rPh sb="11" eb="12">
      <t>ナツ</t>
    </rPh>
    <phoneticPr fontId="4"/>
  </si>
  <si>
    <t>10a/20a</t>
    <phoneticPr fontId="4"/>
  </si>
  <si>
    <t>ブロッコリー</t>
    <phoneticPr fontId="4"/>
  </si>
  <si>
    <t>10a/3010a</t>
    <phoneticPr fontId="4"/>
  </si>
  <si>
    <t>20a/3010a</t>
    <phoneticPr fontId="4"/>
  </si>
  <si>
    <t>自家労力（2人）</t>
    <rPh sb="0" eb="2">
      <t>ジカ</t>
    </rPh>
    <rPh sb="2" eb="4">
      <t>ロウリョク</t>
    </rPh>
    <rPh sb="6" eb="7">
      <t>ヒト</t>
    </rPh>
    <phoneticPr fontId="3"/>
  </si>
  <si>
    <t>鉄骨，ルーフデッキ</t>
    <rPh sb="0" eb="2">
      <t>テッコツ</t>
    </rPh>
    <phoneticPr fontId="1"/>
  </si>
  <si>
    <t>10a/20a</t>
    <phoneticPr fontId="4"/>
  </si>
  <si>
    <t>春まき</t>
    <rPh sb="0" eb="1">
      <t>ハル</t>
    </rPh>
    <phoneticPr fontId="4"/>
  </si>
  <si>
    <t>ａ</t>
    <phoneticPr fontId="4"/>
  </si>
  <si>
    <t>夏まき</t>
    <rPh sb="0" eb="1">
      <t>ナツ</t>
    </rPh>
    <phoneticPr fontId="4"/>
  </si>
  <si>
    <t>灌水（灌水ポンプ）</t>
    <rPh sb="0" eb="2">
      <t>カンスイ</t>
    </rPh>
    <rPh sb="3" eb="5">
      <t>カンスイ</t>
    </rPh>
    <phoneticPr fontId="4"/>
  </si>
  <si>
    <t>共同選果料を含む</t>
    <rPh sb="0" eb="2">
      <t>キョウドウ</t>
    </rPh>
    <rPh sb="2" eb="3">
      <t>セン</t>
    </rPh>
    <rPh sb="3" eb="4">
      <t>カ</t>
    </rPh>
    <rPh sb="4" eb="5">
      <t>リョウ</t>
    </rPh>
    <rPh sb="6" eb="7">
      <t>フク</t>
    </rPh>
    <phoneticPr fontId="4"/>
  </si>
  <si>
    <t>育苗ハウス</t>
    <rPh sb="0" eb="2">
      <t>イクビョウ</t>
    </rPh>
    <phoneticPr fontId="4"/>
  </si>
  <si>
    <t>育苗パイプハウス</t>
    <rPh sb="0" eb="2">
      <t>イクビョウ</t>
    </rPh>
    <phoneticPr fontId="4"/>
  </si>
  <si>
    <t>鉄パイプ</t>
  </si>
  <si>
    <t>㎡</t>
    <phoneticPr fontId="4"/>
  </si>
  <si>
    <t>10a/3010a</t>
    <phoneticPr fontId="4"/>
  </si>
  <si>
    <t>潅水設備</t>
    <rPh sb="0" eb="2">
      <t>カンスイ</t>
    </rPh>
    <rPh sb="2" eb="4">
      <t>セツビ</t>
    </rPh>
    <phoneticPr fontId="4"/>
  </si>
  <si>
    <r>
      <rPr>
        <sz val="11"/>
        <rFont val="ＭＳ Ｐゴシック"/>
        <family val="3"/>
        <charset val="128"/>
      </rPr>
      <t>経営規模30ha経営体導入，排水良好な基盤整備田</t>
    </r>
    <rPh sb="0" eb="2">
      <t>ケイエイ</t>
    </rPh>
    <rPh sb="2" eb="4">
      <t>キボ</t>
    </rPh>
    <rPh sb="8" eb="11">
      <t>ケイエイタイ</t>
    </rPh>
    <rPh sb="11" eb="13">
      <t>ドウニュウ</t>
    </rPh>
    <rPh sb="14" eb="16">
      <t>ハイスイ</t>
    </rPh>
    <rPh sb="16" eb="18">
      <t>リョウコウ</t>
    </rPh>
    <rPh sb="19" eb="21">
      <t>キバン</t>
    </rPh>
    <rPh sb="21" eb="23">
      <t>セイビ</t>
    </rPh>
    <rPh sb="23" eb="24">
      <t>タ</t>
    </rPh>
    <phoneticPr fontId="3"/>
  </si>
  <si>
    <t>３　標準技術（ブロッコリー春まき，夏まき）</t>
    <rPh sb="2" eb="4">
      <t>ヒョウジュン</t>
    </rPh>
    <rPh sb="4" eb="6">
      <t>ギジュツ</t>
    </rPh>
    <rPh sb="13" eb="14">
      <t>ハル</t>
    </rPh>
    <rPh sb="17" eb="18">
      <t>ナツ</t>
    </rPh>
    <phoneticPr fontId="4"/>
  </si>
  <si>
    <t>3,000円/10a</t>
    <rPh sb="5" eb="6">
      <t>エン</t>
    </rPh>
    <phoneticPr fontId="4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</si>
  <si>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4">
      <t>ヒロシマ</t>
    </rPh>
    <rPh sb="14" eb="16">
      <t>チュウオウ</t>
    </rPh>
    <rPh sb="16" eb="18">
      <t>オロシウリ</t>
    </rPh>
    <rPh sb="18" eb="20">
      <t>シジョウ</t>
    </rPh>
    <rPh sb="20" eb="22">
      <t>ヒロシマ</t>
    </rPh>
    <rPh sb="22" eb="23">
      <t>サン</t>
    </rPh>
    <rPh sb="25" eb="26">
      <t>ネン</t>
    </rPh>
    <rPh sb="26" eb="28">
      <t>ヘイキン</t>
    </rPh>
    <phoneticPr fontId="4"/>
  </si>
  <si>
    <r>
      <t>８　経費の算出基礎（ブロッコリー</t>
    </r>
    <r>
      <rPr>
        <sz val="11"/>
        <rFont val="ＭＳ Ｐゴシック"/>
        <family val="3"/>
        <charset val="128"/>
      </rPr>
      <t>春まき，10a当たり）</t>
    </r>
    <rPh sb="2" eb="4">
      <t>ケイヒ</t>
    </rPh>
    <rPh sb="5" eb="7">
      <t>サンシュツ</t>
    </rPh>
    <rPh sb="7" eb="9">
      <t>キソ</t>
    </rPh>
    <rPh sb="16" eb="17">
      <t>ハル</t>
    </rPh>
    <rPh sb="23" eb="24">
      <t>ア</t>
    </rPh>
    <phoneticPr fontId="4"/>
  </si>
  <si>
    <r>
      <t>８　経費の算出基礎（ブロッコリー</t>
    </r>
    <r>
      <rPr>
        <sz val="11"/>
        <rFont val="ＭＳ Ｐゴシック"/>
        <family val="3"/>
        <charset val="128"/>
      </rPr>
      <t>夏まき，10a当たり）</t>
    </r>
    <rPh sb="2" eb="4">
      <t>ケイヒ</t>
    </rPh>
    <rPh sb="5" eb="7">
      <t>サンシュツ</t>
    </rPh>
    <rPh sb="7" eb="9">
      <t>キソ</t>
    </rPh>
    <rPh sb="16" eb="17">
      <t>ナツ</t>
    </rPh>
    <rPh sb="23" eb="24">
      <t>ア</t>
    </rPh>
    <phoneticPr fontId="4"/>
  </si>
  <si>
    <t>中部
北部</t>
    <rPh sb="0" eb="2">
      <t>チュウブ</t>
    </rPh>
    <rPh sb="3" eb="5">
      <t>ホクブ</t>
    </rPh>
    <phoneticPr fontId="3"/>
  </si>
  <si>
    <t>2人</t>
    <rPh sb="1" eb="2">
      <t>ニン</t>
    </rPh>
    <phoneticPr fontId="3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</si>
  <si>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</si>
  <si>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t>露地栽培，10aあたり4,000本定植，購入セル苗利用</t>
    <rPh sb="0" eb="2">
      <t>ロジ</t>
    </rPh>
    <rPh sb="2" eb="4">
      <t>サイバイ</t>
    </rPh>
    <rPh sb="16" eb="17">
      <t>ホン</t>
    </rPh>
    <rPh sb="17" eb="19">
      <t>テイショク</t>
    </rPh>
    <rPh sb="20" eb="22">
      <t>コウニュウ</t>
    </rPh>
    <rPh sb="24" eb="25">
      <t>ナエ</t>
    </rPh>
    <rPh sb="25" eb="27">
      <t>リヨウ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</si>
  <si>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</si>
  <si>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</si>
  <si>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</si>
  <si>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堆肥は定植の3週間前までに施用し，基肥は定植2週間前に施用する。</t>
    <rPh sb="1" eb="3">
      <t>タイヒ</t>
    </rPh>
    <rPh sb="4" eb="6">
      <t>テイショク</t>
    </rPh>
    <rPh sb="8" eb="10">
      <t>シュウカン</t>
    </rPh>
    <rPh sb="10" eb="11">
      <t>マエ</t>
    </rPh>
    <rPh sb="14" eb="16">
      <t>セヨウ</t>
    </rPh>
    <rPh sb="18" eb="20">
      <t>モトゴエ</t>
    </rPh>
    <rPh sb="21" eb="23">
      <t>テイショク</t>
    </rPh>
    <rPh sb="24" eb="26">
      <t>シュウカン</t>
    </rPh>
    <rPh sb="26" eb="27">
      <t>マエ</t>
    </rPh>
    <rPh sb="28" eb="30">
      <t>セヨウ</t>
    </rPh>
    <phoneticPr fontId="4"/>
  </si>
  <si>
    <t xml:space="preserve">
徒長しないよう灌水は朝・昼に行い，夕方は避ける。
定植前は外気温に慣らす。</t>
    <rPh sb="1" eb="3">
      <t>トチョウ</t>
    </rPh>
    <rPh sb="8" eb="10">
      <t>カンスイ</t>
    </rPh>
    <rPh sb="11" eb="12">
      <t>アサ</t>
    </rPh>
    <rPh sb="13" eb="14">
      <t>ヒル</t>
    </rPh>
    <rPh sb="15" eb="16">
      <t>オコナ</t>
    </rPh>
    <rPh sb="18" eb="20">
      <t>ユウガタ</t>
    </rPh>
    <rPh sb="21" eb="22">
      <t>サ</t>
    </rPh>
    <rPh sb="26" eb="28">
      <t>テイショク</t>
    </rPh>
    <rPh sb="28" eb="29">
      <t>マエ</t>
    </rPh>
    <rPh sb="30" eb="33">
      <t>ガイキオン</t>
    </rPh>
    <rPh sb="34" eb="35">
      <t>ナ</t>
    </rPh>
    <phoneticPr fontId="4"/>
  </si>
  <si>
    <t xml:space="preserve">
株間35cm，条間60cm，畝間140cmで定植する。
定植後に灌水を行う。</t>
    <rPh sb="1" eb="2">
      <t>カブ</t>
    </rPh>
    <rPh sb="2" eb="3">
      <t>マ</t>
    </rPh>
    <rPh sb="8" eb="10">
      <t>ジョウカン</t>
    </rPh>
    <rPh sb="15" eb="16">
      <t>ウネ</t>
    </rPh>
    <rPh sb="16" eb="17">
      <t>マ</t>
    </rPh>
    <rPh sb="23" eb="25">
      <t>テイショク</t>
    </rPh>
    <rPh sb="29" eb="31">
      <t>テイショク</t>
    </rPh>
    <rPh sb="31" eb="32">
      <t>ゴ</t>
    </rPh>
    <rPh sb="33" eb="35">
      <t>カンスイ</t>
    </rPh>
    <rPh sb="36" eb="37">
      <t>オコナ</t>
    </rPh>
    <phoneticPr fontId="4"/>
  </si>
  <si>
    <t xml:space="preserve">
生育初期より防除
主な病害虫
根こぶ病，根朽病，べと病，黒腐病，花蕾腐敗病，アオムシ，コナガ，ヨトウムシ類，アブラムシ類</t>
    <rPh sb="1" eb="3">
      <t>セイイク</t>
    </rPh>
    <rPh sb="3" eb="5">
      <t>ショキ</t>
    </rPh>
    <rPh sb="7" eb="9">
      <t>ボウジョ</t>
    </rPh>
    <rPh sb="11" eb="12">
      <t>オモ</t>
    </rPh>
    <rPh sb="13" eb="16">
      <t>ビョウガイチュウ</t>
    </rPh>
    <rPh sb="17" eb="18">
      <t>ネ</t>
    </rPh>
    <rPh sb="20" eb="21">
      <t>ビョウ</t>
    </rPh>
    <rPh sb="22" eb="23">
      <t>ネ</t>
    </rPh>
    <rPh sb="23" eb="24">
      <t>ク</t>
    </rPh>
    <rPh sb="24" eb="25">
      <t>ビョウ</t>
    </rPh>
    <rPh sb="28" eb="29">
      <t>ビョウ</t>
    </rPh>
    <rPh sb="30" eb="31">
      <t>クロ</t>
    </rPh>
    <rPh sb="31" eb="32">
      <t>クサ</t>
    </rPh>
    <rPh sb="32" eb="33">
      <t>ビョウ</t>
    </rPh>
    <rPh sb="34" eb="36">
      <t>カライ</t>
    </rPh>
    <rPh sb="36" eb="38">
      <t>フハイ</t>
    </rPh>
    <rPh sb="38" eb="39">
      <t>ビョウ</t>
    </rPh>
    <rPh sb="54" eb="55">
      <t>ルイ</t>
    </rPh>
    <rPh sb="61" eb="62">
      <t>ルイ</t>
    </rPh>
    <phoneticPr fontId="4"/>
  </si>
  <si>
    <t xml:space="preserve">
定植7～10日後に1回目の追肥を行い，15～20日目に2回目の追肥と同時に土寄せを行う。</t>
    <rPh sb="1" eb="3">
      <t>テイショク</t>
    </rPh>
    <rPh sb="7" eb="9">
      <t>ニチゴ</t>
    </rPh>
    <rPh sb="11" eb="13">
      <t>カイメ</t>
    </rPh>
    <rPh sb="14" eb="16">
      <t>ツイヒ</t>
    </rPh>
    <rPh sb="17" eb="18">
      <t>オコナ</t>
    </rPh>
    <rPh sb="25" eb="26">
      <t>ニチ</t>
    </rPh>
    <rPh sb="26" eb="27">
      <t>メ</t>
    </rPh>
    <rPh sb="29" eb="31">
      <t>カイメ</t>
    </rPh>
    <rPh sb="32" eb="34">
      <t>ツイヒ</t>
    </rPh>
    <rPh sb="35" eb="37">
      <t>ドウジ</t>
    </rPh>
    <rPh sb="38" eb="40">
      <t>ツチヨ</t>
    </rPh>
    <rPh sb="42" eb="43">
      <t>オコナ</t>
    </rPh>
    <phoneticPr fontId="4"/>
  </si>
  <si>
    <t xml:space="preserve">
早朝に収穫する。</t>
    <rPh sb="1" eb="3">
      <t>ソウチョウ</t>
    </rPh>
    <rPh sb="4" eb="6">
      <t>シュウカク</t>
    </rPh>
    <phoneticPr fontId="4"/>
  </si>
  <si>
    <t xml:space="preserve">
排水のよい圃場を選ぶ。
日当たりのよい圃場を選ぶ。</t>
    <rPh sb="1" eb="3">
      <t>ハイスイ</t>
    </rPh>
    <rPh sb="6" eb="8">
      <t>ホジョウ</t>
    </rPh>
    <rPh sb="9" eb="10">
      <t>エラ</t>
    </rPh>
    <rPh sb="13" eb="15">
      <t>ヒア</t>
    </rPh>
    <rPh sb="20" eb="22">
      <t>ホジョウ</t>
    </rPh>
    <rPh sb="23" eb="24">
      <t>エラ</t>
    </rPh>
    <phoneticPr fontId="4"/>
  </si>
  <si>
    <t xml:space="preserve">
花蕾の生育が早いので，取り遅れないように気を付ける。</t>
    <rPh sb="1" eb="3">
      <t>カライ</t>
    </rPh>
    <rPh sb="4" eb="6">
      <t>セイイク</t>
    </rPh>
    <rPh sb="7" eb="8">
      <t>ハヤ</t>
    </rPh>
    <rPh sb="12" eb="13">
      <t>ト</t>
    </rPh>
    <rPh sb="14" eb="15">
      <t>オク</t>
    </rPh>
    <rPh sb="21" eb="22">
      <t>キ</t>
    </rPh>
    <rPh sb="23" eb="24">
      <t>ツ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</si>
  <si>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</si>
  <si>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</si>
  <si>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</si>
  <si>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複合用</t>
    <rPh sb="0" eb="2">
      <t>フクゴウ</t>
    </rPh>
    <rPh sb="2" eb="3">
      <t>ヨウ</t>
    </rPh>
    <phoneticPr fontId="3"/>
  </si>
  <si>
    <t>７－１　経営収支（ブロッコリー部門，春まき10a当たり）</t>
    <rPh sb="15" eb="17">
      <t>ブモン</t>
    </rPh>
    <rPh sb="18" eb="19">
      <t>ハル</t>
    </rPh>
    <rPh sb="24" eb="25">
      <t>ア</t>
    </rPh>
    <phoneticPr fontId="4"/>
  </si>
  <si>
    <t>７－２　経営収支（ブロッコリー部門，夏まき10a当たり）</t>
    <rPh sb="15" eb="17">
      <t>ブモン</t>
    </rPh>
    <rPh sb="18" eb="19">
      <t>ナツ</t>
    </rPh>
    <rPh sb="24" eb="25">
      <t>ア</t>
    </rPh>
    <phoneticPr fontId="4"/>
  </si>
  <si>
    <t>収穫・調製・出荷</t>
    <rPh sb="0" eb="2">
      <t>シュウカク</t>
    </rPh>
    <rPh sb="3" eb="5">
      <t>チョウセイ</t>
    </rPh>
    <rPh sb="6" eb="8">
      <t>シュッカ</t>
    </rPh>
    <phoneticPr fontId="4"/>
  </si>
  <si>
    <t>A</t>
    <phoneticPr fontId="4"/>
  </si>
  <si>
    <t>A</t>
    <phoneticPr fontId="4"/>
  </si>
  <si>
    <t>B</t>
    <phoneticPr fontId="4"/>
  </si>
  <si>
    <t>C</t>
    <phoneticPr fontId="4"/>
  </si>
  <si>
    <t>B</t>
    <phoneticPr fontId="4"/>
  </si>
  <si>
    <t>D</t>
    <phoneticPr fontId="4"/>
  </si>
  <si>
    <t>E</t>
    <phoneticPr fontId="4"/>
  </si>
  <si>
    <t>B</t>
    <phoneticPr fontId="4"/>
  </si>
  <si>
    <t>C</t>
    <phoneticPr fontId="4"/>
  </si>
  <si>
    <t>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</si>
</sst>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0&quot;a&quot;"/>
    <numFmt numFmtId="185" formatCode="&quot;10a/&quot;#\a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2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7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3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4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3" xfId="0" applyNumberFormat="1" applyFont="1" applyFill="1" applyBorder="1" applyAlignment="1">
      <alignment vertical="center" shrinkToFit="1"/>
    </xf>
    <xf numFmtId="179" fontId="0" fillId="0" borderId="128" xfId="0" applyNumberFormat="1" applyFont="1" applyBorder="1" applyAlignment="1">
      <alignment horizontal="center"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31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5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5" xfId="0" applyNumberFormat="1" applyFont="1" applyFill="1" applyBorder="1" applyAlignment="1">
      <alignment vertical="center" shrinkToFit="1"/>
    </xf>
    <xf numFmtId="183" fontId="0" fillId="6" borderId="133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4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5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vertical="center"/>
    </xf>
    <xf numFmtId="177" fontId="0" fillId="6" borderId="143" xfId="0" applyNumberFormat="1" applyFont="1" applyFill="1" applyBorder="1" applyAlignment="1">
      <alignment vertical="center" shrinkToFit="1"/>
    </xf>
    <xf numFmtId="177" fontId="0" fillId="0" borderId="143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4" xfId="0" applyNumberFormat="1" applyFont="1" applyBorder="1" applyAlignment="1">
      <alignment vertical="center"/>
    </xf>
    <xf numFmtId="177" fontId="0" fillId="0" borderId="142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5" xfId="3" applyNumberFormat="1" applyFont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/>
    </xf>
    <xf numFmtId="177" fontId="0" fillId="0" borderId="142" xfId="0" applyNumberFormat="1" applyFont="1" applyFill="1" applyBorder="1" applyAlignment="1">
      <alignment horizontal="center" vertical="center"/>
    </xf>
    <xf numFmtId="177" fontId="0" fillId="0" borderId="142" xfId="0" applyNumberFormat="1" applyFont="1" applyFill="1" applyBorder="1" applyAlignment="1">
      <alignment vertical="center"/>
    </xf>
    <xf numFmtId="177" fontId="0" fillId="0" borderId="145" xfId="0" applyNumberFormat="1" applyFill="1" applyBorder="1" applyAlignment="1">
      <alignment vertical="center"/>
    </xf>
    <xf numFmtId="178" fontId="0" fillId="0" borderId="14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6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2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45" xfId="3" applyNumberFormat="1" applyFont="1" applyFill="1" applyBorder="1" applyAlignment="1">
      <alignment vertical="center" shrinkToFit="1"/>
    </xf>
    <xf numFmtId="178" fontId="0" fillId="0" borderId="146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3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1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1" xfId="0" applyNumberFormat="1" applyFont="1" applyFill="1" applyBorder="1" applyAlignment="1">
      <alignment vertical="center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6" fontId="0" fillId="6" borderId="125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4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62" xfId="0" applyNumberFormat="1" applyFont="1" applyFill="1" applyBorder="1" applyAlignment="1">
      <alignment vertical="center" shrinkToFit="1"/>
    </xf>
    <xf numFmtId="176" fontId="0" fillId="2" borderId="163" xfId="0" applyNumberFormat="1" applyFont="1" applyFill="1" applyBorder="1" applyAlignment="1">
      <alignment vertical="center" shrinkToFit="1"/>
    </xf>
    <xf numFmtId="177" fontId="0" fillId="2" borderId="159" xfId="3" applyNumberFormat="1" applyFont="1" applyFill="1" applyBorder="1" applyAlignment="1">
      <alignment horizontal="center" vertical="center" shrinkToFit="1"/>
    </xf>
    <xf numFmtId="177" fontId="0" fillId="2" borderId="159" xfId="3" applyNumberFormat="1" applyFont="1" applyFill="1" applyBorder="1" applyAlignment="1">
      <alignment vertical="center" shrinkToFit="1"/>
    </xf>
    <xf numFmtId="176" fontId="0" fillId="6" borderId="164" xfId="0" applyNumberFormat="1" applyFont="1" applyFill="1" applyBorder="1" applyAlignment="1">
      <alignment vertical="center"/>
    </xf>
    <xf numFmtId="181" fontId="0" fillId="0" borderId="128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0" xfId="0" applyNumberFormat="1" applyFont="1" applyBorder="1" applyAlignment="1">
      <alignment vertical="center" shrinkToFit="1"/>
    </xf>
    <xf numFmtId="176" fontId="0" fillId="0" borderId="176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42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25" xfId="0" applyNumberFormat="1" applyFont="1" applyBorder="1" applyAlignment="1">
      <alignment vertical="center" shrinkToFit="1"/>
    </xf>
    <xf numFmtId="179" fontId="0" fillId="0" borderId="163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77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0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168" xfId="0" applyNumberFormat="1" applyFont="1" applyFill="1" applyBorder="1" applyAlignment="1">
      <alignment vertical="center"/>
    </xf>
    <xf numFmtId="176" fontId="0" fillId="0" borderId="142" xfId="0" applyNumberFormat="1" applyFont="1" applyBorder="1" applyAlignment="1">
      <alignment vertical="center" shrinkToFit="1"/>
    </xf>
    <xf numFmtId="184" fontId="0" fillId="0" borderId="78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0" fontId="0" fillId="0" borderId="184" xfId="0" applyFont="1" applyBorder="1" applyAlignment="1">
      <alignment horizontal="center" vertical="center"/>
    </xf>
    <xf numFmtId="184" fontId="0" fillId="0" borderId="138" xfId="0" applyNumberFormat="1" applyFont="1" applyBorder="1" applyAlignment="1">
      <alignment horizontal="center" vertical="center"/>
    </xf>
    <xf numFmtId="177" fontId="0" fillId="0" borderId="142" xfId="3" applyNumberFormat="1" applyFont="1" applyFill="1" applyBorder="1" applyAlignment="1">
      <alignment vertical="center" shrinkToFit="1"/>
    </xf>
    <xf numFmtId="176" fontId="4" fillId="0" borderId="197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176" fontId="0" fillId="0" borderId="19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15" fillId="0" borderId="25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179" fontId="0" fillId="0" borderId="24" xfId="0" applyNumberFormat="1" applyFont="1" applyBorder="1" applyAlignment="1">
      <alignment vertical="center"/>
    </xf>
    <xf numFmtId="0" fontId="15" fillId="0" borderId="26" xfId="2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5" xfId="0" applyNumberFormat="1" applyFont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9" fontId="0" fillId="0" borderId="145" xfId="0" applyNumberFormat="1" applyFont="1" applyBorder="1" applyAlignment="1">
      <alignment vertical="center" shrinkToFit="1"/>
    </xf>
    <xf numFmtId="176" fontId="0" fillId="0" borderId="50" xfId="3" applyNumberFormat="1" applyFont="1" applyFill="1" applyBorder="1" applyAlignment="1">
      <alignment vertical="center" shrinkToFit="1"/>
    </xf>
    <xf numFmtId="176" fontId="0" fillId="0" borderId="67" xfId="0" applyNumberFormat="1" applyFont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0" fontId="15" fillId="0" borderId="31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179" fontId="0" fillId="0" borderId="133" xfId="0" applyNumberFormat="1" applyFont="1" applyBorder="1" applyAlignment="1">
      <alignment vertical="center" shrinkToFit="1"/>
    </xf>
    <xf numFmtId="179" fontId="0" fillId="0" borderId="217" xfId="0" applyNumberFormat="1" applyFont="1" applyBorder="1" applyAlignment="1">
      <alignment vertical="center" shrinkToFit="1"/>
    </xf>
    <xf numFmtId="179" fontId="0" fillId="0" borderId="218" xfId="0" applyNumberFormat="1" applyFont="1" applyBorder="1" applyAlignment="1">
      <alignment vertical="center" shrinkToFit="1"/>
    </xf>
    <xf numFmtId="183" fontId="0" fillId="0" borderId="12" xfId="0" applyNumberFormat="1" applyFont="1" applyBorder="1" applyAlignment="1">
      <alignment vertical="center" shrinkToFit="1"/>
    </xf>
    <xf numFmtId="183" fontId="0" fillId="0" borderId="179" xfId="0" applyNumberFormat="1" applyFont="1" applyBorder="1" applyAlignment="1">
      <alignment vertical="center" shrinkToFit="1"/>
    </xf>
    <xf numFmtId="183" fontId="12" fillId="0" borderId="179" xfId="0" applyNumberFormat="1" applyFont="1" applyBorder="1" applyAlignment="1">
      <alignment vertical="center" shrinkToFit="1"/>
    </xf>
    <xf numFmtId="183" fontId="0" fillId="0" borderId="180" xfId="0" applyNumberFormat="1" applyFont="1" applyBorder="1" applyAlignment="1">
      <alignment vertical="center" shrinkToFit="1"/>
    </xf>
    <xf numFmtId="185" fontId="17" fillId="0" borderId="89" xfId="0" applyNumberFormat="1" applyFont="1" applyBorder="1" applyAlignment="1">
      <alignment horizontal="right" vertical="center" shrinkToFit="1"/>
    </xf>
    <xf numFmtId="182" fontId="17" fillId="0" borderId="89" xfId="4" applyNumberFormat="1" applyFont="1" applyBorder="1" applyAlignment="1">
      <alignment vertical="center" shrinkToFit="1"/>
    </xf>
    <xf numFmtId="177" fontId="17" fillId="0" borderId="76" xfId="0" applyNumberFormat="1" applyFont="1" applyBorder="1" applyAlignment="1">
      <alignment vertical="center" shrinkToFit="1"/>
    </xf>
    <xf numFmtId="176" fontId="0" fillId="0" borderId="219" xfId="0" applyNumberFormat="1" applyFont="1" applyBorder="1" applyAlignment="1">
      <alignment vertical="center"/>
    </xf>
    <xf numFmtId="183" fontId="0" fillId="0" borderId="10" xfId="0" applyNumberFormat="1" applyFont="1" applyBorder="1" applyAlignment="1">
      <alignment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0" borderId="160" xfId="0" applyNumberFormat="1" applyFont="1" applyBorder="1" applyAlignment="1">
      <alignment vertical="center" shrinkToFit="1"/>
    </xf>
    <xf numFmtId="183" fontId="0" fillId="0" borderId="89" xfId="0" applyNumberFormat="1" applyFont="1" applyBorder="1" applyAlignment="1">
      <alignment vertical="center" shrinkToFit="1"/>
    </xf>
    <xf numFmtId="0" fontId="1" fillId="0" borderId="89" xfId="2" applyFont="1" applyBorder="1" applyAlignment="1">
      <alignment horizontal="center"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15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0" fillId="0" borderId="169" xfId="0" applyFont="1" applyBorder="1" applyAlignment="1">
      <alignment horizontal="center" vertical="center" shrinkToFit="1"/>
    </xf>
    <xf numFmtId="0" fontId="0" fillId="0" borderId="172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2" applyFont="1" applyAlignment="1">
      <alignment horizontal="justify" vertical="center"/>
    </xf>
    <xf numFmtId="0" fontId="0" fillId="0" borderId="57" xfId="2" applyFont="1" applyBorder="1" applyAlignment="1">
      <alignment horizontal="center" vertical="center" wrapText="1"/>
    </xf>
    <xf numFmtId="0" fontId="0" fillId="0" borderId="117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5" xfId="2" applyFont="1" applyFill="1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 wrapText="1"/>
    </xf>
    <xf numFmtId="0" fontId="0" fillId="0" borderId="117" xfId="2" applyFont="1" applyFill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83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0" fontId="0" fillId="0" borderId="1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83" xfId="2" applyFont="1" applyFill="1" applyBorder="1" applyAlignment="1">
      <alignment horizontal="center" vertical="center" wrapText="1"/>
    </xf>
    <xf numFmtId="0" fontId="0" fillId="0" borderId="32" xfId="2" applyFont="1" applyBorder="1" applyAlignment="1">
      <alignment horizontal="center" vertical="center" wrapText="1"/>
    </xf>
    <xf numFmtId="0" fontId="0" fillId="0" borderId="142" xfId="2" applyFont="1" applyBorder="1" applyAlignment="1">
      <alignment horizontal="center" vertical="center" wrapText="1"/>
    </xf>
    <xf numFmtId="0" fontId="0" fillId="0" borderId="145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0" fontId="0" fillId="0" borderId="215" xfId="2" applyFont="1" applyBorder="1" applyAlignment="1">
      <alignment horizontal="center" vertical="center" wrapText="1"/>
    </xf>
    <xf numFmtId="0" fontId="0" fillId="0" borderId="216" xfId="2" applyFont="1" applyBorder="1" applyAlignment="1">
      <alignment horizontal="center" vertical="center" wrapText="1"/>
    </xf>
    <xf numFmtId="0" fontId="0" fillId="0" borderId="146" xfId="2" applyFont="1" applyBorder="1" applyAlignment="1">
      <alignment horizontal="center" vertical="center" wrapText="1"/>
    </xf>
    <xf numFmtId="0" fontId="0" fillId="0" borderId="16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0" fillId="0" borderId="59" xfId="2" applyFont="1" applyBorder="1" applyAlignment="1">
      <alignment horizontal="center" vertical="center" wrapText="1"/>
    </xf>
    <xf numFmtId="0" fontId="0" fillId="0" borderId="0" xfId="2" applyFont="1" applyBorder="1" applyAlignment="1">
      <alignment vertical="center" wrapText="1"/>
    </xf>
    <xf numFmtId="0" fontId="0" fillId="0" borderId="32" xfId="2" applyFont="1" applyBorder="1" applyAlignment="1">
      <alignment vertical="center" wrapText="1"/>
    </xf>
    <xf numFmtId="0" fontId="0" fillId="0" borderId="0" xfId="2" applyFont="1" applyAlignment="1">
      <alignment vertical="center" wrapText="1"/>
    </xf>
    <xf numFmtId="0" fontId="1" fillId="0" borderId="201" xfId="2" applyFont="1" applyBorder="1" applyAlignment="1">
      <alignment horizontal="center" vertical="center" wrapText="1"/>
    </xf>
    <xf numFmtId="0" fontId="1" fillId="0" borderId="89" xfId="2" applyFont="1" applyBorder="1" applyAlignment="1">
      <alignment vertical="center" wrapText="1"/>
    </xf>
    <xf numFmtId="0" fontId="1" fillId="0" borderId="204" xfId="2" applyFont="1" applyBorder="1" applyAlignment="1">
      <alignment vertical="center" wrapText="1"/>
    </xf>
    <xf numFmtId="0" fontId="1" fillId="0" borderId="23" xfId="2" applyFont="1" applyBorder="1" applyAlignment="1">
      <alignment horizontal="center" vertical="center" wrapText="1"/>
    </xf>
    <xf numFmtId="0" fontId="1" fillId="0" borderId="204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/>
    </xf>
    <xf numFmtId="0" fontId="1" fillId="0" borderId="205" xfId="2" applyFont="1" applyBorder="1" applyAlignment="1">
      <alignment horizontal="center" vertical="center" wrapText="1"/>
    </xf>
    <xf numFmtId="0" fontId="1" fillId="0" borderId="24" xfId="2" applyFont="1" applyBorder="1" applyAlignment="1">
      <alignment horizontal="left" vertical="center" wrapText="1"/>
    </xf>
    <xf numFmtId="0" fontId="1" fillId="0" borderId="62" xfId="2" applyFont="1" applyBorder="1" applyAlignment="1">
      <alignment horizontal="left" vertical="center" wrapText="1"/>
    </xf>
    <xf numFmtId="179" fontId="0" fillId="0" borderId="211" xfId="0" applyNumberFormat="1" applyFont="1" applyBorder="1" applyAlignment="1">
      <alignment vertical="center" shrinkToFit="1"/>
    </xf>
    <xf numFmtId="179" fontId="0" fillId="0" borderId="21" xfId="0" applyNumberFormat="1" applyFont="1" applyBorder="1" applyAlignment="1">
      <alignment vertical="center" shrinkToFit="1"/>
    </xf>
    <xf numFmtId="179" fontId="0" fillId="0" borderId="212" xfId="0" applyNumberFormat="1" applyFont="1" applyBorder="1" applyAlignment="1">
      <alignment vertical="center" shrinkToFit="1"/>
    </xf>
    <xf numFmtId="179" fontId="0" fillId="0" borderId="160" xfId="0" applyNumberFormat="1" applyFont="1" applyBorder="1" applyAlignment="1">
      <alignment vertical="center" shrinkToFit="1"/>
    </xf>
    <xf numFmtId="179" fontId="0" fillId="0" borderId="213" xfId="0" applyNumberFormat="1" applyFont="1" applyBorder="1" applyAlignment="1">
      <alignment vertical="center" shrinkToFit="1"/>
    </xf>
    <xf numFmtId="179" fontId="0" fillId="0" borderId="214" xfId="0" applyNumberFormat="1" applyFont="1" applyBorder="1" applyAlignment="1">
      <alignment vertical="center" shrinkToFit="1"/>
    </xf>
    <xf numFmtId="179" fontId="0" fillId="0" borderId="124" xfId="0" applyNumberFormat="1" applyFont="1" applyBorder="1" applyAlignment="1">
      <alignment vertical="center" shrinkToFit="1"/>
    </xf>
    <xf numFmtId="185" fontId="0" fillId="0" borderId="89" xfId="0" applyNumberFormat="1" applyFont="1" applyBorder="1" applyAlignment="1">
      <alignment horizontal="right" vertical="center" shrinkToFit="1"/>
    </xf>
    <xf numFmtId="176" fontId="0" fillId="0" borderId="224" xfId="0" applyNumberFormat="1" applyFont="1" applyBorder="1" applyAlignment="1">
      <alignment vertical="center" shrinkToFit="1"/>
    </xf>
    <xf numFmtId="9" fontId="0" fillId="0" borderId="224" xfId="0" applyNumberFormat="1" applyFont="1" applyBorder="1" applyAlignment="1">
      <alignment vertical="center" shrinkToFit="1"/>
    </xf>
    <xf numFmtId="9" fontId="0" fillId="0" borderId="142" xfId="0" applyNumberFormat="1" applyFont="1" applyBorder="1" applyAlignment="1">
      <alignment vertical="center" shrinkToFit="1"/>
    </xf>
    <xf numFmtId="183" fontId="0" fillId="0" borderId="196" xfId="0" applyNumberFormat="1" applyFont="1" applyBorder="1" applyAlignment="1">
      <alignment vertical="center" shrinkToFit="1"/>
    </xf>
    <xf numFmtId="183" fontId="0" fillId="0" borderId="221" xfId="0" applyNumberFormat="1" applyFont="1" applyBorder="1" applyAlignment="1">
      <alignment vertical="center" shrinkToFit="1"/>
    </xf>
    <xf numFmtId="176" fontId="0" fillId="0" borderId="220" xfId="0" applyNumberFormat="1" applyFont="1" applyBorder="1" applyAlignment="1">
      <alignment vertical="center"/>
    </xf>
    <xf numFmtId="176" fontId="0" fillId="0" borderId="54" xfId="3" applyNumberFormat="1" applyFont="1" applyFill="1" applyBorder="1" applyAlignment="1">
      <alignment vertical="center" shrinkToFit="1"/>
    </xf>
    <xf numFmtId="176" fontId="0" fillId="0" borderId="157" xfId="0" applyNumberFormat="1" applyFont="1" applyBorder="1" applyAlignment="1">
      <alignment vertical="center"/>
    </xf>
    <xf numFmtId="177" fontId="0" fillId="0" borderId="160" xfId="0" applyNumberFormat="1" applyFont="1" applyBorder="1" applyAlignment="1">
      <alignment vertical="center" shrinkToFit="1"/>
    </xf>
    <xf numFmtId="177" fontId="0" fillId="0" borderId="223" xfId="0" applyNumberFormat="1" applyFont="1" applyBorder="1" applyAlignment="1">
      <alignment vertical="center" shrinkToFit="1"/>
    </xf>
    <xf numFmtId="177" fontId="1" fillId="0" borderId="24" xfId="3" applyNumberFormat="1" applyFont="1" applyBorder="1" applyAlignment="1">
      <alignment vertical="center" shrinkToFit="1"/>
    </xf>
    <xf numFmtId="182" fontId="1" fillId="0" borderId="24" xfId="3" applyNumberFormat="1" applyFont="1" applyFill="1" applyBorder="1" applyAlignment="1">
      <alignment vertical="center" shrinkToFit="1"/>
    </xf>
    <xf numFmtId="176" fontId="1" fillId="0" borderId="62" xfId="0" applyNumberFormat="1" applyFont="1" applyBorder="1" applyAlignment="1">
      <alignment vertical="center"/>
    </xf>
    <xf numFmtId="182" fontId="1" fillId="0" borderId="24" xfId="3" applyNumberFormat="1" applyFont="1" applyBorder="1" applyAlignment="1">
      <alignment vertical="center" shrinkToFit="1"/>
    </xf>
    <xf numFmtId="176" fontId="1" fillId="0" borderId="24" xfId="0" applyNumberFormat="1" applyFont="1" applyBorder="1" applyAlignment="1">
      <alignment vertical="center" shrinkToFit="1"/>
    </xf>
    <xf numFmtId="176" fontId="1" fillId="0" borderId="62" xfId="0" applyNumberFormat="1" applyFont="1" applyBorder="1" applyAlignment="1">
      <alignment vertical="center" shrinkToFit="1"/>
    </xf>
    <xf numFmtId="177" fontId="1" fillId="2" borderId="53" xfId="3" applyNumberFormat="1" applyFont="1" applyFill="1" applyBorder="1" applyAlignment="1">
      <alignment vertical="center" shrinkToFit="1"/>
    </xf>
    <xf numFmtId="182" fontId="1" fillId="2" borderId="53" xfId="3" applyNumberFormat="1" applyFont="1" applyFill="1" applyBorder="1" applyAlignment="1">
      <alignment vertical="center" shrinkToFit="1"/>
    </xf>
    <xf numFmtId="176" fontId="1" fillId="6" borderId="151" xfId="0" applyNumberFormat="1" applyFont="1" applyFill="1" applyBorder="1" applyAlignment="1">
      <alignment vertical="center"/>
    </xf>
    <xf numFmtId="183" fontId="0" fillId="0" borderId="24" xfId="0" applyNumberFormat="1" applyFont="1" applyBorder="1" applyAlignment="1">
      <alignment vertical="center" shrinkToFit="1"/>
    </xf>
    <xf numFmtId="183" fontId="0" fillId="0" borderId="222" xfId="0" applyNumberFormat="1" applyFont="1" applyBorder="1" applyAlignment="1">
      <alignment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wrapText="1"/>
    </xf>
    <xf numFmtId="0" fontId="0" fillId="0" borderId="32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17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184" fontId="0" fillId="0" borderId="78" xfId="0" applyNumberFormat="1" applyFont="1" applyFill="1" applyBorder="1" applyAlignment="1">
      <alignment horizontal="center" vertical="center"/>
    </xf>
    <xf numFmtId="0" fontId="0" fillId="0" borderId="23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177" fontId="0" fillId="0" borderId="14" xfId="0" applyNumberFormat="1" applyFill="1" applyBorder="1" applyAlignment="1">
      <alignment vertical="center"/>
    </xf>
    <xf numFmtId="176" fontId="0" fillId="0" borderId="89" xfId="0" applyNumberFormat="1" applyFont="1" applyBorder="1" applyAlignment="1">
      <alignment horizontal="left" vertical="center" shrinkToFit="1"/>
    </xf>
    <xf numFmtId="0" fontId="0" fillId="0" borderId="89" xfId="2" applyFont="1" applyBorder="1" applyAlignment="1">
      <alignment vertical="top" wrapText="1"/>
    </xf>
    <xf numFmtId="0" fontId="0" fillId="0" borderId="204" xfId="2" applyFont="1" applyBorder="1" applyAlignment="1">
      <alignment vertical="top" wrapText="1"/>
    </xf>
    <xf numFmtId="0" fontId="1" fillId="0" borderId="209" xfId="2" applyFont="1" applyBorder="1" applyAlignment="1">
      <alignment vertical="top" wrapText="1"/>
    </xf>
    <xf numFmtId="0" fontId="1" fillId="0" borderId="209" xfId="2" applyFont="1" applyBorder="1" applyAlignment="1">
      <alignment horizontal="right" vertical="top" wrapText="1"/>
    </xf>
    <xf numFmtId="0" fontId="1" fillId="0" borderId="209" xfId="2" applyFont="1" applyBorder="1" applyAlignment="1">
      <alignment horizontal="center" vertical="top" wrapText="1"/>
    </xf>
    <xf numFmtId="0" fontId="0" fillId="0" borderId="209" xfId="2" applyFont="1" applyBorder="1" applyAlignment="1">
      <alignment vertical="top" wrapText="1"/>
    </xf>
    <xf numFmtId="0" fontId="0" fillId="0" borderId="210" xfId="2" applyFont="1" applyBorder="1" applyAlignment="1">
      <alignment horizontal="left" vertical="top" wrapText="1"/>
    </xf>
    <xf numFmtId="177" fontId="18" fillId="0" borderId="142" xfId="0" applyNumberFormat="1" applyFont="1" applyFill="1" applyBorder="1" applyAlignment="1">
      <alignment vertical="center"/>
    </xf>
    <xf numFmtId="177" fontId="18" fillId="0" borderId="145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horizontal="right" vertical="center"/>
    </xf>
    <xf numFmtId="182" fontId="0" fillId="0" borderId="145" xfId="0" applyNumberFormat="1" applyFont="1" applyFill="1" applyBorder="1" applyAlignment="1">
      <alignment horizontal="left" vertical="center"/>
    </xf>
    <xf numFmtId="0" fontId="0" fillId="0" borderId="202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87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left" vertical="center" wrapText="1"/>
    </xf>
    <xf numFmtId="0" fontId="0" fillId="0" borderId="83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32" xfId="2" applyFont="1" applyBorder="1" applyAlignment="1">
      <alignment horizontal="center" vertical="center" wrapText="1"/>
    </xf>
    <xf numFmtId="0" fontId="0" fillId="0" borderId="88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58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0" fillId="0" borderId="10" xfId="2" applyFont="1" applyBorder="1" applyAlignment="1">
      <alignment vertical="center" wrapText="1"/>
    </xf>
    <xf numFmtId="0" fontId="0" fillId="0" borderId="0" xfId="2" applyFont="1" applyBorder="1" applyAlignment="1">
      <alignment vertical="center" wrapText="1"/>
    </xf>
    <xf numFmtId="0" fontId="0" fillId="0" borderId="52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left" vertical="center" wrapText="1"/>
    </xf>
    <xf numFmtId="0" fontId="0" fillId="0" borderId="14" xfId="2" applyFont="1" applyBorder="1" applyAlignment="1">
      <alignment horizontal="left" vertical="center" wrapText="1"/>
    </xf>
    <xf numFmtId="0" fontId="0" fillId="0" borderId="52" xfId="2" applyFont="1" applyBorder="1" applyAlignment="1">
      <alignment horizontal="left" vertical="center" wrapText="1"/>
    </xf>
    <xf numFmtId="0" fontId="0" fillId="0" borderId="13" xfId="2" applyFont="1" applyBorder="1" applyAlignment="1">
      <alignment vertical="center" wrapText="1"/>
    </xf>
    <xf numFmtId="0" fontId="0" fillId="0" borderId="14" xfId="2" applyFont="1" applyBorder="1" applyAlignment="1">
      <alignment vertical="center" wrapText="1"/>
    </xf>
    <xf numFmtId="0" fontId="0" fillId="0" borderId="87" xfId="2" applyFont="1" applyBorder="1" applyAlignment="1">
      <alignment horizontal="center" vertical="center" wrapText="1"/>
    </xf>
    <xf numFmtId="0" fontId="0" fillId="0" borderId="91" xfId="2" applyFont="1" applyBorder="1" applyAlignment="1">
      <alignment horizontal="center" vertical="center" wrapText="1"/>
    </xf>
    <xf numFmtId="0" fontId="0" fillId="0" borderId="33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19" xfId="2" applyFont="1" applyBorder="1" applyAlignment="1">
      <alignment vertical="center" wrapText="1"/>
    </xf>
    <xf numFmtId="0" fontId="0" fillId="0" borderId="18" xfId="2" applyFont="1" applyBorder="1" applyAlignment="1">
      <alignment vertical="center" wrapText="1"/>
    </xf>
    <xf numFmtId="0" fontId="0" fillId="0" borderId="80" xfId="2" applyFont="1" applyBorder="1" applyAlignment="1">
      <alignment horizontal="center" vertical="center" textRotation="255" shrinkToFit="1"/>
    </xf>
    <xf numFmtId="0" fontId="0" fillId="0" borderId="58" xfId="2" applyFont="1" applyBorder="1" applyAlignment="1">
      <alignment horizontal="center" vertical="center" textRotation="255" shrinkToFit="1"/>
    </xf>
    <xf numFmtId="0" fontId="0" fillId="0" borderId="81" xfId="2" applyFont="1" applyBorder="1" applyAlignment="1">
      <alignment horizontal="center" vertical="center" textRotation="255" shrinkToFit="1"/>
    </xf>
    <xf numFmtId="0" fontId="0" fillId="0" borderId="25" xfId="2" applyFont="1" applyBorder="1" applyAlignment="1">
      <alignment horizontal="left" vertical="center" wrapText="1" indent="1"/>
    </xf>
    <xf numFmtId="0" fontId="0" fillId="0" borderId="26" xfId="2" applyFont="1" applyBorder="1" applyAlignment="1">
      <alignment horizontal="left" vertical="center" wrapText="1" indent="1"/>
    </xf>
    <xf numFmtId="0" fontId="0" fillId="0" borderId="10" xfId="2" applyFont="1" applyBorder="1" applyAlignment="1">
      <alignment horizontal="left" vertical="center" wrapText="1" indent="1"/>
    </xf>
    <xf numFmtId="0" fontId="0" fillId="0" borderId="0" xfId="2" applyFont="1" applyBorder="1" applyAlignment="1">
      <alignment horizontal="left" vertical="center" wrapText="1" indent="1"/>
    </xf>
    <xf numFmtId="0" fontId="0" fillId="0" borderId="19" xfId="2" applyFont="1" applyBorder="1" applyAlignment="1">
      <alignment horizontal="left" vertical="center" wrapText="1"/>
    </xf>
    <xf numFmtId="0" fontId="0" fillId="0" borderId="18" xfId="2" applyFont="1" applyBorder="1" applyAlignment="1">
      <alignment horizontal="left" vertical="center" wrapText="1"/>
    </xf>
    <xf numFmtId="0" fontId="0" fillId="0" borderId="118" xfId="2" applyFont="1" applyBorder="1" applyAlignment="1">
      <alignment horizontal="left" vertical="center" wrapText="1"/>
    </xf>
    <xf numFmtId="0" fontId="0" fillId="0" borderId="18" xfId="2" applyFont="1" applyBorder="1" applyAlignment="1">
      <alignment horizontal="center" vertical="center" wrapText="1"/>
    </xf>
    <xf numFmtId="0" fontId="0" fillId="0" borderId="20" xfId="2" applyFont="1" applyBorder="1" applyAlignment="1">
      <alignment horizontal="center" vertical="center" wrapText="1"/>
    </xf>
    <xf numFmtId="0" fontId="0" fillId="0" borderId="90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17" xfId="2" applyFont="1" applyBorder="1" applyAlignment="1">
      <alignment horizontal="center" vertical="center" wrapText="1"/>
    </xf>
    <xf numFmtId="0" fontId="0" fillId="0" borderId="142" xfId="2" applyFont="1" applyBorder="1" applyAlignment="1">
      <alignment horizontal="center" vertical="center" wrapText="1"/>
    </xf>
    <xf numFmtId="0" fontId="0" fillId="0" borderId="145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0" fontId="0" fillId="0" borderId="23" xfId="2" applyFont="1" applyBorder="1" applyAlignment="1">
      <alignment horizontal="center" vertical="center" wrapText="1"/>
    </xf>
    <xf numFmtId="0" fontId="0" fillId="0" borderId="196" xfId="2" applyFont="1" applyBorder="1" applyAlignment="1">
      <alignment horizontal="center" vertical="center" wrapText="1"/>
    </xf>
    <xf numFmtId="0" fontId="0" fillId="0" borderId="51" xfId="2" applyFont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0" fillId="0" borderId="37" xfId="2" applyFont="1" applyBorder="1" applyAlignment="1">
      <alignment vertical="center" wrapText="1"/>
    </xf>
    <xf numFmtId="0" fontId="0" fillId="0" borderId="39" xfId="2" applyFont="1" applyBorder="1" applyAlignment="1">
      <alignment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92" xfId="2" applyFont="1" applyBorder="1" applyAlignment="1">
      <alignment horizontal="center" vertical="center" wrapText="1"/>
    </xf>
    <xf numFmtId="0" fontId="0" fillId="0" borderId="93" xfId="2" applyFont="1" applyBorder="1" applyAlignment="1">
      <alignment horizontal="center" vertical="center" wrapText="1"/>
    </xf>
    <xf numFmtId="0" fontId="0" fillId="0" borderId="94" xfId="2" applyFont="1" applyBorder="1" applyAlignment="1">
      <alignment horizontal="center" vertical="center" wrapText="1"/>
    </xf>
    <xf numFmtId="0" fontId="0" fillId="0" borderId="95" xfId="2" applyFont="1" applyBorder="1" applyAlignment="1">
      <alignment horizontal="center" vertical="center"/>
    </xf>
    <xf numFmtId="0" fontId="0" fillId="0" borderId="96" xfId="2" applyFont="1" applyBorder="1" applyAlignment="1">
      <alignment horizontal="center" vertical="center"/>
    </xf>
    <xf numFmtId="0" fontId="0" fillId="0" borderId="97" xfId="2" applyFont="1" applyBorder="1" applyAlignment="1">
      <alignment horizontal="center" vertical="center"/>
    </xf>
    <xf numFmtId="0" fontId="0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0" fillId="0" borderId="67" xfId="2" applyFont="1" applyBorder="1" applyAlignment="1">
      <alignment vertical="center" wrapText="1"/>
    </xf>
    <xf numFmtId="0" fontId="0" fillId="0" borderId="60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0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0" fillId="0" borderId="64" xfId="2" applyFont="1" applyBorder="1" applyAlignment="1">
      <alignment vertical="center" wrapText="1"/>
    </xf>
    <xf numFmtId="0" fontId="0" fillId="0" borderId="99" xfId="2" applyFont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0" fillId="0" borderId="62" xfId="2" applyFont="1" applyBorder="1" applyAlignment="1">
      <alignment vertical="center" wrapText="1"/>
    </xf>
    <xf numFmtId="0" fontId="0" fillId="0" borderId="41" xfId="2" applyFont="1" applyBorder="1" applyAlignment="1">
      <alignment horizontal="center" vertical="center"/>
    </xf>
    <xf numFmtId="0" fontId="0" fillId="0" borderId="63" xfId="2" applyFont="1" applyBorder="1" applyAlignment="1">
      <alignment horizontal="center" vertical="center"/>
    </xf>
    <xf numFmtId="0" fontId="0" fillId="0" borderId="49" xfId="2" applyFont="1" applyBorder="1" applyAlignment="1">
      <alignment horizontal="center" vertical="center"/>
    </xf>
    <xf numFmtId="0" fontId="0" fillId="0" borderId="100" xfId="2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 shrinkToFit="1"/>
    </xf>
    <xf numFmtId="0" fontId="0" fillId="0" borderId="171" xfId="0" applyFont="1" applyBorder="1" applyAlignment="1">
      <alignment horizontal="center" vertical="center" shrinkToFit="1"/>
    </xf>
    <xf numFmtId="0" fontId="0" fillId="0" borderId="173" xfId="0" applyFont="1" applyBorder="1" applyAlignment="1">
      <alignment horizontal="center" vertical="center" shrinkToFit="1"/>
    </xf>
    <xf numFmtId="0" fontId="0" fillId="0" borderId="101" xfId="0" quotePrefix="1" applyFont="1" applyBorder="1" applyAlignment="1">
      <alignment horizontal="center" vertical="center" wrapText="1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0" fillId="0" borderId="104" xfId="0" applyFont="1" applyBorder="1" applyAlignment="1">
      <alignment horizontal="center" vertical="center" shrinkToFit="1"/>
    </xf>
    <xf numFmtId="0" fontId="0" fillId="0" borderId="105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1" fillId="0" borderId="200" xfId="2" applyFont="1" applyBorder="1" applyAlignment="1">
      <alignment horizontal="center" vertical="center" wrapText="1"/>
    </xf>
    <xf numFmtId="0" fontId="1" fillId="0" borderId="201" xfId="2" applyFont="1" applyBorder="1" applyAlignment="1">
      <alignment horizontal="center" vertical="center" wrapText="1"/>
    </xf>
    <xf numFmtId="0" fontId="1" fillId="0" borderId="203" xfId="2" applyFont="1" applyBorder="1" applyAlignment="1">
      <alignment horizontal="center" vertical="center" textRotation="255" wrapText="1"/>
    </xf>
    <xf numFmtId="0" fontId="1" fillId="0" borderId="206" xfId="2" applyFont="1" applyBorder="1" applyAlignment="1">
      <alignment horizontal="center" vertical="center"/>
    </xf>
    <xf numFmtId="0" fontId="1" fillId="0" borderId="167" xfId="2" applyFont="1" applyBorder="1" applyAlignment="1">
      <alignment horizontal="center" vertical="center"/>
    </xf>
    <xf numFmtId="0" fontId="1" fillId="0" borderId="207" xfId="2" applyFont="1" applyBorder="1" applyAlignment="1">
      <alignment horizontal="center" vertical="center"/>
    </xf>
    <xf numFmtId="0" fontId="1" fillId="0" borderId="208" xfId="2" applyFont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9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0" fontId="0" fillId="0" borderId="184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5" xfId="1" applyNumberFormat="1" applyFont="1" applyBorder="1" applyAlignment="1">
      <alignment horizontal="center" vertical="center"/>
    </xf>
    <xf numFmtId="180" fontId="0" fillId="0" borderId="138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86" xfId="1" applyNumberFormat="1" applyFont="1" applyBorder="1" applyAlignment="1">
      <alignment horizontal="center" vertical="center"/>
    </xf>
    <xf numFmtId="181" fontId="0" fillId="0" borderId="187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9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1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9" xfId="0" applyFont="1" applyBorder="1" applyAlignment="1">
      <alignment vertical="center"/>
    </xf>
    <xf numFmtId="0" fontId="0" fillId="0" borderId="131" xfId="0" applyFont="1" applyBorder="1" applyAlignment="1">
      <alignment vertical="center"/>
    </xf>
    <xf numFmtId="0" fontId="0" fillId="0" borderId="159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4" borderId="159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1" xfId="0" applyFont="1" applyFill="1" applyBorder="1" applyAlignment="1">
      <alignment horizontal="center" vertical="center" textRotation="255" wrapText="1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9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175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83" xfId="0" applyNumberForma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1" xfId="0" applyNumberFormat="1" applyBorder="1" applyAlignment="1">
      <alignment horizontal="center" vertical="center"/>
    </xf>
    <xf numFmtId="176" fontId="0" fillId="0" borderId="121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60" xfId="0" applyNumberFormat="1" applyFill="1" applyBorder="1" applyAlignment="1">
      <alignment horizontal="left" vertical="center" shrinkToFit="1"/>
    </xf>
    <xf numFmtId="177" fontId="0" fillId="0" borderId="167" xfId="0" applyNumberFormat="1" applyFill="1" applyBorder="1" applyAlignment="1">
      <alignment horizontal="left" vertical="center" shrinkToFit="1"/>
    </xf>
    <xf numFmtId="177" fontId="0" fillId="0" borderId="168" xfId="0" applyNumberFormat="1" applyFill="1" applyBorder="1" applyAlignment="1">
      <alignment horizontal="left" vertical="center" shrinkToFit="1"/>
    </xf>
    <xf numFmtId="177" fontId="0" fillId="0" borderId="160" xfId="0" applyNumberFormat="1" applyFill="1" applyBorder="1" applyAlignment="1">
      <alignment horizontal="left" vertical="center"/>
    </xf>
    <xf numFmtId="177" fontId="0" fillId="0" borderId="167" xfId="0" applyNumberFormat="1" applyFill="1" applyBorder="1" applyAlignment="1">
      <alignment horizontal="left" vertical="center"/>
    </xf>
    <xf numFmtId="177" fontId="0" fillId="0" borderId="168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7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9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6" xfId="0" applyNumberFormat="1" applyFill="1" applyBorder="1" applyAlignment="1">
      <alignment horizontal="center" vertical="center" textRotation="255" shrinkToFit="1"/>
    </xf>
    <xf numFmtId="0" fontId="0" fillId="0" borderId="135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6" xfId="0" applyNumberFormat="1" applyFill="1" applyBorder="1" applyAlignment="1">
      <alignment horizontal="center" vertical="center" shrinkToFit="1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25" xfId="0" applyNumberFormat="1" applyFont="1" applyBorder="1" applyAlignment="1">
      <alignment vertical="center"/>
    </xf>
    <xf numFmtId="177" fontId="0" fillId="0" borderId="133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6" fillId="0" borderId="160" xfId="0" applyNumberFormat="1" applyFont="1" applyFill="1" applyBorder="1" applyAlignment="1">
      <alignment horizontal="left" vertical="center" shrinkToFit="1"/>
    </xf>
    <xf numFmtId="177" fontId="6" fillId="0" borderId="167" xfId="0" applyNumberFormat="1" applyFont="1" applyFill="1" applyBorder="1" applyAlignment="1">
      <alignment horizontal="left" vertical="center" shrinkToFit="1"/>
    </xf>
    <xf numFmtId="177" fontId="6" fillId="0" borderId="168" xfId="0" applyNumberFormat="1" applyFont="1" applyFill="1" applyBorder="1" applyAlignment="1">
      <alignment horizontal="left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49" xfId="3" applyNumberFormat="1" applyFont="1" applyBorder="1" applyAlignment="1">
      <alignment horizontal="center" vertical="center" textRotation="255" shrinkToFit="1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156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0" borderId="15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textRotation="255" shrinkToFit="1"/>
    </xf>
    <xf numFmtId="176" fontId="0" fillId="0" borderId="122" xfId="0" applyNumberFormat="1" applyFont="1" applyBorder="1" applyAlignment="1">
      <alignment horizontal="center" vertical="center" textRotation="255" shrinkToFit="1"/>
    </xf>
    <xf numFmtId="176" fontId="0" fillId="0" borderId="127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0" fontId="0" fillId="0" borderId="106" xfId="0" applyFont="1" applyBorder="1">
      <alignment vertical="center"/>
    </xf>
    <xf numFmtId="0" fontId="0" fillId="0" borderId="158" xfId="0" applyFont="1" applyBorder="1">
      <alignment vertical="center"/>
    </xf>
    <xf numFmtId="176" fontId="0" fillId="2" borderId="125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7" fontId="0" fillId="2" borderId="125" xfId="0" applyNumberFormat="1" applyFont="1" applyFill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0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1" xfId="0" applyNumberFormat="1" applyFont="1" applyBorder="1" applyAlignment="1">
      <alignment horizontal="center" vertical="center" textRotation="255" shrinkToFit="1"/>
    </xf>
    <xf numFmtId="177" fontId="0" fillId="2" borderId="161" xfId="0" applyNumberFormat="1" applyFont="1" applyFill="1" applyBorder="1" applyAlignment="1">
      <alignment horizontal="center" vertical="center" shrinkToFit="1"/>
    </xf>
    <xf numFmtId="177" fontId="0" fillId="2" borderId="162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1" xfId="5" applyNumberFormat="1" applyFont="1" applyFill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6" fontId="0" fillId="0" borderId="178" xfId="0" applyNumberFormat="1" applyFont="1" applyBorder="1" applyAlignment="1">
      <alignment horizontal="center" vertical="center" textRotation="255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6" fontId="0" fillId="0" borderId="181" xfId="0" applyNumberFormat="1" applyFont="1" applyBorder="1" applyAlignment="1">
      <alignment horizontal="center" vertical="center" textRotation="255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207169</xdr:colOff>
      <xdr:row>20</xdr:row>
      <xdr:rowOff>38100</xdr:rowOff>
    </xdr:from>
    <xdr:to>
      <xdr:col>7</xdr:col>
      <xdr:colOff>154782</xdr:colOff>
      <xdr:row>21</xdr:row>
      <xdr:rowOff>104775</xdr:rowOff>
    </xdr:to>
    <xdr:grpSp>
      <xdr:nvGrpSpPr>
        <xdr:cNvPr id="12" name="グループ化 11"/>
        <xdr:cNvGrpSpPr/>
      </xdr:nvGrpSpPr>
      <xdr:grpSpPr>
        <a:xfrm>
          <a:off x="3559969" y="5181600"/>
          <a:ext cx="214313" cy="320675"/>
          <a:chOff x="13649325" y="3800475"/>
          <a:chExt cx="247651" cy="352425"/>
        </a:xfrm>
      </xdr:grpSpPr>
      <xdr:sp macro="" textlink="">
        <xdr:nvSpPr>
          <xdr:cNvPr id="13" name="フローチャート : 論理積ゲート 12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円弧 13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85725</xdr:colOff>
      <xdr:row>20</xdr:row>
      <xdr:rowOff>35718</xdr:rowOff>
    </xdr:from>
    <xdr:to>
      <xdr:col>13</xdr:col>
      <xdr:colOff>9524</xdr:colOff>
      <xdr:row>20</xdr:row>
      <xdr:rowOff>197800</xdr:rowOff>
    </xdr:to>
    <xdr:grpSp>
      <xdr:nvGrpSpPr>
        <xdr:cNvPr id="15" name="グループ化 14"/>
        <xdr:cNvGrpSpPr/>
      </xdr:nvGrpSpPr>
      <xdr:grpSpPr>
        <a:xfrm>
          <a:off x="5076825" y="5179218"/>
          <a:ext cx="190499" cy="162082"/>
          <a:chOff x="13677900" y="2676524"/>
          <a:chExt cx="190500" cy="162082"/>
        </a:xfrm>
      </xdr:grpSpPr>
      <xdr:sp macro="" textlink="">
        <xdr:nvSpPr>
          <xdr:cNvPr id="16" name="フローチャート : 論理積ゲート 15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フリーフォーム 16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154782</xdr:colOff>
      <xdr:row>14</xdr:row>
      <xdr:rowOff>178592</xdr:rowOff>
    </xdr:from>
    <xdr:to>
      <xdr:col>17</xdr:col>
      <xdr:colOff>11907</xdr:colOff>
      <xdr:row>15</xdr:row>
      <xdr:rowOff>83341</xdr:rowOff>
    </xdr:to>
    <xdr:grpSp>
      <xdr:nvGrpSpPr>
        <xdr:cNvPr id="18" name="グループ化 17"/>
        <xdr:cNvGrpSpPr/>
      </xdr:nvGrpSpPr>
      <xdr:grpSpPr>
        <a:xfrm>
          <a:off x="6212682" y="3798092"/>
          <a:ext cx="123825" cy="158749"/>
          <a:chOff x="11227592" y="1273969"/>
          <a:chExt cx="1071564" cy="976311"/>
        </a:xfrm>
      </xdr:grpSpPr>
      <xdr:grpSp>
        <xdr:nvGrpSpPr>
          <xdr:cNvPr id="19" name="グループ化 18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21" name="直線コネクタ 20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22" name="直線コネクタ 21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20" name="直線コネクタ 19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15</xdr:col>
      <xdr:colOff>59531</xdr:colOff>
      <xdr:row>14</xdr:row>
      <xdr:rowOff>190500</xdr:rowOff>
    </xdr:from>
    <xdr:to>
      <xdr:col>15</xdr:col>
      <xdr:colOff>178594</xdr:colOff>
      <xdr:row>15</xdr:row>
      <xdr:rowOff>95249</xdr:rowOff>
    </xdr:to>
    <xdr:grpSp>
      <xdr:nvGrpSpPr>
        <xdr:cNvPr id="23" name="グループ化 22"/>
        <xdr:cNvGrpSpPr/>
      </xdr:nvGrpSpPr>
      <xdr:grpSpPr>
        <a:xfrm>
          <a:off x="5850731" y="3810000"/>
          <a:ext cx="119063" cy="158749"/>
          <a:chOff x="11227592" y="1273969"/>
          <a:chExt cx="1071564" cy="976311"/>
        </a:xfrm>
      </xdr:grpSpPr>
      <xdr:grpSp>
        <xdr:nvGrpSpPr>
          <xdr:cNvPr id="24" name="グループ化 23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26" name="直線コネクタ 25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27" name="直線コネクタ 26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25" name="直線コネクタ 24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27</xdr:col>
      <xdr:colOff>23813</xdr:colOff>
      <xdr:row>12</xdr:row>
      <xdr:rowOff>166687</xdr:rowOff>
    </xdr:from>
    <xdr:to>
      <xdr:col>27</xdr:col>
      <xdr:colOff>142876</xdr:colOff>
      <xdr:row>13</xdr:row>
      <xdr:rowOff>71436</xdr:rowOff>
    </xdr:to>
    <xdr:grpSp>
      <xdr:nvGrpSpPr>
        <xdr:cNvPr id="28" name="グループ化 27"/>
        <xdr:cNvGrpSpPr/>
      </xdr:nvGrpSpPr>
      <xdr:grpSpPr>
        <a:xfrm>
          <a:off x="9015413" y="3278187"/>
          <a:ext cx="119063" cy="158749"/>
          <a:chOff x="11227592" y="1273969"/>
          <a:chExt cx="1071564" cy="976311"/>
        </a:xfrm>
      </xdr:grpSpPr>
      <xdr:grpSp>
        <xdr:nvGrpSpPr>
          <xdr:cNvPr id="29" name="グループ化 28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31" name="直線コネクタ 30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32" name="直線コネクタ 31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30" name="直線コネクタ 29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28</xdr:col>
      <xdr:colOff>95250</xdr:colOff>
      <xdr:row>12</xdr:row>
      <xdr:rowOff>178594</xdr:rowOff>
    </xdr:from>
    <xdr:to>
      <xdr:col>28</xdr:col>
      <xdr:colOff>214313</xdr:colOff>
      <xdr:row>13</xdr:row>
      <xdr:rowOff>83343</xdr:rowOff>
    </xdr:to>
    <xdr:grpSp>
      <xdr:nvGrpSpPr>
        <xdr:cNvPr id="38" name="グループ化 37"/>
        <xdr:cNvGrpSpPr/>
      </xdr:nvGrpSpPr>
      <xdr:grpSpPr>
        <a:xfrm>
          <a:off x="9353550" y="3290094"/>
          <a:ext cx="119063" cy="158749"/>
          <a:chOff x="11227592" y="1273969"/>
          <a:chExt cx="1071564" cy="976311"/>
        </a:xfrm>
      </xdr:grpSpPr>
      <xdr:grpSp>
        <xdr:nvGrpSpPr>
          <xdr:cNvPr id="39" name="グループ化 38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41" name="直線コネクタ 40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42" name="直線コネクタ 41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40" name="直線コネクタ 39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33</xdr:col>
      <xdr:colOff>59529</xdr:colOff>
      <xdr:row>12</xdr:row>
      <xdr:rowOff>178593</xdr:rowOff>
    </xdr:from>
    <xdr:to>
      <xdr:col>37</xdr:col>
      <xdr:colOff>250030</xdr:colOff>
      <xdr:row>13</xdr:row>
      <xdr:rowOff>71437</xdr:rowOff>
    </xdr:to>
    <xdr:sp macro="" textlink="">
      <xdr:nvSpPr>
        <xdr:cNvPr id="43" name="正方形/長方形 42"/>
        <xdr:cNvSpPr/>
      </xdr:nvSpPr>
      <xdr:spPr>
        <a:xfrm flipV="1">
          <a:off x="10525123" y="3226593"/>
          <a:ext cx="1238251" cy="1428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</xdr:colOff>
      <xdr:row>14</xdr:row>
      <xdr:rowOff>166685</xdr:rowOff>
    </xdr:from>
    <xdr:to>
      <xdr:col>22</xdr:col>
      <xdr:colOff>238124</xdr:colOff>
      <xdr:row>15</xdr:row>
      <xdr:rowOff>71436</xdr:rowOff>
    </xdr:to>
    <xdr:sp macro="" textlink="">
      <xdr:nvSpPr>
        <xdr:cNvPr id="45" name="正方形/長方形 44"/>
        <xdr:cNvSpPr/>
      </xdr:nvSpPr>
      <xdr:spPr>
        <a:xfrm flipV="1">
          <a:off x="7346156" y="3714748"/>
          <a:ext cx="476249" cy="154782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11906</xdr:colOff>
      <xdr:row>12</xdr:row>
      <xdr:rowOff>250030</xdr:rowOff>
    </xdr:from>
    <xdr:to>
      <xdr:col>33</xdr:col>
      <xdr:colOff>59529</xdr:colOff>
      <xdr:row>13</xdr:row>
      <xdr:rowOff>0</xdr:rowOff>
    </xdr:to>
    <xdr:cxnSp macro="">
      <xdr:nvCxnSpPr>
        <xdr:cNvPr id="3" name="直線コネクタ 2"/>
        <xdr:cNvCxnSpPr>
          <a:endCxn id="43" idx="1"/>
        </xdr:cNvCxnSpPr>
      </xdr:nvCxnSpPr>
      <xdr:spPr>
        <a:xfrm flipV="1">
          <a:off x="9429750" y="3298030"/>
          <a:ext cx="109537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14</xdr:row>
      <xdr:rowOff>244076</xdr:rowOff>
    </xdr:from>
    <xdr:to>
      <xdr:col>21</xdr:col>
      <xdr:colOff>23812</xdr:colOff>
      <xdr:row>15</xdr:row>
      <xdr:rowOff>0</xdr:rowOff>
    </xdr:to>
    <xdr:cxnSp macro="">
      <xdr:nvCxnSpPr>
        <xdr:cNvPr id="48" name="直線矢印コネクタ 47"/>
        <xdr:cNvCxnSpPr>
          <a:endCxn id="45" idx="1"/>
        </xdr:cNvCxnSpPr>
      </xdr:nvCxnSpPr>
      <xdr:spPr>
        <a:xfrm flipV="1">
          <a:off x="6322219" y="3792139"/>
          <a:ext cx="1023937" cy="5955"/>
        </a:xfrm>
        <a:prstGeom prst="straightConnector1">
          <a:avLst/>
        </a:prstGeom>
        <a:ln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119062</xdr:colOff>
      <xdr:row>13</xdr:row>
      <xdr:rowOff>0</xdr:rowOff>
    </xdr:from>
    <xdr:to>
      <xdr:col>28</xdr:col>
      <xdr:colOff>107157</xdr:colOff>
      <xdr:row>13</xdr:row>
      <xdr:rowOff>0</xdr:rowOff>
    </xdr:to>
    <xdr:cxnSp macro="">
      <xdr:nvCxnSpPr>
        <xdr:cNvPr id="51" name="直線コネクタ 50"/>
        <xdr:cNvCxnSpPr/>
      </xdr:nvCxnSpPr>
      <xdr:spPr>
        <a:xfrm>
          <a:off x="9013031" y="3298031"/>
          <a:ext cx="25003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15</xdr:row>
      <xdr:rowOff>11906</xdr:rowOff>
    </xdr:from>
    <xdr:to>
      <xdr:col>16</xdr:col>
      <xdr:colOff>202407</xdr:colOff>
      <xdr:row>15</xdr:row>
      <xdr:rowOff>23812</xdr:rowOff>
    </xdr:to>
    <xdr:cxnSp macro="">
      <xdr:nvCxnSpPr>
        <xdr:cNvPr id="53" name="直線コネクタ 52"/>
        <xdr:cNvCxnSpPr/>
      </xdr:nvCxnSpPr>
      <xdr:spPr>
        <a:xfrm>
          <a:off x="5893594" y="3810000"/>
          <a:ext cx="321469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238126</xdr:colOff>
      <xdr:row>5</xdr:row>
      <xdr:rowOff>71437</xdr:rowOff>
    </xdr:from>
    <xdr:to>
      <xdr:col>12</xdr:col>
      <xdr:colOff>357189</xdr:colOff>
      <xdr:row>5</xdr:row>
      <xdr:rowOff>226217</xdr:rowOff>
    </xdr:to>
    <xdr:grpSp>
      <xdr:nvGrpSpPr>
        <xdr:cNvPr id="7" name="グループ化 6"/>
        <xdr:cNvGrpSpPr/>
      </xdr:nvGrpSpPr>
      <xdr:grpSpPr>
        <a:xfrm>
          <a:off x="6372226" y="1341437"/>
          <a:ext cx="119063" cy="154780"/>
          <a:chOff x="11227592" y="1273969"/>
          <a:chExt cx="1071564" cy="976311"/>
        </a:xfrm>
      </xdr:grpSpPr>
      <xdr:grpSp>
        <xdr:nvGrpSpPr>
          <xdr:cNvPr id="8" name="グループ化 7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0" name="直線コネクタ 9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1" name="直線コネクタ 10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9" name="直線コネクタ 8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13</xdr:col>
      <xdr:colOff>309562</xdr:colOff>
      <xdr:row>6</xdr:row>
      <xdr:rowOff>59531</xdr:rowOff>
    </xdr:from>
    <xdr:to>
      <xdr:col>13</xdr:col>
      <xdr:colOff>428625</xdr:colOff>
      <xdr:row>6</xdr:row>
      <xdr:rowOff>214311</xdr:rowOff>
    </xdr:to>
    <xdr:grpSp>
      <xdr:nvGrpSpPr>
        <xdr:cNvPr id="17" name="グループ化 16"/>
        <xdr:cNvGrpSpPr/>
      </xdr:nvGrpSpPr>
      <xdr:grpSpPr>
        <a:xfrm>
          <a:off x="6913562" y="1583531"/>
          <a:ext cx="119063" cy="154780"/>
          <a:chOff x="11227592" y="1273969"/>
          <a:chExt cx="1071564" cy="976311"/>
        </a:xfrm>
      </xdr:grpSpPr>
      <xdr:grpSp>
        <xdr:nvGrpSpPr>
          <xdr:cNvPr id="18" name="グループ化 17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20" name="直線コネクタ 19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21" name="直線コネクタ 20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19" name="直線コネクタ 18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18</xdr:col>
      <xdr:colOff>23813</xdr:colOff>
      <xdr:row>5</xdr:row>
      <xdr:rowOff>71437</xdr:rowOff>
    </xdr:from>
    <xdr:to>
      <xdr:col>19</xdr:col>
      <xdr:colOff>11906</xdr:colOff>
      <xdr:row>6</xdr:row>
      <xdr:rowOff>0</xdr:rowOff>
    </xdr:to>
    <xdr:sp macro="" textlink="">
      <xdr:nvSpPr>
        <xdr:cNvPr id="38" name="正方形/長方形 37"/>
        <xdr:cNvSpPr/>
      </xdr:nvSpPr>
      <xdr:spPr>
        <a:xfrm flipV="1">
          <a:off x="8870157" y="1309687"/>
          <a:ext cx="452437" cy="17859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11906</xdr:colOff>
      <xdr:row>6</xdr:row>
      <xdr:rowOff>59531</xdr:rowOff>
    </xdr:from>
    <xdr:to>
      <xdr:col>19</xdr:col>
      <xdr:colOff>452437</xdr:colOff>
      <xdr:row>6</xdr:row>
      <xdr:rowOff>226218</xdr:rowOff>
    </xdr:to>
    <xdr:sp macro="" textlink="">
      <xdr:nvSpPr>
        <xdr:cNvPr id="40" name="正方形/長方形 39"/>
        <xdr:cNvSpPr/>
      </xdr:nvSpPr>
      <xdr:spPr>
        <a:xfrm flipV="1">
          <a:off x="9322594" y="1547812"/>
          <a:ext cx="440531" cy="16668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333375</xdr:colOff>
      <xdr:row>5</xdr:row>
      <xdr:rowOff>160734</xdr:rowOff>
    </xdr:from>
    <xdr:to>
      <xdr:col>18</xdr:col>
      <xdr:colOff>23813</xdr:colOff>
      <xdr:row>5</xdr:row>
      <xdr:rowOff>166688</xdr:rowOff>
    </xdr:to>
    <xdr:cxnSp macro="">
      <xdr:nvCxnSpPr>
        <xdr:cNvPr id="46" name="直線コネクタ 45"/>
        <xdr:cNvCxnSpPr>
          <a:endCxn id="38" idx="1"/>
        </xdr:cNvCxnSpPr>
      </xdr:nvCxnSpPr>
      <xdr:spPr>
        <a:xfrm flipV="1">
          <a:off x="6393656" y="1398984"/>
          <a:ext cx="2476501" cy="595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404813</xdr:colOff>
      <xdr:row>6</xdr:row>
      <xdr:rowOff>142874</xdr:rowOff>
    </xdr:from>
    <xdr:to>
      <xdr:col>19</xdr:col>
      <xdr:colOff>11906</xdr:colOff>
      <xdr:row>6</xdr:row>
      <xdr:rowOff>142875</xdr:rowOff>
    </xdr:to>
    <xdr:cxnSp macro="">
      <xdr:nvCxnSpPr>
        <xdr:cNvPr id="48" name="直線コネクタ 47"/>
        <xdr:cNvCxnSpPr>
          <a:endCxn id="40" idx="1"/>
        </xdr:cNvCxnSpPr>
      </xdr:nvCxnSpPr>
      <xdr:spPr>
        <a:xfrm flipV="1">
          <a:off x="6929438" y="1631155"/>
          <a:ext cx="239315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119063</xdr:colOff>
      <xdr:row>19</xdr:row>
      <xdr:rowOff>71438</xdr:rowOff>
    </xdr:from>
    <xdr:to>
      <xdr:col>24</xdr:col>
      <xdr:colOff>238126</xdr:colOff>
      <xdr:row>19</xdr:row>
      <xdr:rowOff>226218</xdr:rowOff>
    </xdr:to>
    <xdr:grpSp>
      <xdr:nvGrpSpPr>
        <xdr:cNvPr id="65" name="グループ化 64"/>
        <xdr:cNvGrpSpPr/>
      </xdr:nvGrpSpPr>
      <xdr:grpSpPr>
        <a:xfrm>
          <a:off x="11891963" y="4960938"/>
          <a:ext cx="119063" cy="154780"/>
          <a:chOff x="11227592" y="1273969"/>
          <a:chExt cx="1071564" cy="976311"/>
        </a:xfrm>
      </xdr:grpSpPr>
      <xdr:grpSp>
        <xdr:nvGrpSpPr>
          <xdr:cNvPr id="66" name="グループ化 65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68" name="直線コネクタ 67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69" name="直線コネクタ 68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67" name="直線コネクタ 66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25</xdr:col>
      <xdr:colOff>83344</xdr:colOff>
      <xdr:row>20</xdr:row>
      <xdr:rowOff>47625</xdr:rowOff>
    </xdr:from>
    <xdr:to>
      <xdr:col>25</xdr:col>
      <xdr:colOff>202407</xdr:colOff>
      <xdr:row>20</xdr:row>
      <xdr:rowOff>202405</xdr:rowOff>
    </xdr:to>
    <xdr:grpSp>
      <xdr:nvGrpSpPr>
        <xdr:cNvPr id="70" name="グループ化 69"/>
        <xdr:cNvGrpSpPr/>
      </xdr:nvGrpSpPr>
      <xdr:grpSpPr>
        <a:xfrm>
          <a:off x="12326144" y="5191125"/>
          <a:ext cx="119063" cy="154780"/>
          <a:chOff x="11227592" y="1273969"/>
          <a:chExt cx="1071564" cy="976311"/>
        </a:xfrm>
      </xdr:grpSpPr>
      <xdr:grpSp>
        <xdr:nvGrpSpPr>
          <xdr:cNvPr id="71" name="グループ化 70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73" name="直線コネクタ 72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74" name="直線コネクタ 73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72" name="直線コネクタ 71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30</xdr:col>
      <xdr:colOff>0</xdr:colOff>
      <xdr:row>19</xdr:row>
      <xdr:rowOff>59530</xdr:rowOff>
    </xdr:from>
    <xdr:to>
      <xdr:col>33</xdr:col>
      <xdr:colOff>0</xdr:colOff>
      <xdr:row>19</xdr:row>
      <xdr:rowOff>226218</xdr:rowOff>
    </xdr:to>
    <xdr:sp macro="" textlink="">
      <xdr:nvSpPr>
        <xdr:cNvPr id="77" name="正方形/長方形 76"/>
        <xdr:cNvSpPr/>
      </xdr:nvSpPr>
      <xdr:spPr>
        <a:xfrm flipV="1">
          <a:off x="14418469" y="1297780"/>
          <a:ext cx="1393031" cy="16668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452437</xdr:colOff>
      <xdr:row>20</xdr:row>
      <xdr:rowOff>47625</xdr:rowOff>
    </xdr:from>
    <xdr:to>
      <xdr:col>35</xdr:col>
      <xdr:colOff>0</xdr:colOff>
      <xdr:row>20</xdr:row>
      <xdr:rowOff>226219</xdr:rowOff>
    </xdr:to>
    <xdr:sp macro="" textlink="">
      <xdr:nvSpPr>
        <xdr:cNvPr id="78" name="正方形/長方形 77"/>
        <xdr:cNvSpPr/>
      </xdr:nvSpPr>
      <xdr:spPr>
        <a:xfrm flipV="1">
          <a:off x="15335250" y="1535906"/>
          <a:ext cx="1404938" cy="17859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226219</xdr:colOff>
      <xdr:row>19</xdr:row>
      <xdr:rowOff>142874</xdr:rowOff>
    </xdr:from>
    <xdr:to>
      <xdr:col>30</xdr:col>
      <xdr:colOff>0</xdr:colOff>
      <xdr:row>19</xdr:row>
      <xdr:rowOff>154781</xdr:rowOff>
    </xdr:to>
    <xdr:cxnSp macro="">
      <xdr:nvCxnSpPr>
        <xdr:cNvPr id="81" name="直線コネクタ 80"/>
        <xdr:cNvCxnSpPr>
          <a:endCxn id="77" idx="1"/>
        </xdr:cNvCxnSpPr>
      </xdr:nvCxnSpPr>
      <xdr:spPr>
        <a:xfrm flipV="1">
          <a:off x="11858625" y="1381124"/>
          <a:ext cx="2559844" cy="119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136922</xdr:rowOff>
    </xdr:from>
    <xdr:to>
      <xdr:col>31</xdr:col>
      <xdr:colOff>452437</xdr:colOff>
      <xdr:row>20</xdr:row>
      <xdr:rowOff>142875</xdr:rowOff>
    </xdr:to>
    <xdr:cxnSp macro="">
      <xdr:nvCxnSpPr>
        <xdr:cNvPr id="82" name="直線コネクタ 81"/>
        <xdr:cNvCxnSpPr>
          <a:endCxn id="78" idx="1"/>
        </xdr:cNvCxnSpPr>
      </xdr:nvCxnSpPr>
      <xdr:spPr>
        <a:xfrm flipV="1">
          <a:off x="12287250" y="1625203"/>
          <a:ext cx="3048000" cy="59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>
      <selection activeCell="E29" sqref="E29:N29"/>
    </sheetView>
  </sheetViews>
  <sheetFormatPr defaultColWidth="9" defaultRowHeight="13.5"/>
  <cols>
    <col min="1" max="1" width="1.625" style="69" customWidth="1"/>
    <col min="2" max="3" width="7.625" style="69" customWidth="1"/>
    <col min="4" max="6" width="9" style="69"/>
    <col min="7" max="7" width="3.5" style="69" customWidth="1"/>
    <col min="8" max="8" width="3.625" style="69" customWidth="1"/>
    <col min="9" max="9" width="3.75" style="69" customWidth="1"/>
    <col min="10" max="42" width="3.5" style="69" customWidth="1"/>
    <col min="43" max="43" width="1.375" style="69" customWidth="1"/>
    <col min="44" max="16384" width="9" style="69"/>
  </cols>
  <sheetData>
    <row r="1" spans="1:42" ht="9.9499999999999993" customHeight="1" thickBot="1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2" ht="39.950000000000003" customHeight="1" thickBot="1">
      <c r="A2" s="71"/>
      <c r="B2" s="365" t="s">
        <v>70</v>
      </c>
      <c r="C2" s="548" t="s">
        <v>408</v>
      </c>
      <c r="D2" s="549"/>
      <c r="E2" s="366" t="s">
        <v>55</v>
      </c>
      <c r="F2" s="548" t="s">
        <v>256</v>
      </c>
      <c r="G2" s="550"/>
      <c r="H2" s="550"/>
      <c r="I2" s="550"/>
      <c r="J2" s="550"/>
      <c r="K2" s="550"/>
      <c r="L2" s="550"/>
      <c r="M2" s="550"/>
      <c r="N2" s="549"/>
      <c r="O2" s="554" t="s">
        <v>56</v>
      </c>
      <c r="P2" s="555"/>
      <c r="Q2" s="556"/>
      <c r="R2" s="557" t="s">
        <v>324</v>
      </c>
      <c r="S2" s="557"/>
      <c r="T2" s="557"/>
      <c r="U2" s="557"/>
      <c r="V2" s="557" t="s">
        <v>57</v>
      </c>
      <c r="W2" s="557"/>
      <c r="X2" s="557"/>
      <c r="Y2" s="551" t="s">
        <v>390</v>
      </c>
      <c r="Z2" s="552"/>
      <c r="AA2" s="553"/>
      <c r="AB2" s="367"/>
      <c r="AC2" s="367"/>
      <c r="AD2" s="367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</row>
    <row r="3" spans="1:42" ht="9.9499999999999993" customHeight="1">
      <c r="B3" s="36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</row>
    <row r="4" spans="1:42" ht="24.95" customHeight="1" thickBot="1">
      <c r="B4" s="238" t="s">
        <v>91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</row>
    <row r="5" spans="1:42" ht="20.100000000000001" customHeight="1">
      <c r="B5" s="464" t="s">
        <v>92</v>
      </c>
      <c r="C5" s="465"/>
      <c r="D5" s="466" t="s">
        <v>391</v>
      </c>
      <c r="E5" s="467"/>
      <c r="F5" s="467"/>
      <c r="G5" s="468"/>
      <c r="H5" s="469" t="s">
        <v>58</v>
      </c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70"/>
      <c r="AB5" s="238"/>
      <c r="AC5" s="238"/>
      <c r="AD5" s="367"/>
      <c r="AE5" s="367"/>
      <c r="AF5" s="367"/>
      <c r="AG5" s="367"/>
      <c r="AH5" s="367"/>
      <c r="AI5" s="367"/>
      <c r="AJ5" s="367"/>
      <c r="AK5" s="367"/>
      <c r="AL5" s="367"/>
      <c r="AM5" s="238"/>
      <c r="AN5" s="238"/>
      <c r="AO5" s="238"/>
      <c r="AP5" s="238"/>
    </row>
    <row r="6" spans="1:42" ht="20.100000000000001" customHeight="1">
      <c r="B6" s="476" t="s">
        <v>59</v>
      </c>
      <c r="C6" s="477"/>
      <c r="D6" s="477"/>
      <c r="E6" s="477"/>
      <c r="F6" s="477"/>
      <c r="G6" s="478"/>
      <c r="H6" s="478" t="s">
        <v>60</v>
      </c>
      <c r="I6" s="462"/>
      <c r="J6" s="462"/>
      <c r="K6" s="462"/>
      <c r="L6" s="462"/>
      <c r="M6" s="462"/>
      <c r="N6" s="478" t="s">
        <v>61</v>
      </c>
      <c r="O6" s="462"/>
      <c r="P6" s="462"/>
      <c r="Q6" s="478" t="s">
        <v>62</v>
      </c>
      <c r="R6" s="462"/>
      <c r="S6" s="462"/>
      <c r="T6" s="462"/>
      <c r="U6" s="462"/>
      <c r="V6" s="462"/>
      <c r="W6" s="462"/>
      <c r="X6" s="483"/>
      <c r="Y6" s="462" t="s">
        <v>63</v>
      </c>
      <c r="Z6" s="462"/>
      <c r="AA6" s="463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</row>
    <row r="7" spans="1:42" ht="20.100000000000001" customHeight="1">
      <c r="B7" s="479" t="s">
        <v>64</v>
      </c>
      <c r="C7" s="480"/>
      <c r="D7" s="481" t="s">
        <v>346</v>
      </c>
      <c r="E7" s="482"/>
      <c r="F7" s="482"/>
      <c r="G7" s="482"/>
      <c r="H7" s="478" t="s">
        <v>256</v>
      </c>
      <c r="I7" s="462"/>
      <c r="J7" s="462"/>
      <c r="K7" s="462"/>
      <c r="L7" s="462"/>
      <c r="M7" s="483"/>
      <c r="N7" s="484" t="s">
        <v>363</v>
      </c>
      <c r="O7" s="485"/>
      <c r="P7" s="486"/>
      <c r="Q7" s="471"/>
      <c r="R7" s="472"/>
      <c r="S7" s="472"/>
      <c r="T7" s="472"/>
      <c r="U7" s="472"/>
      <c r="V7" s="472"/>
      <c r="W7" s="472"/>
      <c r="X7" s="473"/>
      <c r="Y7" s="474"/>
      <c r="Z7" s="474"/>
      <c r="AA7" s="475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</row>
    <row r="8" spans="1:42" ht="20.100000000000001" customHeight="1">
      <c r="B8" s="476" t="s">
        <v>65</v>
      </c>
      <c r="C8" s="477"/>
      <c r="D8" s="477"/>
      <c r="E8" s="477"/>
      <c r="F8" s="477"/>
      <c r="G8" s="478"/>
      <c r="H8" s="478"/>
      <c r="I8" s="462"/>
      <c r="J8" s="462"/>
      <c r="K8" s="462"/>
      <c r="L8" s="462"/>
      <c r="M8" s="483"/>
      <c r="N8" s="478"/>
      <c r="O8" s="462"/>
      <c r="P8" s="483"/>
      <c r="Q8" s="487"/>
      <c r="R8" s="488"/>
      <c r="S8" s="488"/>
      <c r="T8" s="488"/>
      <c r="U8" s="488"/>
      <c r="V8" s="488"/>
      <c r="W8" s="488"/>
      <c r="X8" s="489"/>
      <c r="Y8" s="478"/>
      <c r="Z8" s="462"/>
      <c r="AA8" s="463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</row>
    <row r="9" spans="1:42" ht="20.100000000000001" customHeight="1">
      <c r="B9" s="476" t="s">
        <v>66</v>
      </c>
      <c r="C9" s="477"/>
      <c r="D9" s="477"/>
      <c r="E9" s="477"/>
      <c r="F9" s="477"/>
      <c r="G9" s="478"/>
      <c r="H9" s="478"/>
      <c r="I9" s="462"/>
      <c r="J9" s="462"/>
      <c r="K9" s="462"/>
      <c r="L9" s="462"/>
      <c r="M9" s="483"/>
      <c r="N9" s="478"/>
      <c r="O9" s="462"/>
      <c r="P9" s="483"/>
      <c r="Q9" s="487"/>
      <c r="R9" s="488"/>
      <c r="S9" s="488"/>
      <c r="T9" s="488"/>
      <c r="U9" s="488"/>
      <c r="V9" s="488"/>
      <c r="W9" s="488"/>
      <c r="X9" s="489"/>
      <c r="Y9" s="478"/>
      <c r="Z9" s="462"/>
      <c r="AA9" s="463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</row>
    <row r="10" spans="1:42" ht="20.100000000000001" customHeight="1">
      <c r="B10" s="476" t="s">
        <v>67</v>
      </c>
      <c r="C10" s="477"/>
      <c r="D10" s="477"/>
      <c r="E10" s="477"/>
      <c r="F10" s="477"/>
      <c r="G10" s="478"/>
      <c r="H10" s="490"/>
      <c r="I10" s="491"/>
      <c r="J10" s="491"/>
      <c r="K10" s="491"/>
      <c r="L10" s="491"/>
      <c r="M10" s="491"/>
      <c r="N10" s="478"/>
      <c r="O10" s="462"/>
      <c r="P10" s="483"/>
      <c r="Q10" s="487"/>
      <c r="R10" s="488"/>
      <c r="S10" s="488"/>
      <c r="T10" s="488"/>
      <c r="U10" s="488"/>
      <c r="V10" s="488"/>
      <c r="W10" s="488"/>
      <c r="X10" s="489"/>
      <c r="Y10" s="462"/>
      <c r="Z10" s="462"/>
      <c r="AA10" s="463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</row>
    <row r="11" spans="1:42" ht="20.100000000000001" customHeight="1" thickBot="1">
      <c r="B11" s="494" t="s">
        <v>68</v>
      </c>
      <c r="C11" s="480"/>
      <c r="D11" s="480"/>
      <c r="E11" s="480"/>
      <c r="F11" s="480"/>
      <c r="G11" s="495"/>
      <c r="H11" s="496"/>
      <c r="I11" s="497"/>
      <c r="J11" s="497"/>
      <c r="K11" s="497"/>
      <c r="L11" s="497"/>
      <c r="M11" s="497"/>
      <c r="N11" s="511"/>
      <c r="O11" s="508"/>
      <c r="P11" s="508"/>
      <c r="Q11" s="505"/>
      <c r="R11" s="506"/>
      <c r="S11" s="506"/>
      <c r="T11" s="506"/>
      <c r="U11" s="506"/>
      <c r="V11" s="506"/>
      <c r="W11" s="506"/>
      <c r="X11" s="507"/>
      <c r="Y11" s="508"/>
      <c r="Z11" s="508"/>
      <c r="AA11" s="509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</row>
    <row r="12" spans="1:42" ht="20.100000000000001" customHeight="1">
      <c r="B12" s="498" t="s">
        <v>89</v>
      </c>
      <c r="C12" s="469" t="s">
        <v>93</v>
      </c>
      <c r="D12" s="465"/>
      <c r="E12" s="492"/>
      <c r="F12" s="369" t="s">
        <v>90</v>
      </c>
      <c r="G12" s="469">
        <v>1</v>
      </c>
      <c r="H12" s="465"/>
      <c r="I12" s="465"/>
      <c r="J12" s="469">
        <v>2</v>
      </c>
      <c r="K12" s="465"/>
      <c r="L12" s="492"/>
      <c r="M12" s="465">
        <v>3</v>
      </c>
      <c r="N12" s="465"/>
      <c r="O12" s="493"/>
      <c r="P12" s="469">
        <v>4</v>
      </c>
      <c r="Q12" s="465"/>
      <c r="R12" s="492"/>
      <c r="S12" s="510">
        <v>5</v>
      </c>
      <c r="T12" s="465"/>
      <c r="U12" s="493"/>
      <c r="V12" s="469">
        <v>6</v>
      </c>
      <c r="W12" s="465"/>
      <c r="X12" s="492"/>
      <c r="Y12" s="510">
        <v>7</v>
      </c>
      <c r="Z12" s="465"/>
      <c r="AA12" s="493"/>
      <c r="AB12" s="469">
        <v>8</v>
      </c>
      <c r="AC12" s="465"/>
      <c r="AD12" s="492"/>
      <c r="AE12" s="510">
        <v>9</v>
      </c>
      <c r="AF12" s="465"/>
      <c r="AG12" s="493"/>
      <c r="AH12" s="469">
        <v>10</v>
      </c>
      <c r="AI12" s="465"/>
      <c r="AJ12" s="492"/>
      <c r="AK12" s="469">
        <v>11</v>
      </c>
      <c r="AL12" s="465"/>
      <c r="AM12" s="492"/>
      <c r="AN12" s="465">
        <v>12</v>
      </c>
      <c r="AO12" s="465"/>
      <c r="AP12" s="470"/>
    </row>
    <row r="13" spans="1:42" ht="20.100000000000001" customHeight="1">
      <c r="B13" s="499"/>
      <c r="C13" s="512" t="s">
        <v>312</v>
      </c>
      <c r="D13" s="513"/>
      <c r="E13" s="514"/>
      <c r="F13" s="518" t="s">
        <v>347</v>
      </c>
      <c r="G13" s="342"/>
      <c r="H13" s="341"/>
      <c r="I13" s="341"/>
      <c r="J13" s="342"/>
      <c r="K13" s="341"/>
      <c r="L13" s="370"/>
      <c r="M13" s="341"/>
      <c r="N13" s="341"/>
      <c r="O13" s="371"/>
      <c r="P13" s="342"/>
      <c r="Q13" s="341"/>
      <c r="R13" s="370"/>
      <c r="S13" s="372"/>
      <c r="T13" s="341"/>
      <c r="U13" s="371"/>
      <c r="V13" s="342"/>
      <c r="W13" s="341"/>
      <c r="X13" s="370"/>
      <c r="Y13" s="310"/>
      <c r="Z13" s="312"/>
      <c r="AA13" s="371"/>
      <c r="AB13" s="309"/>
      <c r="AC13" s="312"/>
      <c r="AD13" s="370"/>
      <c r="AE13" s="342"/>
      <c r="AF13" s="341"/>
      <c r="AG13" s="370"/>
      <c r="AH13" s="373"/>
      <c r="AI13" s="374"/>
      <c r="AJ13" s="375"/>
      <c r="AK13" s="373"/>
      <c r="AL13" s="374"/>
      <c r="AM13" s="370"/>
      <c r="AN13" s="341"/>
      <c r="AO13" s="341"/>
      <c r="AP13" s="376"/>
    </row>
    <row r="14" spans="1:42" ht="20.100000000000001" customHeight="1">
      <c r="B14" s="499"/>
      <c r="C14" s="515"/>
      <c r="D14" s="516"/>
      <c r="E14" s="517"/>
      <c r="F14" s="519"/>
      <c r="G14" s="377"/>
      <c r="H14" s="378"/>
      <c r="I14" s="378"/>
      <c r="J14" s="377"/>
      <c r="K14" s="378"/>
      <c r="L14" s="379"/>
      <c r="M14" s="378"/>
      <c r="N14" s="378"/>
      <c r="O14" s="380"/>
      <c r="P14" s="377"/>
      <c r="Q14" s="378"/>
      <c r="R14" s="379"/>
      <c r="S14" s="381"/>
      <c r="T14" s="378"/>
      <c r="U14" s="380"/>
      <c r="V14" s="377"/>
      <c r="W14" s="378"/>
      <c r="X14" s="379"/>
      <c r="Y14" s="338"/>
      <c r="Z14" s="339"/>
      <c r="AA14" s="380"/>
      <c r="AB14" s="340"/>
      <c r="AC14" s="339"/>
      <c r="AD14" s="379"/>
      <c r="AE14" s="377"/>
      <c r="AF14" s="378"/>
      <c r="AG14" s="379"/>
      <c r="AH14" s="382"/>
      <c r="AI14" s="383"/>
      <c r="AJ14" s="384"/>
      <c r="AK14" s="382"/>
      <c r="AL14" s="383"/>
      <c r="AM14" s="379"/>
      <c r="AN14" s="378"/>
      <c r="AO14" s="378"/>
      <c r="AP14" s="385"/>
    </row>
    <row r="15" spans="1:42" ht="20.100000000000001" customHeight="1">
      <c r="B15" s="499"/>
      <c r="C15" s="512" t="s">
        <v>313</v>
      </c>
      <c r="D15" s="513"/>
      <c r="E15" s="514"/>
      <c r="F15" s="518" t="s">
        <v>348</v>
      </c>
      <c r="G15" s="342"/>
      <c r="H15" s="341"/>
      <c r="I15" s="341"/>
      <c r="J15" s="342"/>
      <c r="K15" s="341"/>
      <c r="L15" s="370"/>
      <c r="M15" s="341"/>
      <c r="N15" s="341"/>
      <c r="O15" s="371"/>
      <c r="P15" s="342"/>
      <c r="Q15" s="341"/>
      <c r="R15" s="370"/>
      <c r="S15" s="372"/>
      <c r="T15" s="341"/>
      <c r="U15" s="371"/>
      <c r="V15" s="373"/>
      <c r="W15" s="374"/>
      <c r="X15" s="370"/>
      <c r="Y15" s="372"/>
      <c r="Z15" s="341"/>
      <c r="AA15" s="371"/>
      <c r="AB15" s="342"/>
      <c r="AC15" s="341"/>
      <c r="AD15" s="370"/>
      <c r="AE15" s="342"/>
      <c r="AF15" s="341"/>
      <c r="AG15" s="370"/>
      <c r="AH15" s="342"/>
      <c r="AI15" s="341"/>
      <c r="AJ15" s="370"/>
      <c r="AK15" s="342"/>
      <c r="AL15" s="341"/>
      <c r="AM15" s="370"/>
      <c r="AN15" s="341"/>
      <c r="AO15" s="341"/>
      <c r="AP15" s="376"/>
    </row>
    <row r="16" spans="1:42" ht="20.100000000000001" customHeight="1">
      <c r="B16" s="499"/>
      <c r="C16" s="515"/>
      <c r="D16" s="516"/>
      <c r="E16" s="517"/>
      <c r="F16" s="519"/>
      <c r="G16" s="386"/>
      <c r="H16" s="387"/>
      <c r="I16" s="387"/>
      <c r="J16" s="386"/>
      <c r="K16" s="387"/>
      <c r="L16" s="388"/>
      <c r="M16" s="387"/>
      <c r="N16" s="387"/>
      <c r="O16" s="389"/>
      <c r="P16" s="386"/>
      <c r="Q16" s="387"/>
      <c r="R16" s="388"/>
      <c r="S16" s="390"/>
      <c r="T16" s="387"/>
      <c r="U16" s="389"/>
      <c r="V16" s="386"/>
      <c r="W16" s="387"/>
      <c r="X16" s="388"/>
      <c r="Y16" s="390"/>
      <c r="Z16" s="387"/>
      <c r="AA16" s="389"/>
      <c r="AB16" s="386"/>
      <c r="AC16" s="387"/>
      <c r="AD16" s="388"/>
      <c r="AE16" s="386"/>
      <c r="AF16" s="387"/>
      <c r="AG16" s="388"/>
      <c r="AH16" s="386"/>
      <c r="AI16" s="387"/>
      <c r="AJ16" s="388"/>
      <c r="AK16" s="386"/>
      <c r="AL16" s="387"/>
      <c r="AM16" s="388"/>
      <c r="AN16" s="387"/>
      <c r="AO16" s="387"/>
      <c r="AP16" s="391"/>
    </row>
    <row r="17" spans="2:42" ht="20.100000000000001" customHeight="1">
      <c r="B17" s="499"/>
      <c r="C17" s="501"/>
      <c r="D17" s="502"/>
      <c r="E17" s="502"/>
      <c r="F17" s="446"/>
      <c r="G17" s="441"/>
      <c r="H17" s="442"/>
      <c r="I17" s="442"/>
      <c r="J17" s="441"/>
      <c r="K17" s="442"/>
      <c r="L17" s="443"/>
      <c r="M17" s="442"/>
      <c r="N17" s="442"/>
      <c r="O17" s="371"/>
      <c r="P17" s="441"/>
      <c r="Q17" s="442"/>
      <c r="R17" s="443"/>
      <c r="S17" s="372"/>
      <c r="T17" s="442"/>
      <c r="U17" s="371"/>
      <c r="V17" s="441"/>
      <c r="W17" s="442"/>
      <c r="X17" s="443"/>
      <c r="Y17" s="372"/>
      <c r="Z17" s="442"/>
      <c r="AA17" s="371"/>
      <c r="AB17" s="441"/>
      <c r="AC17" s="442"/>
      <c r="AD17" s="443"/>
      <c r="AE17" s="441"/>
      <c r="AF17" s="442"/>
      <c r="AG17" s="443"/>
      <c r="AH17" s="441"/>
      <c r="AI17" s="442"/>
      <c r="AJ17" s="443"/>
      <c r="AK17" s="441"/>
      <c r="AL17" s="442"/>
      <c r="AM17" s="443"/>
      <c r="AN17" s="442"/>
      <c r="AO17" s="442"/>
      <c r="AP17" s="444"/>
    </row>
    <row r="18" spans="2:42" ht="20.100000000000001" customHeight="1">
      <c r="B18" s="499"/>
      <c r="C18" s="503"/>
      <c r="D18" s="504"/>
      <c r="E18" s="504"/>
      <c r="F18" s="447"/>
      <c r="G18" s="440"/>
      <c r="H18" s="438"/>
      <c r="I18" s="438"/>
      <c r="J18" s="440"/>
      <c r="K18" s="438"/>
      <c r="L18" s="379"/>
      <c r="M18" s="438"/>
      <c r="N18" s="438"/>
      <c r="O18" s="380"/>
      <c r="P18" s="440"/>
      <c r="Q18" s="438"/>
      <c r="R18" s="379"/>
      <c r="S18" s="381"/>
      <c r="T18" s="438"/>
      <c r="U18" s="380"/>
      <c r="V18" s="440"/>
      <c r="W18" s="438"/>
      <c r="X18" s="379"/>
      <c r="Y18" s="381"/>
      <c r="Z18" s="438"/>
      <c r="AA18" s="380"/>
      <c r="AB18" s="440"/>
      <c r="AC18" s="438"/>
      <c r="AD18" s="379"/>
      <c r="AE18" s="440"/>
      <c r="AF18" s="438"/>
      <c r="AG18" s="379"/>
      <c r="AH18" s="440"/>
      <c r="AI18" s="438"/>
      <c r="AJ18" s="379"/>
      <c r="AK18" s="440"/>
      <c r="AL18" s="438"/>
      <c r="AM18" s="379"/>
      <c r="AN18" s="438"/>
      <c r="AO18" s="438"/>
      <c r="AP18" s="439"/>
    </row>
    <row r="19" spans="2:42" ht="20.100000000000001" customHeight="1">
      <c r="B19" s="500"/>
      <c r="C19" s="503"/>
      <c r="D19" s="504"/>
      <c r="E19" s="504"/>
      <c r="F19" s="392"/>
      <c r="G19" s="377"/>
      <c r="H19" s="378"/>
      <c r="I19" s="378"/>
      <c r="J19" s="393"/>
      <c r="K19" s="394"/>
      <c r="L19" s="388"/>
      <c r="M19" s="378"/>
      <c r="N19" s="378"/>
      <c r="O19" s="380"/>
      <c r="P19" s="393"/>
      <c r="Q19" s="394"/>
      <c r="R19" s="388"/>
      <c r="S19" s="381"/>
      <c r="T19" s="378"/>
      <c r="U19" s="380"/>
      <c r="V19" s="393"/>
      <c r="W19" s="394"/>
      <c r="X19" s="388"/>
      <c r="Y19" s="381"/>
      <c r="Z19" s="378"/>
      <c r="AA19" s="380"/>
      <c r="AB19" s="393"/>
      <c r="AC19" s="394"/>
      <c r="AD19" s="388"/>
      <c r="AE19" s="393"/>
      <c r="AF19" s="394"/>
      <c r="AG19" s="388"/>
      <c r="AH19" s="393"/>
      <c r="AI19" s="394"/>
      <c r="AJ19" s="388"/>
      <c r="AK19" s="393"/>
      <c r="AL19" s="394"/>
      <c r="AM19" s="388"/>
      <c r="AN19" s="394"/>
      <c r="AO19" s="394"/>
      <c r="AP19" s="395"/>
    </row>
    <row r="20" spans="2:42" ht="20.100000000000001" customHeight="1">
      <c r="B20" s="535" t="s">
        <v>69</v>
      </c>
      <c r="C20" s="512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3"/>
      <c r="AF20" s="513"/>
      <c r="AG20" s="513"/>
      <c r="AH20" s="513"/>
      <c r="AI20" s="513"/>
      <c r="AJ20" s="513"/>
      <c r="AK20" s="513"/>
      <c r="AL20" s="513"/>
      <c r="AM20" s="513"/>
      <c r="AN20" s="513"/>
      <c r="AO20" s="513"/>
      <c r="AP20" s="525"/>
    </row>
    <row r="21" spans="2:42" ht="20.100000000000001" customHeight="1">
      <c r="B21" s="479"/>
      <c r="C21" s="536" t="s">
        <v>392</v>
      </c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396"/>
      <c r="W21" s="396"/>
      <c r="X21" s="238"/>
      <c r="Y21" s="238"/>
      <c r="Z21" s="238"/>
      <c r="AA21" s="238"/>
      <c r="AB21" s="238"/>
      <c r="AC21" s="396"/>
      <c r="AD21" s="396"/>
      <c r="AE21" s="238"/>
      <c r="AF21" s="238"/>
      <c r="AG21" s="238"/>
      <c r="AH21" s="238"/>
      <c r="AI21" s="396"/>
      <c r="AJ21" s="396"/>
      <c r="AK21" s="396"/>
      <c r="AL21" s="396"/>
      <c r="AM21" s="396"/>
      <c r="AN21" s="396"/>
      <c r="AO21" s="396"/>
      <c r="AP21" s="397"/>
    </row>
    <row r="22" spans="2:42" ht="20.100000000000001" customHeight="1" thickBot="1">
      <c r="B22" s="494"/>
      <c r="C22" s="511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/>
      <c r="AD22" s="508"/>
      <c r="AE22" s="508"/>
      <c r="AF22" s="508"/>
      <c r="AG22" s="508"/>
      <c r="AH22" s="508"/>
      <c r="AI22" s="508"/>
      <c r="AJ22" s="508"/>
      <c r="AK22" s="508"/>
      <c r="AL22" s="508"/>
      <c r="AM22" s="508"/>
      <c r="AN22" s="508"/>
      <c r="AO22" s="508"/>
      <c r="AP22" s="509"/>
    </row>
    <row r="23" spans="2:42" ht="9.9499999999999993" customHeight="1"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</row>
    <row r="24" spans="2:42" ht="24.95" customHeight="1" thickBot="1">
      <c r="B24" s="238" t="s">
        <v>94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</row>
    <row r="25" spans="2:42" ht="20.100000000000001" customHeight="1" thickBot="1">
      <c r="B25" s="526" t="s">
        <v>16</v>
      </c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M25" s="527"/>
      <c r="N25" s="528"/>
      <c r="O25" s="529" t="s">
        <v>15</v>
      </c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1"/>
    </row>
    <row r="26" spans="2:42" ht="39.950000000000003" customHeight="1">
      <c r="B26" s="532" t="s">
        <v>11</v>
      </c>
      <c r="C26" s="521"/>
      <c r="D26" s="521"/>
      <c r="E26" s="533" t="s">
        <v>384</v>
      </c>
      <c r="F26" s="533"/>
      <c r="G26" s="533"/>
      <c r="H26" s="533"/>
      <c r="I26" s="533"/>
      <c r="J26" s="533"/>
      <c r="K26" s="533"/>
      <c r="L26" s="533"/>
      <c r="M26" s="533"/>
      <c r="N26" s="534"/>
      <c r="O26" s="520" t="s">
        <v>8</v>
      </c>
      <c r="P26" s="521"/>
      <c r="Q26" s="521"/>
      <c r="R26" s="521"/>
      <c r="S26" s="521"/>
      <c r="T26" s="522" t="s">
        <v>345</v>
      </c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23"/>
      <c r="AF26" s="523"/>
      <c r="AG26" s="523"/>
      <c r="AH26" s="523"/>
      <c r="AI26" s="523"/>
      <c r="AJ26" s="523"/>
      <c r="AK26" s="523"/>
      <c r="AL26" s="523"/>
      <c r="AM26" s="523"/>
      <c r="AN26" s="523"/>
      <c r="AO26" s="523"/>
      <c r="AP26" s="524"/>
    </row>
    <row r="27" spans="2:42" ht="39.950000000000003" customHeight="1">
      <c r="B27" s="540" t="s">
        <v>12</v>
      </c>
      <c r="C27" s="541"/>
      <c r="D27" s="541"/>
      <c r="E27" s="542" t="s">
        <v>370</v>
      </c>
      <c r="F27" s="542"/>
      <c r="G27" s="542"/>
      <c r="H27" s="542"/>
      <c r="I27" s="542"/>
      <c r="J27" s="542"/>
      <c r="K27" s="542"/>
      <c r="L27" s="542"/>
      <c r="M27" s="542"/>
      <c r="N27" s="543"/>
      <c r="O27" s="544" t="s">
        <v>9</v>
      </c>
      <c r="P27" s="541"/>
      <c r="Q27" s="541"/>
      <c r="R27" s="541"/>
      <c r="S27" s="541"/>
      <c r="T27" s="542" t="s">
        <v>393</v>
      </c>
      <c r="U27" s="542"/>
      <c r="V27" s="542"/>
      <c r="W27" s="542"/>
      <c r="X27" s="542"/>
      <c r="Y27" s="542"/>
      <c r="Z27" s="542"/>
      <c r="AA27" s="542"/>
      <c r="AB27" s="542"/>
      <c r="AC27" s="542"/>
      <c r="AD27" s="542"/>
      <c r="AE27" s="542"/>
      <c r="AF27" s="542"/>
      <c r="AG27" s="542"/>
      <c r="AH27" s="542"/>
      <c r="AI27" s="542"/>
      <c r="AJ27" s="542"/>
      <c r="AK27" s="542"/>
      <c r="AL27" s="542"/>
      <c r="AM27" s="542"/>
      <c r="AN27" s="542"/>
      <c r="AO27" s="542"/>
      <c r="AP27" s="543"/>
    </row>
    <row r="28" spans="2:42" ht="39.950000000000003" customHeight="1">
      <c r="B28" s="540" t="s">
        <v>13</v>
      </c>
      <c r="C28" s="541"/>
      <c r="D28" s="541"/>
      <c r="E28" s="542" t="s">
        <v>257</v>
      </c>
      <c r="F28" s="542"/>
      <c r="G28" s="542"/>
      <c r="H28" s="542"/>
      <c r="I28" s="542"/>
      <c r="J28" s="542"/>
      <c r="K28" s="542"/>
      <c r="L28" s="542"/>
      <c r="M28" s="542"/>
      <c r="N28" s="543"/>
      <c r="O28" s="544" t="s">
        <v>10</v>
      </c>
      <c r="P28" s="541"/>
      <c r="Q28" s="541"/>
      <c r="R28" s="541"/>
      <c r="S28" s="541"/>
      <c r="T28" s="542" t="s">
        <v>328</v>
      </c>
      <c r="U28" s="542"/>
      <c r="V28" s="542"/>
      <c r="W28" s="542"/>
      <c r="X28" s="542"/>
      <c r="Y28" s="542"/>
      <c r="Z28" s="542"/>
      <c r="AA28" s="542"/>
      <c r="AB28" s="542"/>
      <c r="AC28" s="542"/>
      <c r="AD28" s="542"/>
      <c r="AE28" s="542"/>
      <c r="AF28" s="542"/>
      <c r="AG28" s="542"/>
      <c r="AH28" s="542"/>
      <c r="AI28" s="542"/>
      <c r="AJ28" s="542"/>
      <c r="AK28" s="542"/>
      <c r="AL28" s="542"/>
      <c r="AM28" s="542"/>
      <c r="AN28" s="542"/>
      <c r="AO28" s="542"/>
      <c r="AP28" s="543"/>
    </row>
    <row r="29" spans="2:42" ht="39.950000000000003" customHeight="1" thickBot="1">
      <c r="B29" s="547" t="s">
        <v>14</v>
      </c>
      <c r="C29" s="546"/>
      <c r="D29" s="546"/>
      <c r="E29" s="538" t="s">
        <v>330</v>
      </c>
      <c r="F29" s="538"/>
      <c r="G29" s="538"/>
      <c r="H29" s="538"/>
      <c r="I29" s="538"/>
      <c r="J29" s="538"/>
      <c r="K29" s="538"/>
      <c r="L29" s="538"/>
      <c r="M29" s="538"/>
      <c r="N29" s="539"/>
      <c r="O29" s="545"/>
      <c r="P29" s="546"/>
      <c r="Q29" s="546"/>
      <c r="R29" s="546"/>
      <c r="S29" s="546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8"/>
      <c r="AN29" s="538"/>
      <c r="AO29" s="538"/>
      <c r="AP29" s="539"/>
    </row>
    <row r="30" spans="2:42" ht="9.75" customHeight="1">
      <c r="B30" s="70"/>
    </row>
  </sheetData>
  <mergeCells count="85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C22:AP22"/>
    <mergeCell ref="B25:N25"/>
    <mergeCell ref="O25:AP25"/>
    <mergeCell ref="B26:D26"/>
    <mergeCell ref="E26:N26"/>
    <mergeCell ref="B20:B22"/>
    <mergeCell ref="C21:U21"/>
    <mergeCell ref="AN12:AP12"/>
    <mergeCell ref="AB12:AD12"/>
    <mergeCell ref="AE12:AG12"/>
    <mergeCell ref="C13:E14"/>
    <mergeCell ref="C15:E16"/>
    <mergeCell ref="F13:F14"/>
    <mergeCell ref="F15:F16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ColWidth="9" defaultRowHeight="13.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/>
    <row r="2" spans="2:15" ht="24.95" customHeight="1">
      <c r="B2" s="29" t="s">
        <v>255</v>
      </c>
    </row>
    <row r="3" spans="2:15" ht="20.100000000000001" customHeight="1">
      <c r="D3" s="74" t="s">
        <v>195</v>
      </c>
      <c r="E3" s="73" t="s">
        <v>261</v>
      </c>
      <c r="F3" s="73"/>
      <c r="G3" s="74" t="s">
        <v>196</v>
      </c>
      <c r="H3" s="73" t="s">
        <v>258</v>
      </c>
      <c r="I3" s="73"/>
    </row>
    <row r="4" spans="2:15" ht="20.100000000000001" customHeight="1" thickBot="1">
      <c r="B4" s="5" t="s">
        <v>205</v>
      </c>
      <c r="C4" s="5" t="s">
        <v>206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>
      <c r="B5" s="299" t="s">
        <v>253</v>
      </c>
      <c r="C5" s="303">
        <v>1</v>
      </c>
      <c r="D5" s="303">
        <v>2</v>
      </c>
      <c r="E5" s="303">
        <v>3</v>
      </c>
      <c r="F5" s="303">
        <v>4</v>
      </c>
      <c r="G5" s="303">
        <v>5</v>
      </c>
      <c r="H5" s="303">
        <v>6</v>
      </c>
      <c r="I5" s="303">
        <v>7</v>
      </c>
      <c r="J5" s="303">
        <v>8</v>
      </c>
      <c r="K5" s="303">
        <v>9</v>
      </c>
      <c r="L5" s="303">
        <v>10</v>
      </c>
      <c r="M5" s="303">
        <v>11</v>
      </c>
      <c r="N5" s="303">
        <v>12</v>
      </c>
      <c r="O5" s="112" t="s">
        <v>207</v>
      </c>
    </row>
    <row r="6" spans="2:15" ht="20.100000000000001" customHeight="1">
      <c r="B6" s="304" t="s">
        <v>263</v>
      </c>
      <c r="C6" s="259">
        <v>442</v>
      </c>
      <c r="D6" s="259">
        <v>220</v>
      </c>
      <c r="E6" s="259">
        <v>256</v>
      </c>
      <c r="F6" s="259">
        <v>451</v>
      </c>
      <c r="G6" s="259">
        <v>348</v>
      </c>
      <c r="H6" s="259">
        <v>346</v>
      </c>
      <c r="I6" s="259">
        <v>328</v>
      </c>
      <c r="J6" s="259">
        <v>394</v>
      </c>
      <c r="K6" s="259">
        <v>399</v>
      </c>
      <c r="L6" s="259">
        <v>317</v>
      </c>
      <c r="M6" s="259">
        <v>183</v>
      </c>
      <c r="N6" s="259">
        <v>264</v>
      </c>
      <c r="O6" s="113">
        <v>303</v>
      </c>
    </row>
    <row r="7" spans="2:15" ht="20.100000000000001" customHeight="1">
      <c r="B7" s="304" t="s">
        <v>264</v>
      </c>
      <c r="C7" s="259">
        <v>367</v>
      </c>
      <c r="D7" s="259">
        <v>264</v>
      </c>
      <c r="E7" s="259">
        <v>277</v>
      </c>
      <c r="F7" s="259">
        <v>459</v>
      </c>
      <c r="G7" s="259">
        <v>309</v>
      </c>
      <c r="H7" s="259">
        <v>333</v>
      </c>
      <c r="I7" s="259">
        <v>352</v>
      </c>
      <c r="J7" s="259">
        <v>377</v>
      </c>
      <c r="K7" s="259">
        <v>404</v>
      </c>
      <c r="L7" s="259">
        <v>382</v>
      </c>
      <c r="M7" s="259">
        <v>360</v>
      </c>
      <c r="N7" s="259">
        <v>290</v>
      </c>
      <c r="O7" s="113">
        <v>331</v>
      </c>
    </row>
    <row r="8" spans="2:15" ht="20.100000000000001" customHeight="1">
      <c r="B8" s="304" t="s">
        <v>265</v>
      </c>
      <c r="C8" s="259">
        <v>435</v>
      </c>
      <c r="D8" s="259">
        <v>322</v>
      </c>
      <c r="E8" s="259">
        <v>206</v>
      </c>
      <c r="F8" s="259">
        <v>281</v>
      </c>
      <c r="G8" s="259">
        <v>285</v>
      </c>
      <c r="H8" s="259">
        <v>369</v>
      </c>
      <c r="I8" s="259">
        <v>364</v>
      </c>
      <c r="J8" s="259">
        <v>271</v>
      </c>
      <c r="K8" s="259">
        <v>369</v>
      </c>
      <c r="L8" s="259">
        <v>393</v>
      </c>
      <c r="M8" s="259">
        <v>280</v>
      </c>
      <c r="N8" s="259">
        <v>325</v>
      </c>
      <c r="O8" s="113">
        <v>306</v>
      </c>
    </row>
    <row r="9" spans="2:15" ht="20.100000000000001" customHeight="1">
      <c r="B9" s="304" t="s">
        <v>266</v>
      </c>
      <c r="C9" s="259">
        <v>518</v>
      </c>
      <c r="D9" s="259">
        <v>476</v>
      </c>
      <c r="E9" s="259">
        <v>314</v>
      </c>
      <c r="F9" s="259">
        <v>315</v>
      </c>
      <c r="G9" s="259">
        <v>319</v>
      </c>
      <c r="H9" s="259">
        <v>308</v>
      </c>
      <c r="I9" s="259">
        <v>324</v>
      </c>
      <c r="J9" s="259">
        <v>300</v>
      </c>
      <c r="K9" s="259">
        <v>338</v>
      </c>
      <c r="L9" s="259">
        <v>362</v>
      </c>
      <c r="M9" s="259">
        <v>380</v>
      </c>
      <c r="N9" s="259">
        <v>506</v>
      </c>
      <c r="O9" s="113">
        <v>373</v>
      </c>
    </row>
    <row r="10" spans="2:15" ht="20.100000000000001" customHeight="1">
      <c r="B10" s="304" t="s">
        <v>262</v>
      </c>
      <c r="C10" s="259">
        <v>431</v>
      </c>
      <c r="D10" s="259">
        <v>254</v>
      </c>
      <c r="E10" s="259">
        <v>239</v>
      </c>
      <c r="F10" s="259">
        <v>416</v>
      </c>
      <c r="G10" s="259">
        <v>279</v>
      </c>
      <c r="H10" s="259">
        <v>345</v>
      </c>
      <c r="I10" s="259">
        <v>369</v>
      </c>
      <c r="J10" s="259">
        <v>359</v>
      </c>
      <c r="K10" s="259">
        <v>469</v>
      </c>
      <c r="L10" s="259">
        <v>452</v>
      </c>
      <c r="M10" s="259">
        <v>438</v>
      </c>
      <c r="N10" s="259">
        <v>441</v>
      </c>
      <c r="O10" s="113">
        <v>355</v>
      </c>
    </row>
    <row r="11" spans="2:15" ht="20.100000000000001" customHeight="1" thickBot="1">
      <c r="B11" s="302" t="s">
        <v>208</v>
      </c>
      <c r="C11" s="300">
        <f>AVERAGE(C6:C10)</f>
        <v>438.6</v>
      </c>
      <c r="D11" s="300">
        <f t="shared" ref="D11:O11" si="0">AVERAGE(D6:D10)</f>
        <v>307.2</v>
      </c>
      <c r="E11" s="300">
        <f t="shared" si="0"/>
        <v>258.39999999999998</v>
      </c>
      <c r="F11" s="300">
        <f t="shared" si="0"/>
        <v>384.4</v>
      </c>
      <c r="G11" s="300">
        <f t="shared" si="0"/>
        <v>308</v>
      </c>
      <c r="H11" s="300">
        <f t="shared" si="0"/>
        <v>340.2</v>
      </c>
      <c r="I11" s="300">
        <f t="shared" si="0"/>
        <v>347.4</v>
      </c>
      <c r="J11" s="300">
        <f t="shared" si="0"/>
        <v>340.2</v>
      </c>
      <c r="K11" s="300">
        <f t="shared" si="0"/>
        <v>395.8</v>
      </c>
      <c r="L11" s="300">
        <f t="shared" si="0"/>
        <v>381.2</v>
      </c>
      <c r="M11" s="300">
        <f t="shared" si="0"/>
        <v>328.2</v>
      </c>
      <c r="N11" s="300">
        <f>AVERAGE(N6:N10)</f>
        <v>365.2</v>
      </c>
      <c r="O11" s="301">
        <f t="shared" si="0"/>
        <v>333.6</v>
      </c>
    </row>
    <row r="12" spans="2:15" ht="20.100000000000001" customHeight="1"/>
    <row r="13" spans="2:15" ht="20.100000000000001" customHeight="1" thickBot="1">
      <c r="B13" s="5" t="s">
        <v>205</v>
      </c>
      <c r="C13" s="5" t="s">
        <v>254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>
      <c r="B14" s="299" t="s">
        <v>253</v>
      </c>
      <c r="C14" s="303">
        <v>1</v>
      </c>
      <c r="D14" s="303">
        <v>2</v>
      </c>
      <c r="E14" s="303">
        <v>3</v>
      </c>
      <c r="F14" s="303">
        <v>4</v>
      </c>
      <c r="G14" s="303">
        <v>5</v>
      </c>
      <c r="H14" s="303">
        <v>6</v>
      </c>
      <c r="I14" s="303">
        <v>7</v>
      </c>
      <c r="J14" s="303">
        <v>8</v>
      </c>
      <c r="K14" s="303">
        <v>9</v>
      </c>
      <c r="L14" s="303">
        <v>10</v>
      </c>
      <c r="M14" s="303">
        <v>11</v>
      </c>
      <c r="N14" s="303">
        <v>12</v>
      </c>
      <c r="O14" s="112" t="s">
        <v>207</v>
      </c>
    </row>
    <row r="15" spans="2:15" ht="20.100000000000001" customHeight="1">
      <c r="B15" s="304" t="s">
        <v>263</v>
      </c>
      <c r="C15" s="259">
        <v>432</v>
      </c>
      <c r="D15" s="259">
        <v>212</v>
      </c>
      <c r="E15" s="259">
        <v>282</v>
      </c>
      <c r="F15" s="259">
        <v>475</v>
      </c>
      <c r="G15" s="259">
        <v>342</v>
      </c>
      <c r="H15" s="259">
        <v>384</v>
      </c>
      <c r="I15" s="259">
        <v>294</v>
      </c>
      <c r="J15" s="34" t="s">
        <v>270</v>
      </c>
      <c r="K15" s="34" t="s">
        <v>269</v>
      </c>
      <c r="L15" s="259">
        <v>333</v>
      </c>
      <c r="M15" s="259">
        <v>164</v>
      </c>
      <c r="N15" s="259">
        <v>273</v>
      </c>
      <c r="O15" s="113">
        <v>288</v>
      </c>
    </row>
    <row r="16" spans="2:15" ht="20.100000000000001" customHeight="1">
      <c r="B16" s="304" t="s">
        <v>264</v>
      </c>
      <c r="C16" s="259">
        <v>304</v>
      </c>
      <c r="D16" s="259">
        <v>247</v>
      </c>
      <c r="E16" s="259">
        <v>155</v>
      </c>
      <c r="F16" s="259">
        <v>367</v>
      </c>
      <c r="G16" s="259">
        <v>346</v>
      </c>
      <c r="H16" s="259">
        <v>297</v>
      </c>
      <c r="I16" s="259">
        <v>74</v>
      </c>
      <c r="J16" s="259">
        <v>51</v>
      </c>
      <c r="K16" s="259">
        <v>56</v>
      </c>
      <c r="L16" s="259">
        <v>386</v>
      </c>
      <c r="M16" s="259">
        <v>443</v>
      </c>
      <c r="N16" s="259">
        <v>385</v>
      </c>
      <c r="O16" s="113">
        <v>358</v>
      </c>
    </row>
    <row r="17" spans="2:15" ht="20.100000000000001" customHeight="1">
      <c r="B17" s="304" t="s">
        <v>265</v>
      </c>
      <c r="C17" s="259">
        <v>484</v>
      </c>
      <c r="D17" s="259">
        <v>428</v>
      </c>
      <c r="E17" s="259">
        <v>201</v>
      </c>
      <c r="F17" s="259">
        <v>277</v>
      </c>
      <c r="G17" s="259">
        <v>422</v>
      </c>
      <c r="H17" s="259">
        <v>305</v>
      </c>
      <c r="I17" s="259">
        <v>311</v>
      </c>
      <c r="J17" s="259">
        <v>215</v>
      </c>
      <c r="K17" s="259">
        <v>352</v>
      </c>
      <c r="L17" s="259">
        <v>445</v>
      </c>
      <c r="M17" s="259">
        <v>289</v>
      </c>
      <c r="N17" s="259">
        <v>270</v>
      </c>
      <c r="O17" s="113">
        <v>344</v>
      </c>
    </row>
    <row r="18" spans="2:15" ht="20.100000000000001" customHeight="1">
      <c r="B18" s="304" t="s">
        <v>266</v>
      </c>
      <c r="C18" s="259">
        <v>513</v>
      </c>
      <c r="D18" s="259">
        <v>534</v>
      </c>
      <c r="E18" s="259">
        <v>287</v>
      </c>
      <c r="F18" s="259">
        <v>232</v>
      </c>
      <c r="G18" s="259">
        <v>362</v>
      </c>
      <c r="H18" s="259">
        <v>293</v>
      </c>
      <c r="I18" s="259">
        <v>372</v>
      </c>
      <c r="J18" s="259">
        <v>311</v>
      </c>
      <c r="K18" s="34" t="s">
        <v>269</v>
      </c>
      <c r="L18" s="259">
        <v>394</v>
      </c>
      <c r="M18" s="259">
        <v>415</v>
      </c>
      <c r="N18" s="259">
        <v>516</v>
      </c>
      <c r="O18" s="113">
        <v>355</v>
      </c>
    </row>
    <row r="19" spans="2:15" ht="20.100000000000001" customHeight="1">
      <c r="B19" s="304" t="s">
        <v>267</v>
      </c>
      <c r="C19" s="259">
        <v>364</v>
      </c>
      <c r="D19" s="259">
        <v>283</v>
      </c>
      <c r="E19" s="259">
        <v>256</v>
      </c>
      <c r="F19" s="259">
        <v>92</v>
      </c>
      <c r="G19" s="259">
        <v>182</v>
      </c>
      <c r="H19" s="259">
        <v>376</v>
      </c>
      <c r="I19" s="259">
        <v>366</v>
      </c>
      <c r="J19" s="34" t="s">
        <v>268</v>
      </c>
      <c r="K19" s="259">
        <v>546</v>
      </c>
      <c r="L19" s="259">
        <v>511</v>
      </c>
      <c r="M19" s="259">
        <v>453</v>
      </c>
      <c r="N19" s="259">
        <v>463</v>
      </c>
      <c r="O19" s="113">
        <v>382</v>
      </c>
    </row>
    <row r="20" spans="2:15" ht="20.100000000000001" customHeight="1" thickBot="1">
      <c r="B20" s="302" t="s">
        <v>208</v>
      </c>
      <c r="C20" s="300">
        <f>AVERAGE(C15:C19)</f>
        <v>419.4</v>
      </c>
      <c r="D20" s="300">
        <f t="shared" ref="D20" si="1">AVERAGE(D15:D19)</f>
        <v>340.8</v>
      </c>
      <c r="E20" s="300">
        <f t="shared" ref="E20" si="2">AVERAGE(E15:E19)</f>
        <v>236.2</v>
      </c>
      <c r="F20" s="300">
        <f t="shared" ref="F20" si="3">AVERAGE(F15:F19)</f>
        <v>288.60000000000002</v>
      </c>
      <c r="G20" s="300">
        <f t="shared" ref="G20" si="4">AVERAGE(G15:G19)</f>
        <v>330.8</v>
      </c>
      <c r="H20" s="300">
        <f t="shared" ref="H20" si="5">AVERAGE(H15:H19)</f>
        <v>331</v>
      </c>
      <c r="I20" s="300">
        <f t="shared" ref="I20" si="6">AVERAGE(I15:I19)</f>
        <v>283.39999999999998</v>
      </c>
      <c r="J20" s="300">
        <f t="shared" ref="J20" si="7">AVERAGE(J15:J19)</f>
        <v>192.33333333333334</v>
      </c>
      <c r="K20" s="300">
        <f t="shared" ref="K20" si="8">AVERAGE(K15:K19)</f>
        <v>318</v>
      </c>
      <c r="L20" s="300">
        <f t="shared" ref="L20" si="9">AVERAGE(L15:L19)</f>
        <v>413.8</v>
      </c>
      <c r="M20" s="300">
        <f t="shared" ref="M20" si="10">AVERAGE(M15:M19)</f>
        <v>352.8</v>
      </c>
      <c r="N20" s="300">
        <f t="shared" ref="N20" si="11">AVERAGE(N15:N19)</f>
        <v>381.4</v>
      </c>
      <c r="O20" s="301">
        <f t="shared" ref="O20" si="12">AVERAGE(O15:O19)</f>
        <v>345.4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zoomScale="75" zoomScaleNormal="75" zoomScaleSheetLayoutView="80" workbookViewId="0"/>
  </sheetViews>
  <sheetFormatPr defaultColWidth="9" defaultRowHeight="13.5"/>
  <cols>
    <col min="1" max="1" width="1.625" style="69" customWidth="1"/>
    <col min="2" max="2" width="7.625" style="69" customWidth="1"/>
    <col min="3" max="3" width="25.625" style="69" customWidth="1"/>
    <col min="4" max="9" width="23.75" style="69" customWidth="1"/>
    <col min="10" max="16384" width="9" style="69"/>
  </cols>
  <sheetData>
    <row r="1" spans="2:9" ht="9.9499999999999993" customHeight="1">
      <c r="B1" s="68"/>
      <c r="C1" s="68"/>
      <c r="D1" s="68"/>
      <c r="E1" s="68"/>
      <c r="F1" s="68"/>
      <c r="G1" s="68"/>
      <c r="H1" s="68"/>
      <c r="I1" s="68"/>
    </row>
    <row r="2" spans="2:9" ht="24.95" customHeight="1" thickBot="1">
      <c r="B2" s="69" t="s">
        <v>385</v>
      </c>
      <c r="D2" s="254"/>
      <c r="E2" s="254" t="s">
        <v>361</v>
      </c>
      <c r="F2" s="69" t="s">
        <v>259</v>
      </c>
      <c r="H2" s="254" t="s">
        <v>196</v>
      </c>
      <c r="I2" s="69" t="s">
        <v>323</v>
      </c>
    </row>
    <row r="3" spans="2:9" ht="20.100000000000001" customHeight="1">
      <c r="B3" s="558" t="s">
        <v>88</v>
      </c>
      <c r="C3" s="559"/>
      <c r="D3" s="399" t="s">
        <v>296</v>
      </c>
      <c r="E3" s="399" t="s">
        <v>295</v>
      </c>
      <c r="F3" s="399" t="s">
        <v>280</v>
      </c>
      <c r="G3" s="399" t="s">
        <v>297</v>
      </c>
      <c r="H3" s="399" t="s">
        <v>282</v>
      </c>
      <c r="I3" s="461" t="s">
        <v>411</v>
      </c>
    </row>
    <row r="4" spans="2:9" ht="150" customHeight="1">
      <c r="B4" s="560" t="s">
        <v>80</v>
      </c>
      <c r="C4" s="360" t="s">
        <v>81</v>
      </c>
      <c r="D4" s="450" t="s">
        <v>397</v>
      </c>
      <c r="E4" s="450" t="s">
        <v>398</v>
      </c>
      <c r="F4" s="450" t="s">
        <v>399</v>
      </c>
      <c r="G4" s="450" t="s">
        <v>400</v>
      </c>
      <c r="H4" s="450" t="s">
        <v>401</v>
      </c>
      <c r="I4" s="451" t="s">
        <v>402</v>
      </c>
    </row>
    <row r="5" spans="2:9" ht="20.25" customHeight="1">
      <c r="B5" s="560"/>
      <c r="C5" s="402" t="s">
        <v>326</v>
      </c>
      <c r="D5" s="360" t="s">
        <v>350</v>
      </c>
      <c r="E5" s="360" t="s">
        <v>349</v>
      </c>
      <c r="F5" s="360" t="s">
        <v>351</v>
      </c>
      <c r="G5" s="360" t="s">
        <v>352</v>
      </c>
      <c r="H5" s="360" t="s">
        <v>353</v>
      </c>
      <c r="I5" s="403" t="s">
        <v>354</v>
      </c>
    </row>
    <row r="6" spans="2:9" ht="20.100000000000001" customHeight="1">
      <c r="B6" s="560"/>
      <c r="C6" s="402" t="s">
        <v>327</v>
      </c>
      <c r="D6" s="360" t="s">
        <v>356</v>
      </c>
      <c r="E6" s="360" t="s">
        <v>355</v>
      </c>
      <c r="F6" s="360" t="s">
        <v>357</v>
      </c>
      <c r="G6" s="360" t="s">
        <v>358</v>
      </c>
      <c r="H6" s="360" t="s">
        <v>359</v>
      </c>
      <c r="I6" s="403" t="s">
        <v>360</v>
      </c>
    </row>
    <row r="7" spans="2:9" ht="150" customHeight="1">
      <c r="B7" s="560"/>
      <c r="C7" s="360" t="s">
        <v>87</v>
      </c>
      <c r="D7" s="400" t="s">
        <v>337</v>
      </c>
      <c r="E7" s="400" t="s">
        <v>378</v>
      </c>
      <c r="F7" s="400" t="s">
        <v>333</v>
      </c>
      <c r="G7" s="400" t="s">
        <v>298</v>
      </c>
      <c r="H7" s="400" t="s">
        <v>299</v>
      </c>
      <c r="I7" s="401" t="s">
        <v>184</v>
      </c>
    </row>
    <row r="8" spans="2:9" ht="20.100000000000001" customHeight="1">
      <c r="B8" s="560"/>
      <c r="C8" s="404" t="s">
        <v>84</v>
      </c>
      <c r="D8" s="360">
        <v>13.5</v>
      </c>
      <c r="E8" s="360">
        <v>0</v>
      </c>
      <c r="F8" s="360">
        <v>5</v>
      </c>
      <c r="G8" s="360">
        <v>7</v>
      </c>
      <c r="H8" s="360">
        <v>4</v>
      </c>
      <c r="I8" s="403">
        <v>20</v>
      </c>
    </row>
    <row r="9" spans="2:9" ht="20.100000000000001" customHeight="1">
      <c r="B9" s="560"/>
      <c r="C9" s="360" t="s">
        <v>85</v>
      </c>
      <c r="D9" s="360">
        <v>13.5</v>
      </c>
      <c r="E9" s="360">
        <v>15</v>
      </c>
      <c r="F9" s="360">
        <v>10</v>
      </c>
      <c r="G9" s="360">
        <v>7</v>
      </c>
      <c r="H9" s="360">
        <v>4</v>
      </c>
      <c r="I9" s="403">
        <v>60</v>
      </c>
    </row>
    <row r="10" spans="2:9" ht="20.100000000000001" customHeight="1">
      <c r="B10" s="560"/>
      <c r="C10" s="360" t="s">
        <v>86</v>
      </c>
      <c r="D10" s="402">
        <v>1</v>
      </c>
      <c r="E10" s="402">
        <v>1</v>
      </c>
      <c r="F10" s="402">
        <v>2</v>
      </c>
      <c r="G10" s="402">
        <v>1</v>
      </c>
      <c r="H10" s="402">
        <v>1</v>
      </c>
      <c r="I10" s="405">
        <v>3</v>
      </c>
    </row>
    <row r="11" spans="2:9" ht="150" customHeight="1">
      <c r="B11" s="561" t="s">
        <v>82</v>
      </c>
      <c r="C11" s="562"/>
      <c r="D11" s="406" t="s">
        <v>338</v>
      </c>
      <c r="E11" s="406"/>
      <c r="F11" s="406" t="s">
        <v>336</v>
      </c>
      <c r="G11" s="406" t="s">
        <v>334</v>
      </c>
      <c r="H11" s="406"/>
      <c r="I11" s="407" t="s">
        <v>335</v>
      </c>
    </row>
    <row r="12" spans="2:9" ht="150" customHeight="1" thickBot="1">
      <c r="B12" s="563" t="s">
        <v>83</v>
      </c>
      <c r="C12" s="564"/>
      <c r="D12" s="455" t="s">
        <v>403</v>
      </c>
      <c r="E12" s="452"/>
      <c r="F12" s="453"/>
      <c r="G12" s="454"/>
      <c r="H12" s="454"/>
      <c r="I12" s="456" t="s">
        <v>404</v>
      </c>
    </row>
    <row r="13" spans="2:9" ht="9.75" customHeight="1">
      <c r="B13" s="70"/>
    </row>
  </sheetData>
  <mergeCells count="4">
    <mergeCell ref="B3:C3"/>
    <mergeCell ref="B4:B10"/>
    <mergeCell ref="B11:C11"/>
    <mergeCell ref="B12:C12"/>
  </mergeCells>
  <phoneticPr fontId="4"/>
  <pageMargins left="0.78740157480314965" right="0.78740157480314965" top="0.78740157480314965" bottom="0.78740157480314965" header="0.39370078740157483" footer="0.3937007874015748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="75" zoomScaleNormal="75" zoomScaleSheetLayoutView="85" workbookViewId="0"/>
  </sheetViews>
  <sheetFormatPr defaultColWidth="9" defaultRowHeight="13.5"/>
  <cols>
    <col min="1" max="1" width="1.625" style="10" customWidth="1"/>
    <col min="2" max="2" width="7.625" style="10" customWidth="1"/>
    <col min="3" max="3" width="15.625" style="10" customWidth="1"/>
    <col min="4" max="8" width="20.625" style="10" customWidth="1"/>
    <col min="9" max="9" width="15.125" style="10" customWidth="1"/>
    <col min="10" max="15" width="12.625" style="10" customWidth="1"/>
    <col min="16" max="16384" width="9" style="10"/>
  </cols>
  <sheetData>
    <row r="1" spans="2:15" ht="9.9499999999999993" customHeight="1"/>
    <row r="2" spans="2:15" ht="24.95" customHeight="1" thickBot="1">
      <c r="B2" s="11" t="s">
        <v>79</v>
      </c>
      <c r="C2" s="12"/>
      <c r="D2" s="12"/>
      <c r="N2" s="13"/>
      <c r="O2" s="13"/>
    </row>
    <row r="3" spans="2:15" ht="20.100000000000001" customHeight="1">
      <c r="B3" s="595" t="s">
        <v>249</v>
      </c>
      <c r="C3" s="596"/>
      <c r="D3" s="596"/>
      <c r="E3" s="596"/>
      <c r="F3" s="14" t="s">
        <v>322</v>
      </c>
      <c r="G3" s="14" t="s">
        <v>317</v>
      </c>
      <c r="H3" s="296" t="s">
        <v>260</v>
      </c>
      <c r="I3" s="574" t="s">
        <v>248</v>
      </c>
      <c r="J3" s="575"/>
      <c r="K3" s="575"/>
      <c r="L3" s="575"/>
      <c r="M3" s="575"/>
      <c r="N3" s="575"/>
      <c r="O3" s="576"/>
    </row>
    <row r="4" spans="2:15" ht="20.100000000000001" customHeight="1" thickBot="1">
      <c r="B4" s="597"/>
      <c r="C4" s="598"/>
      <c r="D4" s="598"/>
      <c r="E4" s="598"/>
      <c r="F4" s="284">
        <v>20</v>
      </c>
      <c r="G4" s="445">
        <v>10</v>
      </c>
      <c r="H4" s="297">
        <v>10</v>
      </c>
      <c r="I4" s="577"/>
      <c r="J4" s="578"/>
      <c r="K4" s="578"/>
      <c r="L4" s="578"/>
      <c r="M4" s="578"/>
      <c r="N4" s="578"/>
      <c r="O4" s="579"/>
    </row>
    <row r="5" spans="2:15" ht="20.100000000000001" customHeight="1">
      <c r="B5" s="607" t="s">
        <v>45</v>
      </c>
      <c r="C5" s="608"/>
      <c r="D5" s="15" t="s">
        <v>161</v>
      </c>
      <c r="E5" s="16"/>
      <c r="F5" s="17">
        <f>SUM(G5:H5)</f>
        <v>614780</v>
      </c>
      <c r="G5" s="237">
        <f>'７-１　ブロッコリー（春まき）部門収支'!$F$4*$G$4/10</f>
        <v>281350</v>
      </c>
      <c r="H5" s="237">
        <f>'７-2　ブロッコリー（夏まき）部門収支'!$F$4*$H$4/10</f>
        <v>333430</v>
      </c>
      <c r="I5" s="580"/>
      <c r="J5" s="581"/>
      <c r="K5" s="581"/>
      <c r="L5" s="581"/>
      <c r="M5" s="581"/>
      <c r="N5" s="581"/>
      <c r="O5" s="582"/>
    </row>
    <row r="6" spans="2:15" ht="20.100000000000001" customHeight="1">
      <c r="B6" s="609"/>
      <c r="C6" s="610"/>
      <c r="D6" s="18" t="s">
        <v>72</v>
      </c>
      <c r="E6" s="19"/>
      <c r="F6" s="20">
        <f>SUM(G6:H6)</f>
        <v>0</v>
      </c>
      <c r="G6" s="23">
        <f>'７-１　ブロッコリー（春まき）部門収支'!F5*G$4/10</f>
        <v>0</v>
      </c>
      <c r="H6" s="23">
        <f>'７-2　ブロッコリー（夏まき）部門収支'!F5*G$4/10</f>
        <v>0</v>
      </c>
      <c r="I6" s="565"/>
      <c r="J6" s="566"/>
      <c r="K6" s="566"/>
      <c r="L6" s="566"/>
      <c r="M6" s="566"/>
      <c r="N6" s="566"/>
      <c r="O6" s="567"/>
    </row>
    <row r="7" spans="2:15" ht="20.100000000000001" customHeight="1">
      <c r="B7" s="611"/>
      <c r="C7" s="612"/>
      <c r="D7" s="599" t="s">
        <v>157</v>
      </c>
      <c r="E7" s="600"/>
      <c r="F7" s="21">
        <f>G7+H7</f>
        <v>614780</v>
      </c>
      <c r="G7" s="22">
        <f>G5+G6</f>
        <v>281350</v>
      </c>
      <c r="H7" s="22">
        <f>H5+H6</f>
        <v>333430</v>
      </c>
      <c r="I7" s="565"/>
      <c r="J7" s="566"/>
      <c r="K7" s="566"/>
      <c r="L7" s="566"/>
      <c r="M7" s="566"/>
      <c r="N7" s="566"/>
      <c r="O7" s="567"/>
    </row>
    <row r="8" spans="2:15" ht="20.100000000000001" customHeight="1">
      <c r="B8" s="593" t="s">
        <v>236</v>
      </c>
      <c r="C8" s="613" t="s">
        <v>250</v>
      </c>
      <c r="D8" s="18" t="s">
        <v>46</v>
      </c>
      <c r="E8" s="19"/>
      <c r="F8" s="20">
        <f t="shared" ref="F8:F21" si="0">SUM(G8:H8)</f>
        <v>64000</v>
      </c>
      <c r="G8" s="23">
        <f>'７-１　ブロッコリー（春まき）部門収支'!F6*G$4/10</f>
        <v>32000</v>
      </c>
      <c r="H8" s="23">
        <f>'７-2　ブロッコリー（夏まき）部門収支'!F6*H$4/10</f>
        <v>32000</v>
      </c>
      <c r="I8" s="565"/>
      <c r="J8" s="566"/>
      <c r="K8" s="566"/>
      <c r="L8" s="566"/>
      <c r="M8" s="566"/>
      <c r="N8" s="566"/>
      <c r="O8" s="567"/>
    </row>
    <row r="9" spans="2:15" ht="20.100000000000001" customHeight="1">
      <c r="B9" s="594"/>
      <c r="C9" s="614"/>
      <c r="D9" s="18" t="s">
        <v>47</v>
      </c>
      <c r="E9" s="19"/>
      <c r="F9" s="20">
        <f t="shared" si="0"/>
        <v>55630</v>
      </c>
      <c r="G9" s="23">
        <f>'７-１　ブロッコリー（春まき）部門収支'!F7*G$4/10</f>
        <v>27815</v>
      </c>
      <c r="H9" s="23">
        <f>'７-2　ブロッコリー（夏まき）部門収支'!F7*H$4/10</f>
        <v>27815</v>
      </c>
      <c r="I9" s="565"/>
      <c r="J9" s="566"/>
      <c r="K9" s="566"/>
      <c r="L9" s="566"/>
      <c r="M9" s="566"/>
      <c r="N9" s="566"/>
      <c r="O9" s="567"/>
    </row>
    <row r="10" spans="2:15" ht="20.100000000000001" customHeight="1">
      <c r="B10" s="594"/>
      <c r="C10" s="614"/>
      <c r="D10" s="18" t="s">
        <v>48</v>
      </c>
      <c r="E10" s="19"/>
      <c r="F10" s="20">
        <f t="shared" si="0"/>
        <v>28854.65</v>
      </c>
      <c r="G10" s="23">
        <f>'７-１　ブロッコリー（春まき）部門収支'!F8*G$4/10</f>
        <v>13897.325000000001</v>
      </c>
      <c r="H10" s="23">
        <f>'７-2　ブロッコリー（夏まき）部門収支'!F8*H$4/10</f>
        <v>14957.325000000001</v>
      </c>
      <c r="I10" s="565"/>
      <c r="J10" s="566"/>
      <c r="K10" s="566"/>
      <c r="L10" s="566"/>
      <c r="M10" s="566"/>
      <c r="N10" s="566"/>
      <c r="O10" s="567"/>
    </row>
    <row r="11" spans="2:15" ht="20.100000000000001" customHeight="1">
      <c r="B11" s="594"/>
      <c r="C11" s="614"/>
      <c r="D11" s="18" t="s">
        <v>73</v>
      </c>
      <c r="E11" s="19"/>
      <c r="F11" s="20">
        <f t="shared" si="0"/>
        <v>19339.32</v>
      </c>
      <c r="G11" s="23">
        <f>'７-１　ブロッコリー（春まき）部門収支'!F9*G$4/10</f>
        <v>9463.739999999998</v>
      </c>
      <c r="H11" s="23">
        <f>'７-2　ブロッコリー（夏まき）部門収支'!F9*H$4/10</f>
        <v>9875.58</v>
      </c>
      <c r="I11" s="565"/>
      <c r="J11" s="566"/>
      <c r="K11" s="566"/>
      <c r="L11" s="566"/>
      <c r="M11" s="566"/>
      <c r="N11" s="566"/>
      <c r="O11" s="567"/>
    </row>
    <row r="12" spans="2:15" ht="20.100000000000001" customHeight="1">
      <c r="B12" s="594"/>
      <c r="C12" s="614"/>
      <c r="D12" s="18" t="s">
        <v>49</v>
      </c>
      <c r="E12" s="19"/>
      <c r="F12" s="20">
        <f t="shared" si="0"/>
        <v>6000</v>
      </c>
      <c r="G12" s="23">
        <f>'７-１　ブロッコリー（春まき）部門収支'!F10*G$4/10</f>
        <v>3000</v>
      </c>
      <c r="H12" s="23">
        <f>'７-2　ブロッコリー（夏まき）部門収支'!F10*H$4/10</f>
        <v>3000</v>
      </c>
      <c r="I12" s="565"/>
      <c r="J12" s="566"/>
      <c r="K12" s="566"/>
      <c r="L12" s="566"/>
      <c r="M12" s="566"/>
      <c r="N12" s="566"/>
      <c r="O12" s="567"/>
    </row>
    <row r="13" spans="2:15" ht="20.100000000000001" customHeight="1">
      <c r="B13" s="594"/>
      <c r="C13" s="614"/>
      <c r="D13" s="18" t="s">
        <v>4</v>
      </c>
      <c r="E13" s="19"/>
      <c r="F13" s="20">
        <f t="shared" si="0"/>
        <v>11600</v>
      </c>
      <c r="G13" s="23">
        <f>'７-１　ブロッコリー（春まき）部門収支'!F11*G$4/10</f>
        <v>5800</v>
      </c>
      <c r="H13" s="23">
        <f>'７-2　ブロッコリー（夏まき）部門収支'!F11*H$4/10</f>
        <v>5800</v>
      </c>
      <c r="I13" s="565"/>
      <c r="J13" s="566"/>
      <c r="K13" s="566"/>
      <c r="L13" s="566"/>
      <c r="M13" s="566"/>
      <c r="N13" s="566"/>
      <c r="O13" s="567"/>
    </row>
    <row r="14" spans="2:15" ht="20.100000000000001" customHeight="1">
      <c r="B14" s="594"/>
      <c r="C14" s="614"/>
      <c r="D14" s="18" t="s">
        <v>5</v>
      </c>
      <c r="E14" s="19"/>
      <c r="F14" s="23">
        <f t="shared" si="0"/>
        <v>0</v>
      </c>
      <c r="G14" s="23">
        <f>'７-１　ブロッコリー（春まき）部門収支'!F12*G$4/10</f>
        <v>0</v>
      </c>
      <c r="H14" s="23">
        <f>'７-2　ブロッコリー（夏まき）部門収支'!F12*H$4/10</f>
        <v>0</v>
      </c>
      <c r="I14" s="565"/>
      <c r="J14" s="566"/>
      <c r="K14" s="566"/>
      <c r="L14" s="566"/>
      <c r="M14" s="566"/>
      <c r="N14" s="566"/>
      <c r="O14" s="567"/>
    </row>
    <row r="15" spans="2:15" ht="20.100000000000001" customHeight="1">
      <c r="B15" s="594"/>
      <c r="C15" s="614"/>
      <c r="D15" s="601" t="s">
        <v>50</v>
      </c>
      <c r="E15" s="277" t="s">
        <v>151</v>
      </c>
      <c r="F15" s="23">
        <f t="shared" si="0"/>
        <v>10963.521594684385</v>
      </c>
      <c r="G15" s="23">
        <f>'７-１　ブロッコリー（春まき）部門収支'!F13*G$4/10</f>
        <v>5481.7607973421927</v>
      </c>
      <c r="H15" s="23">
        <f>'７-2　ブロッコリー（夏まき）部門収支'!F13*H$4/10</f>
        <v>5481.7607973421927</v>
      </c>
      <c r="I15" s="565"/>
      <c r="J15" s="566"/>
      <c r="K15" s="566"/>
      <c r="L15" s="566"/>
      <c r="M15" s="566"/>
      <c r="N15" s="566"/>
      <c r="O15" s="567"/>
    </row>
    <row r="16" spans="2:15" ht="20.100000000000001" customHeight="1">
      <c r="B16" s="594"/>
      <c r="C16" s="614"/>
      <c r="D16" s="602"/>
      <c r="E16" s="277" t="s">
        <v>152</v>
      </c>
      <c r="F16" s="23">
        <f t="shared" si="0"/>
        <v>24367.94019933555</v>
      </c>
      <c r="G16" s="23">
        <f>'７-１　ブロッコリー（春まき）部門収支'!F14*G$4/10</f>
        <v>12183.970099667775</v>
      </c>
      <c r="H16" s="23">
        <f>'７-2　ブロッコリー（夏まき）部門収支'!F14*H$4/10</f>
        <v>12183.970099667775</v>
      </c>
      <c r="I16" s="565"/>
      <c r="J16" s="566"/>
      <c r="K16" s="566"/>
      <c r="L16" s="566"/>
      <c r="M16" s="566"/>
      <c r="N16" s="566"/>
      <c r="O16" s="567"/>
    </row>
    <row r="17" spans="2:15" ht="20.100000000000001" customHeight="1">
      <c r="B17" s="594"/>
      <c r="C17" s="614"/>
      <c r="D17" s="603" t="s">
        <v>74</v>
      </c>
      <c r="E17" s="277" t="s">
        <v>151</v>
      </c>
      <c r="F17" s="23">
        <f t="shared" si="0"/>
        <v>45798.006644518275</v>
      </c>
      <c r="G17" s="23">
        <f>'７-１　ブロッコリー（春まき）部門収支'!F15*G$4/10</f>
        <v>22899.003322259137</v>
      </c>
      <c r="H17" s="23">
        <f>'７-2　ブロッコリー（夏まき）部門収支'!F15*H$4/10</f>
        <v>22899.003322259137</v>
      </c>
      <c r="I17" s="565"/>
      <c r="J17" s="566"/>
      <c r="K17" s="566"/>
      <c r="L17" s="566"/>
      <c r="M17" s="566"/>
      <c r="N17" s="566"/>
      <c r="O17" s="567"/>
    </row>
    <row r="18" spans="2:15" ht="20.100000000000001" customHeight="1">
      <c r="B18" s="594"/>
      <c r="C18" s="614"/>
      <c r="D18" s="604"/>
      <c r="E18" s="277" t="s">
        <v>152</v>
      </c>
      <c r="F18" s="23">
        <f t="shared" si="0"/>
        <v>69950.166112956824</v>
      </c>
      <c r="G18" s="23">
        <f>'７-１　ブロッコリー（春まき）部門収支'!F16*G$4/10</f>
        <v>34975.083056478412</v>
      </c>
      <c r="H18" s="23">
        <f>'７-2　ブロッコリー（夏まき）部門収支'!F16*H$4/10</f>
        <v>34975.083056478412</v>
      </c>
      <c r="I18" s="565"/>
      <c r="J18" s="566"/>
      <c r="K18" s="566"/>
      <c r="L18" s="566"/>
      <c r="M18" s="566"/>
      <c r="N18" s="566"/>
      <c r="O18" s="567"/>
    </row>
    <row r="19" spans="2:15" ht="20.100000000000001" customHeight="1">
      <c r="B19" s="594"/>
      <c r="C19" s="614"/>
      <c r="D19" s="602"/>
      <c r="E19" s="278" t="s">
        <v>51</v>
      </c>
      <c r="F19" s="23">
        <f t="shared" si="0"/>
        <v>0</v>
      </c>
      <c r="G19" s="23">
        <f>'７-１　ブロッコリー（春まき）部門収支'!F17*G$4/10</f>
        <v>0</v>
      </c>
      <c r="H19" s="23">
        <f>'７-2　ブロッコリー（夏まき）部門収支'!F17*H$4/10</f>
        <v>0</v>
      </c>
      <c r="I19" s="565"/>
      <c r="J19" s="566"/>
      <c r="K19" s="566"/>
      <c r="L19" s="566"/>
      <c r="M19" s="566"/>
      <c r="N19" s="566"/>
      <c r="O19" s="567"/>
    </row>
    <row r="20" spans="2:15" ht="20.100000000000001" customHeight="1">
      <c r="B20" s="594"/>
      <c r="C20" s="614"/>
      <c r="D20" s="18" t="s">
        <v>52</v>
      </c>
      <c r="E20" s="19"/>
      <c r="F20" s="20">
        <f t="shared" si="0"/>
        <v>3000</v>
      </c>
      <c r="G20" s="23">
        <f>'７-１　ブロッコリー（春まき）部門収支'!F18*G$4/10</f>
        <v>1500</v>
      </c>
      <c r="H20" s="23">
        <f>'７-2　ブロッコリー（夏まき）部門収支'!F18*H$4/10</f>
        <v>1500</v>
      </c>
      <c r="I20" s="565"/>
      <c r="J20" s="566"/>
      <c r="K20" s="566"/>
      <c r="L20" s="566"/>
      <c r="M20" s="566"/>
      <c r="N20" s="566"/>
      <c r="O20" s="567"/>
    </row>
    <row r="21" spans="2:15" ht="20.100000000000001" customHeight="1">
      <c r="B21" s="594"/>
      <c r="C21" s="614"/>
      <c r="D21" s="18" t="s">
        <v>129</v>
      </c>
      <c r="E21" s="19"/>
      <c r="F21" s="20">
        <f t="shared" si="0"/>
        <v>3429.3293389039904</v>
      </c>
      <c r="G21" s="23">
        <f>'７-１　ブロッコリー（春まき）部門収支'!F19*G$4/10</f>
        <v>1707.2311340984597</v>
      </c>
      <c r="H21" s="23">
        <f>'７-2　ブロッコリー（夏まき）部門収支'!F19*H$4/10</f>
        <v>1722.0982048055307</v>
      </c>
      <c r="I21" s="565"/>
      <c r="J21" s="566"/>
      <c r="K21" s="566"/>
      <c r="L21" s="566"/>
      <c r="M21" s="566"/>
      <c r="N21" s="566"/>
      <c r="O21" s="567"/>
    </row>
    <row r="22" spans="2:15" ht="20.100000000000001" customHeight="1">
      <c r="B22" s="594"/>
      <c r="C22" s="615"/>
      <c r="D22" s="605" t="s">
        <v>158</v>
      </c>
      <c r="E22" s="606"/>
      <c r="F22" s="287">
        <f>SUM(F8:F21)</f>
        <v>342932.93389039906</v>
      </c>
      <c r="G22" s="287">
        <f>SUM(G8:G21)</f>
        <v>170723.11340984597</v>
      </c>
      <c r="H22" s="287">
        <f>SUM(H8:H21)</f>
        <v>172209.82048055305</v>
      </c>
      <c r="I22" s="565"/>
      <c r="J22" s="566"/>
      <c r="K22" s="566"/>
      <c r="L22" s="566"/>
      <c r="M22" s="566"/>
      <c r="N22" s="566"/>
      <c r="O22" s="567"/>
    </row>
    <row r="23" spans="2:15" ht="20.100000000000001" customHeight="1">
      <c r="B23" s="594"/>
      <c r="C23" s="570" t="s">
        <v>155</v>
      </c>
      <c r="D23" s="585" t="s">
        <v>53</v>
      </c>
      <c r="E23" s="26" t="s">
        <v>1</v>
      </c>
      <c r="F23" s="23">
        <f t="shared" ref="F23:F31" si="1">SUM(G23:H23)</f>
        <v>42500</v>
      </c>
      <c r="G23" s="23">
        <f>'７-１　ブロッコリー（春まき）部門収支'!F21*G$4/10</f>
        <v>21250</v>
      </c>
      <c r="H23" s="23">
        <f>'７-2　ブロッコリー（夏まき）部門収支'!F21*H$4/10</f>
        <v>21250</v>
      </c>
      <c r="I23" s="565"/>
      <c r="J23" s="566"/>
      <c r="K23" s="566"/>
      <c r="L23" s="566"/>
      <c r="M23" s="566"/>
      <c r="N23" s="566"/>
      <c r="O23" s="567"/>
    </row>
    <row r="24" spans="2:15" ht="20.100000000000001" customHeight="1">
      <c r="B24" s="594"/>
      <c r="C24" s="571"/>
      <c r="D24" s="586"/>
      <c r="E24" s="26" t="s">
        <v>2</v>
      </c>
      <c r="F24" s="23">
        <f t="shared" si="1"/>
        <v>59500</v>
      </c>
      <c r="G24" s="23">
        <f>'７-１　ブロッコリー（春まき）部門収支'!F22*G$4/10</f>
        <v>29750</v>
      </c>
      <c r="H24" s="23">
        <f>'７-2　ブロッコリー（夏まき）部門収支'!F22*H$4/10</f>
        <v>29750</v>
      </c>
      <c r="I24" s="565" t="s">
        <v>377</v>
      </c>
      <c r="J24" s="566"/>
      <c r="K24" s="566"/>
      <c r="L24" s="566"/>
      <c r="M24" s="566"/>
      <c r="N24" s="566"/>
      <c r="O24" s="567"/>
    </row>
    <row r="25" spans="2:15" ht="20.100000000000001" customHeight="1">
      <c r="B25" s="594"/>
      <c r="C25" s="571"/>
      <c r="D25" s="587"/>
      <c r="E25" s="26" t="s">
        <v>6</v>
      </c>
      <c r="F25" s="23">
        <f t="shared" si="1"/>
        <v>70699.700000000012</v>
      </c>
      <c r="G25" s="23">
        <f>'７-１　ブロッコリー（春まき）部門収支'!F23*G$4/10</f>
        <v>32355.25</v>
      </c>
      <c r="H25" s="23">
        <f>'７-2　ブロッコリー（夏まき）部門収支'!F23*H$4/10</f>
        <v>38344.450000000004</v>
      </c>
      <c r="I25" s="565"/>
      <c r="J25" s="566"/>
      <c r="K25" s="566"/>
      <c r="L25" s="566"/>
      <c r="M25" s="566"/>
      <c r="N25" s="566"/>
      <c r="O25" s="567"/>
    </row>
    <row r="26" spans="2:15" ht="20.100000000000001" customHeight="1">
      <c r="B26" s="594"/>
      <c r="C26" s="571"/>
      <c r="D26" s="26" t="s">
        <v>234</v>
      </c>
      <c r="E26" s="27"/>
      <c r="F26" s="23">
        <f t="shared" si="1"/>
        <v>0</v>
      </c>
      <c r="G26" s="23">
        <f>'７-１　ブロッコリー（春まき）部門収支'!F24*G$4/10</f>
        <v>0</v>
      </c>
      <c r="H26" s="23">
        <f>'７-2　ブロッコリー（夏まき）部門収支'!F24*H$4/10</f>
        <v>0</v>
      </c>
      <c r="I26" s="565"/>
      <c r="J26" s="566"/>
      <c r="K26" s="566"/>
      <c r="L26" s="566"/>
      <c r="M26" s="566"/>
      <c r="N26" s="566"/>
      <c r="O26" s="567"/>
    </row>
    <row r="27" spans="2:15" ht="20.100000000000001" customHeight="1">
      <c r="B27" s="594"/>
      <c r="C27" s="571"/>
      <c r="D27" s="26" t="s">
        <v>75</v>
      </c>
      <c r="E27" s="27"/>
      <c r="F27" s="23">
        <f t="shared" si="1"/>
        <v>0</v>
      </c>
      <c r="G27" s="23">
        <f>'７-１　ブロッコリー（春まき）部門収支'!F25*G$4/10</f>
        <v>0</v>
      </c>
      <c r="H27" s="23">
        <f>'７-2　ブロッコリー（夏まき）部門収支'!F25*H$4/10</f>
        <v>0</v>
      </c>
      <c r="I27" s="565"/>
      <c r="J27" s="566"/>
      <c r="K27" s="566"/>
      <c r="L27" s="566"/>
      <c r="M27" s="566"/>
      <c r="N27" s="566"/>
      <c r="O27" s="567"/>
    </row>
    <row r="28" spans="2:15" ht="20.100000000000001" customHeight="1">
      <c r="B28" s="594"/>
      <c r="C28" s="571"/>
      <c r="D28" s="26" t="s">
        <v>95</v>
      </c>
      <c r="E28" s="27"/>
      <c r="F28" s="23">
        <f t="shared" si="1"/>
        <v>269.76744186046511</v>
      </c>
      <c r="G28" s="23">
        <f>'７-１　ブロッコリー（春まき）部門収支'!F26*G$4/10</f>
        <v>134.88372093023256</v>
      </c>
      <c r="H28" s="23">
        <f>'７-2　ブロッコリー（夏まき）部門収支'!F26*H$4/10</f>
        <v>134.88372093023256</v>
      </c>
      <c r="I28" s="565"/>
      <c r="J28" s="566"/>
      <c r="K28" s="566"/>
      <c r="L28" s="566"/>
      <c r="M28" s="566"/>
      <c r="N28" s="566"/>
      <c r="O28" s="567"/>
    </row>
    <row r="29" spans="2:15" ht="20.100000000000001" customHeight="1">
      <c r="B29" s="594"/>
      <c r="C29" s="571"/>
      <c r="D29" s="26" t="s">
        <v>76</v>
      </c>
      <c r="E29" s="27"/>
      <c r="F29" s="23">
        <f t="shared" si="1"/>
        <v>0</v>
      </c>
      <c r="G29" s="23">
        <f>'７-１　ブロッコリー（春まき）部門収支'!F27*G$4/10</f>
        <v>0</v>
      </c>
      <c r="H29" s="23">
        <f>'７-2　ブロッコリー（夏まき）部門収支'!F27*H$4/10</f>
        <v>0</v>
      </c>
      <c r="I29" s="565"/>
      <c r="J29" s="566"/>
      <c r="K29" s="566"/>
      <c r="L29" s="566"/>
      <c r="M29" s="566"/>
      <c r="N29" s="566"/>
      <c r="O29" s="567"/>
    </row>
    <row r="30" spans="2:15" ht="20.100000000000001" customHeight="1">
      <c r="B30" s="594"/>
      <c r="C30" s="571"/>
      <c r="D30" s="26" t="s">
        <v>54</v>
      </c>
      <c r="E30" s="27"/>
      <c r="F30" s="23">
        <f t="shared" si="1"/>
        <v>9268.970099667773</v>
      </c>
      <c r="G30" s="23">
        <f>'７-１　ブロッコリー（春まき）部門収支'!F28*G$4/10</f>
        <v>4634.4850498338865</v>
      </c>
      <c r="H30" s="23">
        <f>'７-2　ブロッコリー（夏まき）部門収支'!F28*H$4/10</f>
        <v>4634.4850498338865</v>
      </c>
      <c r="I30" s="565"/>
      <c r="J30" s="566"/>
      <c r="K30" s="566"/>
      <c r="L30" s="566"/>
      <c r="M30" s="566"/>
      <c r="N30" s="566"/>
      <c r="O30" s="567"/>
    </row>
    <row r="31" spans="2:15" ht="20.100000000000001" customHeight="1">
      <c r="B31" s="594"/>
      <c r="C31" s="571"/>
      <c r="D31" s="26" t="s">
        <v>235</v>
      </c>
      <c r="E31" s="27"/>
      <c r="F31" s="23">
        <f t="shared" si="1"/>
        <v>1840.7922983992753</v>
      </c>
      <c r="G31" s="23">
        <f>'７-１　ブロッコリー（春まき）部門収支'!F29*G$4/10</f>
        <v>890.14766435115268</v>
      </c>
      <c r="H31" s="23">
        <f>'７-2　ブロッコリー（夏まき）部門収支'!F29*H$4/10</f>
        <v>950.64463404812273</v>
      </c>
      <c r="I31" s="565"/>
      <c r="J31" s="566"/>
      <c r="K31" s="566"/>
      <c r="L31" s="566"/>
      <c r="M31" s="566"/>
      <c r="N31" s="566"/>
      <c r="O31" s="567"/>
    </row>
    <row r="32" spans="2:15" ht="20.100000000000001" customHeight="1">
      <c r="B32" s="594"/>
      <c r="C32" s="571"/>
      <c r="D32" s="588" t="s">
        <v>237</v>
      </c>
      <c r="E32" s="589"/>
      <c r="F32" s="285">
        <f>SUM(F23:F31)</f>
        <v>184079.22983992752</v>
      </c>
      <c r="G32" s="285">
        <f>SUM(G23:G31)</f>
        <v>89014.766435115278</v>
      </c>
      <c r="H32" s="285">
        <f>SUM(H23:H31)</f>
        <v>95064.463404812253</v>
      </c>
      <c r="I32" s="565"/>
      <c r="J32" s="566"/>
      <c r="K32" s="566"/>
      <c r="L32" s="566"/>
      <c r="M32" s="566"/>
      <c r="N32" s="566"/>
      <c r="O32" s="567"/>
    </row>
    <row r="33" spans="2:15" ht="20.100000000000001" customHeight="1">
      <c r="B33" s="594"/>
      <c r="C33" s="590" t="s">
        <v>238</v>
      </c>
      <c r="D33" s="591"/>
      <c r="E33" s="592"/>
      <c r="F33" s="23">
        <f>SUM(G33:H33)</f>
        <v>0</v>
      </c>
      <c r="G33" s="286">
        <f>'５ ブロッコリー作業時間'!$AN$46*'４　経営収支'!$J$33</f>
        <v>0</v>
      </c>
      <c r="H33" s="286">
        <f>'５ ブロッコリー作業時間'!$AN$46*'４　経営収支'!$J$33</f>
        <v>0</v>
      </c>
      <c r="I33" s="24" t="s">
        <v>240</v>
      </c>
      <c r="J33" s="291">
        <v>900</v>
      </c>
      <c r="K33" s="289" t="s">
        <v>241</v>
      </c>
      <c r="L33" s="289"/>
      <c r="M33" s="289"/>
      <c r="N33" s="289"/>
      <c r="O33" s="290"/>
    </row>
    <row r="34" spans="2:15" ht="20.100000000000001" customHeight="1">
      <c r="B34" s="583" t="s">
        <v>239</v>
      </c>
      <c r="C34" s="584"/>
      <c r="D34" s="584"/>
      <c r="E34" s="584"/>
      <c r="F34" s="288">
        <f>F22+F32+F33</f>
        <v>527012.16373032657</v>
      </c>
      <c r="G34" s="288">
        <f>G22+G32+G33</f>
        <v>259737.87984496125</v>
      </c>
      <c r="H34" s="288">
        <f>H22+H32+H33</f>
        <v>267274.28388536529</v>
      </c>
      <c r="I34" s="565"/>
      <c r="J34" s="566"/>
      <c r="K34" s="566"/>
      <c r="L34" s="566"/>
      <c r="M34" s="566"/>
      <c r="N34" s="566"/>
      <c r="O34" s="567"/>
    </row>
    <row r="35" spans="2:15" ht="20.100000000000001" customHeight="1">
      <c r="B35" s="568" t="s">
        <v>242</v>
      </c>
      <c r="C35" s="569"/>
      <c r="D35" s="569"/>
      <c r="E35" s="569"/>
      <c r="F35" s="292">
        <f>F7-F34</f>
        <v>87767.836269673426</v>
      </c>
      <c r="G35" s="292">
        <f>G7-G34</f>
        <v>21612.120155038749</v>
      </c>
      <c r="H35" s="292">
        <f>H7-H34</f>
        <v>66155.716114634706</v>
      </c>
      <c r="I35" s="565"/>
      <c r="J35" s="566"/>
      <c r="K35" s="566"/>
      <c r="L35" s="566"/>
      <c r="M35" s="566"/>
      <c r="N35" s="566"/>
      <c r="O35" s="567"/>
    </row>
    <row r="36" spans="2:15" ht="20.100000000000001" customHeight="1">
      <c r="B36" s="568" t="s">
        <v>243</v>
      </c>
      <c r="C36" s="569"/>
      <c r="D36" s="569"/>
      <c r="E36" s="569"/>
      <c r="F36" s="294">
        <f>F35/F7</f>
        <v>0.14276299858432842</v>
      </c>
      <c r="G36" s="294">
        <f>G35/G7</f>
        <v>7.6815781606677624E-2</v>
      </c>
      <c r="H36" s="294">
        <f>H35/H7</f>
        <v>0.19840960955713255</v>
      </c>
      <c r="I36" s="314" t="s">
        <v>318</v>
      </c>
      <c r="J36" s="291">
        <f>'５ ブロッコリー作業時間'!AN16</f>
        <v>93.5</v>
      </c>
      <c r="K36" s="315" t="s">
        <v>244</v>
      </c>
      <c r="L36" s="315"/>
      <c r="M36" s="315"/>
      <c r="N36" s="315"/>
      <c r="O36" s="316"/>
    </row>
    <row r="37" spans="2:15" ht="20.100000000000001" customHeight="1">
      <c r="B37" s="568" t="s">
        <v>246</v>
      </c>
      <c r="C37" s="569"/>
      <c r="D37" s="569"/>
      <c r="E37" s="569"/>
      <c r="F37" s="292">
        <f>SUM(G37:H37)</f>
        <v>188</v>
      </c>
      <c r="G37" s="292">
        <f>J36</f>
        <v>93.5</v>
      </c>
      <c r="H37" s="292">
        <f>J37</f>
        <v>94.5</v>
      </c>
      <c r="I37" s="24" t="s">
        <v>319</v>
      </c>
      <c r="J37" s="291">
        <f>'５ ブロッコリー作業時間'!AN30</f>
        <v>94.5</v>
      </c>
      <c r="K37" s="289" t="s">
        <v>244</v>
      </c>
      <c r="L37" s="293" t="s">
        <v>245</v>
      </c>
      <c r="M37" s="291">
        <f>'５ ブロッコリー作業時間'!AN46</f>
        <v>0</v>
      </c>
      <c r="N37" s="289" t="s">
        <v>244</v>
      </c>
      <c r="O37" s="290"/>
    </row>
    <row r="38" spans="2:15" ht="20.100000000000001" customHeight="1" thickBot="1">
      <c r="B38" s="572" t="s">
        <v>247</v>
      </c>
      <c r="C38" s="573"/>
      <c r="D38" s="573"/>
      <c r="E38" s="573"/>
      <c r="F38" s="295">
        <f>F35/J38</f>
        <v>466.85019292379479</v>
      </c>
      <c r="G38" s="295">
        <f>G35/J37</f>
        <v>228.69968418030422</v>
      </c>
      <c r="H38" s="295">
        <f>H35/J36</f>
        <v>707.54776593192196</v>
      </c>
      <c r="I38" s="317" t="s">
        <v>320</v>
      </c>
      <c r="J38" s="318">
        <f>SUM(J36:J37)</f>
        <v>188</v>
      </c>
      <c r="K38" s="318"/>
      <c r="L38" s="318"/>
      <c r="M38" s="318"/>
      <c r="N38" s="318"/>
      <c r="O38" s="319"/>
    </row>
  </sheetData>
  <mergeCells count="48">
    <mergeCell ref="B3:E4"/>
    <mergeCell ref="D7:E7"/>
    <mergeCell ref="D15:D16"/>
    <mergeCell ref="D17:D19"/>
    <mergeCell ref="D22:E22"/>
    <mergeCell ref="B5:C7"/>
    <mergeCell ref="C8:C22"/>
    <mergeCell ref="I14:O14"/>
    <mergeCell ref="I15:O15"/>
    <mergeCell ref="I16:O16"/>
    <mergeCell ref="I17:O17"/>
    <mergeCell ref="B34:E34"/>
    <mergeCell ref="D23:D25"/>
    <mergeCell ref="D32:E32"/>
    <mergeCell ref="I18:O18"/>
    <mergeCell ref="I19:O19"/>
    <mergeCell ref="I20:O20"/>
    <mergeCell ref="I21:O21"/>
    <mergeCell ref="I22:O22"/>
    <mergeCell ref="C33:E33"/>
    <mergeCell ref="B8:B33"/>
    <mergeCell ref="I23:O23"/>
    <mergeCell ref="I24:O24"/>
    <mergeCell ref="I9:O9"/>
    <mergeCell ref="I10:O10"/>
    <mergeCell ref="I11:O11"/>
    <mergeCell ref="I12:O12"/>
    <mergeCell ref="I13:O13"/>
    <mergeCell ref="I3:O4"/>
    <mergeCell ref="I5:O5"/>
    <mergeCell ref="I6:O6"/>
    <mergeCell ref="I7:O7"/>
    <mergeCell ref="I8:O8"/>
    <mergeCell ref="B38:E38"/>
    <mergeCell ref="I34:O34"/>
    <mergeCell ref="I35:O35"/>
    <mergeCell ref="I28:O28"/>
    <mergeCell ref="I29:O29"/>
    <mergeCell ref="I30:O30"/>
    <mergeCell ref="I31:O31"/>
    <mergeCell ref="I32:O32"/>
    <mergeCell ref="B37:E37"/>
    <mergeCell ref="I25:O25"/>
    <mergeCell ref="I26:O26"/>
    <mergeCell ref="I27:O27"/>
    <mergeCell ref="B35:E35"/>
    <mergeCell ref="B36:E36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6"/>
  <sheetViews>
    <sheetView showZeros="0" zoomScale="75" zoomScaleNormal="75" zoomScaleSheetLayoutView="80" workbookViewId="0"/>
  </sheetViews>
  <sheetFormatPr defaultColWidth="9" defaultRowHeight="13.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7.625" style="29" customWidth="1"/>
    <col min="42" max="16384" width="9" style="29"/>
  </cols>
  <sheetData>
    <row r="1" spans="2:63" ht="9.9499999999999993" customHeight="1"/>
    <row r="2" spans="2:63" ht="24.95" customHeight="1">
      <c r="B2" s="2" t="s">
        <v>362</v>
      </c>
      <c r="C2" s="2"/>
      <c r="D2" s="5"/>
      <c r="E2" s="5"/>
      <c r="F2" s="5"/>
      <c r="G2" s="5"/>
      <c r="H2" s="5"/>
      <c r="I2" s="5"/>
      <c r="J2" s="5"/>
      <c r="K2" s="5"/>
      <c r="L2" s="254" t="s">
        <v>195</v>
      </c>
      <c r="M2" s="238" t="s">
        <v>283</v>
      </c>
      <c r="N2" s="69"/>
      <c r="O2" s="254" t="s">
        <v>196</v>
      </c>
      <c r="P2" s="238" t="s">
        <v>323</v>
      </c>
      <c r="Q2" s="5"/>
      <c r="R2" s="5"/>
      <c r="S2" s="5"/>
      <c r="T2" s="5"/>
      <c r="U2" s="5"/>
      <c r="V2" s="5"/>
      <c r="W2" s="3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>
      <c r="B3" s="2" t="s">
        <v>364</v>
      </c>
      <c r="C3" s="2"/>
      <c r="D3" s="5"/>
      <c r="E3" s="5"/>
      <c r="F3" s="5"/>
      <c r="G3" s="5"/>
      <c r="H3" s="5"/>
      <c r="I3" s="5"/>
      <c r="J3" s="5"/>
      <c r="K3" s="5"/>
      <c r="L3" s="5"/>
      <c r="M3" s="31"/>
      <c r="N3" s="5"/>
      <c r="O3" s="5"/>
      <c r="P3" s="31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>
      <c r="B4" s="629" t="s">
        <v>96</v>
      </c>
      <c r="C4" s="630"/>
      <c r="D4" s="618">
        <v>1</v>
      </c>
      <c r="E4" s="619"/>
      <c r="F4" s="620"/>
      <c r="G4" s="618">
        <v>2</v>
      </c>
      <c r="H4" s="619"/>
      <c r="I4" s="620"/>
      <c r="J4" s="618">
        <v>3</v>
      </c>
      <c r="K4" s="619"/>
      <c r="L4" s="620"/>
      <c r="M4" s="618">
        <v>4</v>
      </c>
      <c r="N4" s="619"/>
      <c r="O4" s="620"/>
      <c r="P4" s="618">
        <v>5</v>
      </c>
      <c r="Q4" s="619"/>
      <c r="R4" s="620"/>
      <c r="S4" s="618">
        <v>6</v>
      </c>
      <c r="T4" s="619"/>
      <c r="U4" s="620"/>
      <c r="V4" s="618">
        <v>7</v>
      </c>
      <c r="W4" s="619"/>
      <c r="X4" s="620"/>
      <c r="Y4" s="618">
        <v>8</v>
      </c>
      <c r="Z4" s="619"/>
      <c r="AA4" s="620"/>
      <c r="AB4" s="618">
        <v>9</v>
      </c>
      <c r="AC4" s="619"/>
      <c r="AD4" s="620"/>
      <c r="AE4" s="618">
        <v>10</v>
      </c>
      <c r="AF4" s="619"/>
      <c r="AG4" s="620"/>
      <c r="AH4" s="618">
        <v>11</v>
      </c>
      <c r="AI4" s="619"/>
      <c r="AJ4" s="620"/>
      <c r="AK4" s="618">
        <v>12</v>
      </c>
      <c r="AL4" s="619"/>
      <c r="AM4" s="620"/>
      <c r="AN4" s="621" t="s">
        <v>30</v>
      </c>
    </row>
    <row r="5" spans="2:63" ht="20.100000000000001" customHeight="1">
      <c r="B5" s="627"/>
      <c r="C5" s="628"/>
      <c r="D5" s="51" t="s">
        <v>31</v>
      </c>
      <c r="E5" s="52" t="s">
        <v>32</v>
      </c>
      <c r="F5" s="53" t="s">
        <v>33</v>
      </c>
      <c r="G5" s="51" t="s">
        <v>31</v>
      </c>
      <c r="H5" s="53" t="s">
        <v>32</v>
      </c>
      <c r="I5" s="53" t="s">
        <v>33</v>
      </c>
      <c r="J5" s="51" t="s">
        <v>31</v>
      </c>
      <c r="K5" s="53" t="s">
        <v>32</v>
      </c>
      <c r="L5" s="53" t="s">
        <v>33</v>
      </c>
      <c r="M5" s="51" t="s">
        <v>31</v>
      </c>
      <c r="N5" s="53" t="s">
        <v>32</v>
      </c>
      <c r="O5" s="53" t="s">
        <v>33</v>
      </c>
      <c r="P5" s="51" t="s">
        <v>31</v>
      </c>
      <c r="Q5" s="53" t="s">
        <v>32</v>
      </c>
      <c r="R5" s="53" t="s">
        <v>33</v>
      </c>
      <c r="S5" s="51" t="s">
        <v>31</v>
      </c>
      <c r="T5" s="54" t="s">
        <v>32</v>
      </c>
      <c r="U5" s="54" t="s">
        <v>33</v>
      </c>
      <c r="V5" s="51" t="s">
        <v>31</v>
      </c>
      <c r="W5" s="53" t="s">
        <v>32</v>
      </c>
      <c r="X5" s="53" t="s">
        <v>33</v>
      </c>
      <c r="Y5" s="51" t="s">
        <v>31</v>
      </c>
      <c r="Z5" s="53" t="s">
        <v>32</v>
      </c>
      <c r="AA5" s="53" t="s">
        <v>33</v>
      </c>
      <c r="AB5" s="51" t="s">
        <v>31</v>
      </c>
      <c r="AC5" s="53" t="s">
        <v>32</v>
      </c>
      <c r="AD5" s="53" t="s">
        <v>33</v>
      </c>
      <c r="AE5" s="51" t="s">
        <v>31</v>
      </c>
      <c r="AF5" s="53" t="s">
        <v>32</v>
      </c>
      <c r="AG5" s="53" t="s">
        <v>33</v>
      </c>
      <c r="AH5" s="51" t="s">
        <v>31</v>
      </c>
      <c r="AI5" s="53" t="s">
        <v>32</v>
      </c>
      <c r="AJ5" s="53" t="s">
        <v>33</v>
      </c>
      <c r="AK5" s="51" t="s">
        <v>31</v>
      </c>
      <c r="AL5" s="53" t="s">
        <v>32</v>
      </c>
      <c r="AM5" s="53" t="s">
        <v>33</v>
      </c>
      <c r="AN5" s="622"/>
    </row>
    <row r="6" spans="2:63" ht="20.100000000000001" customHeight="1">
      <c r="B6" s="623" t="s">
        <v>97</v>
      </c>
      <c r="C6" s="624"/>
      <c r="D6" s="55"/>
      <c r="E6" s="5"/>
      <c r="F6" s="5"/>
      <c r="G6" s="5"/>
      <c r="H6" s="5"/>
      <c r="I6" s="5"/>
      <c r="J6" s="5"/>
      <c r="K6" s="5"/>
      <c r="L6" s="5"/>
      <c r="M6" s="5"/>
      <c r="N6" s="5"/>
      <c r="O6" s="31"/>
      <c r="P6" s="31"/>
      <c r="Q6" s="5"/>
      <c r="R6" s="5"/>
      <c r="S6" s="148"/>
      <c r="T6" s="148"/>
      <c r="U6" s="5"/>
      <c r="V6" s="313"/>
      <c r="W6" s="5"/>
      <c r="X6" s="5"/>
      <c r="Y6" s="5"/>
      <c r="Z6" s="5"/>
      <c r="AA6" s="5"/>
      <c r="AB6" s="5"/>
      <c r="AC6" s="5"/>
      <c r="AD6" s="5"/>
      <c r="AE6" s="148"/>
      <c r="AF6" s="148"/>
      <c r="AG6" s="148"/>
      <c r="AH6" s="148"/>
      <c r="AI6" s="148"/>
      <c r="AJ6" s="5"/>
      <c r="AK6" s="5"/>
      <c r="AL6" s="5"/>
      <c r="AM6" s="5"/>
      <c r="AN6" s="56"/>
    </row>
    <row r="7" spans="2:63" ht="20.100000000000001" customHeight="1">
      <c r="B7" s="625"/>
      <c r="C7" s="626"/>
      <c r="D7" s="55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148"/>
      <c r="T7" s="148"/>
      <c r="U7" s="5"/>
      <c r="V7" s="5"/>
      <c r="W7" s="313"/>
      <c r="X7" s="5"/>
      <c r="Y7" s="5"/>
      <c r="Z7" s="5"/>
      <c r="AA7" s="5"/>
      <c r="AB7" s="5"/>
      <c r="AC7" s="5"/>
      <c r="AD7" s="5"/>
      <c r="AE7" s="148"/>
      <c r="AF7" s="148"/>
      <c r="AG7" s="148"/>
      <c r="AH7" s="148"/>
      <c r="AI7" s="148"/>
      <c r="AJ7" s="5"/>
      <c r="AK7" s="5"/>
      <c r="AL7" s="5"/>
      <c r="AM7" s="5"/>
      <c r="AN7" s="56"/>
    </row>
    <row r="8" spans="2:63" ht="20.100000000000001" customHeight="1">
      <c r="B8" s="627"/>
      <c r="C8" s="628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9"/>
    </row>
    <row r="9" spans="2:63" ht="20.100000000000001" customHeight="1">
      <c r="B9" s="616" t="s">
        <v>278</v>
      </c>
      <c r="C9" s="617"/>
      <c r="D9" s="60"/>
      <c r="E9" s="61"/>
      <c r="F9" s="61"/>
      <c r="G9" s="60"/>
      <c r="H9" s="61"/>
      <c r="I9" s="61"/>
      <c r="J9" s="248"/>
      <c r="K9" s="61">
        <v>1.5</v>
      </c>
      <c r="L9" s="61">
        <v>1.5</v>
      </c>
      <c r="M9" s="248">
        <v>1.5</v>
      </c>
      <c r="N9" s="61"/>
      <c r="O9" s="61"/>
      <c r="P9" s="248"/>
      <c r="Q9" s="61"/>
      <c r="R9" s="61"/>
      <c r="S9" s="248"/>
      <c r="T9" s="61"/>
      <c r="U9" s="61"/>
      <c r="V9" s="248"/>
      <c r="W9" s="61"/>
      <c r="X9" s="61"/>
      <c r="Y9" s="248"/>
      <c r="Z9" s="61"/>
      <c r="AA9" s="61"/>
      <c r="AB9" s="248"/>
      <c r="AC9" s="61"/>
      <c r="AD9" s="61"/>
      <c r="AE9" s="248"/>
      <c r="AF9" s="61"/>
      <c r="AG9" s="61"/>
      <c r="AH9" s="248"/>
      <c r="AI9" s="61"/>
      <c r="AJ9" s="61"/>
      <c r="AK9" s="60"/>
      <c r="AL9" s="61"/>
      <c r="AM9" s="61"/>
      <c r="AN9" s="62">
        <f>SUM(D9:AM9)</f>
        <v>4.5</v>
      </c>
    </row>
    <row r="10" spans="2:63" ht="20.100000000000001" customHeight="1">
      <c r="B10" s="616" t="s">
        <v>279</v>
      </c>
      <c r="C10" s="617"/>
      <c r="D10" s="60"/>
      <c r="E10" s="61"/>
      <c r="F10" s="61"/>
      <c r="G10" s="60"/>
      <c r="H10" s="61"/>
      <c r="I10" s="61"/>
      <c r="J10" s="248"/>
      <c r="K10" s="61">
        <v>3</v>
      </c>
      <c r="L10" s="61">
        <v>3</v>
      </c>
      <c r="M10" s="248">
        <v>3</v>
      </c>
      <c r="N10" s="61"/>
      <c r="O10" s="61"/>
      <c r="P10" s="248"/>
      <c r="Q10" s="61"/>
      <c r="R10" s="61"/>
      <c r="S10" s="248"/>
      <c r="T10" s="61"/>
      <c r="U10" s="61"/>
      <c r="V10" s="248"/>
      <c r="W10" s="61"/>
      <c r="X10" s="61"/>
      <c r="Y10" s="248"/>
      <c r="Z10" s="61"/>
      <c r="AA10" s="61"/>
      <c r="AB10" s="248"/>
      <c r="AC10" s="61"/>
      <c r="AD10" s="61"/>
      <c r="AE10" s="248"/>
      <c r="AF10" s="61"/>
      <c r="AG10" s="61"/>
      <c r="AH10" s="248"/>
      <c r="AI10" s="61"/>
      <c r="AJ10" s="61"/>
      <c r="AK10" s="60"/>
      <c r="AL10" s="61"/>
      <c r="AM10" s="61"/>
      <c r="AN10" s="62">
        <f t="shared" ref="AN10:AN15" si="0">SUM(D10:AM10)</f>
        <v>9</v>
      </c>
    </row>
    <row r="11" spans="2:63" ht="20.100000000000001" customHeight="1">
      <c r="B11" s="616" t="s">
        <v>280</v>
      </c>
      <c r="C11" s="617"/>
      <c r="D11" s="60"/>
      <c r="E11" s="61"/>
      <c r="F11" s="61"/>
      <c r="G11" s="60"/>
      <c r="H11" s="61"/>
      <c r="I11" s="61"/>
      <c r="J11" s="248"/>
      <c r="K11" s="61"/>
      <c r="L11" s="61"/>
      <c r="M11" s="248">
        <v>5</v>
      </c>
      <c r="N11" s="61">
        <v>5</v>
      </c>
      <c r="O11" s="61"/>
      <c r="P11" s="248"/>
      <c r="Q11" s="61"/>
      <c r="R11" s="61"/>
      <c r="S11" s="248"/>
      <c r="T11" s="61"/>
      <c r="U11" s="61"/>
      <c r="V11" s="248"/>
      <c r="W11" s="61"/>
      <c r="X11" s="61"/>
      <c r="Y11" s="248"/>
      <c r="Z11" s="61"/>
      <c r="AA11" s="61"/>
      <c r="AB11" s="248"/>
      <c r="AC11" s="61"/>
      <c r="AD11" s="61"/>
      <c r="AE11" s="248"/>
      <c r="AF11" s="61"/>
      <c r="AG11" s="61"/>
      <c r="AH11" s="248"/>
      <c r="AI11" s="61"/>
      <c r="AJ11" s="61"/>
      <c r="AK11" s="60"/>
      <c r="AL11" s="61"/>
      <c r="AM11" s="61"/>
      <c r="AN11" s="62">
        <f t="shared" si="0"/>
        <v>10</v>
      </c>
    </row>
    <row r="12" spans="2:63" ht="20.100000000000001" customHeight="1">
      <c r="B12" s="616" t="s">
        <v>281</v>
      </c>
      <c r="C12" s="617"/>
      <c r="D12" s="60"/>
      <c r="E12" s="61"/>
      <c r="F12" s="61"/>
      <c r="G12" s="60"/>
      <c r="H12" s="61"/>
      <c r="I12" s="61"/>
      <c r="J12" s="248"/>
      <c r="K12" s="61"/>
      <c r="L12" s="61"/>
      <c r="M12" s="248">
        <v>0.5</v>
      </c>
      <c r="N12" s="61">
        <v>0.5</v>
      </c>
      <c r="O12" s="61">
        <v>1</v>
      </c>
      <c r="P12" s="248">
        <v>1</v>
      </c>
      <c r="Q12" s="61">
        <v>1</v>
      </c>
      <c r="R12" s="61">
        <v>1</v>
      </c>
      <c r="S12" s="248">
        <v>1</v>
      </c>
      <c r="T12" s="61"/>
      <c r="U12" s="61"/>
      <c r="V12" s="248"/>
      <c r="W12" s="61"/>
      <c r="X12" s="61"/>
      <c r="Y12" s="248"/>
      <c r="Z12" s="61"/>
      <c r="AA12" s="61"/>
      <c r="AB12" s="248"/>
      <c r="AC12" s="61"/>
      <c r="AD12" s="61"/>
      <c r="AE12" s="248"/>
      <c r="AF12" s="61"/>
      <c r="AG12" s="61"/>
      <c r="AH12" s="248"/>
      <c r="AI12" s="61"/>
      <c r="AJ12" s="61"/>
      <c r="AK12" s="60"/>
      <c r="AL12" s="61"/>
      <c r="AM12" s="61"/>
      <c r="AN12" s="62">
        <f t="shared" si="0"/>
        <v>6</v>
      </c>
    </row>
    <row r="13" spans="2:63" ht="20.100000000000001" customHeight="1">
      <c r="B13" s="616" t="s">
        <v>282</v>
      </c>
      <c r="C13" s="617"/>
      <c r="D13" s="60"/>
      <c r="E13" s="61"/>
      <c r="F13" s="61"/>
      <c r="G13" s="60"/>
      <c r="H13" s="61"/>
      <c r="I13" s="61"/>
      <c r="J13" s="248"/>
      <c r="K13" s="61"/>
      <c r="L13" s="61"/>
      <c r="M13" s="248"/>
      <c r="N13" s="61">
        <v>1</v>
      </c>
      <c r="O13" s="61">
        <v>2</v>
      </c>
      <c r="P13" s="248">
        <v>1</v>
      </c>
      <c r="Q13" s="61"/>
      <c r="R13" s="61"/>
      <c r="S13" s="248"/>
      <c r="T13" s="61"/>
      <c r="U13" s="61"/>
      <c r="V13" s="248"/>
      <c r="W13" s="61"/>
      <c r="X13" s="61"/>
      <c r="Y13" s="248"/>
      <c r="Z13" s="61"/>
      <c r="AA13" s="61"/>
      <c r="AB13" s="248"/>
      <c r="AC13" s="61"/>
      <c r="AD13" s="61"/>
      <c r="AE13" s="248"/>
      <c r="AF13" s="61"/>
      <c r="AG13" s="61"/>
      <c r="AH13" s="248"/>
      <c r="AI13" s="61"/>
      <c r="AJ13" s="61"/>
      <c r="AK13" s="60"/>
      <c r="AL13" s="61"/>
      <c r="AM13" s="61"/>
      <c r="AN13" s="62">
        <f t="shared" si="0"/>
        <v>4</v>
      </c>
    </row>
    <row r="14" spans="2:63" ht="20.100000000000001" customHeight="1">
      <c r="B14" s="616" t="s">
        <v>411</v>
      </c>
      <c r="C14" s="617"/>
      <c r="D14" s="60"/>
      <c r="E14" s="61"/>
      <c r="F14" s="61"/>
      <c r="G14" s="60"/>
      <c r="H14" s="61"/>
      <c r="I14" s="61"/>
      <c r="J14" s="248"/>
      <c r="K14" s="61"/>
      <c r="L14" s="61"/>
      <c r="M14" s="248"/>
      <c r="N14" s="61"/>
      <c r="O14" s="61"/>
      <c r="P14" s="248"/>
      <c r="Q14" s="61"/>
      <c r="R14" s="61"/>
      <c r="S14" s="248">
        <v>30</v>
      </c>
      <c r="T14" s="61">
        <v>30</v>
      </c>
      <c r="U14" s="61"/>
      <c r="V14" s="248"/>
      <c r="W14" s="61"/>
      <c r="X14" s="61"/>
      <c r="Y14" s="248"/>
      <c r="Z14" s="61"/>
      <c r="AA14" s="61"/>
      <c r="AB14" s="248"/>
      <c r="AC14" s="61"/>
      <c r="AD14" s="61"/>
      <c r="AE14" s="248"/>
      <c r="AF14" s="61"/>
      <c r="AG14" s="61"/>
      <c r="AH14" s="248"/>
      <c r="AI14" s="61"/>
      <c r="AJ14" s="61"/>
      <c r="AK14" s="60"/>
      <c r="AL14" s="61"/>
      <c r="AM14" s="61"/>
      <c r="AN14" s="62">
        <f t="shared" si="0"/>
        <v>60</v>
      </c>
    </row>
    <row r="15" spans="2:63" ht="20.100000000000001" customHeight="1">
      <c r="B15" s="633" t="s">
        <v>98</v>
      </c>
      <c r="C15" s="634"/>
      <c r="D15" s="60">
        <f t="shared" ref="D15:X15" si="1">SUM(D9:D14)</f>
        <v>0</v>
      </c>
      <c r="E15" s="63">
        <f t="shared" si="1"/>
        <v>0</v>
      </c>
      <c r="F15" s="64">
        <f t="shared" si="1"/>
        <v>0</v>
      </c>
      <c r="G15" s="60">
        <f t="shared" si="1"/>
        <v>0</v>
      </c>
      <c r="H15" s="63">
        <f t="shared" si="1"/>
        <v>0</v>
      </c>
      <c r="I15" s="64">
        <f t="shared" si="1"/>
        <v>0</v>
      </c>
      <c r="J15" s="60">
        <f t="shared" si="1"/>
        <v>0</v>
      </c>
      <c r="K15" s="63">
        <f t="shared" si="1"/>
        <v>4.5</v>
      </c>
      <c r="L15" s="64">
        <f t="shared" si="1"/>
        <v>4.5</v>
      </c>
      <c r="M15" s="60">
        <f t="shared" si="1"/>
        <v>10</v>
      </c>
      <c r="N15" s="63">
        <f t="shared" si="1"/>
        <v>6.5</v>
      </c>
      <c r="O15" s="64">
        <f t="shared" si="1"/>
        <v>3</v>
      </c>
      <c r="P15" s="60">
        <f t="shared" si="1"/>
        <v>2</v>
      </c>
      <c r="Q15" s="63">
        <f t="shared" si="1"/>
        <v>1</v>
      </c>
      <c r="R15" s="64">
        <f t="shared" si="1"/>
        <v>1</v>
      </c>
      <c r="S15" s="60">
        <f t="shared" si="1"/>
        <v>31</v>
      </c>
      <c r="T15" s="63">
        <f t="shared" si="1"/>
        <v>30</v>
      </c>
      <c r="U15" s="64">
        <f t="shared" si="1"/>
        <v>0</v>
      </c>
      <c r="V15" s="60">
        <f t="shared" si="1"/>
        <v>0</v>
      </c>
      <c r="W15" s="63">
        <f t="shared" si="1"/>
        <v>0</v>
      </c>
      <c r="X15" s="64">
        <f t="shared" si="1"/>
        <v>0</v>
      </c>
      <c r="Y15" s="60"/>
      <c r="Z15" s="63">
        <f t="shared" ref="Z15:AM15" si="2">SUM(Z9:Z14)</f>
        <v>0</v>
      </c>
      <c r="AA15" s="64">
        <f t="shared" si="2"/>
        <v>0</v>
      </c>
      <c r="AB15" s="60">
        <f t="shared" si="2"/>
        <v>0</v>
      </c>
      <c r="AC15" s="63">
        <f t="shared" si="2"/>
        <v>0</v>
      </c>
      <c r="AD15" s="64">
        <f t="shared" si="2"/>
        <v>0</v>
      </c>
      <c r="AE15" s="60">
        <f t="shared" si="2"/>
        <v>0</v>
      </c>
      <c r="AF15" s="63">
        <f t="shared" si="2"/>
        <v>0</v>
      </c>
      <c r="AG15" s="64">
        <f t="shared" si="2"/>
        <v>0</v>
      </c>
      <c r="AH15" s="60">
        <f t="shared" si="2"/>
        <v>0</v>
      </c>
      <c r="AI15" s="63">
        <f t="shared" si="2"/>
        <v>0</v>
      </c>
      <c r="AJ15" s="64">
        <f t="shared" si="2"/>
        <v>0</v>
      </c>
      <c r="AK15" s="60">
        <f t="shared" si="2"/>
        <v>0</v>
      </c>
      <c r="AL15" s="63">
        <f t="shared" si="2"/>
        <v>0</v>
      </c>
      <c r="AM15" s="64">
        <f t="shared" si="2"/>
        <v>0</v>
      </c>
      <c r="AN15" s="62">
        <f t="shared" si="0"/>
        <v>93.5</v>
      </c>
    </row>
    <row r="16" spans="2:63" ht="20.100000000000001" customHeight="1" thickBot="1">
      <c r="B16" s="631" t="s">
        <v>99</v>
      </c>
      <c r="C16" s="632"/>
      <c r="D16" s="65"/>
      <c r="E16" s="66">
        <f>SUM(D15:F15)</f>
        <v>0</v>
      </c>
      <c r="F16" s="66"/>
      <c r="G16" s="65"/>
      <c r="H16" s="66">
        <f>SUM(G15:I15)</f>
        <v>0</v>
      </c>
      <c r="I16" s="66"/>
      <c r="J16" s="65"/>
      <c r="K16" s="66">
        <f>SUM(J15:L15)</f>
        <v>9</v>
      </c>
      <c r="L16" s="66"/>
      <c r="M16" s="65"/>
      <c r="N16" s="66">
        <f>SUM(M15:O15)</f>
        <v>19.5</v>
      </c>
      <c r="O16" s="66"/>
      <c r="P16" s="65"/>
      <c r="Q16" s="66">
        <f>SUM(P15:R15)</f>
        <v>4</v>
      </c>
      <c r="R16" s="66"/>
      <c r="S16" s="65"/>
      <c r="T16" s="66">
        <f>SUM(S15:U15)</f>
        <v>61</v>
      </c>
      <c r="U16" s="66"/>
      <c r="V16" s="65"/>
      <c r="W16" s="66">
        <f>SUM(V15:X15)</f>
        <v>0</v>
      </c>
      <c r="X16" s="66"/>
      <c r="Y16" s="65"/>
      <c r="Z16" s="66">
        <f>SUM(Y15:AA15)</f>
        <v>0</v>
      </c>
      <c r="AA16" s="66"/>
      <c r="AB16" s="65"/>
      <c r="AC16" s="66">
        <f>SUM(AB15:AD15)</f>
        <v>0</v>
      </c>
      <c r="AD16" s="66"/>
      <c r="AE16" s="65"/>
      <c r="AF16" s="66">
        <f>SUM(AE15:AG15)</f>
        <v>0</v>
      </c>
      <c r="AG16" s="66"/>
      <c r="AH16" s="65"/>
      <c r="AI16" s="66">
        <f>SUM(AH15:AJ15)</f>
        <v>0</v>
      </c>
      <c r="AJ16" s="66"/>
      <c r="AK16" s="65"/>
      <c r="AL16" s="66">
        <f>SUM(AK15:AM15)</f>
        <v>0</v>
      </c>
      <c r="AM16" s="66"/>
      <c r="AN16" s="67">
        <f>SUM(AN9:AN14)</f>
        <v>93.5</v>
      </c>
    </row>
    <row r="17" spans="2:63" ht="24.95" customHeight="1" thickBot="1">
      <c r="B17" s="2" t="s">
        <v>365</v>
      </c>
      <c r="C17" s="2"/>
      <c r="D17" s="5"/>
      <c r="E17" s="5"/>
      <c r="F17" s="5"/>
      <c r="G17" s="5"/>
      <c r="H17" s="5"/>
      <c r="I17" s="5"/>
      <c r="J17" s="5"/>
      <c r="K17" s="5"/>
      <c r="L17" s="5"/>
      <c r="M17" s="31"/>
      <c r="N17" s="5"/>
      <c r="O17" s="5"/>
      <c r="P17" s="31"/>
      <c r="Q17" s="5"/>
      <c r="R17" s="5"/>
      <c r="S17" s="5"/>
      <c r="T17" s="5"/>
      <c r="U17" s="5"/>
      <c r="V17" s="5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</row>
    <row r="18" spans="2:63" ht="20.100000000000001" customHeight="1">
      <c r="B18" s="629" t="s">
        <v>96</v>
      </c>
      <c r="C18" s="630"/>
      <c r="D18" s="618">
        <v>1</v>
      </c>
      <c r="E18" s="619"/>
      <c r="F18" s="620"/>
      <c r="G18" s="618">
        <v>2</v>
      </c>
      <c r="H18" s="619"/>
      <c r="I18" s="620"/>
      <c r="J18" s="618">
        <v>3</v>
      </c>
      <c r="K18" s="619"/>
      <c r="L18" s="620"/>
      <c r="M18" s="618">
        <v>4</v>
      </c>
      <c r="N18" s="619"/>
      <c r="O18" s="620"/>
      <c r="P18" s="618">
        <v>5</v>
      </c>
      <c r="Q18" s="619"/>
      <c r="R18" s="620"/>
      <c r="S18" s="618">
        <v>6</v>
      </c>
      <c r="T18" s="619"/>
      <c r="U18" s="620"/>
      <c r="V18" s="618">
        <v>7</v>
      </c>
      <c r="W18" s="619"/>
      <c r="X18" s="620"/>
      <c r="Y18" s="618">
        <v>8</v>
      </c>
      <c r="Z18" s="619"/>
      <c r="AA18" s="620"/>
      <c r="AB18" s="618">
        <v>9</v>
      </c>
      <c r="AC18" s="619"/>
      <c r="AD18" s="620"/>
      <c r="AE18" s="618">
        <v>10</v>
      </c>
      <c r="AF18" s="619"/>
      <c r="AG18" s="620"/>
      <c r="AH18" s="618">
        <v>11</v>
      </c>
      <c r="AI18" s="619"/>
      <c r="AJ18" s="620"/>
      <c r="AK18" s="618">
        <v>12</v>
      </c>
      <c r="AL18" s="619"/>
      <c r="AM18" s="620"/>
      <c r="AN18" s="621" t="s">
        <v>30</v>
      </c>
    </row>
    <row r="19" spans="2:63" ht="20.100000000000001" customHeight="1">
      <c r="B19" s="627"/>
      <c r="C19" s="628"/>
      <c r="D19" s="51" t="s">
        <v>31</v>
      </c>
      <c r="E19" s="52" t="s">
        <v>32</v>
      </c>
      <c r="F19" s="53" t="s">
        <v>33</v>
      </c>
      <c r="G19" s="51" t="s">
        <v>31</v>
      </c>
      <c r="H19" s="53" t="s">
        <v>32</v>
      </c>
      <c r="I19" s="53" t="s">
        <v>33</v>
      </c>
      <c r="J19" s="51" t="s">
        <v>31</v>
      </c>
      <c r="K19" s="53" t="s">
        <v>32</v>
      </c>
      <c r="L19" s="53" t="s">
        <v>33</v>
      </c>
      <c r="M19" s="51" t="s">
        <v>31</v>
      </c>
      <c r="N19" s="53" t="s">
        <v>32</v>
      </c>
      <c r="O19" s="53" t="s">
        <v>33</v>
      </c>
      <c r="P19" s="51" t="s">
        <v>31</v>
      </c>
      <c r="Q19" s="53" t="s">
        <v>32</v>
      </c>
      <c r="R19" s="53" t="s">
        <v>33</v>
      </c>
      <c r="S19" s="51" t="s">
        <v>31</v>
      </c>
      <c r="T19" s="54" t="s">
        <v>32</v>
      </c>
      <c r="U19" s="54" t="s">
        <v>33</v>
      </c>
      <c r="V19" s="51" t="s">
        <v>31</v>
      </c>
      <c r="W19" s="53" t="s">
        <v>32</v>
      </c>
      <c r="X19" s="53" t="s">
        <v>33</v>
      </c>
      <c r="Y19" s="51" t="s">
        <v>31</v>
      </c>
      <c r="Z19" s="53" t="s">
        <v>32</v>
      </c>
      <c r="AA19" s="53" t="s">
        <v>33</v>
      </c>
      <c r="AB19" s="51" t="s">
        <v>31</v>
      </c>
      <c r="AC19" s="53" t="s">
        <v>32</v>
      </c>
      <c r="AD19" s="53" t="s">
        <v>33</v>
      </c>
      <c r="AE19" s="51" t="s">
        <v>31</v>
      </c>
      <c r="AF19" s="53" t="s">
        <v>32</v>
      </c>
      <c r="AG19" s="53" t="s">
        <v>33</v>
      </c>
      <c r="AH19" s="51" t="s">
        <v>31</v>
      </c>
      <c r="AI19" s="53" t="s">
        <v>32</v>
      </c>
      <c r="AJ19" s="53" t="s">
        <v>33</v>
      </c>
      <c r="AK19" s="51" t="s">
        <v>31</v>
      </c>
      <c r="AL19" s="53" t="s">
        <v>32</v>
      </c>
      <c r="AM19" s="53" t="s">
        <v>33</v>
      </c>
      <c r="AN19" s="622"/>
    </row>
    <row r="20" spans="2:63" ht="20.100000000000001" customHeight="1">
      <c r="B20" s="623" t="s">
        <v>97</v>
      </c>
      <c r="C20" s="624"/>
      <c r="D20" s="55"/>
      <c r="E20" s="5"/>
      <c r="F20" s="5"/>
      <c r="G20" s="5"/>
      <c r="H20" s="5"/>
      <c r="I20" s="5"/>
      <c r="J20" s="5"/>
      <c r="K20" s="5"/>
      <c r="L20" s="5"/>
      <c r="M20" s="5"/>
      <c r="N20" s="5"/>
      <c r="O20" s="31"/>
      <c r="P20" s="31"/>
      <c r="Q20" s="5"/>
      <c r="R20" s="5"/>
      <c r="S20" s="148"/>
      <c r="T20" s="148"/>
      <c r="U20" s="5"/>
      <c r="V20" s="313"/>
      <c r="W20" s="5"/>
      <c r="X20" s="5"/>
      <c r="Y20" s="5"/>
      <c r="Z20" s="5"/>
      <c r="AA20" s="5"/>
      <c r="AB20" s="5"/>
      <c r="AC20" s="5"/>
      <c r="AD20" s="5"/>
      <c r="AE20" s="148"/>
      <c r="AF20" s="148"/>
      <c r="AG20" s="148"/>
      <c r="AH20" s="148"/>
      <c r="AI20" s="148"/>
      <c r="AJ20" s="5"/>
      <c r="AK20" s="5"/>
      <c r="AL20" s="5"/>
      <c r="AM20" s="5"/>
      <c r="AN20" s="56"/>
    </row>
    <row r="21" spans="2:63" ht="20.100000000000001" customHeight="1">
      <c r="B21" s="625"/>
      <c r="C21" s="626"/>
      <c r="D21" s="55"/>
      <c r="E21" s="5"/>
      <c r="F21" s="5"/>
      <c r="G21" s="5"/>
      <c r="H21" s="5"/>
      <c r="I21" s="5"/>
      <c r="J21" s="5"/>
      <c r="K21" s="5"/>
      <c r="L21" s="5"/>
      <c r="N21" s="5"/>
      <c r="O21" s="5"/>
      <c r="P21" s="5"/>
      <c r="Q21" s="5"/>
      <c r="R21" s="5"/>
      <c r="S21" s="148"/>
      <c r="T21" s="148"/>
      <c r="U21" s="5"/>
      <c r="V21" s="5"/>
      <c r="W21" s="313"/>
      <c r="X21" s="5"/>
      <c r="Y21" s="5"/>
      <c r="Z21" s="5"/>
      <c r="AA21" s="5"/>
      <c r="AB21" s="5"/>
      <c r="AC21" s="5"/>
      <c r="AD21" s="5"/>
      <c r="AE21" s="148"/>
      <c r="AF21" s="148"/>
      <c r="AG21" s="148"/>
      <c r="AH21" s="148"/>
      <c r="AI21" s="148"/>
      <c r="AJ21" s="5"/>
      <c r="AK21" s="5"/>
      <c r="AL21" s="5"/>
      <c r="AM21" s="5"/>
      <c r="AN21" s="56"/>
    </row>
    <row r="22" spans="2:63" ht="20.100000000000001" customHeight="1">
      <c r="B22" s="627"/>
      <c r="C22" s="628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9"/>
    </row>
    <row r="23" spans="2:63" ht="20.100000000000001" customHeight="1">
      <c r="B23" s="616" t="s">
        <v>278</v>
      </c>
      <c r="C23" s="617"/>
      <c r="D23" s="60"/>
      <c r="E23" s="61"/>
      <c r="F23" s="61"/>
      <c r="G23" s="60"/>
      <c r="H23" s="61"/>
      <c r="I23" s="61"/>
      <c r="J23" s="248"/>
      <c r="K23" s="61"/>
      <c r="L23" s="61"/>
      <c r="M23" s="248"/>
      <c r="N23" s="61"/>
      <c r="O23" s="61"/>
      <c r="P23" s="248"/>
      <c r="Q23" s="61"/>
      <c r="R23" s="61"/>
      <c r="S23" s="248"/>
      <c r="T23" s="61"/>
      <c r="U23" s="61"/>
      <c r="V23" s="248"/>
      <c r="W23" s="61">
        <v>1.5</v>
      </c>
      <c r="X23" s="61">
        <v>1.5</v>
      </c>
      <c r="Y23" s="248">
        <v>1.5</v>
      </c>
      <c r="Z23" s="61"/>
      <c r="AA23" s="61"/>
      <c r="AB23" s="248"/>
      <c r="AC23" s="61"/>
      <c r="AD23" s="61"/>
      <c r="AE23" s="248"/>
      <c r="AF23" s="61"/>
      <c r="AG23" s="61"/>
      <c r="AH23" s="248"/>
      <c r="AI23" s="61"/>
      <c r="AJ23" s="61"/>
      <c r="AK23" s="60"/>
      <c r="AL23" s="61"/>
      <c r="AM23" s="61"/>
      <c r="AN23" s="62">
        <f>SUM(D23:AM23)</f>
        <v>4.5</v>
      </c>
    </row>
    <row r="24" spans="2:63" ht="20.100000000000001" customHeight="1">
      <c r="B24" s="616" t="s">
        <v>279</v>
      </c>
      <c r="C24" s="617"/>
      <c r="D24" s="60"/>
      <c r="E24" s="61"/>
      <c r="F24" s="61"/>
      <c r="G24" s="60"/>
      <c r="H24" s="61"/>
      <c r="I24" s="61"/>
      <c r="J24" s="248"/>
      <c r="K24" s="61"/>
      <c r="L24" s="61"/>
      <c r="M24" s="248"/>
      <c r="N24" s="61"/>
      <c r="O24" s="61"/>
      <c r="P24" s="248"/>
      <c r="Q24" s="61"/>
      <c r="R24" s="61"/>
      <c r="S24" s="248"/>
      <c r="T24" s="61"/>
      <c r="U24" s="61"/>
      <c r="V24" s="248"/>
      <c r="W24" s="61">
        <v>3</v>
      </c>
      <c r="X24" s="61">
        <v>3</v>
      </c>
      <c r="Y24" s="248">
        <v>3</v>
      </c>
      <c r="Z24" s="61"/>
      <c r="AA24" s="61"/>
      <c r="AB24" s="248"/>
      <c r="AC24" s="61"/>
      <c r="AD24" s="61"/>
      <c r="AE24" s="248"/>
      <c r="AF24" s="61"/>
      <c r="AG24" s="61"/>
      <c r="AH24" s="248"/>
      <c r="AI24" s="61"/>
      <c r="AJ24" s="61"/>
      <c r="AK24" s="60"/>
      <c r="AL24" s="61"/>
      <c r="AM24" s="61"/>
      <c r="AN24" s="62">
        <f t="shared" ref="AN24:AN29" si="3">SUM(D24:AM24)</f>
        <v>9</v>
      </c>
    </row>
    <row r="25" spans="2:63" ht="20.100000000000001" customHeight="1">
      <c r="B25" s="616" t="s">
        <v>280</v>
      </c>
      <c r="C25" s="617"/>
      <c r="D25" s="60"/>
      <c r="E25" s="61"/>
      <c r="F25" s="61"/>
      <c r="G25" s="60"/>
      <c r="H25" s="61"/>
      <c r="I25" s="61"/>
      <c r="J25" s="248"/>
      <c r="K25" s="61"/>
      <c r="L25" s="61"/>
      <c r="M25" s="248"/>
      <c r="N25" s="61"/>
      <c r="O25" s="61"/>
      <c r="P25" s="248"/>
      <c r="Q25" s="61"/>
      <c r="R25" s="61"/>
      <c r="S25" s="248"/>
      <c r="T25" s="61"/>
      <c r="U25" s="61"/>
      <c r="V25" s="248"/>
      <c r="W25" s="61"/>
      <c r="X25" s="61"/>
      <c r="Y25" s="248">
        <v>5</v>
      </c>
      <c r="Z25" s="61">
        <v>5</v>
      </c>
      <c r="AA25" s="61"/>
      <c r="AB25" s="248"/>
      <c r="AC25" s="61"/>
      <c r="AD25" s="61"/>
      <c r="AE25" s="248"/>
      <c r="AF25" s="61"/>
      <c r="AG25" s="61"/>
      <c r="AH25" s="248"/>
      <c r="AI25" s="61"/>
      <c r="AJ25" s="61"/>
      <c r="AK25" s="60"/>
      <c r="AL25" s="61"/>
      <c r="AM25" s="61"/>
      <c r="AN25" s="62">
        <f t="shared" si="3"/>
        <v>10</v>
      </c>
    </row>
    <row r="26" spans="2:63" ht="20.100000000000001" customHeight="1">
      <c r="B26" s="616" t="s">
        <v>281</v>
      </c>
      <c r="C26" s="617"/>
      <c r="D26" s="60"/>
      <c r="E26" s="61"/>
      <c r="F26" s="61"/>
      <c r="G26" s="60"/>
      <c r="H26" s="61"/>
      <c r="I26" s="61"/>
      <c r="J26" s="248"/>
      <c r="K26" s="61"/>
      <c r="L26" s="61"/>
      <c r="M26" s="248"/>
      <c r="N26" s="61"/>
      <c r="O26" s="61"/>
      <c r="P26" s="248"/>
      <c r="Q26" s="61"/>
      <c r="R26" s="61"/>
      <c r="S26" s="248"/>
      <c r="T26" s="61"/>
      <c r="U26" s="61"/>
      <c r="V26" s="248"/>
      <c r="W26" s="61"/>
      <c r="X26" s="61"/>
      <c r="Y26" s="248">
        <v>0.5</v>
      </c>
      <c r="Z26" s="61">
        <v>0.5</v>
      </c>
      <c r="AA26" s="61">
        <v>1</v>
      </c>
      <c r="AB26" s="248">
        <v>1</v>
      </c>
      <c r="AC26" s="61">
        <v>1</v>
      </c>
      <c r="AD26" s="61">
        <v>1</v>
      </c>
      <c r="AE26" s="248">
        <v>1</v>
      </c>
      <c r="AF26" s="61">
        <v>1</v>
      </c>
      <c r="AG26" s="61"/>
      <c r="AH26" s="248"/>
      <c r="AI26" s="61"/>
      <c r="AJ26" s="61"/>
      <c r="AK26" s="60"/>
      <c r="AL26" s="61"/>
      <c r="AM26" s="61"/>
      <c r="AN26" s="62">
        <f t="shared" si="3"/>
        <v>7</v>
      </c>
    </row>
    <row r="27" spans="2:63" ht="20.100000000000001" customHeight="1">
      <c r="B27" s="616" t="s">
        <v>282</v>
      </c>
      <c r="C27" s="617"/>
      <c r="D27" s="60"/>
      <c r="E27" s="61"/>
      <c r="F27" s="61"/>
      <c r="G27" s="60"/>
      <c r="H27" s="61"/>
      <c r="I27" s="61"/>
      <c r="J27" s="248"/>
      <c r="K27" s="61"/>
      <c r="L27" s="61"/>
      <c r="M27" s="248"/>
      <c r="N27" s="61"/>
      <c r="O27" s="61"/>
      <c r="P27" s="248"/>
      <c r="Q27" s="61"/>
      <c r="R27" s="61"/>
      <c r="S27" s="248"/>
      <c r="T27" s="61"/>
      <c r="U27" s="61"/>
      <c r="V27" s="248"/>
      <c r="W27" s="61"/>
      <c r="X27" s="61"/>
      <c r="Y27" s="248"/>
      <c r="Z27" s="61">
        <v>1</v>
      </c>
      <c r="AA27" s="61">
        <v>2</v>
      </c>
      <c r="AB27" s="248">
        <v>1</v>
      </c>
      <c r="AC27" s="61"/>
      <c r="AD27" s="61"/>
      <c r="AE27" s="248"/>
      <c r="AF27" s="61"/>
      <c r="AG27" s="61"/>
      <c r="AH27" s="248"/>
      <c r="AI27" s="61"/>
      <c r="AJ27" s="61"/>
      <c r="AK27" s="60"/>
      <c r="AL27" s="61"/>
      <c r="AM27" s="61"/>
      <c r="AN27" s="62">
        <f t="shared" si="3"/>
        <v>4</v>
      </c>
    </row>
    <row r="28" spans="2:63" ht="20.100000000000001" customHeight="1">
      <c r="B28" s="616" t="s">
        <v>411</v>
      </c>
      <c r="C28" s="617"/>
      <c r="D28" s="60"/>
      <c r="E28" s="61"/>
      <c r="F28" s="61"/>
      <c r="G28" s="60"/>
      <c r="H28" s="61"/>
      <c r="I28" s="61"/>
      <c r="J28" s="248"/>
      <c r="K28" s="61"/>
      <c r="L28" s="61"/>
      <c r="M28" s="248"/>
      <c r="N28" s="61"/>
      <c r="O28" s="61"/>
      <c r="P28" s="248"/>
      <c r="Q28" s="61"/>
      <c r="R28" s="61"/>
      <c r="S28" s="248"/>
      <c r="T28" s="61"/>
      <c r="U28" s="61"/>
      <c r="V28" s="248"/>
      <c r="W28" s="61"/>
      <c r="X28" s="61"/>
      <c r="Y28" s="248"/>
      <c r="Z28" s="61"/>
      <c r="AA28" s="61"/>
      <c r="AB28" s="248"/>
      <c r="AC28" s="61"/>
      <c r="AD28" s="61"/>
      <c r="AE28" s="248">
        <v>10</v>
      </c>
      <c r="AF28" s="61">
        <v>10</v>
      </c>
      <c r="AG28" s="61">
        <v>20</v>
      </c>
      <c r="AH28" s="248">
        <v>10</v>
      </c>
      <c r="AI28" s="61">
        <v>10</v>
      </c>
      <c r="AJ28" s="61"/>
      <c r="AK28" s="60"/>
      <c r="AL28" s="61"/>
      <c r="AM28" s="61"/>
      <c r="AN28" s="62">
        <f t="shared" si="3"/>
        <v>60</v>
      </c>
    </row>
    <row r="29" spans="2:63" ht="20.100000000000001" customHeight="1">
      <c r="B29" s="633" t="s">
        <v>98</v>
      </c>
      <c r="C29" s="634"/>
      <c r="D29" s="60">
        <f t="shared" ref="D29:AM29" si="4">SUM(D23:D28)</f>
        <v>0</v>
      </c>
      <c r="E29" s="63">
        <f t="shared" si="4"/>
        <v>0</v>
      </c>
      <c r="F29" s="64">
        <f t="shared" si="4"/>
        <v>0</v>
      </c>
      <c r="G29" s="60">
        <f t="shared" si="4"/>
        <v>0</v>
      </c>
      <c r="H29" s="63">
        <f t="shared" si="4"/>
        <v>0</v>
      </c>
      <c r="I29" s="64">
        <f t="shared" si="4"/>
        <v>0</v>
      </c>
      <c r="J29" s="60">
        <f t="shared" si="4"/>
        <v>0</v>
      </c>
      <c r="K29" s="63">
        <f t="shared" si="4"/>
        <v>0</v>
      </c>
      <c r="L29" s="64">
        <f t="shared" si="4"/>
        <v>0</v>
      </c>
      <c r="M29" s="60">
        <f t="shared" si="4"/>
        <v>0</v>
      </c>
      <c r="N29" s="63">
        <f t="shared" si="4"/>
        <v>0</v>
      </c>
      <c r="O29" s="64">
        <f t="shared" si="4"/>
        <v>0</v>
      </c>
      <c r="P29" s="60">
        <f t="shared" si="4"/>
        <v>0</v>
      </c>
      <c r="Q29" s="63">
        <f t="shared" si="4"/>
        <v>0</v>
      </c>
      <c r="R29" s="64">
        <f t="shared" si="4"/>
        <v>0</v>
      </c>
      <c r="S29" s="60">
        <f t="shared" si="4"/>
        <v>0</v>
      </c>
      <c r="T29" s="63">
        <f t="shared" si="4"/>
        <v>0</v>
      </c>
      <c r="U29" s="64">
        <f t="shared" si="4"/>
        <v>0</v>
      </c>
      <c r="V29" s="60">
        <f t="shared" si="4"/>
        <v>0</v>
      </c>
      <c r="W29" s="63">
        <f t="shared" si="4"/>
        <v>4.5</v>
      </c>
      <c r="X29" s="64">
        <f t="shared" si="4"/>
        <v>4.5</v>
      </c>
      <c r="Y29" s="60">
        <f t="shared" si="4"/>
        <v>10</v>
      </c>
      <c r="Z29" s="63">
        <f t="shared" si="4"/>
        <v>6.5</v>
      </c>
      <c r="AA29" s="64">
        <f t="shared" si="4"/>
        <v>3</v>
      </c>
      <c r="AB29" s="60">
        <f t="shared" si="4"/>
        <v>2</v>
      </c>
      <c r="AC29" s="63">
        <f t="shared" si="4"/>
        <v>1</v>
      </c>
      <c r="AD29" s="64">
        <f t="shared" si="4"/>
        <v>1</v>
      </c>
      <c r="AE29" s="60">
        <f t="shared" si="4"/>
        <v>11</v>
      </c>
      <c r="AF29" s="63">
        <f t="shared" si="4"/>
        <v>11</v>
      </c>
      <c r="AG29" s="64">
        <f t="shared" si="4"/>
        <v>20</v>
      </c>
      <c r="AH29" s="60">
        <f t="shared" si="4"/>
        <v>10</v>
      </c>
      <c r="AI29" s="63">
        <f t="shared" si="4"/>
        <v>10</v>
      </c>
      <c r="AJ29" s="64">
        <f t="shared" si="4"/>
        <v>0</v>
      </c>
      <c r="AK29" s="60">
        <f t="shared" si="4"/>
        <v>0</v>
      </c>
      <c r="AL29" s="63">
        <f t="shared" si="4"/>
        <v>0</v>
      </c>
      <c r="AM29" s="64">
        <f t="shared" si="4"/>
        <v>0</v>
      </c>
      <c r="AN29" s="62">
        <f t="shared" si="3"/>
        <v>94.5</v>
      </c>
    </row>
    <row r="30" spans="2:63" ht="20.100000000000001" customHeight="1" thickBot="1">
      <c r="B30" s="631" t="s">
        <v>99</v>
      </c>
      <c r="C30" s="632"/>
      <c r="D30" s="65"/>
      <c r="E30" s="66">
        <f>SUM(D29:F29)</f>
        <v>0</v>
      </c>
      <c r="F30" s="66"/>
      <c r="G30" s="65"/>
      <c r="H30" s="66">
        <f>SUM(G29:I29)</f>
        <v>0</v>
      </c>
      <c r="I30" s="66"/>
      <c r="J30" s="65"/>
      <c r="K30" s="66">
        <f>SUM(J29:L29)</f>
        <v>0</v>
      </c>
      <c r="L30" s="66"/>
      <c r="M30" s="65"/>
      <c r="N30" s="66">
        <f>SUM(M29:O29)</f>
        <v>0</v>
      </c>
      <c r="O30" s="66"/>
      <c r="P30" s="65"/>
      <c r="Q30" s="66">
        <f>SUM(P29:R29)</f>
        <v>0</v>
      </c>
      <c r="R30" s="66"/>
      <c r="S30" s="65"/>
      <c r="T30" s="66">
        <f>SUM(S29:U29)</f>
        <v>0</v>
      </c>
      <c r="U30" s="66"/>
      <c r="V30" s="65"/>
      <c r="W30" s="66">
        <f>SUM(V29:X29)</f>
        <v>9</v>
      </c>
      <c r="X30" s="66"/>
      <c r="Y30" s="65"/>
      <c r="Z30" s="66">
        <f>SUM(Y29:AA29)</f>
        <v>19.5</v>
      </c>
      <c r="AA30" s="66"/>
      <c r="AB30" s="65"/>
      <c r="AC30" s="66">
        <f>SUM(AB29:AD29)</f>
        <v>4</v>
      </c>
      <c r="AD30" s="66"/>
      <c r="AE30" s="65"/>
      <c r="AF30" s="66">
        <f>SUM(AE29:AG29)</f>
        <v>42</v>
      </c>
      <c r="AG30" s="66"/>
      <c r="AH30" s="65"/>
      <c r="AI30" s="66">
        <f>SUM(AH29:AJ29)</f>
        <v>20</v>
      </c>
      <c r="AJ30" s="66"/>
      <c r="AK30" s="65"/>
      <c r="AL30" s="66">
        <f>SUM(AK29:AM29)</f>
        <v>0</v>
      </c>
      <c r="AM30" s="66"/>
      <c r="AN30" s="67">
        <f>SUM(AN23:AN28)</f>
        <v>94.5</v>
      </c>
    </row>
    <row r="31" spans="2:63" ht="9.9499999999999993" customHeight="1"/>
    <row r="32" spans="2:63" ht="24.95" customHeight="1">
      <c r="B32" s="2" t="s">
        <v>199</v>
      </c>
    </row>
    <row r="33" spans="2:40" ht="9.9499999999999993" customHeight="1" thickBot="1"/>
    <row r="34" spans="2:40" ht="20.100000000000001" customHeight="1" thickBot="1">
      <c r="B34" s="1" t="s">
        <v>197</v>
      </c>
      <c r="C34" s="240">
        <v>10</v>
      </c>
      <c r="D34" s="1" t="s">
        <v>198</v>
      </c>
      <c r="E34" s="29" t="s">
        <v>373</v>
      </c>
      <c r="F34" s="353">
        <v>10</v>
      </c>
      <c r="G34" s="29" t="s">
        <v>374</v>
      </c>
      <c r="H34" s="29" t="s">
        <v>375</v>
      </c>
      <c r="I34" s="353">
        <v>10</v>
      </c>
      <c r="J34" s="29" t="s">
        <v>374</v>
      </c>
    </row>
    <row r="35" spans="2:40" ht="9.9499999999999993" customHeight="1" thickBot="1"/>
    <row r="36" spans="2:40" ht="20.100000000000001" customHeight="1">
      <c r="B36" s="629" t="s">
        <v>96</v>
      </c>
      <c r="C36" s="630"/>
      <c r="D36" s="618">
        <v>1</v>
      </c>
      <c r="E36" s="619"/>
      <c r="F36" s="620"/>
      <c r="G36" s="618">
        <v>2</v>
      </c>
      <c r="H36" s="619"/>
      <c r="I36" s="620"/>
      <c r="J36" s="618">
        <v>3</v>
      </c>
      <c r="K36" s="619"/>
      <c r="L36" s="620"/>
      <c r="M36" s="618">
        <v>4</v>
      </c>
      <c r="N36" s="619"/>
      <c r="O36" s="620"/>
      <c r="P36" s="618">
        <v>5</v>
      </c>
      <c r="Q36" s="619"/>
      <c r="R36" s="620"/>
      <c r="S36" s="618">
        <v>6</v>
      </c>
      <c r="T36" s="619"/>
      <c r="U36" s="620"/>
      <c r="V36" s="618">
        <v>7</v>
      </c>
      <c r="W36" s="619"/>
      <c r="X36" s="620"/>
      <c r="Y36" s="618">
        <v>8</v>
      </c>
      <c r="Z36" s="619"/>
      <c r="AA36" s="620"/>
      <c r="AB36" s="618">
        <v>9</v>
      </c>
      <c r="AC36" s="619"/>
      <c r="AD36" s="620"/>
      <c r="AE36" s="618">
        <v>10</v>
      </c>
      <c r="AF36" s="619"/>
      <c r="AG36" s="620"/>
      <c r="AH36" s="618">
        <v>11</v>
      </c>
      <c r="AI36" s="619"/>
      <c r="AJ36" s="620"/>
      <c r="AK36" s="618">
        <v>12</v>
      </c>
      <c r="AL36" s="619"/>
      <c r="AM36" s="620"/>
      <c r="AN36" s="621" t="s">
        <v>30</v>
      </c>
    </row>
    <row r="37" spans="2:40" ht="20.100000000000001" customHeight="1">
      <c r="B37" s="627"/>
      <c r="C37" s="628"/>
      <c r="D37" s="51" t="s">
        <v>31</v>
      </c>
      <c r="E37" s="52" t="s">
        <v>32</v>
      </c>
      <c r="F37" s="53" t="s">
        <v>33</v>
      </c>
      <c r="G37" s="51" t="s">
        <v>31</v>
      </c>
      <c r="H37" s="53" t="s">
        <v>32</v>
      </c>
      <c r="I37" s="53" t="s">
        <v>33</v>
      </c>
      <c r="J37" s="51" t="s">
        <v>31</v>
      </c>
      <c r="K37" s="53" t="s">
        <v>32</v>
      </c>
      <c r="L37" s="53" t="s">
        <v>33</v>
      </c>
      <c r="M37" s="51" t="s">
        <v>31</v>
      </c>
      <c r="N37" s="53" t="s">
        <v>32</v>
      </c>
      <c r="O37" s="53" t="s">
        <v>33</v>
      </c>
      <c r="P37" s="51" t="s">
        <v>31</v>
      </c>
      <c r="Q37" s="53" t="s">
        <v>32</v>
      </c>
      <c r="R37" s="53" t="s">
        <v>33</v>
      </c>
      <c r="S37" s="51" t="s">
        <v>31</v>
      </c>
      <c r="T37" s="54" t="s">
        <v>32</v>
      </c>
      <c r="U37" s="54" t="s">
        <v>33</v>
      </c>
      <c r="V37" s="51" t="s">
        <v>31</v>
      </c>
      <c r="W37" s="53" t="s">
        <v>32</v>
      </c>
      <c r="X37" s="53" t="s">
        <v>33</v>
      </c>
      <c r="Y37" s="51" t="s">
        <v>31</v>
      </c>
      <c r="Z37" s="53" t="s">
        <v>32</v>
      </c>
      <c r="AA37" s="53" t="s">
        <v>33</v>
      </c>
      <c r="AB37" s="51" t="s">
        <v>31</v>
      </c>
      <c r="AC37" s="53" t="s">
        <v>32</v>
      </c>
      <c r="AD37" s="53" t="s">
        <v>33</v>
      </c>
      <c r="AE37" s="51" t="s">
        <v>31</v>
      </c>
      <c r="AF37" s="53" t="s">
        <v>32</v>
      </c>
      <c r="AG37" s="53" t="s">
        <v>33</v>
      </c>
      <c r="AH37" s="51" t="s">
        <v>31</v>
      </c>
      <c r="AI37" s="53" t="s">
        <v>32</v>
      </c>
      <c r="AJ37" s="53" t="s">
        <v>33</v>
      </c>
      <c r="AK37" s="51" t="s">
        <v>31</v>
      </c>
      <c r="AL37" s="53" t="s">
        <v>32</v>
      </c>
      <c r="AM37" s="53" t="s">
        <v>33</v>
      </c>
      <c r="AN37" s="622"/>
    </row>
    <row r="38" spans="2:40" ht="20.100000000000001" customHeight="1">
      <c r="B38" s="639" t="s">
        <v>202</v>
      </c>
      <c r="C38" s="628"/>
      <c r="D38" s="60">
        <f>D15*$C$34/10</f>
        <v>0</v>
      </c>
      <c r="E38" s="63">
        <f t="shared" ref="E38:AM38" si="5">E15*$C$34/10</f>
        <v>0</v>
      </c>
      <c r="F38" s="64">
        <f t="shared" si="5"/>
        <v>0</v>
      </c>
      <c r="G38" s="60">
        <f t="shared" si="5"/>
        <v>0</v>
      </c>
      <c r="H38" s="63">
        <f t="shared" si="5"/>
        <v>0</v>
      </c>
      <c r="I38" s="64">
        <f t="shared" si="5"/>
        <v>0</v>
      </c>
      <c r="J38" s="60">
        <f t="shared" si="5"/>
        <v>0</v>
      </c>
      <c r="K38" s="63">
        <f t="shared" si="5"/>
        <v>4.5</v>
      </c>
      <c r="L38" s="64">
        <f t="shared" si="5"/>
        <v>4.5</v>
      </c>
      <c r="M38" s="60">
        <f t="shared" si="5"/>
        <v>10</v>
      </c>
      <c r="N38" s="63">
        <f t="shared" si="5"/>
        <v>6.5</v>
      </c>
      <c r="O38" s="64">
        <f t="shared" si="5"/>
        <v>3</v>
      </c>
      <c r="P38" s="60">
        <f t="shared" si="5"/>
        <v>2</v>
      </c>
      <c r="Q38" s="63">
        <f t="shared" si="5"/>
        <v>1</v>
      </c>
      <c r="R38" s="64">
        <f t="shared" si="5"/>
        <v>1</v>
      </c>
      <c r="S38" s="60">
        <f t="shared" si="5"/>
        <v>31</v>
      </c>
      <c r="T38" s="63">
        <f t="shared" si="5"/>
        <v>30</v>
      </c>
      <c r="U38" s="64">
        <f t="shared" si="5"/>
        <v>0</v>
      </c>
      <c r="V38" s="60">
        <f>V29*$C$34/10</f>
        <v>0</v>
      </c>
      <c r="W38" s="63">
        <f t="shared" ref="W38:AJ38" si="6">W29*$C$34/10</f>
        <v>4.5</v>
      </c>
      <c r="X38" s="334">
        <f t="shared" si="6"/>
        <v>4.5</v>
      </c>
      <c r="Y38" s="60">
        <f t="shared" si="6"/>
        <v>10</v>
      </c>
      <c r="Z38" s="63">
        <f t="shared" si="6"/>
        <v>6.5</v>
      </c>
      <c r="AA38" s="334">
        <f t="shared" si="6"/>
        <v>3</v>
      </c>
      <c r="AB38" s="60">
        <f t="shared" si="6"/>
        <v>2</v>
      </c>
      <c r="AC38" s="63">
        <f t="shared" si="6"/>
        <v>1</v>
      </c>
      <c r="AD38" s="334">
        <f t="shared" si="6"/>
        <v>1</v>
      </c>
      <c r="AE38" s="60">
        <f t="shared" si="6"/>
        <v>11</v>
      </c>
      <c r="AF38" s="63">
        <f t="shared" si="6"/>
        <v>11</v>
      </c>
      <c r="AG38" s="334">
        <f t="shared" si="6"/>
        <v>20</v>
      </c>
      <c r="AH38" s="60">
        <f t="shared" si="6"/>
        <v>10</v>
      </c>
      <c r="AI38" s="63">
        <f t="shared" si="6"/>
        <v>10</v>
      </c>
      <c r="AJ38" s="334">
        <f t="shared" si="6"/>
        <v>0</v>
      </c>
      <c r="AK38" s="60">
        <f t="shared" si="5"/>
        <v>0</v>
      </c>
      <c r="AL38" s="63">
        <f t="shared" si="5"/>
        <v>0</v>
      </c>
      <c r="AM38" s="64">
        <f t="shared" si="5"/>
        <v>0</v>
      </c>
      <c r="AN38" s="62">
        <f t="shared" ref="AN38:AN39" si="7">SUM(D38:AM38)</f>
        <v>188</v>
      </c>
    </row>
    <row r="39" spans="2:40" ht="20.100000000000001" customHeight="1" thickBot="1">
      <c r="B39" s="623" t="s">
        <v>99</v>
      </c>
      <c r="C39" s="624"/>
      <c r="D39" s="243"/>
      <c r="E39" s="239">
        <f>SUM(D38:F38)</f>
        <v>0</v>
      </c>
      <c r="F39" s="239"/>
      <c r="G39" s="243"/>
      <c r="H39" s="239">
        <f>SUM(G38:I38)</f>
        <v>0</v>
      </c>
      <c r="I39" s="239"/>
      <c r="J39" s="243"/>
      <c r="K39" s="239">
        <f>SUM(J38:L38)</f>
        <v>9</v>
      </c>
      <c r="L39" s="239"/>
      <c r="M39" s="243"/>
      <c r="N39" s="239">
        <f>SUM(M38:O38)</f>
        <v>19.5</v>
      </c>
      <c r="O39" s="239"/>
      <c r="P39" s="243"/>
      <c r="Q39" s="239">
        <f>SUM(P38:R38)</f>
        <v>4</v>
      </c>
      <c r="R39" s="239"/>
      <c r="S39" s="243"/>
      <c r="T39" s="239">
        <f>SUM(S38:U38)</f>
        <v>61</v>
      </c>
      <c r="U39" s="239"/>
      <c r="V39" s="243"/>
      <c r="W39" s="239">
        <f>SUM(V38:X38)</f>
        <v>9</v>
      </c>
      <c r="X39" s="239"/>
      <c r="Y39" s="243"/>
      <c r="Z39" s="239">
        <f>SUM(Y38:AA38)</f>
        <v>19.5</v>
      </c>
      <c r="AA39" s="239"/>
      <c r="AB39" s="243"/>
      <c r="AC39" s="239">
        <f>SUM(AB38:AD38)</f>
        <v>4</v>
      </c>
      <c r="AD39" s="239"/>
      <c r="AE39" s="243"/>
      <c r="AF39" s="239">
        <f>SUM(AE38:AG38)</f>
        <v>42</v>
      </c>
      <c r="AG39" s="239"/>
      <c r="AH39" s="243"/>
      <c r="AI39" s="239">
        <f>SUM(AH38:AJ38)</f>
        <v>20</v>
      </c>
      <c r="AJ39" s="239"/>
      <c r="AK39" s="243"/>
      <c r="AL39" s="239">
        <f>SUM(AK38:AM38)</f>
        <v>0</v>
      </c>
      <c r="AM39" s="239"/>
      <c r="AN39" s="244">
        <f t="shared" si="7"/>
        <v>188</v>
      </c>
    </row>
    <row r="40" spans="2:40" ht="20.100000000000001" customHeight="1" thickTop="1">
      <c r="B40" s="640" t="s">
        <v>200</v>
      </c>
      <c r="C40" s="245" t="s">
        <v>331</v>
      </c>
      <c r="D40" s="246"/>
      <c r="E40" s="247"/>
      <c r="F40" s="247"/>
      <c r="G40" s="246"/>
      <c r="H40" s="247"/>
      <c r="I40" s="247"/>
      <c r="J40" s="246"/>
      <c r="K40" s="247">
        <v>4.5</v>
      </c>
      <c r="L40" s="247">
        <v>4.5</v>
      </c>
      <c r="M40" s="246">
        <v>5</v>
      </c>
      <c r="N40" s="247">
        <v>4</v>
      </c>
      <c r="O40" s="408">
        <v>3</v>
      </c>
      <c r="P40" s="409">
        <v>2</v>
      </c>
      <c r="Q40" s="247">
        <v>1</v>
      </c>
      <c r="R40" s="247">
        <v>1</v>
      </c>
      <c r="S40" s="246">
        <v>16</v>
      </c>
      <c r="T40" s="247">
        <v>15</v>
      </c>
      <c r="U40" s="408"/>
      <c r="V40" s="409"/>
      <c r="W40" s="247">
        <v>4.5</v>
      </c>
      <c r="X40" s="247">
        <v>4.5</v>
      </c>
      <c r="Y40" s="246">
        <v>5</v>
      </c>
      <c r="Z40" s="247">
        <v>6.5</v>
      </c>
      <c r="AA40" s="247">
        <v>3</v>
      </c>
      <c r="AB40" s="246">
        <v>2</v>
      </c>
      <c r="AC40" s="247">
        <v>1</v>
      </c>
      <c r="AD40" s="247">
        <v>1</v>
      </c>
      <c r="AE40" s="246">
        <v>6</v>
      </c>
      <c r="AF40" s="247">
        <v>6</v>
      </c>
      <c r="AG40" s="247">
        <v>10</v>
      </c>
      <c r="AH40" s="246">
        <v>5</v>
      </c>
      <c r="AI40" s="247">
        <v>5</v>
      </c>
      <c r="AJ40" s="247"/>
      <c r="AK40" s="246"/>
      <c r="AL40" s="247"/>
      <c r="AM40" s="247"/>
      <c r="AN40" s="345">
        <f>SUM(D40:AM40)</f>
        <v>115.5</v>
      </c>
    </row>
    <row r="41" spans="2:40" ht="20.100000000000001" customHeight="1">
      <c r="B41" s="641"/>
      <c r="C41" s="241" t="s">
        <v>332</v>
      </c>
      <c r="D41" s="248"/>
      <c r="E41" s="61"/>
      <c r="F41" s="61"/>
      <c r="G41" s="248"/>
      <c r="H41" s="61"/>
      <c r="I41" s="61"/>
      <c r="J41" s="248"/>
      <c r="K41" s="61"/>
      <c r="L41" s="61"/>
      <c r="M41" s="248">
        <v>5</v>
      </c>
      <c r="N41" s="61">
        <v>2.5</v>
      </c>
      <c r="O41" s="410"/>
      <c r="P41" s="334"/>
      <c r="Q41" s="61"/>
      <c r="R41" s="61"/>
      <c r="S41" s="248">
        <v>15</v>
      </c>
      <c r="T41" s="61">
        <v>15</v>
      </c>
      <c r="U41" s="410"/>
      <c r="V41" s="334"/>
      <c r="W41" s="61"/>
      <c r="X41" s="61"/>
      <c r="Y41" s="411">
        <v>5</v>
      </c>
      <c r="Z41" s="412"/>
      <c r="AA41" s="413"/>
      <c r="AB41" s="334"/>
      <c r="AC41" s="61"/>
      <c r="AD41" s="61"/>
      <c r="AE41" s="411">
        <v>5</v>
      </c>
      <c r="AF41" s="412">
        <v>5</v>
      </c>
      <c r="AG41" s="413">
        <v>10</v>
      </c>
      <c r="AH41" s="334">
        <v>5</v>
      </c>
      <c r="AI41" s="61">
        <v>5</v>
      </c>
      <c r="AJ41" s="61"/>
      <c r="AK41" s="248"/>
      <c r="AL41" s="61"/>
      <c r="AM41" s="61"/>
      <c r="AN41" s="62">
        <f>SUM(D41:AM41)</f>
        <v>72.5</v>
      </c>
    </row>
    <row r="42" spans="2:40" ht="20.100000000000001" customHeight="1">
      <c r="B42" s="641"/>
      <c r="C42" s="241"/>
      <c r="D42" s="248"/>
      <c r="E42" s="61"/>
      <c r="F42" s="61"/>
      <c r="G42" s="248"/>
      <c r="H42" s="61"/>
      <c r="I42" s="61"/>
      <c r="J42" s="248"/>
      <c r="K42" s="61"/>
      <c r="L42" s="61"/>
      <c r="M42" s="248"/>
      <c r="N42" s="61"/>
      <c r="O42" s="410"/>
      <c r="P42" s="334"/>
      <c r="Q42" s="61"/>
      <c r="R42" s="61"/>
      <c r="S42" s="248"/>
      <c r="T42" s="61"/>
      <c r="U42" s="61"/>
      <c r="V42" s="248"/>
      <c r="W42" s="61"/>
      <c r="X42" s="61"/>
      <c r="Y42" s="248"/>
      <c r="Z42" s="61"/>
      <c r="AA42" s="61"/>
      <c r="AB42" s="248"/>
      <c r="AC42" s="61"/>
      <c r="AD42" s="61"/>
      <c r="AE42" s="248"/>
      <c r="AF42" s="61"/>
      <c r="AG42" s="61"/>
      <c r="AH42" s="248"/>
      <c r="AI42" s="61"/>
      <c r="AJ42" s="61"/>
      <c r="AK42" s="248"/>
      <c r="AL42" s="61"/>
      <c r="AM42" s="61"/>
      <c r="AN42" s="62"/>
    </row>
    <row r="43" spans="2:40" ht="20.100000000000001" customHeight="1">
      <c r="B43" s="641"/>
      <c r="C43" s="242"/>
      <c r="D43" s="248"/>
      <c r="E43" s="61"/>
      <c r="F43" s="61"/>
      <c r="G43" s="248"/>
      <c r="H43" s="61"/>
      <c r="I43" s="61"/>
      <c r="J43" s="248"/>
      <c r="K43" s="61"/>
      <c r="L43" s="61"/>
      <c r="M43" s="248"/>
      <c r="N43" s="61"/>
      <c r="O43" s="61"/>
      <c r="P43" s="248"/>
      <c r="Q43" s="61"/>
      <c r="R43" s="61"/>
      <c r="S43" s="248"/>
      <c r="T43" s="61"/>
      <c r="U43" s="61"/>
      <c r="V43" s="248"/>
      <c r="W43" s="61"/>
      <c r="X43" s="61"/>
      <c r="Y43" s="248"/>
      <c r="Z43" s="61"/>
      <c r="AA43" s="61"/>
      <c r="AB43" s="248"/>
      <c r="AC43" s="61"/>
      <c r="AD43" s="61"/>
      <c r="AE43" s="248"/>
      <c r="AF43" s="61"/>
      <c r="AG43" s="61"/>
      <c r="AH43" s="248"/>
      <c r="AI43" s="61"/>
      <c r="AJ43" s="61"/>
      <c r="AK43" s="248"/>
      <c r="AL43" s="61"/>
      <c r="AM43" s="61"/>
      <c r="AN43" s="62"/>
    </row>
    <row r="44" spans="2:40" ht="20.100000000000001" customHeight="1" thickBot="1">
      <c r="B44" s="642"/>
      <c r="C44" s="253" t="s">
        <v>203</v>
      </c>
      <c r="D44" s="249">
        <f>SUM(D40:D43)</f>
        <v>0</v>
      </c>
      <c r="E44" s="250">
        <f t="shared" ref="E44:AM44" si="8">SUM(E40:E43)</f>
        <v>0</v>
      </c>
      <c r="F44" s="250">
        <f t="shared" si="8"/>
        <v>0</v>
      </c>
      <c r="G44" s="249">
        <f t="shared" si="8"/>
        <v>0</v>
      </c>
      <c r="H44" s="250">
        <f t="shared" si="8"/>
        <v>0</v>
      </c>
      <c r="I44" s="250">
        <f t="shared" si="8"/>
        <v>0</v>
      </c>
      <c r="J44" s="249">
        <f t="shared" si="8"/>
        <v>0</v>
      </c>
      <c r="K44" s="250">
        <f t="shared" si="8"/>
        <v>4.5</v>
      </c>
      <c r="L44" s="250">
        <f t="shared" si="8"/>
        <v>4.5</v>
      </c>
      <c r="M44" s="249">
        <f t="shared" si="8"/>
        <v>10</v>
      </c>
      <c r="N44" s="250">
        <f t="shared" si="8"/>
        <v>6.5</v>
      </c>
      <c r="O44" s="250">
        <f t="shared" si="8"/>
        <v>3</v>
      </c>
      <c r="P44" s="249">
        <f t="shared" si="8"/>
        <v>2</v>
      </c>
      <c r="Q44" s="250">
        <f t="shared" si="8"/>
        <v>1</v>
      </c>
      <c r="R44" s="250">
        <f t="shared" si="8"/>
        <v>1</v>
      </c>
      <c r="S44" s="249">
        <f t="shared" si="8"/>
        <v>31</v>
      </c>
      <c r="T44" s="250">
        <f t="shared" si="8"/>
        <v>30</v>
      </c>
      <c r="U44" s="250">
        <f t="shared" si="8"/>
        <v>0</v>
      </c>
      <c r="V44" s="249">
        <f t="shared" si="8"/>
        <v>0</v>
      </c>
      <c r="W44" s="250">
        <f t="shared" si="8"/>
        <v>4.5</v>
      </c>
      <c r="X44" s="250">
        <f t="shared" si="8"/>
        <v>4.5</v>
      </c>
      <c r="Y44" s="249">
        <f t="shared" si="8"/>
        <v>10</v>
      </c>
      <c r="Z44" s="250">
        <f>SUM(Z40:Z43)</f>
        <v>6.5</v>
      </c>
      <c r="AA44" s="250">
        <f t="shared" si="8"/>
        <v>3</v>
      </c>
      <c r="AB44" s="249">
        <f t="shared" si="8"/>
        <v>2</v>
      </c>
      <c r="AC44" s="250">
        <f t="shared" si="8"/>
        <v>1</v>
      </c>
      <c r="AD44" s="250">
        <f t="shared" si="8"/>
        <v>1</v>
      </c>
      <c r="AE44" s="249">
        <f t="shared" si="8"/>
        <v>11</v>
      </c>
      <c r="AF44" s="250">
        <f t="shared" si="8"/>
        <v>11</v>
      </c>
      <c r="AG44" s="250">
        <f>SUM(AG40:AG43)</f>
        <v>20</v>
      </c>
      <c r="AH44" s="249">
        <f t="shared" si="8"/>
        <v>10</v>
      </c>
      <c r="AI44" s="250">
        <f t="shared" si="8"/>
        <v>10</v>
      </c>
      <c r="AJ44" s="250">
        <f t="shared" si="8"/>
        <v>0</v>
      </c>
      <c r="AK44" s="249">
        <f t="shared" si="8"/>
        <v>0</v>
      </c>
      <c r="AL44" s="250">
        <f t="shared" si="8"/>
        <v>0</v>
      </c>
      <c r="AM44" s="250">
        <f t="shared" si="8"/>
        <v>0</v>
      </c>
      <c r="AN44" s="414">
        <f>SUM(D44:AM44)</f>
        <v>188</v>
      </c>
    </row>
    <row r="45" spans="2:40" ht="20.100000000000001" customHeight="1" thickTop="1">
      <c r="B45" s="635" t="s">
        <v>204</v>
      </c>
      <c r="C45" s="636"/>
      <c r="D45" s="346">
        <f>D44-D38</f>
        <v>0</v>
      </c>
      <c r="E45" s="347">
        <f t="shared" ref="E45:AM45" si="9">E44-E38</f>
        <v>0</v>
      </c>
      <c r="F45" s="347">
        <f t="shared" si="9"/>
        <v>0</v>
      </c>
      <c r="G45" s="346">
        <f t="shared" si="9"/>
        <v>0</v>
      </c>
      <c r="H45" s="347">
        <f t="shared" si="9"/>
        <v>0</v>
      </c>
      <c r="I45" s="347">
        <f t="shared" si="9"/>
        <v>0</v>
      </c>
      <c r="J45" s="346">
        <f t="shared" si="9"/>
        <v>0</v>
      </c>
      <c r="K45" s="347">
        <f t="shared" si="9"/>
        <v>0</v>
      </c>
      <c r="L45" s="347">
        <f t="shared" si="9"/>
        <v>0</v>
      </c>
      <c r="M45" s="346">
        <f t="shared" si="9"/>
        <v>0</v>
      </c>
      <c r="N45" s="347">
        <f t="shared" si="9"/>
        <v>0</v>
      </c>
      <c r="O45" s="347">
        <f t="shared" si="9"/>
        <v>0</v>
      </c>
      <c r="P45" s="346">
        <f t="shared" si="9"/>
        <v>0</v>
      </c>
      <c r="Q45" s="347">
        <f t="shared" si="9"/>
        <v>0</v>
      </c>
      <c r="R45" s="347">
        <f t="shared" si="9"/>
        <v>0</v>
      </c>
      <c r="S45" s="346">
        <f t="shared" si="9"/>
        <v>0</v>
      </c>
      <c r="T45" s="347">
        <f t="shared" si="9"/>
        <v>0</v>
      </c>
      <c r="U45" s="347">
        <f t="shared" si="9"/>
        <v>0</v>
      </c>
      <c r="V45" s="346">
        <f t="shared" si="9"/>
        <v>0</v>
      </c>
      <c r="W45" s="347">
        <f>W44-W38</f>
        <v>0</v>
      </c>
      <c r="X45" s="347">
        <f t="shared" si="9"/>
        <v>0</v>
      </c>
      <c r="Y45" s="346">
        <f t="shared" si="9"/>
        <v>0</v>
      </c>
      <c r="Z45" s="347">
        <f t="shared" si="9"/>
        <v>0</v>
      </c>
      <c r="AA45" s="347">
        <f t="shared" si="9"/>
        <v>0</v>
      </c>
      <c r="AB45" s="346">
        <f t="shared" si="9"/>
        <v>0</v>
      </c>
      <c r="AC45" s="347">
        <f t="shared" si="9"/>
        <v>0</v>
      </c>
      <c r="AD45" s="347">
        <f t="shared" si="9"/>
        <v>0</v>
      </c>
      <c r="AE45" s="346">
        <f t="shared" si="9"/>
        <v>0</v>
      </c>
      <c r="AF45" s="347">
        <f t="shared" si="9"/>
        <v>0</v>
      </c>
      <c r="AG45" s="347">
        <f t="shared" si="9"/>
        <v>0</v>
      </c>
      <c r="AH45" s="346">
        <f t="shared" si="9"/>
        <v>0</v>
      </c>
      <c r="AI45" s="348">
        <f t="shared" si="9"/>
        <v>0</v>
      </c>
      <c r="AJ45" s="347">
        <f t="shared" si="9"/>
        <v>0</v>
      </c>
      <c r="AK45" s="346">
        <f t="shared" si="9"/>
        <v>0</v>
      </c>
      <c r="AL45" s="347">
        <f t="shared" si="9"/>
        <v>0</v>
      </c>
      <c r="AM45" s="347">
        <f t="shared" si="9"/>
        <v>0</v>
      </c>
      <c r="AN45" s="349">
        <f t="shared" ref="AN45" si="10">SUM(D45:AM45)</f>
        <v>0</v>
      </c>
    </row>
    <row r="46" spans="2:40" ht="20.100000000000001" customHeight="1" thickBot="1">
      <c r="B46" s="637" t="s">
        <v>201</v>
      </c>
      <c r="C46" s="638"/>
      <c r="D46" s="251">
        <f>IF(D45&lt;0,ABS(D45),0)</f>
        <v>0</v>
      </c>
      <c r="E46" s="344">
        <f t="shared" ref="E46:P46" si="11">IF(E45&lt;0,ABS(E45),0)</f>
        <v>0</v>
      </c>
      <c r="F46" s="343">
        <f t="shared" si="11"/>
        <v>0</v>
      </c>
      <c r="G46" s="251">
        <f t="shared" si="11"/>
        <v>0</v>
      </c>
      <c r="H46" s="344">
        <f t="shared" si="11"/>
        <v>0</v>
      </c>
      <c r="I46" s="343">
        <f t="shared" si="11"/>
        <v>0</v>
      </c>
      <c r="J46" s="251">
        <f t="shared" si="11"/>
        <v>0</v>
      </c>
      <c r="K46" s="344">
        <f t="shared" si="11"/>
        <v>0</v>
      </c>
      <c r="L46" s="343">
        <f>IF(L45&lt;0,ABS(L45),0)</f>
        <v>0</v>
      </c>
      <c r="M46" s="251">
        <f t="shared" si="11"/>
        <v>0</v>
      </c>
      <c r="N46" s="344">
        <f t="shared" si="11"/>
        <v>0</v>
      </c>
      <c r="O46" s="343">
        <f t="shared" si="11"/>
        <v>0</v>
      </c>
      <c r="P46" s="251">
        <f t="shared" si="11"/>
        <v>0</v>
      </c>
      <c r="Q46" s="344">
        <f t="shared" ref="Q46" si="12">IF(Q45&lt;0,ABS(Q45),0)</f>
        <v>0</v>
      </c>
      <c r="R46" s="343">
        <f t="shared" ref="R46" si="13">IF(R45&lt;0,ABS(R45),0)</f>
        <v>0</v>
      </c>
      <c r="S46" s="251">
        <f t="shared" ref="S46" si="14">IF(S45&lt;0,ABS(S45),0)</f>
        <v>0</v>
      </c>
      <c r="T46" s="344">
        <f t="shared" ref="T46" si="15">IF(T45&lt;0,ABS(T45),0)</f>
        <v>0</v>
      </c>
      <c r="U46" s="343">
        <f t="shared" ref="U46" si="16">IF(U45&lt;0,ABS(U45),0)</f>
        <v>0</v>
      </c>
      <c r="V46" s="251">
        <f t="shared" ref="V46" si="17">IF(V45&lt;0,ABS(V45),0)</f>
        <v>0</v>
      </c>
      <c r="W46" s="344">
        <f t="shared" ref="W46" si="18">IF(W45&lt;0,ABS(W45),0)</f>
        <v>0</v>
      </c>
      <c r="X46" s="343">
        <f t="shared" ref="X46" si="19">IF(X45&lt;0,ABS(X45),0)</f>
        <v>0</v>
      </c>
      <c r="Y46" s="251">
        <f t="shared" ref="Y46" si="20">IF(Y45&lt;0,ABS(Y45),0)</f>
        <v>0</v>
      </c>
      <c r="Z46" s="344">
        <f t="shared" ref="Z46" si="21">IF(Z45&lt;0,ABS(Z45),0)</f>
        <v>0</v>
      </c>
      <c r="AA46" s="343">
        <f t="shared" ref="AA46" si="22">IF(AA45&lt;0,ABS(AA45),0)</f>
        <v>0</v>
      </c>
      <c r="AB46" s="251">
        <f t="shared" ref="AB46" si="23">IF(AB45&lt;0,ABS(AB45),0)</f>
        <v>0</v>
      </c>
      <c r="AC46" s="344">
        <f t="shared" ref="AC46" si="24">IF(AC45&lt;0,ABS(AC45),0)</f>
        <v>0</v>
      </c>
      <c r="AD46" s="343">
        <f t="shared" ref="AD46" si="25">IF(AD45&lt;0,ABS(AD45),0)</f>
        <v>0</v>
      </c>
      <c r="AE46" s="251">
        <f t="shared" ref="AE46" si="26">IF(AE45&lt;0,ABS(AE45),0)</f>
        <v>0</v>
      </c>
      <c r="AF46" s="344">
        <f>IF(AF45&lt;0,ABS(AF45),0)</f>
        <v>0</v>
      </c>
      <c r="AG46" s="343">
        <f t="shared" ref="AG46" si="27">IF(AG45&lt;0,ABS(AG45),0)</f>
        <v>0</v>
      </c>
      <c r="AH46" s="251">
        <f t="shared" ref="AH46" si="28">IF(AH45&lt;0,ABS(AH45),0)</f>
        <v>0</v>
      </c>
      <c r="AI46" s="344">
        <f t="shared" ref="AI46" si="29">IF(AI45&lt;0,ABS(AI45),0)</f>
        <v>0</v>
      </c>
      <c r="AJ46" s="343">
        <f t="shared" ref="AJ46" si="30">IF(AJ45&lt;0,ABS(AJ45),0)</f>
        <v>0</v>
      </c>
      <c r="AK46" s="251">
        <f t="shared" ref="AK46" si="31">IF(AK45&lt;0,ABS(AK45),0)</f>
        <v>0</v>
      </c>
      <c r="AL46" s="344">
        <f t="shared" ref="AL46" si="32">IF(AL45&lt;0,ABS(AL45),0)</f>
        <v>0</v>
      </c>
      <c r="AM46" s="343">
        <f t="shared" ref="AM46" si="33">IF(AM45&lt;0,ABS(AM45),0)</f>
        <v>0</v>
      </c>
      <c r="AN46" s="252">
        <f t="shared" ref="AN46" si="34">SUM(D46:AM46)</f>
        <v>0</v>
      </c>
    </row>
  </sheetData>
  <mergeCells count="65">
    <mergeCell ref="B45:C45"/>
    <mergeCell ref="B46:C46"/>
    <mergeCell ref="AK36:AM36"/>
    <mergeCell ref="AN36:AN37"/>
    <mergeCell ref="B38:C38"/>
    <mergeCell ref="B39:C39"/>
    <mergeCell ref="B40:B44"/>
    <mergeCell ref="V36:X36"/>
    <mergeCell ref="Y36:AA36"/>
    <mergeCell ref="AB36:AD36"/>
    <mergeCell ref="AE36:AG36"/>
    <mergeCell ref="AH36:AJ36"/>
    <mergeCell ref="G36:I36"/>
    <mergeCell ref="J36:L36"/>
    <mergeCell ref="M36:O36"/>
    <mergeCell ref="P36:R36"/>
    <mergeCell ref="B13:C13"/>
    <mergeCell ref="B14:C14"/>
    <mergeCell ref="S36:U36"/>
    <mergeCell ref="B16:C16"/>
    <mergeCell ref="B36:C37"/>
    <mergeCell ref="D36:F36"/>
    <mergeCell ref="B15:C15"/>
    <mergeCell ref="B18:C19"/>
    <mergeCell ref="D18:F18"/>
    <mergeCell ref="G18:I18"/>
    <mergeCell ref="J18:L18"/>
    <mergeCell ref="M18:O18"/>
    <mergeCell ref="P18:R18"/>
    <mergeCell ref="B29:C29"/>
    <mergeCell ref="B30:C30"/>
    <mergeCell ref="B24:C24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  <mergeCell ref="AK18:AM18"/>
    <mergeCell ref="AN18:AN19"/>
    <mergeCell ref="B20:C22"/>
    <mergeCell ref="B23:C23"/>
    <mergeCell ref="S18:U18"/>
    <mergeCell ref="V18:X18"/>
    <mergeCell ref="Y18:AA18"/>
    <mergeCell ref="AB18:AD18"/>
    <mergeCell ref="AE18:AG18"/>
    <mergeCell ref="B25:C25"/>
    <mergeCell ref="B26:C26"/>
    <mergeCell ref="B27:C27"/>
    <mergeCell ref="B28:C28"/>
    <mergeCell ref="AH18:AJ18"/>
  </mergeCells>
  <phoneticPr fontId="4"/>
  <pageMargins left="0.78740157480314965" right="0.78740157480314965" top="0.78740157480314965" bottom="0.78740157480314965" header="0.39370078740157483" footer="0.39370078740157483"/>
  <pageSetup paperSize="9" scale="4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75" workbookViewId="0"/>
  </sheetViews>
  <sheetFormatPr defaultColWidth="9" defaultRowHeight="13.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/>
    <row r="2" spans="2:16" ht="24.95" customHeight="1" thickBot="1">
      <c r="B2" s="5" t="s">
        <v>218</v>
      </c>
      <c r="C2" s="5"/>
      <c r="D2" s="5"/>
      <c r="E2" s="31"/>
      <c r="F2" s="648"/>
      <c r="G2" s="649"/>
      <c r="H2" s="258" t="s">
        <v>195</v>
      </c>
      <c r="I2" s="238" t="s">
        <v>367</v>
      </c>
      <c r="J2" s="238"/>
      <c r="K2" s="258" t="s">
        <v>196</v>
      </c>
      <c r="L2" s="238" t="s">
        <v>252</v>
      </c>
      <c r="M2" s="32"/>
      <c r="P2" s="255"/>
    </row>
    <row r="3" spans="2:16" ht="20.100000000000001" customHeight="1">
      <c r="B3" s="650" t="s">
        <v>71</v>
      </c>
      <c r="C3" s="643" t="s">
        <v>34</v>
      </c>
      <c r="D3" s="643" t="s">
        <v>100</v>
      </c>
      <c r="E3" s="652" t="s">
        <v>35</v>
      </c>
      <c r="F3" s="653"/>
      <c r="G3" s="256" t="s">
        <v>36</v>
      </c>
      <c r="H3" s="256" t="s">
        <v>102</v>
      </c>
      <c r="I3" s="256" t="s">
        <v>101</v>
      </c>
      <c r="J3" s="643" t="s">
        <v>77</v>
      </c>
      <c r="K3" s="33" t="s">
        <v>219</v>
      </c>
      <c r="L3" s="256" t="s">
        <v>37</v>
      </c>
      <c r="M3" s="256" t="s">
        <v>103</v>
      </c>
      <c r="N3" s="256" t="s">
        <v>38</v>
      </c>
      <c r="O3" s="256" t="s">
        <v>39</v>
      </c>
      <c r="P3" s="305" t="s">
        <v>40</v>
      </c>
    </row>
    <row r="4" spans="2:16" ht="20.100000000000001" customHeight="1">
      <c r="B4" s="651"/>
      <c r="C4" s="644"/>
      <c r="D4" s="644"/>
      <c r="E4" s="7" t="s">
        <v>78</v>
      </c>
      <c r="F4" s="7" t="s">
        <v>7</v>
      </c>
      <c r="G4" s="8" t="s">
        <v>220</v>
      </c>
      <c r="H4" s="8" t="s">
        <v>221</v>
      </c>
      <c r="I4" s="8" t="s">
        <v>105</v>
      </c>
      <c r="J4" s="644"/>
      <c r="K4" s="9" t="s">
        <v>222</v>
      </c>
      <c r="L4" s="8" t="s">
        <v>394</v>
      </c>
      <c r="M4" s="8" t="s">
        <v>223</v>
      </c>
      <c r="N4" s="8" t="s">
        <v>395</v>
      </c>
      <c r="O4" s="8" t="s">
        <v>224</v>
      </c>
      <c r="P4" s="306" t="s">
        <v>396</v>
      </c>
    </row>
    <row r="5" spans="2:16" ht="20.100000000000001" customHeight="1">
      <c r="B5" s="645" t="s">
        <v>151</v>
      </c>
      <c r="C5" s="259" t="s">
        <v>209</v>
      </c>
      <c r="D5" s="259" t="s">
        <v>371</v>
      </c>
      <c r="E5" s="259">
        <v>50</v>
      </c>
      <c r="F5" s="449" t="s">
        <v>210</v>
      </c>
      <c r="G5" s="259">
        <v>2160000</v>
      </c>
      <c r="H5" s="260">
        <v>0</v>
      </c>
      <c r="I5" s="259">
        <f>G5*(1-H5)</f>
        <v>2160000</v>
      </c>
      <c r="J5" s="415" t="s">
        <v>372</v>
      </c>
      <c r="K5" s="261">
        <f>10/20</f>
        <v>0.5</v>
      </c>
      <c r="L5" s="28">
        <f>I5*K5</f>
        <v>1080000</v>
      </c>
      <c r="M5" s="37">
        <v>0</v>
      </c>
      <c r="N5" s="28">
        <f>L5*M5/100</f>
        <v>0</v>
      </c>
      <c r="O5" s="28">
        <v>24</v>
      </c>
      <c r="P5" s="114">
        <f>IF(O5="","",(L5-N5)/O5)</f>
        <v>45000</v>
      </c>
    </row>
    <row r="6" spans="2:16" ht="20.100000000000001" customHeight="1">
      <c r="B6" s="646"/>
      <c r="C6" s="259" t="s">
        <v>211</v>
      </c>
      <c r="D6" s="259" t="s">
        <v>212</v>
      </c>
      <c r="E6" s="259">
        <v>100</v>
      </c>
      <c r="F6" s="449" t="s">
        <v>210</v>
      </c>
      <c r="G6" s="259">
        <f>43200*E6</f>
        <v>4320000</v>
      </c>
      <c r="H6" s="260">
        <v>0</v>
      </c>
      <c r="I6" s="259">
        <f t="shared" ref="I6:I7" si="0">G6*(1-H6)</f>
        <v>4320000</v>
      </c>
      <c r="J6" s="415" t="s">
        <v>368</v>
      </c>
      <c r="K6" s="261">
        <f>10/3010</f>
        <v>3.3222591362126247E-3</v>
      </c>
      <c r="L6" s="28">
        <f t="shared" ref="L6" si="1">I6*K6</f>
        <v>14352.159468438538</v>
      </c>
      <c r="M6" s="37">
        <v>0</v>
      </c>
      <c r="N6" s="28">
        <f t="shared" ref="N6" si="2">L6*M6/100</f>
        <v>0</v>
      </c>
      <c r="O6" s="28">
        <v>24</v>
      </c>
      <c r="P6" s="114">
        <f t="shared" ref="P6:P11" si="3">IF(O6="","",(L6-N6)/O6)</f>
        <v>598.00664451827242</v>
      </c>
    </row>
    <row r="7" spans="2:16" ht="20.100000000000001" customHeight="1">
      <c r="B7" s="646"/>
      <c r="C7" s="416" t="s">
        <v>379</v>
      </c>
      <c r="D7" s="416" t="s">
        <v>380</v>
      </c>
      <c r="E7" s="416">
        <v>200</v>
      </c>
      <c r="F7" s="416" t="s">
        <v>381</v>
      </c>
      <c r="G7" s="416">
        <f>6000000*E7/1000</f>
        <v>1200000</v>
      </c>
      <c r="H7" s="417">
        <v>0.5</v>
      </c>
      <c r="I7" s="416">
        <f t="shared" si="0"/>
        <v>600000</v>
      </c>
      <c r="J7" s="262" t="s">
        <v>382</v>
      </c>
      <c r="K7" s="261">
        <f>10/3000</f>
        <v>3.3333333333333335E-3</v>
      </c>
      <c r="L7" s="283">
        <f>I7*K7</f>
        <v>2000.0000000000002</v>
      </c>
      <c r="M7" s="418">
        <v>0</v>
      </c>
      <c r="N7" s="283">
        <f>L7*M7/100</f>
        <v>0</v>
      </c>
      <c r="O7" s="283">
        <v>10</v>
      </c>
      <c r="P7" s="114">
        <f t="shared" si="3"/>
        <v>200.00000000000003</v>
      </c>
    </row>
    <row r="8" spans="2:16" ht="20.100000000000001" customHeight="1">
      <c r="B8" s="646"/>
      <c r="C8" s="259"/>
      <c r="D8" s="259"/>
      <c r="E8" s="262"/>
      <c r="F8" s="34"/>
      <c r="G8" s="259"/>
      <c r="H8" s="260"/>
      <c r="I8" s="259"/>
      <c r="J8" s="259"/>
      <c r="K8" s="261"/>
      <c r="L8" s="28"/>
      <c r="M8" s="37"/>
      <c r="N8" s="28"/>
      <c r="O8" s="28"/>
      <c r="P8" s="114" t="str">
        <f t="shared" si="3"/>
        <v/>
      </c>
    </row>
    <row r="9" spans="2:16" ht="20.100000000000001" customHeight="1">
      <c r="B9" s="646"/>
      <c r="C9" s="259"/>
      <c r="D9" s="259"/>
      <c r="E9" s="262"/>
      <c r="F9" s="34"/>
      <c r="G9" s="259"/>
      <c r="H9" s="260"/>
      <c r="I9" s="259"/>
      <c r="J9" s="259"/>
      <c r="K9" s="261"/>
      <c r="L9" s="28"/>
      <c r="M9" s="37"/>
      <c r="N9" s="28"/>
      <c r="O9" s="28"/>
      <c r="P9" s="114" t="str">
        <f t="shared" ref="P9:P10" si="4">IF(O9="","",(L9-N9)/O9)</f>
        <v/>
      </c>
    </row>
    <row r="10" spans="2:16" ht="20.100000000000001" customHeight="1">
      <c r="B10" s="646"/>
      <c r="C10" s="259"/>
      <c r="D10" s="259"/>
      <c r="E10" s="262"/>
      <c r="F10" s="34"/>
      <c r="G10" s="259"/>
      <c r="H10" s="260"/>
      <c r="I10" s="259"/>
      <c r="J10" s="259"/>
      <c r="K10" s="261"/>
      <c r="L10" s="28"/>
      <c r="M10" s="37"/>
      <c r="N10" s="28"/>
      <c r="O10" s="28"/>
      <c r="P10" s="114" t="str">
        <f t="shared" si="4"/>
        <v/>
      </c>
    </row>
    <row r="11" spans="2:16" ht="20.100000000000001" customHeight="1">
      <c r="B11" s="646"/>
      <c r="C11" s="28"/>
      <c r="D11" s="28"/>
      <c r="E11" s="28"/>
      <c r="F11" s="35"/>
      <c r="G11" s="28"/>
      <c r="H11" s="37"/>
      <c r="I11" s="28"/>
      <c r="J11" s="28"/>
      <c r="K11" s="36"/>
      <c r="L11" s="28"/>
      <c r="M11" s="37"/>
      <c r="N11" s="28"/>
      <c r="O11" s="28"/>
      <c r="P11" s="114" t="str">
        <f t="shared" si="3"/>
        <v/>
      </c>
    </row>
    <row r="12" spans="2:16" ht="20.100000000000001" customHeight="1">
      <c r="B12" s="647"/>
      <c r="C12" s="38" t="s">
        <v>41</v>
      </c>
      <c r="D12" s="39"/>
      <c r="E12" s="39"/>
      <c r="F12" s="40"/>
      <c r="G12" s="39">
        <f>SUM(G5:G11)</f>
        <v>7680000</v>
      </c>
      <c r="H12" s="39"/>
      <c r="I12" s="39">
        <f>SUM(I5:I11)</f>
        <v>7080000</v>
      </c>
      <c r="J12" s="39"/>
      <c r="K12" s="41"/>
      <c r="L12" s="39">
        <f>SUM(L5:L11)</f>
        <v>1096352.1594684385</v>
      </c>
      <c r="M12" s="39"/>
      <c r="N12" s="39"/>
      <c r="O12" s="39"/>
      <c r="P12" s="307">
        <f>SUM(P5:P11)</f>
        <v>45798.006644518275</v>
      </c>
    </row>
    <row r="13" spans="2:16" ht="20.100000000000001" customHeight="1">
      <c r="B13" s="645" t="s">
        <v>152</v>
      </c>
      <c r="C13" s="259" t="s">
        <v>43</v>
      </c>
      <c r="D13" s="259" t="s">
        <v>213</v>
      </c>
      <c r="E13" s="259">
        <v>1</v>
      </c>
      <c r="F13" s="449" t="s">
        <v>44</v>
      </c>
      <c r="G13" s="259">
        <v>2500000</v>
      </c>
      <c r="H13" s="260">
        <v>0</v>
      </c>
      <c r="I13" s="259">
        <f>G13*(1-H13)</f>
        <v>2500000</v>
      </c>
      <c r="J13" s="415" t="s">
        <v>369</v>
      </c>
      <c r="K13" s="261">
        <f>10/3010</f>
        <v>3.3222591362126247E-3</v>
      </c>
      <c r="L13" s="259">
        <f>I13*K13</f>
        <v>8305.6478405315611</v>
      </c>
      <c r="M13" s="42">
        <v>0</v>
      </c>
      <c r="N13" s="28">
        <f>L13*M13</f>
        <v>0</v>
      </c>
      <c r="O13" s="43">
        <v>7</v>
      </c>
      <c r="P13" s="114">
        <f>IF(O13="","",(L13-N13)/O13)</f>
        <v>1186.5211200759372</v>
      </c>
    </row>
    <row r="14" spans="2:16" ht="20.100000000000001" customHeight="1">
      <c r="B14" s="646"/>
      <c r="C14" s="259" t="s">
        <v>214</v>
      </c>
      <c r="D14" s="259" t="s">
        <v>215</v>
      </c>
      <c r="E14" s="259">
        <v>1</v>
      </c>
      <c r="F14" s="449" t="s">
        <v>44</v>
      </c>
      <c r="G14" s="259">
        <v>300000</v>
      </c>
      <c r="H14" s="260">
        <v>0</v>
      </c>
      <c r="I14" s="259">
        <f>G14*(1-H14)</f>
        <v>300000</v>
      </c>
      <c r="J14" s="415" t="s">
        <v>369</v>
      </c>
      <c r="K14" s="261">
        <f>10/3010</f>
        <v>3.3222591362126247E-3</v>
      </c>
      <c r="L14" s="259">
        <f t="shared" ref="L14:L15" si="5">I14*K14</f>
        <v>996.67774086378745</v>
      </c>
      <c r="M14" s="42">
        <v>0</v>
      </c>
      <c r="N14" s="28">
        <f t="shared" ref="N14:N18" si="6">L14*M14</f>
        <v>0</v>
      </c>
      <c r="O14" s="43">
        <v>7</v>
      </c>
      <c r="P14" s="114">
        <f t="shared" ref="P14:P29" si="7">IF(O14="","",(L14-N14)/O14)</f>
        <v>142.38253440911248</v>
      </c>
    </row>
    <row r="15" spans="2:16" ht="20.100000000000001" customHeight="1">
      <c r="B15" s="646"/>
      <c r="C15" s="259" t="s">
        <v>216</v>
      </c>
      <c r="D15" s="259" t="s">
        <v>217</v>
      </c>
      <c r="E15" s="259">
        <v>1</v>
      </c>
      <c r="F15" s="449" t="s">
        <v>44</v>
      </c>
      <c r="G15" s="259">
        <v>920000</v>
      </c>
      <c r="H15" s="260">
        <v>0</v>
      </c>
      <c r="I15" s="259">
        <f t="shared" ref="I15:I17" si="8">G15*(1-H15)</f>
        <v>920000</v>
      </c>
      <c r="J15" s="415" t="s">
        <v>369</v>
      </c>
      <c r="K15" s="261">
        <f>10/3010</f>
        <v>3.3222591362126247E-3</v>
      </c>
      <c r="L15" s="259">
        <f t="shared" si="5"/>
        <v>3056.4784053156145</v>
      </c>
      <c r="M15" s="42">
        <v>0</v>
      </c>
      <c r="N15" s="28">
        <f t="shared" ref="N15" si="9">L15*M15</f>
        <v>0</v>
      </c>
      <c r="O15" s="28">
        <v>4</v>
      </c>
      <c r="P15" s="114">
        <f t="shared" ref="P15" si="10">IF(O15="","",(L15-N15)/O15)</f>
        <v>764.11960132890363</v>
      </c>
    </row>
    <row r="16" spans="2:16" ht="20.100000000000001" customHeight="1">
      <c r="B16" s="646"/>
      <c r="C16" s="259" t="s">
        <v>299</v>
      </c>
      <c r="D16" s="259" t="s">
        <v>304</v>
      </c>
      <c r="E16" s="259">
        <v>1</v>
      </c>
      <c r="F16" s="449" t="s">
        <v>291</v>
      </c>
      <c r="G16" s="259">
        <v>250000</v>
      </c>
      <c r="H16" s="260">
        <v>0</v>
      </c>
      <c r="I16" s="259">
        <f t="shared" si="8"/>
        <v>250000</v>
      </c>
      <c r="J16" s="415" t="s">
        <v>366</v>
      </c>
      <c r="K16" s="261">
        <f>10/20</f>
        <v>0.5</v>
      </c>
      <c r="L16" s="259">
        <f t="shared" ref="L16:L17" si="11">I16*K16</f>
        <v>125000</v>
      </c>
      <c r="M16" s="42">
        <v>0</v>
      </c>
      <c r="N16" s="28">
        <f t="shared" ref="N16:N17" si="12">L16*M16</f>
        <v>0</v>
      </c>
      <c r="O16" s="28">
        <v>7</v>
      </c>
      <c r="P16" s="114">
        <f t="shared" ref="P16:P17" si="13">IF(O16="","",(L16-N16)/O16)</f>
        <v>17857.142857142859</v>
      </c>
    </row>
    <row r="17" spans="2:16" ht="20.100000000000001" customHeight="1">
      <c r="B17" s="646"/>
      <c r="C17" s="259" t="s">
        <v>289</v>
      </c>
      <c r="D17" s="259" t="s">
        <v>290</v>
      </c>
      <c r="E17" s="259">
        <v>1</v>
      </c>
      <c r="F17" s="449" t="s">
        <v>291</v>
      </c>
      <c r="G17" s="259">
        <v>400000</v>
      </c>
      <c r="H17" s="260">
        <v>0</v>
      </c>
      <c r="I17" s="259">
        <f t="shared" si="8"/>
        <v>400000</v>
      </c>
      <c r="J17" s="415" t="s">
        <v>366</v>
      </c>
      <c r="K17" s="261">
        <f>10/20</f>
        <v>0.5</v>
      </c>
      <c r="L17" s="259">
        <f t="shared" si="11"/>
        <v>200000</v>
      </c>
      <c r="M17" s="42">
        <v>0</v>
      </c>
      <c r="N17" s="28">
        <f t="shared" si="12"/>
        <v>0</v>
      </c>
      <c r="O17" s="28">
        <v>7</v>
      </c>
      <c r="P17" s="114">
        <f t="shared" si="13"/>
        <v>28571.428571428572</v>
      </c>
    </row>
    <row r="18" spans="2:16" ht="20.100000000000001" customHeight="1">
      <c r="B18" s="646"/>
      <c r="C18" s="259" t="s">
        <v>383</v>
      </c>
      <c r="D18" s="259"/>
      <c r="E18" s="259">
        <v>1</v>
      </c>
      <c r="F18" s="449" t="s">
        <v>329</v>
      </c>
      <c r="G18" s="259">
        <v>300000</v>
      </c>
      <c r="H18" s="260">
        <v>0</v>
      </c>
      <c r="I18" s="259">
        <f>G18*(1-H18)</f>
        <v>300000</v>
      </c>
      <c r="J18" s="415" t="s">
        <v>366</v>
      </c>
      <c r="K18" s="261">
        <f>10/20</f>
        <v>0.5</v>
      </c>
      <c r="L18" s="259">
        <f>I18*K18</f>
        <v>150000</v>
      </c>
      <c r="M18" s="42">
        <v>0</v>
      </c>
      <c r="N18" s="28">
        <f t="shared" si="6"/>
        <v>0</v>
      </c>
      <c r="O18" s="28">
        <v>7</v>
      </c>
      <c r="P18" s="114">
        <f>IF(O18="","",(L18-N18)/O18)</f>
        <v>21428.571428571428</v>
      </c>
    </row>
    <row r="19" spans="2:16" ht="20.100000000000001" customHeight="1">
      <c r="B19" s="646"/>
      <c r="C19" s="259"/>
      <c r="D19" s="259"/>
      <c r="E19" s="259"/>
      <c r="F19" s="34"/>
      <c r="G19" s="259"/>
      <c r="H19" s="260"/>
      <c r="I19" s="259"/>
      <c r="J19" s="350"/>
      <c r="K19" s="351"/>
      <c r="L19" s="259"/>
      <c r="M19" s="42"/>
      <c r="N19" s="28"/>
      <c r="O19" s="28"/>
      <c r="P19" s="114" t="str">
        <f>IF(O19="","",(L19-N19)/O19)</f>
        <v/>
      </c>
    </row>
    <row r="20" spans="2:16" ht="20.100000000000001" customHeight="1">
      <c r="B20" s="646"/>
      <c r="C20" s="259"/>
      <c r="D20" s="259"/>
      <c r="E20" s="259"/>
      <c r="F20" s="34"/>
      <c r="G20" s="259"/>
      <c r="H20" s="260"/>
      <c r="I20" s="259"/>
      <c r="J20" s="259"/>
      <c r="K20" s="261"/>
      <c r="L20" s="259"/>
      <c r="M20" s="37"/>
      <c r="N20" s="28"/>
      <c r="O20" s="28"/>
      <c r="P20" s="114" t="str">
        <f t="shared" si="7"/>
        <v/>
      </c>
    </row>
    <row r="21" spans="2:16" ht="20.100000000000001" customHeight="1">
      <c r="B21" s="646"/>
      <c r="C21" s="259"/>
      <c r="D21" s="259"/>
      <c r="E21" s="259"/>
      <c r="F21" s="34"/>
      <c r="G21" s="259"/>
      <c r="H21" s="260"/>
      <c r="I21" s="259"/>
      <c r="J21" s="259"/>
      <c r="K21" s="261"/>
      <c r="L21" s="259"/>
      <c r="M21" s="37"/>
      <c r="N21" s="28"/>
      <c r="O21" s="28"/>
      <c r="P21" s="114" t="str">
        <f t="shared" si="7"/>
        <v/>
      </c>
    </row>
    <row r="22" spans="2:16" ht="20.100000000000001" customHeight="1">
      <c r="B22" s="646"/>
      <c r="C22" s="259"/>
      <c r="D22" s="259"/>
      <c r="E22" s="259"/>
      <c r="F22" s="34"/>
      <c r="G22" s="259"/>
      <c r="H22" s="260"/>
      <c r="I22" s="259"/>
      <c r="J22" s="259"/>
      <c r="K22" s="261"/>
      <c r="L22" s="259"/>
      <c r="M22" s="37"/>
      <c r="N22" s="28"/>
      <c r="O22" s="28"/>
      <c r="P22" s="114" t="str">
        <f t="shared" si="7"/>
        <v/>
      </c>
    </row>
    <row r="23" spans="2:16" ht="20.100000000000001" customHeight="1">
      <c r="B23" s="646"/>
      <c r="C23" s="259"/>
      <c r="D23" s="259"/>
      <c r="E23" s="259"/>
      <c r="F23" s="34"/>
      <c r="G23" s="259"/>
      <c r="H23" s="260"/>
      <c r="I23" s="259"/>
      <c r="J23" s="259"/>
      <c r="K23" s="261"/>
      <c r="L23" s="259"/>
      <c r="M23" s="37"/>
      <c r="N23" s="28"/>
      <c r="O23" s="28"/>
      <c r="P23" s="114" t="str">
        <f t="shared" si="7"/>
        <v/>
      </c>
    </row>
    <row r="24" spans="2:16" ht="20.100000000000001" customHeight="1">
      <c r="B24" s="646"/>
      <c r="C24" s="259"/>
      <c r="D24" s="259"/>
      <c r="E24" s="259"/>
      <c r="F24" s="34"/>
      <c r="G24" s="259"/>
      <c r="H24" s="260"/>
      <c r="I24" s="259"/>
      <c r="J24" s="259"/>
      <c r="K24" s="261"/>
      <c r="L24" s="259"/>
      <c r="M24" s="37"/>
      <c r="N24" s="28"/>
      <c r="O24" s="28"/>
      <c r="P24" s="114" t="str">
        <f t="shared" si="7"/>
        <v/>
      </c>
    </row>
    <row r="25" spans="2:16" ht="20.100000000000001" customHeight="1">
      <c r="B25" s="646"/>
      <c r="C25" s="259"/>
      <c r="D25" s="259"/>
      <c r="E25" s="259"/>
      <c r="F25" s="34"/>
      <c r="G25" s="259"/>
      <c r="H25" s="260"/>
      <c r="I25" s="259"/>
      <c r="J25" s="259"/>
      <c r="K25" s="261"/>
      <c r="L25" s="259"/>
      <c r="M25" s="37"/>
      <c r="N25" s="28"/>
      <c r="O25" s="28"/>
      <c r="P25" s="114" t="str">
        <f t="shared" si="7"/>
        <v/>
      </c>
    </row>
    <row r="26" spans="2:16" ht="20.100000000000001" customHeight="1">
      <c r="B26" s="646"/>
      <c r="C26" s="259"/>
      <c r="D26" s="259"/>
      <c r="E26" s="259"/>
      <c r="F26" s="34"/>
      <c r="G26" s="259"/>
      <c r="H26" s="260"/>
      <c r="I26" s="259"/>
      <c r="J26" s="259"/>
      <c r="K26" s="261"/>
      <c r="L26" s="259"/>
      <c r="M26" s="37"/>
      <c r="N26" s="28"/>
      <c r="O26" s="28"/>
      <c r="P26" s="114" t="str">
        <f t="shared" ref="P26:P27" si="14">IF(O26="","",(L26-N26)/O26)</f>
        <v/>
      </c>
    </row>
    <row r="27" spans="2:16" ht="20.100000000000001" customHeight="1">
      <c r="B27" s="646"/>
      <c r="C27" s="259"/>
      <c r="D27" s="259"/>
      <c r="E27" s="259"/>
      <c r="F27" s="34"/>
      <c r="G27" s="259"/>
      <c r="H27" s="260"/>
      <c r="I27" s="259"/>
      <c r="J27" s="259"/>
      <c r="K27" s="261"/>
      <c r="L27" s="259"/>
      <c r="M27" s="37"/>
      <c r="N27" s="28"/>
      <c r="O27" s="28"/>
      <c r="P27" s="114" t="str">
        <f t="shared" si="14"/>
        <v/>
      </c>
    </row>
    <row r="28" spans="2:16" ht="20.100000000000001" customHeight="1">
      <c r="B28" s="646"/>
      <c r="C28" s="259"/>
      <c r="D28" s="259"/>
      <c r="E28" s="259"/>
      <c r="F28" s="34"/>
      <c r="G28" s="259"/>
      <c r="H28" s="260"/>
      <c r="I28" s="259"/>
      <c r="J28" s="259"/>
      <c r="K28" s="261"/>
      <c r="L28" s="259"/>
      <c r="M28" s="37"/>
      <c r="N28" s="28"/>
      <c r="O28" s="28"/>
      <c r="P28" s="114" t="str">
        <f t="shared" si="7"/>
        <v/>
      </c>
    </row>
    <row r="29" spans="2:16" ht="20.100000000000001" customHeight="1">
      <c r="B29" s="646"/>
      <c r="C29" s="259"/>
      <c r="D29" s="259"/>
      <c r="E29" s="259"/>
      <c r="F29" s="34"/>
      <c r="G29" s="259"/>
      <c r="H29" s="260"/>
      <c r="I29" s="259"/>
      <c r="J29" s="259"/>
      <c r="K29" s="261"/>
      <c r="L29" s="259"/>
      <c r="M29" s="37"/>
      <c r="N29" s="28"/>
      <c r="O29" s="28"/>
      <c r="P29" s="114" t="str">
        <f t="shared" si="7"/>
        <v/>
      </c>
    </row>
    <row r="30" spans="2:16" ht="20.100000000000001" customHeight="1">
      <c r="B30" s="647"/>
      <c r="C30" s="263" t="s">
        <v>42</v>
      </c>
      <c r="D30" s="263"/>
      <c r="E30" s="263"/>
      <c r="F30" s="264"/>
      <c r="G30" s="263">
        <f>SUM(G13:G28)</f>
        <v>4670000</v>
      </c>
      <c r="H30" s="263"/>
      <c r="I30" s="263">
        <f>SUM(I13:I28)</f>
        <v>4670000</v>
      </c>
      <c r="J30" s="263"/>
      <c r="K30" s="265"/>
      <c r="L30" s="263">
        <f>SUM(L13:L28)</f>
        <v>487358.80398671096</v>
      </c>
      <c r="M30" s="39"/>
      <c r="N30" s="39"/>
      <c r="O30" s="39"/>
      <c r="P30" s="307">
        <f>SUM(P13:P28)</f>
        <v>69950.166112956824</v>
      </c>
    </row>
    <row r="31" spans="2:16" ht="20.100000000000001" customHeight="1">
      <c r="B31" s="645" t="s">
        <v>104</v>
      </c>
      <c r="C31" s="259"/>
      <c r="D31" s="259"/>
      <c r="E31" s="259"/>
      <c r="F31" s="259"/>
      <c r="G31" s="259"/>
      <c r="H31" s="266"/>
      <c r="I31" s="259"/>
      <c r="J31" s="259"/>
      <c r="K31" s="261"/>
      <c r="L31" s="259"/>
      <c r="M31" s="44"/>
      <c r="N31" s="28"/>
      <c r="O31" s="28"/>
      <c r="P31" s="114" t="str">
        <f>IF(O31="","",(L31-N31)/O31)</f>
        <v/>
      </c>
    </row>
    <row r="32" spans="2:16" ht="20.100000000000001" customHeight="1">
      <c r="B32" s="646"/>
      <c r="C32" s="259"/>
      <c r="D32" s="259"/>
      <c r="E32" s="259"/>
      <c r="F32" s="259"/>
      <c r="G32" s="259"/>
      <c r="H32" s="266"/>
      <c r="I32" s="259"/>
      <c r="J32" s="259"/>
      <c r="K32" s="261"/>
      <c r="L32" s="259"/>
      <c r="M32" s="44"/>
      <c r="N32" s="28"/>
      <c r="O32" s="28"/>
      <c r="P32" s="114" t="str">
        <f>IF(O32="","",(L32-N32)/O32)</f>
        <v/>
      </c>
    </row>
    <row r="33" spans="2:16" ht="20.100000000000001" customHeight="1">
      <c r="B33" s="646"/>
      <c r="C33" s="28"/>
      <c r="D33" s="28"/>
      <c r="E33" s="28"/>
      <c r="F33" s="28"/>
      <c r="G33" s="28"/>
      <c r="H33" s="44"/>
      <c r="I33" s="28"/>
      <c r="J33" s="28"/>
      <c r="K33" s="36"/>
      <c r="L33" s="28"/>
      <c r="M33" s="44"/>
      <c r="N33" s="28"/>
      <c r="O33" s="28"/>
      <c r="P33" s="114" t="str">
        <f>IF(O33="","",(L33-N33)/O33)</f>
        <v/>
      </c>
    </row>
    <row r="34" spans="2:16" ht="20.100000000000001" customHeight="1">
      <c r="B34" s="646"/>
      <c r="C34" s="28"/>
      <c r="D34" s="28"/>
      <c r="E34" s="28"/>
      <c r="F34" s="28"/>
      <c r="G34" s="28"/>
      <c r="H34" s="44"/>
      <c r="I34" s="28"/>
      <c r="J34" s="28"/>
      <c r="K34" s="36"/>
      <c r="L34" s="28"/>
      <c r="M34" s="44"/>
      <c r="N34" s="28"/>
      <c r="O34" s="28"/>
      <c r="P34" s="114" t="str">
        <f>IF(O34="","",(L34-N34)/O34)</f>
        <v/>
      </c>
    </row>
    <row r="35" spans="2:16" ht="20.100000000000001" customHeight="1">
      <c r="B35" s="647"/>
      <c r="C35" s="45" t="s">
        <v>42</v>
      </c>
      <c r="D35" s="39"/>
      <c r="E35" s="39"/>
      <c r="F35" s="40"/>
      <c r="G35" s="39">
        <f>SUM(G31:G34)</f>
        <v>0</v>
      </c>
      <c r="H35" s="39"/>
      <c r="I35" s="39">
        <f>SUM(I31:I34)</f>
        <v>0</v>
      </c>
      <c r="J35" s="39"/>
      <c r="K35" s="41"/>
      <c r="L35" s="39">
        <f>SUM(L31:L34)</f>
        <v>0</v>
      </c>
      <c r="M35" s="39"/>
      <c r="N35" s="39"/>
      <c r="O35" s="39"/>
      <c r="P35" s="307">
        <f>SUM(P31:P34)</f>
        <v>0</v>
      </c>
    </row>
    <row r="36" spans="2:16" ht="20.100000000000001" customHeight="1" thickBot="1">
      <c r="B36" s="46"/>
      <c r="C36" s="47" t="s">
        <v>225</v>
      </c>
      <c r="D36" s="48"/>
      <c r="E36" s="48"/>
      <c r="F36" s="49"/>
      <c r="G36" s="48">
        <f>G12+G30+G35</f>
        <v>12350000</v>
      </c>
      <c r="H36" s="48"/>
      <c r="I36" s="48">
        <f>I12+I30+I35</f>
        <v>11750000</v>
      </c>
      <c r="J36" s="48"/>
      <c r="K36" s="50"/>
      <c r="L36" s="48">
        <f>L12+L30+L35</f>
        <v>1583710.9634551494</v>
      </c>
      <c r="M36" s="48"/>
      <c r="N36" s="48"/>
      <c r="O36" s="48"/>
      <c r="P36" s="308">
        <f>P12+P30+P35</f>
        <v>115748.1727574751</v>
      </c>
    </row>
    <row r="37" spans="2:16" ht="11.25" customHeight="1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/>
  <cols>
    <col min="1" max="1" width="1.625" style="72" customWidth="1"/>
    <col min="2" max="2" width="5.875" style="72" customWidth="1"/>
    <col min="3" max="3" width="10.625" style="72" customWidth="1"/>
    <col min="4" max="4" width="12.375" style="72" customWidth="1"/>
    <col min="5" max="5" width="14.625" style="72" customWidth="1"/>
    <col min="6" max="7" width="15.875" style="72" customWidth="1"/>
    <col min="8" max="8" width="10.875" style="72"/>
    <col min="9" max="9" width="11.375" style="72" bestFit="1" customWidth="1"/>
    <col min="10" max="10" width="13.375" style="72" customWidth="1"/>
    <col min="11" max="11" width="7.125" style="72" customWidth="1"/>
    <col min="12" max="12" width="15.375" style="72" customWidth="1"/>
    <col min="13" max="13" width="9.375" style="72" bestFit="1" customWidth="1"/>
    <col min="14" max="14" width="10.875" style="72"/>
    <col min="15" max="15" width="7.25" style="72" customWidth="1"/>
    <col min="16" max="16" width="9.625" style="72" customWidth="1"/>
    <col min="17" max="17" width="10.875" style="72" customWidth="1"/>
    <col min="18" max="18" width="7.5" style="72" customWidth="1"/>
    <col min="19" max="19" width="3.75" style="72" customWidth="1"/>
    <col min="20" max="16384" width="10.875" style="72"/>
  </cols>
  <sheetData>
    <row r="1" spans="2:19" s="73" customFormat="1" ht="9.9499999999999993" customHeight="1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s="73" customFormat="1" ht="24.95" customHeight="1" thickBot="1">
      <c r="B2" s="73" t="s">
        <v>409</v>
      </c>
      <c r="H2" s="74" t="s">
        <v>195</v>
      </c>
      <c r="I2" s="3" t="s">
        <v>259</v>
      </c>
      <c r="K2" s="74" t="s">
        <v>196</v>
      </c>
      <c r="L2" s="3" t="s">
        <v>314</v>
      </c>
      <c r="N2" s="72"/>
      <c r="O2" s="72"/>
      <c r="Q2" s="4"/>
      <c r="R2" s="4"/>
    </row>
    <row r="3" spans="2:19" s="73" customFormat="1" ht="18" customHeight="1">
      <c r="B3" s="680" t="s">
        <v>17</v>
      </c>
      <c r="C3" s="681"/>
      <c r="D3" s="681"/>
      <c r="E3" s="682"/>
      <c r="F3" s="106" t="s">
        <v>18</v>
      </c>
      <c r="G3" s="76"/>
      <c r="H3" s="77" t="s">
        <v>19</v>
      </c>
      <c r="I3" s="75"/>
      <c r="J3" s="75"/>
      <c r="K3" s="683" t="s">
        <v>166</v>
      </c>
      <c r="L3" s="684"/>
      <c r="M3" s="684"/>
      <c r="N3" s="684"/>
      <c r="O3" s="684"/>
      <c r="P3" s="684"/>
      <c r="Q3" s="684"/>
      <c r="R3" s="684"/>
      <c r="S3" s="685"/>
    </row>
    <row r="4" spans="2:19" s="73" customFormat="1" ht="18" customHeight="1">
      <c r="B4" s="678" t="s">
        <v>20</v>
      </c>
      <c r="C4" s="679"/>
      <c r="D4" s="169" t="s">
        <v>161</v>
      </c>
      <c r="E4" s="182"/>
      <c r="F4" s="176">
        <f>R11</f>
        <v>281350</v>
      </c>
      <c r="G4" s="654" t="s">
        <v>387</v>
      </c>
      <c r="H4" s="655"/>
      <c r="I4" s="655"/>
      <c r="J4" s="656"/>
      <c r="K4" s="268" t="s">
        <v>226</v>
      </c>
      <c r="L4" s="269" t="s">
        <v>227</v>
      </c>
      <c r="M4" s="175" t="s">
        <v>21</v>
      </c>
      <c r="N4" s="175" t="s">
        <v>20</v>
      </c>
      <c r="O4" s="269" t="s">
        <v>226</v>
      </c>
      <c r="P4" s="269" t="s">
        <v>228</v>
      </c>
      <c r="Q4" s="175" t="s">
        <v>21</v>
      </c>
      <c r="R4" s="704" t="s">
        <v>20</v>
      </c>
      <c r="S4" s="705"/>
    </row>
    <row r="5" spans="2:19" s="73" customFormat="1" ht="18" customHeight="1">
      <c r="B5" s="678"/>
      <c r="C5" s="679"/>
      <c r="D5" s="169" t="s">
        <v>72</v>
      </c>
      <c r="E5" s="182"/>
      <c r="F5" s="176">
        <v>0</v>
      </c>
      <c r="G5" s="147"/>
      <c r="H5" s="183"/>
      <c r="I5" s="183"/>
      <c r="J5" s="183"/>
      <c r="K5" s="267">
        <v>6</v>
      </c>
      <c r="L5" s="176">
        <v>850</v>
      </c>
      <c r="M5" s="176">
        <f>'９　ブロッコリー単価算出基礎'!H20</f>
        <v>331</v>
      </c>
      <c r="N5" s="176">
        <f>L5*M5</f>
        <v>281350</v>
      </c>
      <c r="O5" s="176"/>
      <c r="P5" s="176"/>
      <c r="Q5" s="176"/>
      <c r="R5" s="677"/>
      <c r="S5" s="662"/>
    </row>
    <row r="6" spans="2:19" s="73" customFormat="1" ht="18" customHeight="1">
      <c r="B6" s="686" t="s">
        <v>164</v>
      </c>
      <c r="C6" s="689" t="s">
        <v>250</v>
      </c>
      <c r="D6" s="176" t="s">
        <v>46</v>
      </c>
      <c r="E6" s="184"/>
      <c r="F6" s="176">
        <f>+P13</f>
        <v>32000</v>
      </c>
      <c r="G6" s="147" t="s">
        <v>153</v>
      </c>
      <c r="H6" s="183"/>
      <c r="I6" s="183"/>
      <c r="J6" s="183"/>
      <c r="K6" s="181"/>
      <c r="L6" s="178"/>
      <c r="M6" s="176"/>
      <c r="N6" s="176"/>
      <c r="O6" s="176"/>
      <c r="P6" s="176"/>
      <c r="Q6" s="176"/>
      <c r="R6" s="677"/>
      <c r="S6" s="662"/>
    </row>
    <row r="7" spans="2:19" s="73" customFormat="1" ht="18" customHeight="1">
      <c r="B7" s="687"/>
      <c r="C7" s="690"/>
      <c r="D7" s="176" t="s">
        <v>47</v>
      </c>
      <c r="E7" s="184"/>
      <c r="F7" s="176">
        <f>P22</f>
        <v>27815</v>
      </c>
      <c r="G7" s="654" t="s">
        <v>405</v>
      </c>
      <c r="H7" s="655"/>
      <c r="I7" s="655"/>
      <c r="J7" s="656"/>
      <c r="K7" s="179"/>
      <c r="L7" s="180"/>
      <c r="M7" s="176"/>
      <c r="N7" s="176"/>
      <c r="O7" s="176"/>
      <c r="P7" s="176"/>
      <c r="Q7" s="176"/>
      <c r="R7" s="677"/>
      <c r="S7" s="662"/>
    </row>
    <row r="8" spans="2:19" s="73" customFormat="1" ht="18" customHeight="1">
      <c r="B8" s="687"/>
      <c r="C8" s="690"/>
      <c r="D8" s="176" t="s">
        <v>48</v>
      </c>
      <c r="E8" s="184"/>
      <c r="F8" s="176">
        <f>P28</f>
        <v>13897.325000000001</v>
      </c>
      <c r="G8" s="654" t="s">
        <v>406</v>
      </c>
      <c r="H8" s="655"/>
      <c r="I8" s="655"/>
      <c r="J8" s="656"/>
      <c r="K8" s="177"/>
      <c r="L8" s="176"/>
      <c r="M8" s="176"/>
      <c r="N8" s="176"/>
      <c r="O8" s="176"/>
      <c r="P8" s="176"/>
      <c r="Q8" s="176"/>
      <c r="R8" s="677"/>
      <c r="S8" s="662"/>
    </row>
    <row r="9" spans="2:19" s="73" customFormat="1" ht="18" customHeight="1">
      <c r="B9" s="687"/>
      <c r="C9" s="690"/>
      <c r="D9" s="176" t="s">
        <v>73</v>
      </c>
      <c r="E9" s="184"/>
      <c r="F9" s="176">
        <f>P37</f>
        <v>9463.739999999998</v>
      </c>
      <c r="G9" s="654" t="s">
        <v>407</v>
      </c>
      <c r="H9" s="655"/>
      <c r="I9" s="655"/>
      <c r="J9" s="656"/>
      <c r="K9" s="177"/>
      <c r="L9" s="176"/>
      <c r="M9" s="176"/>
      <c r="N9" s="176"/>
      <c r="O9" s="176"/>
      <c r="P9" s="176"/>
      <c r="Q9" s="176"/>
      <c r="R9" s="677"/>
      <c r="S9" s="662"/>
    </row>
    <row r="10" spans="2:19" s="73" customFormat="1" ht="18" customHeight="1">
      <c r="B10" s="687"/>
      <c r="C10" s="690"/>
      <c r="D10" s="176" t="s">
        <v>49</v>
      </c>
      <c r="E10" s="184"/>
      <c r="F10" s="176">
        <f>'８-１　ブロッコリー（春まき）算出基礎'!V20</f>
        <v>3000</v>
      </c>
      <c r="G10" s="660"/>
      <c r="H10" s="661"/>
      <c r="I10" s="661"/>
      <c r="J10" s="662"/>
      <c r="K10" s="177"/>
      <c r="L10" s="176"/>
      <c r="M10" s="176"/>
      <c r="N10" s="176"/>
      <c r="O10" s="176"/>
      <c r="P10" s="176"/>
      <c r="Q10" s="176"/>
      <c r="R10" s="677"/>
      <c r="S10" s="662"/>
    </row>
    <row r="11" spans="2:19" s="73" customFormat="1" ht="18" customHeight="1" thickBot="1">
      <c r="B11" s="687"/>
      <c r="C11" s="690"/>
      <c r="D11" s="176" t="s">
        <v>4</v>
      </c>
      <c r="E11" s="184"/>
      <c r="F11" s="176">
        <f>'８-１　ブロッコリー（春まき）算出基礎'!V34</f>
        <v>5800</v>
      </c>
      <c r="G11" s="660"/>
      <c r="H11" s="661"/>
      <c r="I11" s="661"/>
      <c r="J11" s="662"/>
      <c r="K11" s="94"/>
      <c r="L11" s="79"/>
      <c r="M11" s="79"/>
      <c r="N11" s="78"/>
      <c r="O11" s="80" t="s">
        <v>22</v>
      </c>
      <c r="P11" s="81">
        <f>SUM(L5:L11,P5:Q10)</f>
        <v>850</v>
      </c>
      <c r="Q11" s="82">
        <f>R11/P11</f>
        <v>331</v>
      </c>
      <c r="R11" s="709">
        <f>SUM(N5:N11,R5:S10)</f>
        <v>281350</v>
      </c>
      <c r="S11" s="710"/>
    </row>
    <row r="12" spans="2:19" s="73" customFormat="1" ht="18" customHeight="1" thickTop="1">
      <c r="B12" s="687"/>
      <c r="C12" s="690"/>
      <c r="D12" s="176" t="s">
        <v>5</v>
      </c>
      <c r="E12" s="184"/>
      <c r="F12" s="176">
        <v>0</v>
      </c>
      <c r="G12" s="149"/>
      <c r="H12" s="158"/>
      <c r="I12" s="158"/>
      <c r="J12" s="186"/>
      <c r="K12" s="668" t="s">
        <v>165</v>
      </c>
      <c r="L12" s="171" t="s">
        <v>125</v>
      </c>
      <c r="M12" s="172" t="s">
        <v>7</v>
      </c>
      <c r="N12" s="275" t="s">
        <v>230</v>
      </c>
      <c r="O12" s="173" t="s">
        <v>21</v>
      </c>
      <c r="P12" s="173" t="s">
        <v>24</v>
      </c>
      <c r="Q12" s="711" t="s">
        <v>25</v>
      </c>
      <c r="R12" s="712"/>
      <c r="S12" s="713"/>
    </row>
    <row r="13" spans="2:19" s="73" customFormat="1" ht="18" customHeight="1">
      <c r="B13" s="687"/>
      <c r="C13" s="690"/>
      <c r="D13" s="695" t="s">
        <v>50</v>
      </c>
      <c r="E13" s="187" t="s">
        <v>151</v>
      </c>
      <c r="F13" s="176">
        <f>'６　固定資本装備と減価償却費'!L12*'７-１　ブロッコリー（春まき）部門収支'!H13/2</f>
        <v>5481.7607973421927</v>
      </c>
      <c r="G13" s="459" t="s">
        <v>154</v>
      </c>
      <c r="H13" s="460">
        <v>0.01</v>
      </c>
      <c r="I13" s="666" t="s">
        <v>156</v>
      </c>
      <c r="J13" s="667"/>
      <c r="K13" s="669"/>
      <c r="L13" s="257" t="s">
        <v>340</v>
      </c>
      <c r="M13" s="274" t="s">
        <v>231</v>
      </c>
      <c r="N13" s="109">
        <v>4000</v>
      </c>
      <c r="O13" s="109">
        <v>8</v>
      </c>
      <c r="P13" s="109">
        <f>N13*O13</f>
        <v>32000</v>
      </c>
      <c r="Q13" s="706" t="s">
        <v>341</v>
      </c>
      <c r="R13" s="707"/>
      <c r="S13" s="708"/>
    </row>
    <row r="14" spans="2:19" s="73" customFormat="1" ht="18" customHeight="1">
      <c r="B14" s="687"/>
      <c r="C14" s="690"/>
      <c r="D14" s="696"/>
      <c r="E14" s="187" t="s">
        <v>152</v>
      </c>
      <c r="F14" s="176">
        <f>'６　固定資本装備と減価償却費'!L30*'７-１　ブロッコリー（春まき）部門収支'!H14/2</f>
        <v>12183.970099667775</v>
      </c>
      <c r="G14" s="459" t="s">
        <v>154</v>
      </c>
      <c r="H14" s="460">
        <v>0.05</v>
      </c>
      <c r="I14" s="666" t="s">
        <v>156</v>
      </c>
      <c r="J14" s="667"/>
      <c r="K14" s="669"/>
      <c r="L14" s="174"/>
      <c r="M14" s="170"/>
      <c r="N14" s="109"/>
      <c r="O14" s="109"/>
      <c r="P14" s="109"/>
      <c r="Q14" s="706"/>
      <c r="R14" s="707"/>
      <c r="S14" s="708"/>
    </row>
    <row r="15" spans="2:19" s="73" customFormat="1" ht="18" customHeight="1" thickBot="1">
      <c r="B15" s="687"/>
      <c r="C15" s="690"/>
      <c r="D15" s="695" t="s">
        <v>74</v>
      </c>
      <c r="E15" s="187" t="s">
        <v>151</v>
      </c>
      <c r="F15" s="176">
        <f>'６　固定資本装備と減価償却費'!P12/2</f>
        <v>22899.003322259137</v>
      </c>
      <c r="G15" s="657" t="s">
        <v>156</v>
      </c>
      <c r="H15" s="658"/>
      <c r="I15" s="658"/>
      <c r="J15" s="659"/>
      <c r="K15" s="669"/>
      <c r="L15" s="86" t="s">
        <v>26</v>
      </c>
      <c r="M15" s="85"/>
      <c r="N15" s="86"/>
      <c r="O15" s="86"/>
      <c r="P15" s="86">
        <f>SUM(P10:P14)</f>
        <v>32850</v>
      </c>
      <c r="Q15" s="671"/>
      <c r="R15" s="672"/>
      <c r="S15" s="673"/>
    </row>
    <row r="16" spans="2:19" s="73" customFormat="1" ht="18" customHeight="1" thickTop="1">
      <c r="B16" s="687"/>
      <c r="C16" s="690"/>
      <c r="D16" s="697"/>
      <c r="E16" s="187" t="s">
        <v>152</v>
      </c>
      <c r="F16" s="176">
        <f>'６　固定資本装備と減価償却費'!P30/2</f>
        <v>34975.083056478412</v>
      </c>
      <c r="G16" s="657" t="s">
        <v>156</v>
      </c>
      <c r="H16" s="658"/>
      <c r="I16" s="658"/>
      <c r="J16" s="659"/>
      <c r="K16" s="669"/>
      <c r="L16" s="165" t="s">
        <v>126</v>
      </c>
      <c r="M16" s="166"/>
      <c r="N16" s="276" t="s">
        <v>230</v>
      </c>
      <c r="O16" s="167" t="s">
        <v>21</v>
      </c>
      <c r="P16" s="168" t="s">
        <v>24</v>
      </c>
      <c r="Q16" s="674" t="s">
        <v>25</v>
      </c>
      <c r="R16" s="675"/>
      <c r="S16" s="676"/>
    </row>
    <row r="17" spans="1:19" s="73" customFormat="1" ht="18" customHeight="1">
      <c r="B17" s="687"/>
      <c r="C17" s="690"/>
      <c r="D17" s="696"/>
      <c r="E17" s="176" t="s">
        <v>51</v>
      </c>
      <c r="F17" s="176">
        <f>'６　固定資本装備と減価償却費'!P35</f>
        <v>0</v>
      </c>
      <c r="G17" s="657" t="s">
        <v>156</v>
      </c>
      <c r="H17" s="658"/>
      <c r="I17" s="658"/>
      <c r="J17" s="659"/>
      <c r="K17" s="669"/>
      <c r="L17" s="169" t="s">
        <v>132</v>
      </c>
      <c r="M17" s="170"/>
      <c r="N17" s="149" t="s">
        <v>272</v>
      </c>
      <c r="O17" s="162"/>
      <c r="P17" s="160">
        <f>'８-１　ブロッコリー（春まき）算出基礎'!G7</f>
        <v>5000</v>
      </c>
      <c r="Q17" s="663"/>
      <c r="R17" s="664"/>
      <c r="S17" s="665"/>
    </row>
    <row r="18" spans="1:19" s="73" customFormat="1" ht="18" customHeight="1">
      <c r="A18" s="72"/>
      <c r="B18" s="687"/>
      <c r="C18" s="690"/>
      <c r="D18" s="176" t="s">
        <v>52</v>
      </c>
      <c r="E18" s="184"/>
      <c r="F18" s="176">
        <v>1500</v>
      </c>
      <c r="G18" s="149" t="s">
        <v>321</v>
      </c>
      <c r="H18" s="158"/>
      <c r="I18" s="448" t="s">
        <v>386</v>
      </c>
      <c r="J18" s="186"/>
      <c r="K18" s="669"/>
      <c r="L18" s="169" t="s">
        <v>130</v>
      </c>
      <c r="M18" s="170"/>
      <c r="N18" s="149" t="s">
        <v>272</v>
      </c>
      <c r="O18" s="162"/>
      <c r="P18" s="160">
        <f>'８-１　ブロッコリー（春まき）算出基礎'!G11</f>
        <v>6160</v>
      </c>
      <c r="Q18" s="663"/>
      <c r="R18" s="664"/>
      <c r="S18" s="665"/>
    </row>
    <row r="19" spans="1:19" s="73" customFormat="1" ht="18" customHeight="1">
      <c r="A19" s="72"/>
      <c r="B19" s="687"/>
      <c r="C19" s="690"/>
      <c r="D19" s="176" t="s">
        <v>129</v>
      </c>
      <c r="E19" s="184"/>
      <c r="F19" s="176">
        <f>SUM(F6:F18)/99</f>
        <v>1707.2311340984597</v>
      </c>
      <c r="G19" s="188" t="s">
        <v>167</v>
      </c>
      <c r="H19" s="198">
        <v>0.01</v>
      </c>
      <c r="I19" s="87"/>
      <c r="J19" s="6"/>
      <c r="K19" s="669"/>
      <c r="L19" s="149" t="s">
        <v>131</v>
      </c>
      <c r="M19" s="158"/>
      <c r="N19" s="149" t="s">
        <v>273</v>
      </c>
      <c r="O19" s="162"/>
      <c r="P19" s="160">
        <f>'８-１　ブロッコリー（春まき）算出基礎'!G16</f>
        <v>16655</v>
      </c>
      <c r="Q19" s="663"/>
      <c r="R19" s="664"/>
      <c r="S19" s="665"/>
    </row>
    <row r="20" spans="1:19" s="73" customFormat="1" ht="18" customHeight="1">
      <c r="A20" s="72"/>
      <c r="B20" s="687"/>
      <c r="C20" s="691"/>
      <c r="D20" s="702" t="s">
        <v>160</v>
      </c>
      <c r="E20" s="703"/>
      <c r="F20" s="107">
        <f>SUM(F6:F19)</f>
        <v>170723.11340984597</v>
      </c>
      <c r="G20" s="155"/>
      <c r="H20" s="87"/>
      <c r="I20" s="87"/>
      <c r="J20" s="90"/>
      <c r="K20" s="669"/>
      <c r="L20" s="149"/>
      <c r="M20" s="158"/>
      <c r="N20" s="149"/>
      <c r="O20" s="162"/>
      <c r="P20" s="160"/>
      <c r="Q20" s="663"/>
      <c r="R20" s="664"/>
      <c r="S20" s="665"/>
    </row>
    <row r="21" spans="1:19" s="73" customFormat="1" ht="18" customHeight="1">
      <c r="A21" s="72"/>
      <c r="B21" s="687"/>
      <c r="C21" s="692" t="s">
        <v>155</v>
      </c>
      <c r="D21" s="698" t="s">
        <v>53</v>
      </c>
      <c r="E21" s="18" t="s">
        <v>1</v>
      </c>
      <c r="F21" s="78">
        <f>P11*25</f>
        <v>21250</v>
      </c>
      <c r="G21" s="654" t="s">
        <v>344</v>
      </c>
      <c r="H21" s="655"/>
      <c r="I21" s="655"/>
      <c r="J21" s="656"/>
      <c r="K21" s="669"/>
      <c r="L21" s="149"/>
      <c r="M21" s="158"/>
      <c r="N21" s="149"/>
      <c r="O21" s="160"/>
      <c r="P21" s="160"/>
      <c r="Q21" s="663"/>
      <c r="R21" s="664"/>
      <c r="S21" s="665"/>
    </row>
    <row r="22" spans="1:19" s="73" customFormat="1" ht="18" customHeight="1" thickBot="1">
      <c r="A22" s="72"/>
      <c r="B22" s="687"/>
      <c r="C22" s="693"/>
      <c r="D22" s="604"/>
      <c r="E22" s="18" t="s">
        <v>2</v>
      </c>
      <c r="F22" s="108">
        <f>P11*35</f>
        <v>29750</v>
      </c>
      <c r="G22" s="169" t="s">
        <v>342</v>
      </c>
      <c r="H22" s="189"/>
      <c r="I22" s="189"/>
      <c r="J22" s="190"/>
      <c r="K22" s="669"/>
      <c r="L22" s="86" t="s">
        <v>26</v>
      </c>
      <c r="M22" s="85"/>
      <c r="N22" s="86"/>
      <c r="O22" s="86"/>
      <c r="P22" s="86">
        <f>SUM(P17:P21)</f>
        <v>27815</v>
      </c>
      <c r="Q22" s="671"/>
      <c r="R22" s="672"/>
      <c r="S22" s="673"/>
    </row>
    <row r="23" spans="1:19" s="73" customFormat="1" ht="18" customHeight="1" thickTop="1">
      <c r="A23" s="72"/>
      <c r="B23" s="687"/>
      <c r="C23" s="693"/>
      <c r="D23" s="699"/>
      <c r="E23" s="18" t="s">
        <v>6</v>
      </c>
      <c r="F23" s="78">
        <f>F4*0.115</f>
        <v>32355.25</v>
      </c>
      <c r="G23" s="169" t="s">
        <v>300</v>
      </c>
      <c r="H23" s="88"/>
      <c r="I23" s="189"/>
      <c r="J23" s="185"/>
      <c r="K23" s="669"/>
      <c r="L23" s="149" t="s">
        <v>127</v>
      </c>
      <c r="M23" s="158"/>
      <c r="N23" s="159" t="s">
        <v>23</v>
      </c>
      <c r="O23" s="159" t="s">
        <v>21</v>
      </c>
      <c r="P23" s="159" t="s">
        <v>24</v>
      </c>
      <c r="Q23" s="674" t="s">
        <v>25</v>
      </c>
      <c r="R23" s="675"/>
      <c r="S23" s="676"/>
    </row>
    <row r="24" spans="1:19" s="73" customFormat="1" ht="18" customHeight="1">
      <c r="A24" s="72"/>
      <c r="B24" s="687"/>
      <c r="C24" s="693"/>
      <c r="D24" s="18" t="s">
        <v>234</v>
      </c>
      <c r="E24" s="25"/>
      <c r="F24" s="108">
        <v>0</v>
      </c>
      <c r="G24" s="169"/>
      <c r="H24" s="192"/>
      <c r="I24" s="193"/>
      <c r="J24" s="191"/>
      <c r="K24" s="669"/>
      <c r="L24" s="160" t="s">
        <v>27</v>
      </c>
      <c r="M24" s="158"/>
      <c r="N24" s="149" t="s">
        <v>315</v>
      </c>
      <c r="O24" s="160"/>
      <c r="P24" s="160">
        <f>'８-１　ブロッコリー（春まき）算出基礎'!G38</f>
        <v>8325.5500000000011</v>
      </c>
      <c r="Q24" s="663"/>
      <c r="R24" s="664"/>
      <c r="S24" s="665"/>
    </row>
    <row r="25" spans="1:19" s="73" customFormat="1" ht="18" customHeight="1">
      <c r="A25" s="72"/>
      <c r="B25" s="687"/>
      <c r="C25" s="693"/>
      <c r="D25" s="18" t="s">
        <v>75</v>
      </c>
      <c r="E25" s="25"/>
      <c r="F25" s="108">
        <v>0</v>
      </c>
      <c r="G25" s="169"/>
      <c r="H25" s="194"/>
      <c r="I25" s="195"/>
      <c r="J25" s="196"/>
      <c r="K25" s="669"/>
      <c r="L25" s="160" t="s">
        <v>28</v>
      </c>
      <c r="M25" s="158"/>
      <c r="N25" s="149" t="s">
        <v>316</v>
      </c>
      <c r="O25" s="160"/>
      <c r="P25" s="160">
        <f>'８-１　ブロッコリー（春まき）算出基礎'!G49</f>
        <v>4472.2750000000005</v>
      </c>
      <c r="Q25" s="663"/>
      <c r="R25" s="664"/>
      <c r="S25" s="665"/>
    </row>
    <row r="26" spans="1:19" s="73" customFormat="1" ht="18" customHeight="1">
      <c r="A26" s="72"/>
      <c r="B26" s="687"/>
      <c r="C26" s="693"/>
      <c r="D26" s="18" t="s">
        <v>95</v>
      </c>
      <c r="E26" s="19"/>
      <c r="F26" s="108">
        <f>'８-１　ブロッコリー（春まき）算出基礎'!V57</f>
        <v>134.88372093023256</v>
      </c>
      <c r="G26" s="660"/>
      <c r="H26" s="661"/>
      <c r="I26" s="661"/>
      <c r="J26" s="662"/>
      <c r="K26" s="669"/>
      <c r="L26" s="160" t="s">
        <v>29</v>
      </c>
      <c r="M26" s="158"/>
      <c r="N26" s="149" t="s">
        <v>275</v>
      </c>
      <c r="O26" s="160"/>
      <c r="P26" s="160">
        <f>'８-１　ブロッコリー（春まき）算出基礎'!G53</f>
        <v>1099.5</v>
      </c>
      <c r="Q26" s="663"/>
      <c r="R26" s="664"/>
      <c r="S26" s="665"/>
    </row>
    <row r="27" spans="1:19" s="73" customFormat="1" ht="18" customHeight="1">
      <c r="A27" s="72"/>
      <c r="B27" s="687"/>
      <c r="C27" s="693"/>
      <c r="D27" s="26" t="s">
        <v>76</v>
      </c>
      <c r="E27" s="27"/>
      <c r="F27" s="197">
        <v>0</v>
      </c>
      <c r="G27" s="149"/>
      <c r="H27" s="194"/>
      <c r="I27" s="195"/>
      <c r="J27" s="191"/>
      <c r="K27" s="669"/>
      <c r="L27" s="160"/>
      <c r="M27" s="158"/>
      <c r="N27" s="149"/>
      <c r="O27" s="160"/>
      <c r="P27" s="160"/>
      <c r="Q27" s="663"/>
      <c r="R27" s="664"/>
      <c r="S27" s="665"/>
    </row>
    <row r="28" spans="1:19" s="73" customFormat="1" ht="18" customHeight="1" thickBot="1">
      <c r="A28" s="72"/>
      <c r="B28" s="687"/>
      <c r="C28" s="693"/>
      <c r="D28" s="18" t="s">
        <v>54</v>
      </c>
      <c r="E28" s="19"/>
      <c r="F28" s="108">
        <f>'８-１　ブロッコリー（春まき）算出基礎'!N57</f>
        <v>4634.4850498338865</v>
      </c>
      <c r="G28" s="660"/>
      <c r="H28" s="661"/>
      <c r="I28" s="661"/>
      <c r="J28" s="662"/>
      <c r="K28" s="669"/>
      <c r="L28" s="86" t="s">
        <v>26</v>
      </c>
      <c r="M28" s="85"/>
      <c r="N28" s="86"/>
      <c r="O28" s="86"/>
      <c r="P28" s="86">
        <f>SUM(P24:P27)</f>
        <v>13897.325000000001</v>
      </c>
      <c r="Q28" s="671"/>
      <c r="R28" s="672"/>
      <c r="S28" s="673"/>
    </row>
    <row r="29" spans="1:19" s="73" customFormat="1" ht="18" customHeight="1" thickTop="1">
      <c r="A29" s="72"/>
      <c r="B29" s="687"/>
      <c r="C29" s="693"/>
      <c r="D29" s="18" t="s">
        <v>235</v>
      </c>
      <c r="E29" s="25"/>
      <c r="F29" s="108">
        <f>SUM(F21:F28)/99</f>
        <v>890.1476643511528</v>
      </c>
      <c r="G29" s="298" t="s">
        <v>251</v>
      </c>
      <c r="H29" s="198">
        <v>0.01</v>
      </c>
      <c r="I29" s="157"/>
      <c r="J29" s="156"/>
      <c r="K29" s="669"/>
      <c r="L29" s="149" t="s">
        <v>128</v>
      </c>
      <c r="M29" s="158"/>
      <c r="N29" s="159" t="s">
        <v>23</v>
      </c>
      <c r="O29" s="159" t="s">
        <v>21</v>
      </c>
      <c r="P29" s="159" t="s">
        <v>24</v>
      </c>
      <c r="Q29" s="674" t="s">
        <v>25</v>
      </c>
      <c r="R29" s="675"/>
      <c r="S29" s="676"/>
    </row>
    <row r="30" spans="1:19" s="73" customFormat="1" ht="18" customHeight="1" thickBot="1">
      <c r="A30" s="72"/>
      <c r="B30" s="688"/>
      <c r="C30" s="694"/>
      <c r="D30" s="700" t="s">
        <v>159</v>
      </c>
      <c r="E30" s="701"/>
      <c r="F30" s="150">
        <f>SUM(F21:F29)</f>
        <v>89014.766435115278</v>
      </c>
      <c r="G30" s="151"/>
      <c r="H30" s="152"/>
      <c r="I30" s="153"/>
      <c r="J30" s="154"/>
      <c r="K30" s="669"/>
      <c r="L30" s="160" t="s">
        <v>118</v>
      </c>
      <c r="M30" s="161"/>
      <c r="N30" s="149" t="s">
        <v>309</v>
      </c>
      <c r="O30" s="162">
        <f>'８-１　ブロッコリー（春まき）算出基礎'!M6</f>
        <v>84.7</v>
      </c>
      <c r="P30" s="160">
        <f>'８-１　ブロッコリー（春まき）算出基礎'!N10</f>
        <v>3557.3999999999996</v>
      </c>
      <c r="Q30" s="717"/>
      <c r="R30" s="718"/>
      <c r="S30" s="719"/>
    </row>
    <row r="31" spans="1:19" s="73" customFormat="1" ht="18" customHeight="1">
      <c r="A31" s="72"/>
      <c r="B31" s="96"/>
      <c r="C31" s="92"/>
      <c r="D31" s="92"/>
      <c r="E31" s="92"/>
      <c r="F31" s="92"/>
      <c r="G31" s="92"/>
      <c r="H31" s="92"/>
      <c r="I31" s="92"/>
      <c r="J31" s="92"/>
      <c r="K31" s="669"/>
      <c r="L31" s="160" t="s">
        <v>119</v>
      </c>
      <c r="M31" s="161"/>
      <c r="N31" s="149" t="s">
        <v>307</v>
      </c>
      <c r="O31" s="162">
        <f>'８-１　ブロッコリー（春まき）算出基礎'!M11</f>
        <v>158.4</v>
      </c>
      <c r="P31" s="160">
        <f>'８-１　ブロッコリー（春まき）算出基礎'!N16</f>
        <v>3722.4</v>
      </c>
      <c r="Q31" s="717"/>
      <c r="R31" s="718"/>
      <c r="S31" s="719"/>
    </row>
    <row r="32" spans="1:19" s="73" customFormat="1" ht="18" customHeight="1">
      <c r="A32" s="72"/>
      <c r="B32" s="84"/>
      <c r="C32" s="102"/>
      <c r="D32" s="84"/>
      <c r="E32" s="84"/>
      <c r="F32" s="100"/>
      <c r="G32" s="100"/>
      <c r="H32" s="101"/>
      <c r="I32" s="92"/>
      <c r="J32" s="92"/>
      <c r="K32" s="669"/>
      <c r="L32" s="160" t="s">
        <v>121</v>
      </c>
      <c r="M32" s="158"/>
      <c r="N32" s="162"/>
      <c r="O32" s="162"/>
      <c r="P32" s="160">
        <f>SUM(P30:P31)*R32</f>
        <v>2183.9399999999996</v>
      </c>
      <c r="Q32" s="163" t="s">
        <v>120</v>
      </c>
      <c r="R32" s="164">
        <v>0.3</v>
      </c>
      <c r="S32" s="89"/>
    </row>
    <row r="33" spans="1:23" ht="18" customHeight="1">
      <c r="K33" s="669"/>
      <c r="L33" s="160" t="s">
        <v>122</v>
      </c>
      <c r="M33" s="161"/>
      <c r="N33" s="149"/>
      <c r="O33" s="162"/>
      <c r="P33" s="160">
        <f>'８-１　ブロッコリー（春まき）算出基礎'!N19</f>
        <v>0</v>
      </c>
      <c r="Q33" s="663"/>
      <c r="R33" s="664"/>
      <c r="S33" s="665"/>
    </row>
    <row r="34" spans="1:23" ht="18" customHeight="1">
      <c r="K34" s="669"/>
      <c r="L34" s="160" t="s">
        <v>123</v>
      </c>
      <c r="M34" s="161"/>
      <c r="N34" s="149"/>
      <c r="O34" s="162"/>
      <c r="P34" s="160">
        <f>'８-１　ブロッコリー（春まき）算出基礎'!N23</f>
        <v>0</v>
      </c>
      <c r="Q34" s="663"/>
      <c r="R34" s="664"/>
      <c r="S34" s="665"/>
    </row>
    <row r="35" spans="1:23" ht="18" customHeight="1">
      <c r="K35" s="669"/>
      <c r="L35" s="160" t="s">
        <v>232</v>
      </c>
      <c r="M35" s="161"/>
      <c r="N35" s="149"/>
      <c r="O35" s="162"/>
      <c r="P35" s="160">
        <f>'８-１　ブロッコリー（春まき）算出基礎'!N27</f>
        <v>0</v>
      </c>
      <c r="Q35" s="280"/>
      <c r="R35" s="281"/>
      <c r="S35" s="282"/>
    </row>
    <row r="36" spans="1:23" ht="18" customHeight="1">
      <c r="K36" s="669"/>
      <c r="L36" s="160" t="s">
        <v>124</v>
      </c>
      <c r="M36" s="158"/>
      <c r="N36" s="149"/>
      <c r="O36" s="162"/>
      <c r="P36" s="160">
        <f>'８-１　ブロッコリー（春まき）算出基礎'!N31</f>
        <v>0</v>
      </c>
      <c r="Q36" s="663"/>
      <c r="R36" s="664"/>
      <c r="S36" s="665"/>
    </row>
    <row r="37" spans="1:23" ht="18" customHeight="1" thickBot="1">
      <c r="K37" s="670"/>
      <c r="L37" s="98" t="s">
        <v>26</v>
      </c>
      <c r="M37" s="97"/>
      <c r="N37" s="98"/>
      <c r="O37" s="98"/>
      <c r="P37" s="98">
        <f>SUM(P30:P36)</f>
        <v>9463.739999999998</v>
      </c>
      <c r="Q37" s="714"/>
      <c r="R37" s="715"/>
      <c r="S37" s="716"/>
    </row>
    <row r="38" spans="1:23" s="91" customFormat="1" ht="18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23" s="91" customFormat="1" ht="18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T39" s="92"/>
    </row>
    <row r="40" spans="1:23" s="91" customFormat="1" ht="18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T40" s="73"/>
      <c r="U40" s="73"/>
      <c r="V40" s="73"/>
      <c r="W40" s="73"/>
    </row>
    <row r="41" spans="1:23" s="91" customFormat="1" ht="18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T41" s="93"/>
      <c r="U41" s="94"/>
      <c r="V41" s="95"/>
      <c r="W41" s="93"/>
    </row>
    <row r="42" spans="1:23" s="91" customFormat="1" ht="18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T42" s="73"/>
      <c r="U42" s="73"/>
      <c r="V42" s="73"/>
      <c r="W42" s="73"/>
    </row>
    <row r="43" spans="1:23" s="91" customFormat="1" ht="18" customHeight="1">
      <c r="B43" s="72"/>
      <c r="C43" s="72"/>
      <c r="D43" s="72"/>
      <c r="E43" s="72"/>
      <c r="F43" s="72"/>
      <c r="G43" s="72"/>
      <c r="H43" s="72"/>
      <c r="I43" s="72"/>
      <c r="J43" s="72"/>
      <c r="T43" s="74"/>
      <c r="U43" s="92"/>
      <c r="V43" s="73"/>
      <c r="W43" s="93"/>
    </row>
    <row r="44" spans="1:23" s="91" customFormat="1" ht="18" customHeight="1">
      <c r="B44" s="72"/>
      <c r="C44" s="72"/>
      <c r="D44" s="72"/>
      <c r="E44" s="72"/>
      <c r="F44" s="72"/>
      <c r="G44" s="72"/>
      <c r="H44" s="72"/>
      <c r="I44" s="72"/>
      <c r="J44" s="72"/>
      <c r="T44" s="74"/>
      <c r="U44" s="92"/>
      <c r="V44" s="73"/>
      <c r="W44" s="93"/>
    </row>
    <row r="45" spans="1:23" s="91" customFormat="1" ht="18" customHeight="1">
      <c r="B45" s="72"/>
      <c r="C45" s="72"/>
      <c r="D45" s="72"/>
      <c r="E45" s="72"/>
      <c r="F45" s="72"/>
      <c r="G45" s="72"/>
      <c r="H45" s="72"/>
      <c r="I45" s="72"/>
      <c r="J45" s="72"/>
      <c r="T45" s="73"/>
      <c r="U45" s="73"/>
      <c r="V45" s="94"/>
      <c r="W45" s="73"/>
    </row>
    <row r="46" spans="1:23" s="91" customFormat="1">
      <c r="B46" s="72"/>
      <c r="C46" s="72"/>
      <c r="D46" s="72"/>
      <c r="E46" s="72"/>
      <c r="F46" s="72"/>
      <c r="G46" s="72"/>
      <c r="H46" s="72"/>
      <c r="I46" s="72"/>
      <c r="J46" s="72"/>
      <c r="T46" s="74"/>
      <c r="U46" s="73"/>
      <c r="V46" s="73"/>
      <c r="W46" s="93"/>
    </row>
    <row r="47" spans="1:23" s="91" customFormat="1">
      <c r="B47" s="72"/>
      <c r="C47" s="72"/>
      <c r="D47" s="72"/>
      <c r="E47" s="72"/>
      <c r="F47" s="72"/>
      <c r="G47" s="72"/>
      <c r="H47" s="72"/>
      <c r="I47" s="72"/>
      <c r="J47" s="72"/>
      <c r="T47" s="74"/>
      <c r="U47" s="73"/>
      <c r="V47" s="73"/>
      <c r="W47" s="93"/>
    </row>
    <row r="48" spans="1:23" s="91" customFormat="1">
      <c r="B48" s="72"/>
      <c r="C48" s="72"/>
      <c r="D48" s="72"/>
      <c r="E48" s="72"/>
      <c r="F48" s="72"/>
      <c r="G48" s="72"/>
      <c r="H48" s="72"/>
      <c r="I48" s="72"/>
      <c r="J48" s="72"/>
      <c r="T48" s="74"/>
      <c r="U48" s="73"/>
      <c r="V48" s="73"/>
      <c r="W48" s="93"/>
    </row>
    <row r="49" spans="2:23" s="91" customFormat="1">
      <c r="B49" s="72"/>
      <c r="C49" s="72"/>
      <c r="D49" s="72"/>
      <c r="E49" s="72"/>
      <c r="F49" s="72"/>
      <c r="G49" s="72"/>
      <c r="H49" s="72"/>
      <c r="I49" s="72"/>
      <c r="J49" s="72"/>
      <c r="T49" s="74"/>
      <c r="U49" s="73"/>
      <c r="V49" s="73"/>
      <c r="W49" s="93"/>
    </row>
    <row r="50" spans="2:23" s="91" customFormat="1">
      <c r="B50" s="72"/>
      <c r="C50" s="72"/>
      <c r="D50" s="72"/>
      <c r="E50" s="72"/>
      <c r="F50" s="72"/>
      <c r="G50" s="72"/>
      <c r="H50" s="72"/>
      <c r="I50" s="72"/>
      <c r="J50" s="72"/>
      <c r="T50" s="74"/>
      <c r="U50" s="74"/>
      <c r="V50" s="74"/>
      <c r="W50" s="73"/>
    </row>
    <row r="51" spans="2:23" s="91" customFormat="1" ht="13.5" customHeight="1">
      <c r="B51" s="72"/>
      <c r="C51" s="72"/>
      <c r="D51" s="72"/>
      <c r="E51" s="72"/>
      <c r="F51" s="72"/>
      <c r="G51" s="72"/>
      <c r="H51" s="72"/>
      <c r="I51" s="72"/>
      <c r="J51" s="72"/>
      <c r="T51" s="73"/>
      <c r="U51" s="73"/>
      <c r="V51" s="73"/>
      <c r="W51" s="94"/>
    </row>
    <row r="52" spans="2:23" s="91" customFormat="1">
      <c r="B52" s="72"/>
      <c r="C52" s="72"/>
      <c r="D52" s="72"/>
      <c r="E52" s="72"/>
      <c r="F52" s="72"/>
      <c r="G52" s="72"/>
      <c r="H52" s="72"/>
      <c r="I52" s="72"/>
      <c r="J52" s="72"/>
      <c r="T52" s="93"/>
      <c r="U52" s="73"/>
      <c r="V52" s="94"/>
      <c r="W52" s="93"/>
    </row>
    <row r="53" spans="2:23" s="91" customFormat="1">
      <c r="B53" s="72"/>
      <c r="C53" s="72"/>
      <c r="D53" s="72"/>
      <c r="E53" s="72"/>
      <c r="F53" s="72"/>
      <c r="G53" s="72"/>
      <c r="H53" s="72"/>
      <c r="I53" s="72"/>
      <c r="J53" s="72"/>
      <c r="T53" s="73"/>
      <c r="U53" s="73"/>
      <c r="V53" s="73"/>
      <c r="W53" s="73"/>
    </row>
    <row r="54" spans="2:23" s="91" customFormat="1" ht="13.5" customHeight="1">
      <c r="B54" s="72"/>
      <c r="C54" s="72"/>
      <c r="D54" s="72"/>
      <c r="E54" s="72"/>
      <c r="F54" s="72"/>
      <c r="G54" s="72"/>
      <c r="H54" s="72"/>
      <c r="I54" s="72"/>
      <c r="J54" s="72"/>
      <c r="T54" s="74"/>
      <c r="U54" s="73"/>
      <c r="V54" s="74"/>
      <c r="W54" s="93"/>
    </row>
    <row r="55" spans="2:23" s="91" customFormat="1">
      <c r="B55" s="72"/>
      <c r="C55" s="72"/>
      <c r="D55" s="72"/>
      <c r="E55" s="72"/>
      <c r="F55" s="72"/>
      <c r="G55" s="72"/>
      <c r="H55" s="72"/>
      <c r="I55" s="72"/>
      <c r="J55" s="72"/>
      <c r="T55" s="103"/>
      <c r="U55" s="73"/>
      <c r="V55" s="73"/>
      <c r="W55" s="93"/>
    </row>
    <row r="56" spans="2:23" s="91" customFormat="1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3"/>
      <c r="U56" s="74"/>
      <c r="V56" s="73"/>
      <c r="W56" s="73"/>
    </row>
    <row r="57" spans="2:23" s="91" customFormat="1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92"/>
      <c r="U57" s="92"/>
      <c r="V57" s="92"/>
      <c r="W57" s="92"/>
    </row>
    <row r="58" spans="2:23" s="91" customFormat="1"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92"/>
    </row>
    <row r="59" spans="2:23" s="91" customFormat="1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92"/>
    </row>
    <row r="60" spans="2:23" s="91" customFormat="1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92"/>
    </row>
    <row r="61" spans="2:23" s="91" customFormat="1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</row>
    <row r="62" spans="2:23" s="91" customFormat="1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2:23" s="91" customFormat="1" ht="13.5" customHeight="1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2:23" s="91" customFormat="1" ht="13.5" customHeight="1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2:19" s="91" customFormat="1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2:19" s="91" customFormat="1"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  <row r="67" spans="2:19" s="91" customFormat="1"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spans="2:19" s="91" customFormat="1" ht="13.5" customHeight="1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</row>
    <row r="69" spans="2:19" s="91" customFormat="1"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</row>
    <row r="70" spans="2:19" s="91" customFormat="1"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</row>
    <row r="71" spans="2:19" s="91" customFormat="1"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</row>
    <row r="72" spans="2:19" s="91" customFormat="1"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</row>
    <row r="73" spans="2:19" s="91" customFormat="1"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</row>
    <row r="74" spans="2:19" s="91" customFormat="1" ht="13.5" customHeight="1"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</row>
    <row r="75" spans="2:19" s="91" customFormat="1"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</row>
    <row r="76" spans="2:19" s="91" customFormat="1"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2:19" s="91" customFormat="1"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2:19" s="91" customFormat="1"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2:19" s="91" customFormat="1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2:19" s="91" customFormat="1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 s="91" customFormat="1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 s="91" customFormat="1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 s="91" customFormat="1"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 s="91" customFormat="1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 s="91" customFormat="1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</row>
    <row r="86" spans="1:19" s="91" customFormat="1" ht="13.5" customHeight="1"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1:19" s="91" customFormat="1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</row>
    <row r="88" spans="1:19" s="91" customFormat="1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1:19" s="91" customFormat="1" ht="13.5" customHeight="1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</row>
    <row r="90" spans="1:19" s="91" customFormat="1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1:19" s="91" customFormat="1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1:19" s="91" customFormat="1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1:19" s="91" customFormat="1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</row>
    <row r="94" spans="1:19" s="91" customFormat="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</row>
    <row r="95" spans="1:19">
      <c r="A95" s="91"/>
    </row>
    <row r="96" spans="1:19">
      <c r="A96" s="91"/>
    </row>
    <row r="97" spans="1:1">
      <c r="A97" s="91"/>
    </row>
    <row r="98" spans="1:1">
      <c r="A98" s="91"/>
    </row>
    <row r="99" spans="1:1">
      <c r="A99" s="91"/>
    </row>
  </sheetData>
  <mergeCells count="58">
    <mergeCell ref="Q37:S37"/>
    <mergeCell ref="Q27:S27"/>
    <mergeCell ref="Q28:S28"/>
    <mergeCell ref="Q29:S29"/>
    <mergeCell ref="Q30:S30"/>
    <mergeCell ref="Q31:S31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13:S13"/>
    <mergeCell ref="Q17:S17"/>
    <mergeCell ref="Q18:S18"/>
    <mergeCell ref="R8:S8"/>
    <mergeCell ref="B4:C5"/>
    <mergeCell ref="B3:E3"/>
    <mergeCell ref="K3:S3"/>
    <mergeCell ref="R6:S6"/>
    <mergeCell ref="R7:S7"/>
    <mergeCell ref="B6:B30"/>
    <mergeCell ref="C6:C20"/>
    <mergeCell ref="C21:C30"/>
    <mergeCell ref="D13:D14"/>
    <mergeCell ref="D15:D17"/>
    <mergeCell ref="G26:J26"/>
    <mergeCell ref="G28:J28"/>
    <mergeCell ref="D21:D23"/>
    <mergeCell ref="D30:E30"/>
    <mergeCell ref="D20:E20"/>
    <mergeCell ref="R10:S10"/>
    <mergeCell ref="G16:J16"/>
    <mergeCell ref="G17:J17"/>
    <mergeCell ref="G21:J21"/>
    <mergeCell ref="G7:J7"/>
    <mergeCell ref="Q19:S19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  <mergeCell ref="R9:S9"/>
    <mergeCell ref="G4:J4"/>
    <mergeCell ref="G8:J8"/>
    <mergeCell ref="G9:J9"/>
    <mergeCell ref="G15:J15"/>
    <mergeCell ref="G10:J1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/>
  <cols>
    <col min="1" max="1" width="1.625" style="72" customWidth="1"/>
    <col min="2" max="2" width="5.875" style="72" customWidth="1"/>
    <col min="3" max="3" width="10.625" style="72" customWidth="1"/>
    <col min="4" max="4" width="12.375" style="72" customWidth="1"/>
    <col min="5" max="5" width="14.625" style="72" customWidth="1"/>
    <col min="6" max="7" width="15.875" style="72" customWidth="1"/>
    <col min="8" max="8" width="10.875" style="72"/>
    <col min="9" max="9" width="11.375" style="72" bestFit="1" customWidth="1"/>
    <col min="10" max="10" width="13.375" style="72" customWidth="1"/>
    <col min="11" max="11" width="7.125" style="72" customWidth="1"/>
    <col min="12" max="12" width="15.375" style="72" customWidth="1"/>
    <col min="13" max="13" width="9.375" style="72" bestFit="1" customWidth="1"/>
    <col min="14" max="14" width="10.875" style="72"/>
    <col min="15" max="15" width="7.25" style="72" customWidth="1"/>
    <col min="16" max="16" width="9.625" style="72" customWidth="1"/>
    <col min="17" max="17" width="10.875" style="72" customWidth="1"/>
    <col min="18" max="18" width="7.5" style="72" customWidth="1"/>
    <col min="19" max="19" width="3.75" style="72" customWidth="1"/>
    <col min="20" max="16384" width="10.875" style="72"/>
  </cols>
  <sheetData>
    <row r="1" spans="2:19" s="73" customFormat="1" ht="9.9499999999999993" customHeight="1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s="73" customFormat="1" ht="24.95" customHeight="1" thickBot="1">
      <c r="B2" s="73" t="s">
        <v>410</v>
      </c>
      <c r="H2" s="74" t="s">
        <v>195</v>
      </c>
      <c r="I2" s="3" t="s">
        <v>259</v>
      </c>
      <c r="K2" s="74" t="s">
        <v>196</v>
      </c>
      <c r="L2" s="3" t="s">
        <v>258</v>
      </c>
      <c r="N2" s="72"/>
      <c r="O2" s="72"/>
      <c r="Q2" s="4"/>
      <c r="R2" s="4"/>
    </row>
    <row r="3" spans="2:19" s="73" customFormat="1" ht="18" customHeight="1">
      <c r="B3" s="680" t="s">
        <v>17</v>
      </c>
      <c r="C3" s="681"/>
      <c r="D3" s="681"/>
      <c r="E3" s="682"/>
      <c r="F3" s="332" t="s">
        <v>18</v>
      </c>
      <c r="G3" s="76"/>
      <c r="H3" s="77" t="s">
        <v>19</v>
      </c>
      <c r="I3" s="75"/>
      <c r="J3" s="75"/>
      <c r="K3" s="683" t="s">
        <v>166</v>
      </c>
      <c r="L3" s="684"/>
      <c r="M3" s="684"/>
      <c r="N3" s="684"/>
      <c r="O3" s="684"/>
      <c r="P3" s="684"/>
      <c r="Q3" s="684"/>
      <c r="R3" s="684"/>
      <c r="S3" s="685"/>
    </row>
    <row r="4" spans="2:19" s="73" customFormat="1" ht="18" customHeight="1">
      <c r="B4" s="678" t="s">
        <v>20</v>
      </c>
      <c r="C4" s="679"/>
      <c r="D4" s="169" t="s">
        <v>161</v>
      </c>
      <c r="E4" s="182"/>
      <c r="F4" s="176">
        <f>R11</f>
        <v>333430</v>
      </c>
      <c r="G4" s="720" t="s">
        <v>325</v>
      </c>
      <c r="H4" s="721"/>
      <c r="I4" s="721"/>
      <c r="J4" s="722"/>
      <c r="K4" s="268" t="s">
        <v>226</v>
      </c>
      <c r="L4" s="269" t="s">
        <v>227</v>
      </c>
      <c r="M4" s="328" t="s">
        <v>21</v>
      </c>
      <c r="N4" s="328" t="s">
        <v>20</v>
      </c>
      <c r="O4" s="269" t="s">
        <v>226</v>
      </c>
      <c r="P4" s="269" t="s">
        <v>227</v>
      </c>
      <c r="Q4" s="328" t="s">
        <v>21</v>
      </c>
      <c r="R4" s="704" t="s">
        <v>20</v>
      </c>
      <c r="S4" s="705"/>
    </row>
    <row r="5" spans="2:19" s="73" customFormat="1" ht="18" customHeight="1">
      <c r="B5" s="678"/>
      <c r="C5" s="679"/>
      <c r="D5" s="169" t="s">
        <v>72</v>
      </c>
      <c r="E5" s="182"/>
      <c r="F5" s="176">
        <v>0</v>
      </c>
      <c r="G5" s="147"/>
      <c r="H5" s="183"/>
      <c r="I5" s="183"/>
      <c r="J5" s="183"/>
      <c r="K5" s="267">
        <v>10</v>
      </c>
      <c r="L5" s="176">
        <v>550</v>
      </c>
      <c r="M5" s="176">
        <f>'９　ブロッコリー単価算出基礎'!L20</f>
        <v>413.8</v>
      </c>
      <c r="N5" s="176">
        <f>L5*M5</f>
        <v>227590</v>
      </c>
      <c r="O5" s="176"/>
      <c r="P5" s="176"/>
      <c r="Q5" s="176"/>
      <c r="R5" s="677"/>
      <c r="S5" s="662"/>
    </row>
    <row r="6" spans="2:19" s="73" customFormat="1" ht="18" customHeight="1">
      <c r="B6" s="686" t="s">
        <v>164</v>
      </c>
      <c r="C6" s="689" t="s">
        <v>250</v>
      </c>
      <c r="D6" s="176" t="s">
        <v>46</v>
      </c>
      <c r="E6" s="184"/>
      <c r="F6" s="176">
        <f>+P13</f>
        <v>32000</v>
      </c>
      <c r="G6" s="147" t="s">
        <v>153</v>
      </c>
      <c r="H6" s="183"/>
      <c r="I6" s="183"/>
      <c r="J6" s="183"/>
      <c r="K6" s="181">
        <v>11</v>
      </c>
      <c r="L6" s="178">
        <v>300</v>
      </c>
      <c r="M6" s="176">
        <f>'９　ブロッコリー単価算出基礎'!M20</f>
        <v>352.8</v>
      </c>
      <c r="N6" s="176">
        <f>L6*M6</f>
        <v>105840</v>
      </c>
      <c r="O6" s="176"/>
      <c r="P6" s="176"/>
      <c r="Q6" s="176"/>
      <c r="R6" s="677"/>
      <c r="S6" s="662"/>
    </row>
    <row r="7" spans="2:19" s="73" customFormat="1" ht="18" customHeight="1">
      <c r="B7" s="687"/>
      <c r="C7" s="690"/>
      <c r="D7" s="176" t="s">
        <v>47</v>
      </c>
      <c r="E7" s="184"/>
      <c r="F7" s="176">
        <f>P22</f>
        <v>27815</v>
      </c>
      <c r="G7" s="654" t="s">
        <v>405</v>
      </c>
      <c r="H7" s="655"/>
      <c r="I7" s="655"/>
      <c r="J7" s="656"/>
      <c r="K7" s="179"/>
      <c r="L7" s="180"/>
      <c r="M7" s="176"/>
      <c r="N7" s="176"/>
      <c r="O7" s="176"/>
      <c r="P7" s="176"/>
      <c r="Q7" s="176"/>
      <c r="R7" s="677"/>
      <c r="S7" s="662"/>
    </row>
    <row r="8" spans="2:19" s="73" customFormat="1" ht="18" customHeight="1">
      <c r="B8" s="687"/>
      <c r="C8" s="690"/>
      <c r="D8" s="176" t="s">
        <v>48</v>
      </c>
      <c r="E8" s="184"/>
      <c r="F8" s="176">
        <f>P28</f>
        <v>14957.325000000001</v>
      </c>
      <c r="G8" s="654" t="s">
        <v>406</v>
      </c>
      <c r="H8" s="655"/>
      <c r="I8" s="655"/>
      <c r="J8" s="656"/>
      <c r="K8" s="177"/>
      <c r="L8" s="176"/>
      <c r="M8" s="176"/>
      <c r="N8" s="176"/>
      <c r="O8" s="176"/>
      <c r="P8" s="176"/>
      <c r="Q8" s="176"/>
      <c r="R8" s="677"/>
      <c r="S8" s="662"/>
    </row>
    <row r="9" spans="2:19" s="73" customFormat="1" ht="18" customHeight="1">
      <c r="B9" s="687"/>
      <c r="C9" s="690"/>
      <c r="D9" s="176" t="s">
        <v>73</v>
      </c>
      <c r="E9" s="184"/>
      <c r="F9" s="176">
        <f>P37</f>
        <v>9875.58</v>
      </c>
      <c r="G9" s="654" t="s">
        <v>407</v>
      </c>
      <c r="H9" s="655"/>
      <c r="I9" s="655"/>
      <c r="J9" s="656"/>
      <c r="K9" s="177"/>
      <c r="L9" s="176"/>
      <c r="M9" s="176"/>
      <c r="N9" s="176"/>
      <c r="O9" s="176"/>
      <c r="P9" s="176"/>
      <c r="Q9" s="176"/>
      <c r="R9" s="677"/>
      <c r="S9" s="662"/>
    </row>
    <row r="10" spans="2:19" s="73" customFormat="1" ht="18" customHeight="1">
      <c r="B10" s="687"/>
      <c r="C10" s="690"/>
      <c r="D10" s="176" t="s">
        <v>49</v>
      </c>
      <c r="E10" s="184"/>
      <c r="F10" s="176">
        <f>'８-２　ブロッコリー（夏まき）算出基礎'!V20</f>
        <v>3000</v>
      </c>
      <c r="G10" s="660"/>
      <c r="H10" s="661"/>
      <c r="I10" s="661"/>
      <c r="J10" s="662"/>
      <c r="K10" s="177"/>
      <c r="L10" s="176"/>
      <c r="M10" s="176"/>
      <c r="N10" s="176"/>
      <c r="O10" s="176"/>
      <c r="P10" s="176"/>
      <c r="Q10" s="176"/>
      <c r="R10" s="677"/>
      <c r="S10" s="662"/>
    </row>
    <row r="11" spans="2:19" s="73" customFormat="1" ht="18" customHeight="1" thickBot="1">
      <c r="B11" s="687"/>
      <c r="C11" s="690"/>
      <c r="D11" s="176" t="s">
        <v>4</v>
      </c>
      <c r="E11" s="184"/>
      <c r="F11" s="176">
        <f>'８-２　ブロッコリー（夏まき）算出基礎'!V34</f>
        <v>5800</v>
      </c>
      <c r="G11" s="660"/>
      <c r="H11" s="661"/>
      <c r="I11" s="661"/>
      <c r="J11" s="662"/>
      <c r="K11" s="94"/>
      <c r="L11" s="79"/>
      <c r="M11" s="79"/>
      <c r="N11" s="78"/>
      <c r="O11" s="80" t="s">
        <v>22</v>
      </c>
      <c r="P11" s="81">
        <f>SUM(L5:L11,P5:Q10)</f>
        <v>850</v>
      </c>
      <c r="Q11" s="82">
        <f>R11/P11</f>
        <v>392.2705882352941</v>
      </c>
      <c r="R11" s="709">
        <f>SUM(N5:N11,R5:S10)</f>
        <v>333430</v>
      </c>
      <c r="S11" s="710"/>
    </row>
    <row r="12" spans="2:19" s="73" customFormat="1" ht="18" customHeight="1" thickTop="1">
      <c r="B12" s="687"/>
      <c r="C12" s="690"/>
      <c r="D12" s="176" t="s">
        <v>5</v>
      </c>
      <c r="E12" s="184"/>
      <c r="F12" s="176">
        <v>0</v>
      </c>
      <c r="G12" s="149"/>
      <c r="H12" s="158"/>
      <c r="I12" s="158"/>
      <c r="J12" s="186"/>
      <c r="K12" s="668" t="s">
        <v>165</v>
      </c>
      <c r="L12" s="171" t="s">
        <v>125</v>
      </c>
      <c r="M12" s="330" t="s">
        <v>7</v>
      </c>
      <c r="N12" s="275" t="s">
        <v>230</v>
      </c>
      <c r="O12" s="329" t="s">
        <v>21</v>
      </c>
      <c r="P12" s="329" t="s">
        <v>24</v>
      </c>
      <c r="Q12" s="711" t="s">
        <v>25</v>
      </c>
      <c r="R12" s="712"/>
      <c r="S12" s="713"/>
    </row>
    <row r="13" spans="2:19" s="73" customFormat="1" ht="18" customHeight="1">
      <c r="B13" s="687"/>
      <c r="C13" s="690"/>
      <c r="D13" s="695" t="s">
        <v>50</v>
      </c>
      <c r="E13" s="187" t="s">
        <v>151</v>
      </c>
      <c r="F13" s="176">
        <f>'６　固定資本装備と減価償却費'!L12*'７-2　ブロッコリー（夏まき）部門収支'!H13/2</f>
        <v>5481.7607973421927</v>
      </c>
      <c r="G13" s="459" t="s">
        <v>154</v>
      </c>
      <c r="H13" s="460">
        <v>0.01</v>
      </c>
      <c r="I13" s="666" t="s">
        <v>156</v>
      </c>
      <c r="J13" s="667"/>
      <c r="K13" s="669"/>
      <c r="L13" s="320" t="s">
        <v>340</v>
      </c>
      <c r="M13" s="274" t="s">
        <v>231</v>
      </c>
      <c r="N13" s="109">
        <v>4000</v>
      </c>
      <c r="O13" s="109">
        <v>8</v>
      </c>
      <c r="P13" s="109">
        <f>N13*O13</f>
        <v>32000</v>
      </c>
      <c r="Q13" s="706" t="s">
        <v>341</v>
      </c>
      <c r="R13" s="707"/>
      <c r="S13" s="708"/>
    </row>
    <row r="14" spans="2:19" s="73" customFormat="1" ht="18" customHeight="1">
      <c r="B14" s="687"/>
      <c r="C14" s="690"/>
      <c r="D14" s="696"/>
      <c r="E14" s="187" t="s">
        <v>152</v>
      </c>
      <c r="F14" s="176">
        <f>'６　固定資本装備と減価償却費'!L30*'７-2　ブロッコリー（夏まき）部門収支'!H14/2</f>
        <v>12183.970099667775</v>
      </c>
      <c r="G14" s="459" t="s">
        <v>154</v>
      </c>
      <c r="H14" s="460">
        <v>0.05</v>
      </c>
      <c r="I14" s="666" t="s">
        <v>156</v>
      </c>
      <c r="J14" s="667"/>
      <c r="K14" s="669"/>
      <c r="L14" s="324"/>
      <c r="M14" s="170"/>
      <c r="N14" s="109"/>
      <c r="O14" s="109"/>
      <c r="P14" s="109"/>
      <c r="Q14" s="706"/>
      <c r="R14" s="707"/>
      <c r="S14" s="708"/>
    </row>
    <row r="15" spans="2:19" s="73" customFormat="1" ht="18" customHeight="1" thickBot="1">
      <c r="B15" s="687"/>
      <c r="C15" s="690"/>
      <c r="D15" s="695" t="s">
        <v>74</v>
      </c>
      <c r="E15" s="187" t="s">
        <v>151</v>
      </c>
      <c r="F15" s="176">
        <f>'６　固定資本装備と減価償却費'!P12/2</f>
        <v>22899.003322259137</v>
      </c>
      <c r="G15" s="657" t="s">
        <v>156</v>
      </c>
      <c r="H15" s="658"/>
      <c r="I15" s="658"/>
      <c r="J15" s="659"/>
      <c r="K15" s="669"/>
      <c r="L15" s="86" t="s">
        <v>26</v>
      </c>
      <c r="M15" s="85"/>
      <c r="N15" s="86"/>
      <c r="O15" s="86"/>
      <c r="P15" s="86">
        <f>SUM(P10:P14)</f>
        <v>32850</v>
      </c>
      <c r="Q15" s="671"/>
      <c r="R15" s="672"/>
      <c r="S15" s="673"/>
    </row>
    <row r="16" spans="2:19" s="73" customFormat="1" ht="18" customHeight="1" thickTop="1">
      <c r="B16" s="687"/>
      <c r="C16" s="690"/>
      <c r="D16" s="697"/>
      <c r="E16" s="187" t="s">
        <v>152</v>
      </c>
      <c r="F16" s="176">
        <f>'６　固定資本装備と減価償却費'!P30/2</f>
        <v>34975.083056478412</v>
      </c>
      <c r="G16" s="657" t="s">
        <v>156</v>
      </c>
      <c r="H16" s="658"/>
      <c r="I16" s="658"/>
      <c r="J16" s="659"/>
      <c r="K16" s="669"/>
      <c r="L16" s="165" t="s">
        <v>126</v>
      </c>
      <c r="M16" s="166"/>
      <c r="N16" s="276" t="s">
        <v>230</v>
      </c>
      <c r="O16" s="327" t="s">
        <v>21</v>
      </c>
      <c r="P16" s="168" t="s">
        <v>24</v>
      </c>
      <c r="Q16" s="674" t="s">
        <v>25</v>
      </c>
      <c r="R16" s="675"/>
      <c r="S16" s="676"/>
    </row>
    <row r="17" spans="1:19" s="73" customFormat="1" ht="18" customHeight="1">
      <c r="B17" s="687"/>
      <c r="C17" s="690"/>
      <c r="D17" s="696"/>
      <c r="E17" s="176" t="s">
        <v>51</v>
      </c>
      <c r="F17" s="176">
        <f>'６　固定資本装備と減価償却費'!P35</f>
        <v>0</v>
      </c>
      <c r="G17" s="657" t="s">
        <v>156</v>
      </c>
      <c r="H17" s="658"/>
      <c r="I17" s="658"/>
      <c r="J17" s="659"/>
      <c r="K17" s="669"/>
      <c r="L17" s="169" t="s">
        <v>132</v>
      </c>
      <c r="M17" s="170"/>
      <c r="N17" s="149" t="s">
        <v>272</v>
      </c>
      <c r="O17" s="162"/>
      <c r="P17" s="160">
        <f>'８-２　ブロッコリー（夏まき）算出基礎'!G7</f>
        <v>5000</v>
      </c>
      <c r="Q17" s="663"/>
      <c r="R17" s="664"/>
      <c r="S17" s="665"/>
    </row>
    <row r="18" spans="1:19" s="73" customFormat="1" ht="18" customHeight="1">
      <c r="A18" s="72"/>
      <c r="B18" s="687"/>
      <c r="C18" s="690"/>
      <c r="D18" s="176" t="s">
        <v>52</v>
      </c>
      <c r="E18" s="184"/>
      <c r="F18" s="176">
        <v>1500</v>
      </c>
      <c r="G18" s="149" t="s">
        <v>321</v>
      </c>
      <c r="H18" s="158"/>
      <c r="I18" s="448" t="s">
        <v>386</v>
      </c>
      <c r="J18" s="186"/>
      <c r="K18" s="669"/>
      <c r="L18" s="169" t="s">
        <v>130</v>
      </c>
      <c r="M18" s="170"/>
      <c r="N18" s="149" t="s">
        <v>272</v>
      </c>
      <c r="O18" s="162"/>
      <c r="P18" s="160">
        <f>'８-２　ブロッコリー（夏まき）算出基礎'!G11</f>
        <v>6160</v>
      </c>
      <c r="Q18" s="663"/>
      <c r="R18" s="664"/>
      <c r="S18" s="665"/>
    </row>
    <row r="19" spans="1:19" s="73" customFormat="1" ht="18" customHeight="1">
      <c r="A19" s="72"/>
      <c r="B19" s="687"/>
      <c r="C19" s="690"/>
      <c r="D19" s="176" t="s">
        <v>129</v>
      </c>
      <c r="E19" s="184"/>
      <c r="F19" s="176">
        <f>SUM(F6:F18)/99</f>
        <v>1722.0982048055305</v>
      </c>
      <c r="G19" s="188" t="s">
        <v>167</v>
      </c>
      <c r="H19" s="198">
        <v>0.01</v>
      </c>
      <c r="I19" s="325"/>
      <c r="J19" s="6"/>
      <c r="K19" s="669"/>
      <c r="L19" s="149" t="s">
        <v>131</v>
      </c>
      <c r="M19" s="158"/>
      <c r="N19" s="149" t="s">
        <v>273</v>
      </c>
      <c r="O19" s="162"/>
      <c r="P19" s="160">
        <f>'８-２　ブロッコリー（夏まき）算出基礎'!G16</f>
        <v>16655</v>
      </c>
      <c r="Q19" s="663"/>
      <c r="R19" s="664"/>
      <c r="S19" s="665"/>
    </row>
    <row r="20" spans="1:19" s="73" customFormat="1" ht="18" customHeight="1">
      <c r="A20" s="72"/>
      <c r="B20" s="687"/>
      <c r="C20" s="691"/>
      <c r="D20" s="702" t="s">
        <v>160</v>
      </c>
      <c r="E20" s="703"/>
      <c r="F20" s="107">
        <f>SUM(F6:F19)</f>
        <v>172209.82048055305</v>
      </c>
      <c r="G20" s="155"/>
      <c r="H20" s="325"/>
      <c r="I20" s="325"/>
      <c r="J20" s="326"/>
      <c r="K20" s="669"/>
      <c r="L20" s="149"/>
      <c r="M20" s="158"/>
      <c r="N20" s="149"/>
      <c r="O20" s="162"/>
      <c r="P20" s="160"/>
      <c r="Q20" s="663"/>
      <c r="R20" s="664"/>
      <c r="S20" s="665"/>
    </row>
    <row r="21" spans="1:19" s="73" customFormat="1" ht="18" customHeight="1">
      <c r="A21" s="72"/>
      <c r="B21" s="687"/>
      <c r="C21" s="692" t="s">
        <v>155</v>
      </c>
      <c r="D21" s="698" t="s">
        <v>53</v>
      </c>
      <c r="E21" s="18" t="s">
        <v>1</v>
      </c>
      <c r="F21" s="78">
        <f>P11*25</f>
        <v>21250</v>
      </c>
      <c r="G21" s="654" t="s">
        <v>343</v>
      </c>
      <c r="H21" s="655"/>
      <c r="I21" s="655"/>
      <c r="J21" s="656"/>
      <c r="K21" s="669"/>
      <c r="L21" s="149"/>
      <c r="M21" s="158"/>
      <c r="N21" s="149"/>
      <c r="O21" s="160"/>
      <c r="P21" s="160"/>
      <c r="Q21" s="663"/>
      <c r="R21" s="664"/>
      <c r="S21" s="665"/>
    </row>
    <row r="22" spans="1:19" s="73" customFormat="1" ht="18" customHeight="1" thickBot="1">
      <c r="A22" s="72"/>
      <c r="B22" s="687"/>
      <c r="C22" s="693"/>
      <c r="D22" s="604"/>
      <c r="E22" s="18" t="s">
        <v>2</v>
      </c>
      <c r="F22" s="108">
        <f>P11*35</f>
        <v>29750</v>
      </c>
      <c r="G22" s="169" t="s">
        <v>339</v>
      </c>
      <c r="H22" s="189"/>
      <c r="I22" s="189"/>
      <c r="J22" s="190"/>
      <c r="K22" s="669"/>
      <c r="L22" s="86" t="s">
        <v>26</v>
      </c>
      <c r="M22" s="85"/>
      <c r="N22" s="86"/>
      <c r="O22" s="86"/>
      <c r="P22" s="86">
        <f>SUM(P17:P21)</f>
        <v>27815</v>
      </c>
      <c r="Q22" s="671"/>
      <c r="R22" s="672"/>
      <c r="S22" s="673"/>
    </row>
    <row r="23" spans="1:19" s="73" customFormat="1" ht="18" customHeight="1" thickTop="1">
      <c r="A23" s="72"/>
      <c r="B23" s="687"/>
      <c r="C23" s="693"/>
      <c r="D23" s="699"/>
      <c r="E23" s="18" t="s">
        <v>6</v>
      </c>
      <c r="F23" s="78">
        <f>F4*0.115</f>
        <v>38344.450000000004</v>
      </c>
      <c r="G23" s="169" t="s">
        <v>300</v>
      </c>
      <c r="H23" s="322"/>
      <c r="I23" s="189"/>
      <c r="J23" s="323"/>
      <c r="K23" s="669"/>
      <c r="L23" s="149" t="s">
        <v>127</v>
      </c>
      <c r="M23" s="158"/>
      <c r="N23" s="159" t="s">
        <v>23</v>
      </c>
      <c r="O23" s="159" t="s">
        <v>21</v>
      </c>
      <c r="P23" s="159" t="s">
        <v>24</v>
      </c>
      <c r="Q23" s="674" t="s">
        <v>25</v>
      </c>
      <c r="R23" s="675"/>
      <c r="S23" s="676"/>
    </row>
    <row r="24" spans="1:19" s="73" customFormat="1" ht="18" customHeight="1">
      <c r="A24" s="72"/>
      <c r="B24" s="687"/>
      <c r="C24" s="693"/>
      <c r="D24" s="18" t="s">
        <v>234</v>
      </c>
      <c r="E24" s="25"/>
      <c r="F24" s="108">
        <v>0</v>
      </c>
      <c r="G24" s="169"/>
      <c r="H24" s="192"/>
      <c r="I24" s="193"/>
      <c r="J24" s="191"/>
      <c r="K24" s="669"/>
      <c r="L24" s="160" t="s">
        <v>27</v>
      </c>
      <c r="M24" s="158"/>
      <c r="N24" s="149" t="s">
        <v>308</v>
      </c>
      <c r="O24" s="160"/>
      <c r="P24" s="160">
        <f>'８-２　ブロッコリー（夏まき）算出基礎'!G38</f>
        <v>8325.5500000000011</v>
      </c>
      <c r="Q24" s="663"/>
      <c r="R24" s="664"/>
      <c r="S24" s="665"/>
    </row>
    <row r="25" spans="1:19" s="73" customFormat="1" ht="18" customHeight="1">
      <c r="A25" s="72"/>
      <c r="B25" s="687"/>
      <c r="C25" s="693"/>
      <c r="D25" s="18" t="s">
        <v>75</v>
      </c>
      <c r="E25" s="25"/>
      <c r="F25" s="108">
        <v>0</v>
      </c>
      <c r="G25" s="169"/>
      <c r="H25" s="194"/>
      <c r="I25" s="195"/>
      <c r="J25" s="196"/>
      <c r="K25" s="669"/>
      <c r="L25" s="160" t="s">
        <v>28</v>
      </c>
      <c r="M25" s="158"/>
      <c r="N25" s="149" t="s">
        <v>308</v>
      </c>
      <c r="O25" s="160"/>
      <c r="P25" s="160">
        <f>'８-２　ブロッコリー（夏まき）算出基礎'!G49</f>
        <v>5532.2750000000005</v>
      </c>
      <c r="Q25" s="663"/>
      <c r="R25" s="664"/>
      <c r="S25" s="665"/>
    </row>
    <row r="26" spans="1:19" s="73" customFormat="1" ht="18" customHeight="1">
      <c r="A26" s="72"/>
      <c r="B26" s="687"/>
      <c r="C26" s="693"/>
      <c r="D26" s="18" t="s">
        <v>95</v>
      </c>
      <c r="E26" s="19"/>
      <c r="F26" s="108">
        <f>'８-２　ブロッコリー（夏まき）算出基礎'!V57</f>
        <v>134.88372093023256</v>
      </c>
      <c r="G26" s="660"/>
      <c r="H26" s="661"/>
      <c r="I26" s="661"/>
      <c r="J26" s="662"/>
      <c r="K26" s="669"/>
      <c r="L26" s="160" t="s">
        <v>29</v>
      </c>
      <c r="M26" s="158"/>
      <c r="N26" s="149" t="s">
        <v>272</v>
      </c>
      <c r="O26" s="160"/>
      <c r="P26" s="160">
        <f>'８-２　ブロッコリー（夏まき）算出基礎'!G53</f>
        <v>1099.5</v>
      </c>
      <c r="Q26" s="663"/>
      <c r="R26" s="664"/>
      <c r="S26" s="665"/>
    </row>
    <row r="27" spans="1:19" s="73" customFormat="1" ht="18" customHeight="1">
      <c r="A27" s="72"/>
      <c r="B27" s="687"/>
      <c r="C27" s="693"/>
      <c r="D27" s="26" t="s">
        <v>76</v>
      </c>
      <c r="E27" s="27"/>
      <c r="F27" s="197">
        <v>0</v>
      </c>
      <c r="G27" s="149"/>
      <c r="H27" s="194"/>
      <c r="I27" s="195"/>
      <c r="J27" s="191"/>
      <c r="K27" s="669"/>
      <c r="L27" s="457" t="s">
        <v>106</v>
      </c>
      <c r="M27" s="458"/>
      <c r="N27" s="457" t="s">
        <v>274</v>
      </c>
      <c r="O27" s="457"/>
      <c r="P27" s="457">
        <f>'８-１　ブロッコリー（春まき）算出基礎'!G57</f>
        <v>0</v>
      </c>
      <c r="Q27" s="663"/>
      <c r="R27" s="664"/>
      <c r="S27" s="665"/>
    </row>
    <row r="28" spans="1:19" s="73" customFormat="1" ht="18" customHeight="1" thickBot="1">
      <c r="A28" s="72"/>
      <c r="B28" s="687"/>
      <c r="C28" s="693"/>
      <c r="D28" s="18" t="s">
        <v>54</v>
      </c>
      <c r="E28" s="19"/>
      <c r="F28" s="108">
        <f>'８-１　ブロッコリー（春まき）算出基礎'!N57</f>
        <v>4634.4850498338865</v>
      </c>
      <c r="G28" s="660"/>
      <c r="H28" s="661"/>
      <c r="I28" s="661"/>
      <c r="J28" s="662"/>
      <c r="K28" s="669"/>
      <c r="L28" s="86" t="s">
        <v>26</v>
      </c>
      <c r="M28" s="85"/>
      <c r="N28" s="86"/>
      <c r="O28" s="86"/>
      <c r="P28" s="86">
        <f>SUM(P24:P27)</f>
        <v>14957.325000000001</v>
      </c>
      <c r="Q28" s="671"/>
      <c r="R28" s="672"/>
      <c r="S28" s="673"/>
    </row>
    <row r="29" spans="1:19" s="73" customFormat="1" ht="18" customHeight="1" thickTop="1">
      <c r="A29" s="72"/>
      <c r="B29" s="687"/>
      <c r="C29" s="693"/>
      <c r="D29" s="18" t="s">
        <v>235</v>
      </c>
      <c r="E29" s="25"/>
      <c r="F29" s="108">
        <f>SUM(F21:F28)/99</f>
        <v>950.64463404812261</v>
      </c>
      <c r="G29" s="298" t="s">
        <v>251</v>
      </c>
      <c r="H29" s="198">
        <v>0.01</v>
      </c>
      <c r="I29" s="157"/>
      <c r="J29" s="156"/>
      <c r="K29" s="669"/>
      <c r="L29" s="149" t="s">
        <v>128</v>
      </c>
      <c r="M29" s="158"/>
      <c r="N29" s="159" t="s">
        <v>23</v>
      </c>
      <c r="O29" s="159" t="s">
        <v>21</v>
      </c>
      <c r="P29" s="159" t="s">
        <v>24</v>
      </c>
      <c r="Q29" s="674" t="s">
        <v>25</v>
      </c>
      <c r="R29" s="675"/>
      <c r="S29" s="676"/>
    </row>
    <row r="30" spans="1:19" s="73" customFormat="1" ht="18" customHeight="1" thickBot="1">
      <c r="A30" s="72"/>
      <c r="B30" s="688"/>
      <c r="C30" s="694"/>
      <c r="D30" s="700" t="s">
        <v>159</v>
      </c>
      <c r="E30" s="701"/>
      <c r="F30" s="150">
        <f>SUM(F21:F29)</f>
        <v>95064.463404812253</v>
      </c>
      <c r="G30" s="151"/>
      <c r="H30" s="152"/>
      <c r="I30" s="153"/>
      <c r="J30" s="154"/>
      <c r="K30" s="669"/>
      <c r="L30" s="160" t="s">
        <v>118</v>
      </c>
      <c r="M30" s="161"/>
      <c r="N30" s="149" t="s">
        <v>309</v>
      </c>
      <c r="O30" s="162">
        <f>'８-２　ブロッコリー（夏まき）算出基礎'!M6</f>
        <v>84.7</v>
      </c>
      <c r="P30" s="160">
        <f>'８-２　ブロッコリー（夏まき）算出基礎'!N10</f>
        <v>3557.3999999999996</v>
      </c>
      <c r="Q30" s="717"/>
      <c r="R30" s="718"/>
      <c r="S30" s="719"/>
    </row>
    <row r="31" spans="1:19" s="73" customFormat="1" ht="18" customHeight="1">
      <c r="A31" s="72"/>
      <c r="B31" s="96"/>
      <c r="C31" s="92"/>
      <c r="D31" s="92"/>
      <c r="E31" s="92"/>
      <c r="F31" s="92"/>
      <c r="G31" s="92"/>
      <c r="H31" s="92"/>
      <c r="I31" s="92"/>
      <c r="J31" s="92"/>
      <c r="K31" s="669"/>
      <c r="L31" s="160" t="s">
        <v>119</v>
      </c>
      <c r="M31" s="161"/>
      <c r="N31" s="149" t="s">
        <v>307</v>
      </c>
      <c r="O31" s="162">
        <f>'８-２　ブロッコリー（夏まき）算出基礎'!M11</f>
        <v>158.4</v>
      </c>
      <c r="P31" s="160">
        <f>'８-２　ブロッコリー（夏まき）算出基礎'!N16</f>
        <v>4039.2000000000007</v>
      </c>
      <c r="Q31" s="717"/>
      <c r="R31" s="718"/>
      <c r="S31" s="719"/>
    </row>
    <row r="32" spans="1:19" s="73" customFormat="1" ht="18" customHeight="1">
      <c r="A32" s="72"/>
      <c r="B32" s="84"/>
      <c r="C32" s="102"/>
      <c r="D32" s="84"/>
      <c r="E32" s="84"/>
      <c r="F32" s="100"/>
      <c r="G32" s="100"/>
      <c r="H32" s="101"/>
      <c r="I32" s="92"/>
      <c r="J32" s="92"/>
      <c r="K32" s="669"/>
      <c r="L32" s="160" t="s">
        <v>121</v>
      </c>
      <c r="M32" s="158"/>
      <c r="N32" s="162"/>
      <c r="O32" s="162"/>
      <c r="P32" s="160">
        <f>SUM(P30:P31)*R32</f>
        <v>2278.98</v>
      </c>
      <c r="Q32" s="321" t="s">
        <v>120</v>
      </c>
      <c r="R32" s="164">
        <v>0.3</v>
      </c>
      <c r="S32" s="89"/>
    </row>
    <row r="33" spans="1:23" ht="18" customHeight="1">
      <c r="K33" s="669"/>
      <c r="L33" s="160" t="s">
        <v>122</v>
      </c>
      <c r="M33" s="161"/>
      <c r="N33" s="149"/>
      <c r="O33" s="162"/>
      <c r="P33" s="160">
        <f>'８-１　ブロッコリー（春まき）算出基礎'!N19</f>
        <v>0</v>
      </c>
      <c r="Q33" s="663"/>
      <c r="R33" s="664"/>
      <c r="S33" s="665"/>
    </row>
    <row r="34" spans="1:23" ht="18" customHeight="1">
      <c r="K34" s="669"/>
      <c r="L34" s="160" t="s">
        <v>123</v>
      </c>
      <c r="M34" s="161"/>
      <c r="N34" s="149"/>
      <c r="O34" s="162"/>
      <c r="P34" s="160">
        <f>'８-１　ブロッコリー（春まき）算出基礎'!N23</f>
        <v>0</v>
      </c>
      <c r="Q34" s="663"/>
      <c r="R34" s="664"/>
      <c r="S34" s="665"/>
    </row>
    <row r="35" spans="1:23" ht="18" customHeight="1">
      <c r="K35" s="669"/>
      <c r="L35" s="160" t="s">
        <v>232</v>
      </c>
      <c r="M35" s="161"/>
      <c r="N35" s="149"/>
      <c r="O35" s="162"/>
      <c r="P35" s="160">
        <f>'８-１　ブロッコリー（春まき）算出基礎'!N27</f>
        <v>0</v>
      </c>
      <c r="Q35" s="280"/>
      <c r="R35" s="281"/>
      <c r="S35" s="282"/>
    </row>
    <row r="36" spans="1:23" ht="18" customHeight="1">
      <c r="K36" s="669"/>
      <c r="L36" s="160" t="s">
        <v>124</v>
      </c>
      <c r="M36" s="158"/>
      <c r="N36" s="149"/>
      <c r="O36" s="162"/>
      <c r="P36" s="160">
        <f>'８-１　ブロッコリー（春まき）算出基礎'!N31</f>
        <v>0</v>
      </c>
      <c r="Q36" s="663"/>
      <c r="R36" s="664"/>
      <c r="S36" s="665"/>
    </row>
    <row r="37" spans="1:23" ht="18" customHeight="1" thickBot="1">
      <c r="K37" s="670"/>
      <c r="L37" s="98" t="s">
        <v>26</v>
      </c>
      <c r="M37" s="97"/>
      <c r="N37" s="98"/>
      <c r="O37" s="98"/>
      <c r="P37" s="98">
        <f>SUM(P30:P36)</f>
        <v>9875.58</v>
      </c>
      <c r="Q37" s="714"/>
      <c r="R37" s="715"/>
      <c r="S37" s="716"/>
    </row>
    <row r="38" spans="1:23" s="91" customFormat="1" ht="18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23" s="91" customFormat="1" ht="18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T39" s="92"/>
    </row>
    <row r="40" spans="1:23" s="91" customFormat="1" ht="18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T40" s="73"/>
      <c r="U40" s="73"/>
      <c r="V40" s="73"/>
      <c r="W40" s="73"/>
    </row>
    <row r="41" spans="1:23" s="91" customFormat="1" ht="18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T41" s="93"/>
      <c r="U41" s="94"/>
      <c r="V41" s="95"/>
      <c r="W41" s="93"/>
    </row>
    <row r="42" spans="1:23" s="91" customFormat="1" ht="18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T42" s="73"/>
      <c r="U42" s="73"/>
      <c r="V42" s="73"/>
      <c r="W42" s="73"/>
    </row>
    <row r="43" spans="1:23" s="91" customFormat="1" ht="18" customHeight="1">
      <c r="B43" s="72"/>
      <c r="C43" s="72"/>
      <c r="D43" s="72"/>
      <c r="E43" s="72"/>
      <c r="F43" s="72"/>
      <c r="G43" s="72"/>
      <c r="H43" s="72"/>
      <c r="I43" s="72"/>
      <c r="J43" s="72"/>
      <c r="T43" s="74"/>
      <c r="U43" s="92"/>
      <c r="V43" s="73"/>
      <c r="W43" s="93"/>
    </row>
    <row r="44" spans="1:23" s="91" customFormat="1" ht="18" customHeight="1">
      <c r="B44" s="72"/>
      <c r="C44" s="72"/>
      <c r="D44" s="72"/>
      <c r="E44" s="72"/>
      <c r="F44" s="72"/>
      <c r="G44" s="72"/>
      <c r="H44" s="72"/>
      <c r="I44" s="72"/>
      <c r="J44" s="72"/>
      <c r="T44" s="74"/>
      <c r="U44" s="92"/>
      <c r="V44" s="73"/>
      <c r="W44" s="93"/>
    </row>
    <row r="45" spans="1:23" s="91" customFormat="1" ht="18" customHeight="1">
      <c r="B45" s="72"/>
      <c r="C45" s="72"/>
      <c r="D45" s="72"/>
      <c r="E45" s="72"/>
      <c r="F45" s="72"/>
      <c r="G45" s="72"/>
      <c r="H45" s="72"/>
      <c r="I45" s="72"/>
      <c r="J45" s="72"/>
      <c r="T45" s="73"/>
      <c r="U45" s="73"/>
      <c r="V45" s="94"/>
      <c r="W45" s="73"/>
    </row>
    <row r="46" spans="1:23" s="91" customFormat="1">
      <c r="B46" s="72"/>
      <c r="C46" s="72"/>
      <c r="D46" s="72"/>
      <c r="E46" s="72"/>
      <c r="F46" s="72"/>
      <c r="G46" s="72"/>
      <c r="H46" s="72"/>
      <c r="I46" s="72"/>
      <c r="J46" s="72"/>
      <c r="T46" s="74"/>
      <c r="U46" s="73"/>
      <c r="V46" s="73"/>
      <c r="W46" s="93"/>
    </row>
    <row r="47" spans="1:23" s="91" customFormat="1">
      <c r="B47" s="72"/>
      <c r="C47" s="72"/>
      <c r="D47" s="72"/>
      <c r="E47" s="72"/>
      <c r="F47" s="72"/>
      <c r="G47" s="72"/>
      <c r="H47" s="72"/>
      <c r="I47" s="72"/>
      <c r="J47" s="72"/>
      <c r="T47" s="74"/>
      <c r="U47" s="73"/>
      <c r="V47" s="73"/>
      <c r="W47" s="93"/>
    </row>
    <row r="48" spans="1:23" s="91" customFormat="1">
      <c r="B48" s="72"/>
      <c r="C48" s="72"/>
      <c r="D48" s="72"/>
      <c r="E48" s="72"/>
      <c r="F48" s="72"/>
      <c r="G48" s="72"/>
      <c r="H48" s="72"/>
      <c r="I48" s="72"/>
      <c r="J48" s="72"/>
      <c r="T48" s="74"/>
      <c r="U48" s="73"/>
      <c r="V48" s="73"/>
      <c r="W48" s="93"/>
    </row>
    <row r="49" spans="2:23" s="91" customFormat="1">
      <c r="B49" s="72"/>
      <c r="C49" s="72"/>
      <c r="D49" s="72"/>
      <c r="E49" s="72"/>
      <c r="F49" s="72"/>
      <c r="G49" s="72"/>
      <c r="H49" s="72"/>
      <c r="I49" s="72"/>
      <c r="J49" s="72"/>
      <c r="T49" s="74"/>
      <c r="U49" s="73"/>
      <c r="V49" s="73"/>
      <c r="W49" s="93"/>
    </row>
    <row r="50" spans="2:23" s="91" customFormat="1">
      <c r="B50" s="72"/>
      <c r="C50" s="72"/>
      <c r="D50" s="72"/>
      <c r="E50" s="72"/>
      <c r="F50" s="72"/>
      <c r="G50" s="72"/>
      <c r="H50" s="72"/>
      <c r="I50" s="72"/>
      <c r="J50" s="72"/>
      <c r="T50" s="74"/>
      <c r="U50" s="74"/>
      <c r="V50" s="74"/>
      <c r="W50" s="73"/>
    </row>
    <row r="51" spans="2:23" s="91" customFormat="1" ht="13.5" customHeight="1">
      <c r="B51" s="72"/>
      <c r="C51" s="72"/>
      <c r="D51" s="72"/>
      <c r="E51" s="72"/>
      <c r="F51" s="72"/>
      <c r="G51" s="72"/>
      <c r="H51" s="72"/>
      <c r="I51" s="72"/>
      <c r="J51" s="72"/>
      <c r="T51" s="73"/>
      <c r="U51" s="73"/>
      <c r="V51" s="73"/>
      <c r="W51" s="94"/>
    </row>
    <row r="52" spans="2:23" s="91" customFormat="1">
      <c r="B52" s="72"/>
      <c r="C52" s="72"/>
      <c r="D52" s="72"/>
      <c r="E52" s="72"/>
      <c r="F52" s="72"/>
      <c r="G52" s="72"/>
      <c r="H52" s="72"/>
      <c r="I52" s="72"/>
      <c r="J52" s="72"/>
      <c r="T52" s="93"/>
      <c r="U52" s="73"/>
      <c r="V52" s="94"/>
      <c r="W52" s="93"/>
    </row>
    <row r="53" spans="2:23" s="91" customFormat="1">
      <c r="B53" s="72"/>
      <c r="C53" s="72"/>
      <c r="D53" s="72"/>
      <c r="E53" s="72"/>
      <c r="F53" s="72"/>
      <c r="G53" s="72"/>
      <c r="H53" s="72"/>
      <c r="I53" s="72"/>
      <c r="J53" s="72"/>
      <c r="T53" s="73"/>
      <c r="U53" s="73"/>
      <c r="V53" s="73"/>
      <c r="W53" s="73"/>
    </row>
    <row r="54" spans="2:23" s="91" customFormat="1" ht="13.5" customHeight="1">
      <c r="B54" s="72"/>
      <c r="C54" s="72"/>
      <c r="D54" s="72"/>
      <c r="E54" s="72"/>
      <c r="F54" s="72"/>
      <c r="G54" s="72"/>
      <c r="H54" s="72"/>
      <c r="I54" s="72"/>
      <c r="J54" s="72"/>
      <c r="T54" s="74"/>
      <c r="U54" s="73"/>
      <c r="V54" s="74"/>
      <c r="W54" s="93"/>
    </row>
    <row r="55" spans="2:23" s="91" customFormat="1">
      <c r="B55" s="72"/>
      <c r="C55" s="72"/>
      <c r="D55" s="72"/>
      <c r="E55" s="72"/>
      <c r="F55" s="72"/>
      <c r="G55" s="72"/>
      <c r="H55" s="72"/>
      <c r="I55" s="72"/>
      <c r="J55" s="72"/>
      <c r="T55" s="103"/>
      <c r="U55" s="73"/>
      <c r="V55" s="73"/>
      <c r="W55" s="93"/>
    </row>
    <row r="56" spans="2:23" s="91" customFormat="1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3"/>
      <c r="U56" s="74"/>
      <c r="V56" s="73"/>
      <c r="W56" s="73"/>
    </row>
    <row r="57" spans="2:23" s="91" customFormat="1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92"/>
      <c r="U57" s="92"/>
      <c r="V57" s="92"/>
      <c r="W57" s="92"/>
    </row>
    <row r="58" spans="2:23" s="91" customFormat="1"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92"/>
    </row>
    <row r="59" spans="2:23" s="91" customFormat="1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92"/>
    </row>
    <row r="60" spans="2:23" s="91" customFormat="1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92"/>
    </row>
    <row r="61" spans="2:23" s="91" customFormat="1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</row>
    <row r="62" spans="2:23" s="91" customFormat="1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2:23" s="91" customFormat="1" ht="13.5" customHeight="1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2:23" s="91" customFormat="1" ht="13.5" customHeight="1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2:19" s="91" customFormat="1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2:19" s="91" customFormat="1"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  <row r="67" spans="2:19" s="91" customFormat="1"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spans="2:19" s="91" customFormat="1" ht="13.5" customHeight="1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</row>
    <row r="69" spans="2:19" s="91" customFormat="1"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</row>
    <row r="70" spans="2:19" s="91" customFormat="1"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</row>
    <row r="71" spans="2:19" s="91" customFormat="1"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</row>
    <row r="72" spans="2:19" s="91" customFormat="1"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</row>
    <row r="73" spans="2:19" s="91" customFormat="1"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</row>
    <row r="74" spans="2:19" s="91" customFormat="1" ht="13.5" customHeight="1"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</row>
    <row r="75" spans="2:19" s="91" customFormat="1"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</row>
    <row r="76" spans="2:19" s="91" customFormat="1"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2:19" s="91" customFormat="1"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2:19" s="91" customFormat="1"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2:19" s="91" customFormat="1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2:19" s="91" customFormat="1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 s="91" customFormat="1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 s="91" customFormat="1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 s="91" customFormat="1"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 s="91" customFormat="1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 s="91" customFormat="1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</row>
    <row r="86" spans="1:19" s="91" customFormat="1" ht="13.5" customHeight="1"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1:19" s="91" customFormat="1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</row>
    <row r="88" spans="1:19" s="91" customFormat="1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1:19" s="91" customFormat="1" ht="13.5" customHeight="1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</row>
    <row r="90" spans="1:19" s="91" customFormat="1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1:19" s="91" customFormat="1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1:19" s="91" customFormat="1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1:19" s="91" customFormat="1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</row>
    <row r="94" spans="1:19" s="91" customFormat="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</row>
    <row r="95" spans="1:19">
      <c r="A95" s="91"/>
    </row>
    <row r="96" spans="1:19">
      <c r="A96" s="91"/>
    </row>
    <row r="97" spans="1:1">
      <c r="A97" s="91"/>
    </row>
    <row r="98" spans="1:1">
      <c r="A98" s="91"/>
    </row>
    <row r="99" spans="1:1">
      <c r="A99" s="91"/>
    </row>
  </sheetData>
  <mergeCells count="58">
    <mergeCell ref="Q31:S31"/>
    <mergeCell ref="Q33:S33"/>
    <mergeCell ref="Q34:S34"/>
    <mergeCell ref="Q36:S36"/>
    <mergeCell ref="Q37:S37"/>
    <mergeCell ref="C21:C30"/>
    <mergeCell ref="D21:D23"/>
    <mergeCell ref="Q21:S21"/>
    <mergeCell ref="Q22:S22"/>
    <mergeCell ref="Q23:S23"/>
    <mergeCell ref="Q24:S24"/>
    <mergeCell ref="Q25:S25"/>
    <mergeCell ref="G26:J26"/>
    <mergeCell ref="Q27:S27"/>
    <mergeCell ref="G28:J28"/>
    <mergeCell ref="Q28:S28"/>
    <mergeCell ref="Q29:S29"/>
    <mergeCell ref="D30:E30"/>
    <mergeCell ref="Q30:S30"/>
    <mergeCell ref="Q18:S18"/>
    <mergeCell ref="Q19:S19"/>
    <mergeCell ref="Q26:S26"/>
    <mergeCell ref="D13:D14"/>
    <mergeCell ref="I13:J13"/>
    <mergeCell ref="Q13:S13"/>
    <mergeCell ref="I14:J14"/>
    <mergeCell ref="Q14:S14"/>
    <mergeCell ref="D20:E20"/>
    <mergeCell ref="Q20:S20"/>
    <mergeCell ref="G21:J21"/>
    <mergeCell ref="B3:E3"/>
    <mergeCell ref="K3:S3"/>
    <mergeCell ref="B4:C5"/>
    <mergeCell ref="R4:S4"/>
    <mergeCell ref="R5:S5"/>
    <mergeCell ref="G4:J4"/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G7:J7"/>
    <mergeCell ref="G8:J8"/>
    <mergeCell ref="G9:J9"/>
    <mergeCell ref="G15:J15"/>
    <mergeCell ref="G17:J17"/>
    <mergeCell ref="G16:J16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38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04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2" ht="9.9499999999999993" customHeight="1"/>
    <row r="2" spans="2:22" ht="24.95" customHeight="1">
      <c r="B2" s="29" t="s">
        <v>388</v>
      </c>
      <c r="C2" s="31"/>
      <c r="D2" s="5"/>
      <c r="E2" s="5"/>
      <c r="F2" s="31"/>
      <c r="G2" s="73"/>
      <c r="H2" s="83"/>
      <c r="I2" s="73"/>
      <c r="J2" s="73"/>
      <c r="K2" s="73"/>
      <c r="L2" s="73"/>
      <c r="M2" s="73"/>
      <c r="N2" s="73"/>
      <c r="O2" s="5"/>
    </row>
    <row r="3" spans="2:22" ht="15" customHeight="1" thickBot="1">
      <c r="B3" s="29" t="s">
        <v>162</v>
      </c>
      <c r="I3" s="5" t="s">
        <v>163</v>
      </c>
      <c r="P3" s="138" t="s">
        <v>182</v>
      </c>
    </row>
    <row r="4" spans="2:22" ht="15" customHeight="1">
      <c r="B4" s="217" t="s">
        <v>71</v>
      </c>
      <c r="C4" s="124" t="s">
        <v>138</v>
      </c>
      <c r="D4" s="124" t="s">
        <v>108</v>
      </c>
      <c r="E4" s="124" t="s">
        <v>109</v>
      </c>
      <c r="F4" s="124" t="s">
        <v>21</v>
      </c>
      <c r="G4" s="112" t="s">
        <v>110</v>
      </c>
      <c r="H4" s="125"/>
      <c r="I4" s="756" t="s">
        <v>71</v>
      </c>
      <c r="J4" s="752" t="s">
        <v>141</v>
      </c>
      <c r="K4" s="130" t="s">
        <v>276</v>
      </c>
      <c r="L4" s="130" t="s">
        <v>111</v>
      </c>
      <c r="M4" s="752" t="s">
        <v>21</v>
      </c>
      <c r="N4" s="754" t="s">
        <v>110</v>
      </c>
      <c r="O4" s="148"/>
      <c r="P4" s="218" t="s">
        <v>144</v>
      </c>
      <c r="Q4" s="219" t="s">
        <v>145</v>
      </c>
      <c r="R4" s="219" t="s">
        <v>146</v>
      </c>
      <c r="S4" s="219" t="s">
        <v>147</v>
      </c>
      <c r="T4" s="758" t="s">
        <v>148</v>
      </c>
      <c r="U4" s="682"/>
      <c r="V4" s="220" t="s">
        <v>149</v>
      </c>
    </row>
    <row r="5" spans="2:22" ht="15" customHeight="1">
      <c r="B5" s="645" t="s">
        <v>132</v>
      </c>
      <c r="C5" s="28" t="s">
        <v>331</v>
      </c>
      <c r="D5" s="28">
        <v>1</v>
      </c>
      <c r="E5" s="35" t="s">
        <v>136</v>
      </c>
      <c r="F5" s="28">
        <v>5000</v>
      </c>
      <c r="G5" s="113">
        <f t="shared" ref="G5:G6" si="0">D5*F5</f>
        <v>5000</v>
      </c>
      <c r="H5" s="126"/>
      <c r="I5" s="757"/>
      <c r="J5" s="753"/>
      <c r="K5" s="132" t="s">
        <v>113</v>
      </c>
      <c r="L5" s="132" t="s">
        <v>277</v>
      </c>
      <c r="M5" s="753"/>
      <c r="N5" s="755"/>
      <c r="O5" s="148"/>
      <c r="P5" s="221" t="s">
        <v>294</v>
      </c>
      <c r="Q5" s="110">
        <v>1</v>
      </c>
      <c r="R5" s="146" t="s">
        <v>116</v>
      </c>
      <c r="S5" s="110">
        <v>18000</v>
      </c>
      <c r="T5" s="743">
        <v>3</v>
      </c>
      <c r="U5" s="744"/>
      <c r="V5" s="141">
        <f>Q5*S5/T5*10/20</f>
        <v>3000</v>
      </c>
    </row>
    <row r="6" spans="2:22" ht="15" customHeight="1">
      <c r="B6" s="646"/>
      <c r="C6" s="28"/>
      <c r="D6" s="28"/>
      <c r="E6" s="35"/>
      <c r="F6" s="28"/>
      <c r="G6" s="114">
        <f t="shared" si="0"/>
        <v>0</v>
      </c>
      <c r="H6" s="126"/>
      <c r="I6" s="759" t="s">
        <v>140</v>
      </c>
      <c r="J6" s="28" t="s">
        <v>305</v>
      </c>
      <c r="K6" s="133">
        <v>4</v>
      </c>
      <c r="L6" s="133">
        <v>3.5</v>
      </c>
      <c r="M6" s="133">
        <v>84.7</v>
      </c>
      <c r="N6" s="114">
        <f>K6*L6*M6</f>
        <v>1185.8</v>
      </c>
      <c r="O6" s="148"/>
      <c r="P6" s="221"/>
      <c r="Q6" s="110"/>
      <c r="R6" s="146"/>
      <c r="S6" s="110"/>
      <c r="T6" s="743"/>
      <c r="U6" s="744"/>
      <c r="V6" s="352"/>
    </row>
    <row r="7" spans="2:22" ht="15" customHeight="1" thickBot="1">
      <c r="B7" s="740"/>
      <c r="C7" s="115" t="s">
        <v>114</v>
      </c>
      <c r="D7" s="115"/>
      <c r="E7" s="115"/>
      <c r="F7" s="115"/>
      <c r="G7" s="116">
        <f>SUM(G5:G6)</f>
        <v>5000</v>
      </c>
      <c r="H7" s="126"/>
      <c r="I7" s="646"/>
      <c r="J7" s="28" t="s">
        <v>306</v>
      </c>
      <c r="K7" s="133">
        <v>8</v>
      </c>
      <c r="L7" s="133">
        <v>3.5</v>
      </c>
      <c r="M7" s="133">
        <v>84.7</v>
      </c>
      <c r="N7" s="114">
        <f t="shared" ref="N7:N9" si="1">K7*L7*M7</f>
        <v>2371.6</v>
      </c>
      <c r="O7" s="148"/>
      <c r="P7" s="221"/>
      <c r="Q7" s="110"/>
      <c r="R7" s="146"/>
      <c r="S7" s="110"/>
      <c r="T7" s="743"/>
      <c r="U7" s="744"/>
      <c r="V7" s="141"/>
    </row>
    <row r="8" spans="2:22" ht="15" customHeight="1" thickTop="1">
      <c r="B8" s="741" t="s">
        <v>130</v>
      </c>
      <c r="C8" s="28" t="s">
        <v>412</v>
      </c>
      <c r="D8" s="28">
        <v>7</v>
      </c>
      <c r="E8" s="35" t="s">
        <v>112</v>
      </c>
      <c r="F8" s="28">
        <v>880</v>
      </c>
      <c r="G8" s="114">
        <f>D8*F8</f>
        <v>6160</v>
      </c>
      <c r="H8" s="126"/>
      <c r="I8" s="646"/>
      <c r="J8" s="28"/>
      <c r="K8" s="133"/>
      <c r="L8" s="133"/>
      <c r="M8" s="133"/>
      <c r="N8" s="114">
        <f t="shared" si="1"/>
        <v>0</v>
      </c>
      <c r="O8" s="148"/>
      <c r="P8" s="221"/>
      <c r="Q8" s="110"/>
      <c r="R8" s="146"/>
      <c r="S8" s="110"/>
      <c r="T8" s="743"/>
      <c r="U8" s="744"/>
      <c r="V8" s="141"/>
    </row>
    <row r="9" spans="2:22" ht="15" customHeight="1">
      <c r="B9" s="646"/>
      <c r="C9" s="28"/>
      <c r="D9" s="28"/>
      <c r="E9" s="35"/>
      <c r="F9" s="28"/>
      <c r="G9" s="114">
        <f>D9*F9</f>
        <v>0</v>
      </c>
      <c r="H9" s="126"/>
      <c r="I9" s="646"/>
      <c r="J9" s="28"/>
      <c r="K9" s="133"/>
      <c r="L9" s="133"/>
      <c r="M9" s="133"/>
      <c r="N9" s="114">
        <f t="shared" si="1"/>
        <v>0</v>
      </c>
      <c r="O9" s="148"/>
      <c r="P9" s="221"/>
      <c r="Q9" s="110"/>
      <c r="R9" s="146"/>
      <c r="S9" s="110"/>
      <c r="T9" s="743"/>
      <c r="U9" s="744"/>
      <c r="V9" s="141"/>
    </row>
    <row r="10" spans="2:22" ht="15" customHeight="1" thickBot="1">
      <c r="B10" s="646"/>
      <c r="C10" s="28"/>
      <c r="D10" s="28"/>
      <c r="E10" s="35"/>
      <c r="F10" s="28"/>
      <c r="G10" s="114">
        <f>D10*F10</f>
        <v>0</v>
      </c>
      <c r="H10" s="126"/>
      <c r="I10" s="740"/>
      <c r="J10" s="222" t="s">
        <v>186</v>
      </c>
      <c r="K10" s="134">
        <f t="shared" ref="K10" si="2">SUM(K6:K9)</f>
        <v>12</v>
      </c>
      <c r="L10" s="134">
        <f>AVERAGE(L6:L9)</f>
        <v>3.5</v>
      </c>
      <c r="M10" s="134"/>
      <c r="N10" s="129">
        <f>SUM(N6:N9)</f>
        <v>3557.3999999999996</v>
      </c>
      <c r="O10" s="148"/>
      <c r="P10" s="221"/>
      <c r="Q10" s="110"/>
      <c r="R10" s="146"/>
      <c r="S10" s="110"/>
      <c r="T10" s="743"/>
      <c r="U10" s="744"/>
      <c r="V10" s="141"/>
    </row>
    <row r="11" spans="2:22" ht="15" customHeight="1" thickTop="1" thickBot="1">
      <c r="B11" s="740"/>
      <c r="C11" s="117" t="s">
        <v>115</v>
      </c>
      <c r="D11" s="118"/>
      <c r="E11" s="118"/>
      <c r="F11" s="118"/>
      <c r="G11" s="119">
        <f>SUM(G8:G10)</f>
        <v>6160</v>
      </c>
      <c r="H11" s="126"/>
      <c r="I11" s="741" t="s">
        <v>187</v>
      </c>
      <c r="J11" s="28" t="s">
        <v>301</v>
      </c>
      <c r="K11" s="133">
        <v>3</v>
      </c>
      <c r="L11" s="133">
        <v>1</v>
      </c>
      <c r="M11" s="133">
        <v>158.4</v>
      </c>
      <c r="N11" s="114">
        <f>K11*L11*M11</f>
        <v>475.20000000000005</v>
      </c>
      <c r="O11" s="148"/>
      <c r="P11" s="221"/>
      <c r="Q11" s="110"/>
      <c r="R11" s="146"/>
      <c r="S11" s="110"/>
      <c r="T11" s="743"/>
      <c r="U11" s="744"/>
      <c r="V11" s="141"/>
    </row>
    <row r="12" spans="2:22" ht="15" customHeight="1" thickTop="1">
      <c r="B12" s="741" t="s">
        <v>131</v>
      </c>
      <c r="C12" s="28" t="s">
        <v>413</v>
      </c>
      <c r="D12" s="60">
        <v>5.5</v>
      </c>
      <c r="E12" s="35" t="s">
        <v>112</v>
      </c>
      <c r="F12" s="28">
        <v>2450</v>
      </c>
      <c r="G12" s="114">
        <f>D12*F12</f>
        <v>13475</v>
      </c>
      <c r="H12" s="126"/>
      <c r="I12" s="646"/>
      <c r="J12" s="28" t="s">
        <v>284</v>
      </c>
      <c r="K12" s="133">
        <v>5</v>
      </c>
      <c r="L12" s="133">
        <v>1.5</v>
      </c>
      <c r="M12" s="133">
        <v>158.4</v>
      </c>
      <c r="N12" s="114">
        <f>K12*L12*M12</f>
        <v>1188</v>
      </c>
      <c r="O12" s="148"/>
      <c r="P12" s="221"/>
      <c r="Q12" s="110"/>
      <c r="R12" s="146"/>
      <c r="S12" s="110"/>
      <c r="T12" s="743"/>
      <c r="U12" s="744"/>
      <c r="V12" s="141"/>
    </row>
    <row r="13" spans="2:22" ht="15" customHeight="1">
      <c r="B13" s="646"/>
      <c r="C13" s="28" t="s">
        <v>414</v>
      </c>
      <c r="D13" s="28">
        <v>1</v>
      </c>
      <c r="E13" s="35" t="s">
        <v>112</v>
      </c>
      <c r="F13" s="28">
        <v>2010</v>
      </c>
      <c r="G13" s="114">
        <f>D13*F13</f>
        <v>2010</v>
      </c>
      <c r="H13" s="126"/>
      <c r="I13" s="646"/>
      <c r="J13" s="28" t="s">
        <v>285</v>
      </c>
      <c r="K13" s="133">
        <v>5</v>
      </c>
      <c r="L13" s="133">
        <v>1</v>
      </c>
      <c r="M13" s="133">
        <v>158.4</v>
      </c>
      <c r="N13" s="114">
        <f>K13*L13*M13</f>
        <v>792</v>
      </c>
      <c r="O13" s="148"/>
      <c r="P13" s="221"/>
      <c r="Q13" s="110"/>
      <c r="R13" s="146"/>
      <c r="S13" s="110"/>
      <c r="T13" s="743"/>
      <c r="U13" s="744"/>
      <c r="V13" s="141"/>
    </row>
    <row r="14" spans="2:22" ht="15" customHeight="1">
      <c r="B14" s="646"/>
      <c r="C14" s="28" t="s">
        <v>415</v>
      </c>
      <c r="D14" s="28">
        <v>1</v>
      </c>
      <c r="E14" s="35" t="s">
        <v>112</v>
      </c>
      <c r="F14" s="28">
        <v>1170</v>
      </c>
      <c r="G14" s="114">
        <f>D14*F14</f>
        <v>1170</v>
      </c>
      <c r="H14" s="126"/>
      <c r="I14" s="646"/>
      <c r="J14" s="28" t="s">
        <v>286</v>
      </c>
      <c r="K14" s="359">
        <v>3</v>
      </c>
      <c r="L14" s="358">
        <v>2</v>
      </c>
      <c r="M14" s="359">
        <v>158.4</v>
      </c>
      <c r="N14" s="114">
        <f>K14*L14*M14</f>
        <v>950.40000000000009</v>
      </c>
      <c r="O14" s="148"/>
      <c r="P14" s="221"/>
      <c r="Q14" s="110"/>
      <c r="R14" s="146"/>
      <c r="S14" s="110"/>
      <c r="T14" s="743"/>
      <c r="U14" s="744"/>
      <c r="V14" s="141"/>
    </row>
    <row r="15" spans="2:22" ht="15" customHeight="1">
      <c r="B15" s="646"/>
      <c r="C15" s="28"/>
      <c r="D15" s="28"/>
      <c r="E15" s="28"/>
      <c r="F15" s="28"/>
      <c r="G15" s="114">
        <f t="shared" ref="G15" si="3">D15*F15</f>
        <v>0</v>
      </c>
      <c r="H15" s="126"/>
      <c r="I15" s="646"/>
      <c r="J15" s="29" t="s">
        <v>376</v>
      </c>
      <c r="K15" s="419">
        <v>2</v>
      </c>
      <c r="L15" s="133">
        <v>1</v>
      </c>
      <c r="M15" s="420">
        <v>158.4</v>
      </c>
      <c r="N15" s="421">
        <f>K15*L15*M15</f>
        <v>316.8</v>
      </c>
      <c r="O15" s="148"/>
      <c r="P15" s="221"/>
      <c r="Q15" s="110"/>
      <c r="R15" s="146"/>
      <c r="S15" s="110"/>
      <c r="T15" s="743"/>
      <c r="U15" s="744"/>
      <c r="V15" s="141"/>
    </row>
    <row r="16" spans="2:22" ht="15" customHeight="1" thickBot="1">
      <c r="B16" s="740"/>
      <c r="C16" s="117" t="s">
        <v>115</v>
      </c>
      <c r="D16" s="118"/>
      <c r="E16" s="118"/>
      <c r="F16" s="118"/>
      <c r="G16" s="119">
        <f>SUM(G12:G15)</f>
        <v>16655</v>
      </c>
      <c r="H16" s="126"/>
      <c r="I16" s="740"/>
      <c r="J16" s="222" t="s">
        <v>186</v>
      </c>
      <c r="K16" s="355">
        <f>SUM(K11:K15)</f>
        <v>18</v>
      </c>
      <c r="L16" s="355">
        <f>AVERAGE(L11:L15)</f>
        <v>1.3</v>
      </c>
      <c r="M16" s="355"/>
      <c r="N16" s="129">
        <f>SUM(N11:N15)</f>
        <v>3722.4</v>
      </c>
      <c r="O16" s="148"/>
      <c r="P16" s="221"/>
      <c r="Q16" s="110"/>
      <c r="R16" s="279"/>
      <c r="S16" s="110"/>
      <c r="T16" s="743"/>
      <c r="U16" s="744"/>
      <c r="V16" s="141"/>
    </row>
    <row r="17" spans="2:22" ht="15" customHeight="1" thickTop="1">
      <c r="B17" s="741" t="s">
        <v>133</v>
      </c>
      <c r="C17" s="28"/>
      <c r="D17" s="28"/>
      <c r="E17" s="35"/>
      <c r="F17" s="28"/>
      <c r="G17" s="114">
        <f t="shared" ref="G17" si="4">D17*F17</f>
        <v>0</v>
      </c>
      <c r="H17" s="126"/>
      <c r="I17" s="741" t="s">
        <v>142</v>
      </c>
      <c r="J17" s="28"/>
      <c r="K17" s="133"/>
      <c r="L17" s="133"/>
      <c r="M17" s="133"/>
      <c r="N17" s="114">
        <f t="shared" ref="N17:N18" si="5">K17*L17*M17</f>
        <v>0</v>
      </c>
      <c r="O17" s="148"/>
      <c r="P17" s="221"/>
      <c r="Q17" s="110"/>
      <c r="R17" s="279"/>
      <c r="S17" s="110"/>
      <c r="T17" s="743"/>
      <c r="U17" s="744"/>
      <c r="V17" s="141"/>
    </row>
    <row r="18" spans="2:22" ht="15" customHeight="1">
      <c r="B18" s="646"/>
      <c r="C18" s="28"/>
      <c r="D18" s="28"/>
      <c r="E18" s="35"/>
      <c r="F18" s="28"/>
      <c r="G18" s="114">
        <f>D18*F18</f>
        <v>0</v>
      </c>
      <c r="H18" s="126"/>
      <c r="I18" s="646"/>
      <c r="J18" s="28"/>
      <c r="K18" s="133"/>
      <c r="L18" s="133"/>
      <c r="M18" s="133"/>
      <c r="N18" s="114">
        <f t="shared" si="5"/>
        <v>0</v>
      </c>
      <c r="O18" s="148"/>
      <c r="P18" s="221"/>
      <c r="Q18" s="110"/>
      <c r="R18" s="146"/>
      <c r="S18" s="110"/>
      <c r="T18" s="743"/>
      <c r="U18" s="744"/>
      <c r="V18" s="141"/>
    </row>
    <row r="19" spans="2:22" ht="15" customHeight="1" thickBot="1">
      <c r="B19" s="646"/>
      <c r="C19" s="28"/>
      <c r="D19" s="28"/>
      <c r="E19" s="28"/>
      <c r="F19" s="28"/>
      <c r="G19" s="114">
        <f t="shared" ref="G19" si="6">D19*F19</f>
        <v>0</v>
      </c>
      <c r="H19" s="126"/>
      <c r="I19" s="740"/>
      <c r="J19" s="222" t="s">
        <v>188</v>
      </c>
      <c r="K19" s="134">
        <f>SUM(K17:K18)</f>
        <v>0</v>
      </c>
      <c r="L19" s="135">
        <f>SUM(L17:L18)</f>
        <v>0</v>
      </c>
      <c r="M19" s="136"/>
      <c r="N19" s="129">
        <f>SUM(N17:N18)</f>
        <v>0</v>
      </c>
      <c r="O19" s="148"/>
      <c r="P19" s="221"/>
      <c r="Q19" s="110"/>
      <c r="R19" s="146"/>
      <c r="S19" s="110"/>
      <c r="T19" s="743"/>
      <c r="U19" s="744"/>
      <c r="V19" s="141"/>
    </row>
    <row r="20" spans="2:22" ht="15" customHeight="1" thickTop="1" thickBot="1">
      <c r="B20" s="740"/>
      <c r="C20" s="117" t="s">
        <v>115</v>
      </c>
      <c r="D20" s="118"/>
      <c r="E20" s="118"/>
      <c r="F20" s="118"/>
      <c r="G20" s="119">
        <f>SUM(G17:G19)</f>
        <v>0</v>
      </c>
      <c r="H20" s="126"/>
      <c r="I20" s="741" t="s">
        <v>143</v>
      </c>
      <c r="J20" s="28"/>
      <c r="K20" s="133"/>
      <c r="L20" s="133"/>
      <c r="M20" s="133"/>
      <c r="N20" s="114"/>
      <c r="O20" s="148"/>
      <c r="P20" s="142" t="s">
        <v>26</v>
      </c>
      <c r="Q20" s="143"/>
      <c r="R20" s="143"/>
      <c r="S20" s="143"/>
      <c r="T20" s="751"/>
      <c r="U20" s="746"/>
      <c r="V20" s="144">
        <f>SUM(V5:V19)</f>
        <v>3000</v>
      </c>
    </row>
    <row r="21" spans="2:22" ht="15" customHeight="1" thickTop="1">
      <c r="B21" s="741" t="s">
        <v>134</v>
      </c>
      <c r="C21" s="28"/>
      <c r="D21" s="28"/>
      <c r="E21" s="35"/>
      <c r="F21" s="28"/>
      <c r="G21" s="114">
        <f>D21*F21</f>
        <v>0</v>
      </c>
      <c r="H21" s="126"/>
      <c r="I21" s="646"/>
      <c r="J21" s="28"/>
      <c r="K21" s="133"/>
      <c r="L21" s="133"/>
      <c r="M21" s="133"/>
      <c r="N21" s="114">
        <f t="shared" ref="N21:N22" si="7">K21*L21*M21</f>
        <v>0</v>
      </c>
      <c r="O21" s="148"/>
    </row>
    <row r="22" spans="2:22" ht="15" customHeight="1" thickBot="1">
      <c r="B22" s="646"/>
      <c r="C22" s="28"/>
      <c r="D22" s="28"/>
      <c r="E22" s="35"/>
      <c r="F22" s="28"/>
      <c r="G22" s="114">
        <f>D22*F22</f>
        <v>0</v>
      </c>
      <c r="H22" s="126"/>
      <c r="I22" s="646"/>
      <c r="J22" s="28"/>
      <c r="K22" s="133"/>
      <c r="L22" s="133"/>
      <c r="M22" s="133"/>
      <c r="N22" s="114">
        <f t="shared" si="7"/>
        <v>0</v>
      </c>
      <c r="O22" s="148"/>
      <c r="P22" s="138" t="s">
        <v>183</v>
      </c>
    </row>
    <row r="23" spans="2:22" ht="15" customHeight="1" thickBot="1">
      <c r="B23" s="646"/>
      <c r="C23" s="28"/>
      <c r="D23" s="28"/>
      <c r="E23" s="35"/>
      <c r="F23" s="28"/>
      <c r="G23" s="114">
        <f>D23*F23</f>
        <v>0</v>
      </c>
      <c r="H23" s="126"/>
      <c r="I23" s="740"/>
      <c r="J23" s="222" t="s">
        <v>188</v>
      </c>
      <c r="K23" s="134">
        <f>SUM(K20:K22)</f>
        <v>0</v>
      </c>
      <c r="L23" s="135">
        <f>SUM(L20:L22)</f>
        <v>0</v>
      </c>
      <c r="M23" s="136"/>
      <c r="N23" s="129">
        <f>SUM(N20:N22)</f>
        <v>0</v>
      </c>
      <c r="O23" s="148"/>
      <c r="P23" s="218" t="s">
        <v>150</v>
      </c>
      <c r="Q23" s="219" t="s">
        <v>145</v>
      </c>
      <c r="R23" s="219" t="s">
        <v>146</v>
      </c>
      <c r="S23" s="219" t="s">
        <v>189</v>
      </c>
      <c r="T23" s="219" t="s">
        <v>148</v>
      </c>
      <c r="U23" s="270" t="s">
        <v>229</v>
      </c>
      <c r="V23" s="220" t="s">
        <v>149</v>
      </c>
    </row>
    <row r="24" spans="2:22" ht="15" customHeight="1" thickTop="1" thickBot="1">
      <c r="B24" s="742"/>
      <c r="C24" s="120" t="s">
        <v>117</v>
      </c>
      <c r="D24" s="121"/>
      <c r="E24" s="121"/>
      <c r="F24" s="128"/>
      <c r="G24" s="122">
        <f>SUM(G21:G23)</f>
        <v>0</v>
      </c>
      <c r="I24" s="741" t="s">
        <v>233</v>
      </c>
      <c r="J24" s="28"/>
      <c r="K24" s="133"/>
      <c r="L24" s="133"/>
      <c r="M24" s="133"/>
      <c r="N24" s="114"/>
      <c r="O24" s="148"/>
      <c r="P24" s="221" t="s">
        <v>292</v>
      </c>
      <c r="Q24" s="110">
        <v>2</v>
      </c>
      <c r="R24" s="361" t="s">
        <v>293</v>
      </c>
      <c r="S24" s="110">
        <v>2000</v>
      </c>
      <c r="T24" s="110">
        <v>5</v>
      </c>
      <c r="U24" s="111">
        <v>20</v>
      </c>
      <c r="V24" s="141">
        <f>Q24*S24/T24/U24*10</f>
        <v>400</v>
      </c>
    </row>
    <row r="25" spans="2:22" ht="15" customHeight="1">
      <c r="H25" s="127"/>
      <c r="I25" s="646"/>
      <c r="J25" s="28"/>
      <c r="K25" s="133"/>
      <c r="L25" s="133"/>
      <c r="M25" s="133"/>
      <c r="N25" s="114">
        <f t="shared" ref="N25:N26" si="8">K25*L25*M25</f>
        <v>0</v>
      </c>
      <c r="O25" s="148"/>
      <c r="P25" s="221" t="s">
        <v>302</v>
      </c>
      <c r="Q25" s="110">
        <v>2</v>
      </c>
      <c r="R25" s="361" t="s">
        <v>303</v>
      </c>
      <c r="S25" s="110">
        <v>5000</v>
      </c>
      <c r="T25" s="110">
        <v>5</v>
      </c>
      <c r="U25" s="111">
        <v>20</v>
      </c>
      <c r="V25" s="141">
        <f>Q25*S25/T25/U25*10</f>
        <v>1000</v>
      </c>
    </row>
    <row r="26" spans="2:22" ht="15" customHeight="1" thickBot="1">
      <c r="B26" s="5" t="s">
        <v>190</v>
      </c>
      <c r="C26" s="5"/>
      <c r="D26" s="31"/>
      <c r="E26" s="5"/>
      <c r="F26" s="31"/>
      <c r="G26" s="32"/>
      <c r="H26" s="125"/>
      <c r="I26" s="646"/>
      <c r="J26" s="28"/>
      <c r="K26" s="133"/>
      <c r="L26" s="133"/>
      <c r="M26" s="133"/>
      <c r="N26" s="114">
        <f t="shared" si="8"/>
        <v>0</v>
      </c>
      <c r="O26" s="148"/>
      <c r="P26" s="221" t="s">
        <v>310</v>
      </c>
      <c r="Q26" s="110">
        <v>1</v>
      </c>
      <c r="R26" s="361" t="s">
        <v>311</v>
      </c>
      <c r="S26" s="110">
        <v>44000</v>
      </c>
      <c r="T26" s="424">
        <v>5</v>
      </c>
      <c r="U26" s="425">
        <v>20</v>
      </c>
      <c r="V26" s="141">
        <f>Q26*S26/T26/U26*10</f>
        <v>4400</v>
      </c>
    </row>
    <row r="27" spans="2:22" ht="15" customHeight="1" thickBot="1">
      <c r="B27" s="217" t="s">
        <v>71</v>
      </c>
      <c r="C27" s="124" t="s">
        <v>107</v>
      </c>
      <c r="D27" s="124" t="s">
        <v>108</v>
      </c>
      <c r="E27" s="124" t="s">
        <v>109</v>
      </c>
      <c r="F27" s="124" t="s">
        <v>21</v>
      </c>
      <c r="G27" s="112" t="s">
        <v>110</v>
      </c>
      <c r="H27" s="126"/>
      <c r="I27" s="740"/>
      <c r="J27" s="222" t="s">
        <v>186</v>
      </c>
      <c r="K27" s="134">
        <f>SUM(K24:K26)</f>
        <v>0</v>
      </c>
      <c r="L27" s="135">
        <f>SUM(L24:L26)</f>
        <v>0</v>
      </c>
      <c r="M27" s="136"/>
      <c r="N27" s="129">
        <f>SUM(N24:N26)</f>
        <v>0</v>
      </c>
      <c r="O27" s="148"/>
      <c r="P27" s="221"/>
      <c r="Q27" s="110">
        <v>0</v>
      </c>
      <c r="R27" s="271"/>
      <c r="S27" s="110"/>
      <c r="T27" s="110"/>
      <c r="U27" s="111"/>
      <c r="V27" s="141"/>
    </row>
    <row r="28" spans="2:22" ht="15" customHeight="1" thickTop="1">
      <c r="B28" s="645" t="s">
        <v>27</v>
      </c>
      <c r="C28" s="28" t="s">
        <v>413</v>
      </c>
      <c r="D28" s="60">
        <v>0.25</v>
      </c>
      <c r="E28" s="35" t="s">
        <v>112</v>
      </c>
      <c r="F28" s="28">
        <v>4743</v>
      </c>
      <c r="G28" s="113">
        <f t="shared" ref="G28:G37" si="9">D28*F28</f>
        <v>1185.75</v>
      </c>
      <c r="H28" s="126"/>
      <c r="I28" s="741" t="s">
        <v>139</v>
      </c>
      <c r="J28" s="28"/>
      <c r="K28" s="133"/>
      <c r="L28" s="133"/>
      <c r="M28" s="133"/>
      <c r="N28" s="114"/>
      <c r="O28" s="148"/>
      <c r="P28" s="221"/>
      <c r="Q28" s="110"/>
      <c r="R28" s="271"/>
      <c r="S28" s="110"/>
      <c r="T28" s="110"/>
      <c r="U28" s="111"/>
      <c r="V28" s="141"/>
    </row>
    <row r="29" spans="2:22" ht="15" customHeight="1">
      <c r="B29" s="646"/>
      <c r="C29" s="28" t="s">
        <v>416</v>
      </c>
      <c r="D29" s="28">
        <v>1</v>
      </c>
      <c r="E29" s="35" t="s">
        <v>112</v>
      </c>
      <c r="F29" s="28">
        <v>5658</v>
      </c>
      <c r="G29" s="114">
        <f t="shared" si="9"/>
        <v>5658</v>
      </c>
      <c r="H29" s="126"/>
      <c r="I29" s="646"/>
      <c r="J29" s="28"/>
      <c r="K29" s="133"/>
      <c r="L29" s="133"/>
      <c r="M29" s="133"/>
      <c r="N29" s="114">
        <f t="shared" ref="N29:N30" si="10">K29*L29*M29</f>
        <v>0</v>
      </c>
      <c r="O29" s="30"/>
      <c r="P29" s="221"/>
      <c r="Q29" s="110"/>
      <c r="R29" s="271"/>
      <c r="S29" s="110"/>
      <c r="T29" s="110"/>
      <c r="U29" s="111"/>
      <c r="V29" s="141"/>
    </row>
    <row r="30" spans="2:22" ht="15" customHeight="1">
      <c r="B30" s="646"/>
      <c r="C30" s="28" t="s">
        <v>415</v>
      </c>
      <c r="D30" s="60">
        <v>0.2</v>
      </c>
      <c r="E30" s="35" t="s">
        <v>112</v>
      </c>
      <c r="F30" s="28">
        <v>1629</v>
      </c>
      <c r="G30" s="114">
        <f t="shared" si="9"/>
        <v>325.8</v>
      </c>
      <c r="H30" s="126"/>
      <c r="I30" s="646"/>
      <c r="J30" s="28"/>
      <c r="K30" s="133"/>
      <c r="L30" s="133"/>
      <c r="M30" s="133"/>
      <c r="N30" s="114">
        <f t="shared" si="10"/>
        <v>0</v>
      </c>
      <c r="P30" s="221"/>
      <c r="Q30" s="110"/>
      <c r="R30" s="146"/>
      <c r="S30" s="110"/>
      <c r="T30" s="110"/>
      <c r="U30" s="111"/>
      <c r="V30" s="141"/>
    </row>
    <row r="31" spans="2:22" ht="15" customHeight="1" thickBot="1">
      <c r="B31" s="646"/>
      <c r="C31" s="28" t="s">
        <v>417</v>
      </c>
      <c r="D31" s="60">
        <v>0.2</v>
      </c>
      <c r="E31" s="35" t="s">
        <v>112</v>
      </c>
      <c r="F31" s="28">
        <v>1858</v>
      </c>
      <c r="G31" s="114">
        <f t="shared" si="9"/>
        <v>371.6</v>
      </c>
      <c r="H31" s="126"/>
      <c r="I31" s="742"/>
      <c r="J31" s="223" t="s">
        <v>191</v>
      </c>
      <c r="K31" s="137">
        <f>SUM(K28:K30)</f>
        <v>0</v>
      </c>
      <c r="L31" s="139">
        <f>SUM(L28:L30)</f>
        <v>0</v>
      </c>
      <c r="M31" s="140"/>
      <c r="N31" s="131">
        <f>SUM(N28:N30)</f>
        <v>0</v>
      </c>
      <c r="P31" s="221"/>
      <c r="Q31" s="110"/>
      <c r="R31" s="146"/>
      <c r="S31" s="110"/>
      <c r="T31" s="110"/>
      <c r="U31" s="111"/>
      <c r="V31" s="141"/>
    </row>
    <row r="32" spans="2:22" ht="15" customHeight="1">
      <c r="B32" s="646"/>
      <c r="C32" s="283" t="s">
        <v>418</v>
      </c>
      <c r="D32" s="248">
        <v>0.2</v>
      </c>
      <c r="E32" s="35" t="s">
        <v>112</v>
      </c>
      <c r="F32" s="283">
        <v>3922</v>
      </c>
      <c r="G32" s="114">
        <f>D32*F32</f>
        <v>784.40000000000009</v>
      </c>
      <c r="H32" s="126"/>
      <c r="I32" s="105"/>
      <c r="J32" s="105"/>
      <c r="K32" s="105"/>
      <c r="L32" s="105"/>
      <c r="M32" s="105"/>
      <c r="N32" s="105"/>
      <c r="P32" s="221"/>
      <c r="Q32" s="110"/>
      <c r="R32" s="146"/>
      <c r="S32" s="110"/>
      <c r="T32" s="110"/>
      <c r="U32" s="111"/>
      <c r="V32" s="141"/>
    </row>
    <row r="33" spans="2:22" ht="15" customHeight="1" thickBot="1">
      <c r="B33" s="646"/>
      <c r="C33" s="283"/>
      <c r="D33" s="283"/>
      <c r="E33" s="35"/>
      <c r="F33" s="283"/>
      <c r="G33" s="114">
        <f t="shared" si="9"/>
        <v>0</v>
      </c>
      <c r="H33" s="126"/>
      <c r="I33" s="99" t="s">
        <v>181</v>
      </c>
      <c r="J33" s="92"/>
      <c r="K33" s="92"/>
      <c r="L33" s="92"/>
      <c r="M33" s="92"/>
      <c r="P33" s="221"/>
      <c r="Q33" s="110"/>
      <c r="R33" s="146"/>
      <c r="S33" s="110"/>
      <c r="T33" s="110"/>
      <c r="U33" s="111"/>
      <c r="V33" s="141"/>
    </row>
    <row r="34" spans="2:22" ht="15" customHeight="1" thickBot="1">
      <c r="B34" s="646"/>
      <c r="C34" s="28"/>
      <c r="D34" s="28"/>
      <c r="E34" s="35"/>
      <c r="F34" s="28"/>
      <c r="G34" s="114">
        <f t="shared" si="9"/>
        <v>0</v>
      </c>
      <c r="H34" s="126"/>
      <c r="I34" s="200" t="s">
        <v>169</v>
      </c>
      <c r="J34" s="201" t="s">
        <v>3</v>
      </c>
      <c r="K34" s="770" t="s">
        <v>170</v>
      </c>
      <c r="L34" s="771"/>
      <c r="M34" s="273" t="s">
        <v>229</v>
      </c>
      <c r="N34" s="224" t="s">
        <v>192</v>
      </c>
      <c r="P34" s="225" t="s">
        <v>174</v>
      </c>
      <c r="Q34" s="143"/>
      <c r="R34" s="143"/>
      <c r="S34" s="143"/>
      <c r="T34" s="143"/>
      <c r="U34" s="145"/>
      <c r="V34" s="144">
        <f>SUM(V24:V33)</f>
        <v>5800</v>
      </c>
    </row>
    <row r="35" spans="2:22" ht="15" customHeight="1">
      <c r="B35" s="646"/>
      <c r="C35" s="28"/>
      <c r="D35" s="28"/>
      <c r="E35" s="35"/>
      <c r="F35" s="28"/>
      <c r="G35" s="114">
        <f t="shared" si="9"/>
        <v>0</v>
      </c>
      <c r="H35" s="126"/>
      <c r="I35" s="726" t="s">
        <v>0</v>
      </c>
      <c r="J35" s="123" t="s">
        <v>287</v>
      </c>
      <c r="K35" s="738">
        <f>'６　固定資本装備と減価償却費'!I5</f>
        <v>2160000</v>
      </c>
      <c r="L35" s="738"/>
      <c r="M35" s="363">
        <v>10</v>
      </c>
      <c r="N35" s="213">
        <f>K35*0.3*0.014*'６　固定資本装備と減価償却費'!K5</f>
        <v>4536</v>
      </c>
    </row>
    <row r="36" spans="2:22" ht="15" customHeight="1" thickBot="1">
      <c r="B36" s="646"/>
      <c r="C36" s="28"/>
      <c r="D36" s="28"/>
      <c r="E36" s="35"/>
      <c r="F36" s="28"/>
      <c r="G36" s="114">
        <f t="shared" si="9"/>
        <v>0</v>
      </c>
      <c r="H36" s="126"/>
      <c r="I36" s="747"/>
      <c r="J36" s="123" t="s">
        <v>288</v>
      </c>
      <c r="K36" s="738">
        <f>'６　固定資本装備と減価償却費'!I6</f>
        <v>4320000</v>
      </c>
      <c r="L36" s="738"/>
      <c r="M36" s="363">
        <v>10</v>
      </c>
      <c r="N36" s="213">
        <f>+K36*0.014*0.3*'６　固定資本装備と減価償却費'!K6</f>
        <v>60.279069767441861</v>
      </c>
      <c r="P36" s="99" t="s">
        <v>175</v>
      </c>
      <c r="Q36" s="92"/>
      <c r="R36" s="92"/>
      <c r="S36" s="92"/>
      <c r="T36" s="92"/>
    </row>
    <row r="37" spans="2:22" ht="15" customHeight="1">
      <c r="B37" s="646"/>
      <c r="C37" s="28"/>
      <c r="D37" s="28"/>
      <c r="E37" s="35"/>
      <c r="F37" s="28"/>
      <c r="G37" s="114">
        <f t="shared" si="9"/>
        <v>0</v>
      </c>
      <c r="H37" s="126"/>
      <c r="I37" s="747"/>
      <c r="J37" s="123"/>
      <c r="K37" s="738"/>
      <c r="L37" s="738"/>
      <c r="M37" s="311"/>
      <c r="N37" s="213"/>
      <c r="O37" s="138"/>
      <c r="P37" s="200" t="s">
        <v>168</v>
      </c>
      <c r="Q37" s="723" t="s">
        <v>176</v>
      </c>
      <c r="R37" s="723"/>
      <c r="S37" s="212" t="s">
        <v>179</v>
      </c>
      <c r="T37" s="212" t="s">
        <v>178</v>
      </c>
      <c r="U37" s="272" t="s">
        <v>229</v>
      </c>
      <c r="V37" s="226" t="s">
        <v>192</v>
      </c>
    </row>
    <row r="38" spans="2:22" ht="15" customHeight="1" thickBot="1">
      <c r="B38" s="740"/>
      <c r="C38" s="115" t="s">
        <v>114</v>
      </c>
      <c r="D38" s="115"/>
      <c r="E38" s="115"/>
      <c r="F38" s="115"/>
      <c r="G38" s="116">
        <f>SUM(G28:G37)</f>
        <v>8325.5500000000011</v>
      </c>
      <c r="H38" s="126"/>
      <c r="I38" s="747"/>
      <c r="J38" s="123"/>
      <c r="K38" s="738"/>
      <c r="L38" s="738"/>
      <c r="M38" s="311"/>
      <c r="N38" s="213"/>
      <c r="O38" s="138"/>
      <c r="P38" s="768" t="s">
        <v>177</v>
      </c>
      <c r="Q38" s="205"/>
      <c r="R38" s="228"/>
      <c r="S38" s="206"/>
      <c r="T38" s="229"/>
      <c r="U38" s="206"/>
      <c r="V38" s="213"/>
    </row>
    <row r="39" spans="2:22" ht="15" customHeight="1" thickTop="1">
      <c r="B39" s="741" t="s">
        <v>135</v>
      </c>
      <c r="C39" s="28" t="s">
        <v>413</v>
      </c>
      <c r="D39" s="60">
        <v>0.2</v>
      </c>
      <c r="E39" s="35" t="s">
        <v>112</v>
      </c>
      <c r="F39" s="28">
        <v>5564</v>
      </c>
      <c r="G39" s="114">
        <f>D39*F39</f>
        <v>1112.8</v>
      </c>
      <c r="H39" s="126"/>
      <c r="I39" s="747"/>
      <c r="J39" s="123"/>
      <c r="K39" s="738"/>
      <c r="L39" s="738"/>
      <c r="M39" s="311"/>
      <c r="N39" s="213"/>
      <c r="O39" s="138"/>
      <c r="P39" s="766"/>
      <c r="Q39" s="205"/>
      <c r="R39" s="228"/>
      <c r="S39" s="206"/>
      <c r="T39" s="229"/>
      <c r="U39" s="206"/>
      <c r="V39" s="213"/>
    </row>
    <row r="40" spans="2:22" ht="15" customHeight="1">
      <c r="B40" s="646"/>
      <c r="C40" s="28" t="s">
        <v>419</v>
      </c>
      <c r="D40" s="60">
        <v>0.5</v>
      </c>
      <c r="E40" s="35" t="s">
        <v>112</v>
      </c>
      <c r="F40" s="28">
        <v>880</v>
      </c>
      <c r="G40" s="114">
        <f t="shared" ref="G40:G42" si="11">D40*F40</f>
        <v>440</v>
      </c>
      <c r="H40" s="126"/>
      <c r="I40" s="747"/>
      <c r="J40" s="123"/>
      <c r="K40" s="738"/>
      <c r="L40" s="738"/>
      <c r="M40" s="311"/>
      <c r="N40" s="213"/>
      <c r="O40" s="138"/>
      <c r="P40" s="766"/>
      <c r="Q40" s="205"/>
      <c r="R40" s="228"/>
      <c r="S40" s="206"/>
      <c r="T40" s="229"/>
      <c r="U40" s="206"/>
      <c r="V40" s="213"/>
    </row>
    <row r="41" spans="2:22" ht="15" customHeight="1">
      <c r="B41" s="646"/>
      <c r="C41" s="283" t="s">
        <v>415</v>
      </c>
      <c r="D41" s="248">
        <v>0.3125</v>
      </c>
      <c r="E41" s="35" t="s">
        <v>112</v>
      </c>
      <c r="F41" s="283">
        <v>7878</v>
      </c>
      <c r="G41" s="114">
        <f t="shared" si="11"/>
        <v>2461.875</v>
      </c>
      <c r="H41" s="126"/>
      <c r="I41" s="747"/>
      <c r="J41" s="123"/>
      <c r="K41" s="738"/>
      <c r="L41" s="738"/>
      <c r="M41" s="311"/>
      <c r="N41" s="213"/>
      <c r="O41" s="138"/>
      <c r="P41" s="766"/>
      <c r="Q41" s="205"/>
      <c r="R41" s="228"/>
      <c r="S41" s="206"/>
      <c r="T41" s="229"/>
      <c r="U41" s="206"/>
      <c r="V41" s="213"/>
    </row>
    <row r="42" spans="2:22" ht="15" customHeight="1" thickBot="1">
      <c r="B42" s="646"/>
      <c r="C42" s="283" t="s">
        <v>417</v>
      </c>
      <c r="D42" s="248">
        <v>0.1</v>
      </c>
      <c r="E42" s="35" t="s">
        <v>112</v>
      </c>
      <c r="F42" s="283">
        <v>4576</v>
      </c>
      <c r="G42" s="114">
        <f t="shared" si="11"/>
        <v>457.6</v>
      </c>
      <c r="H42" s="126"/>
      <c r="I42" s="748"/>
      <c r="J42" s="202" t="s">
        <v>115</v>
      </c>
      <c r="K42" s="735"/>
      <c r="L42" s="736"/>
      <c r="M42" s="203"/>
      <c r="N42" s="209">
        <f>SUM(N35:N41)</f>
        <v>4596.2790697674418</v>
      </c>
      <c r="O42" s="138"/>
      <c r="P42" s="766"/>
      <c r="Q42" s="205"/>
      <c r="R42" s="228"/>
      <c r="S42" s="206"/>
      <c r="T42" s="229"/>
      <c r="U42" s="206"/>
      <c r="V42" s="213"/>
    </row>
    <row r="43" spans="2:22" ht="15" customHeight="1" thickTop="1">
      <c r="B43" s="646"/>
      <c r="C43" s="283"/>
      <c r="D43" s="248"/>
      <c r="E43" s="35"/>
      <c r="F43" s="283"/>
      <c r="G43" s="114"/>
      <c r="H43" s="126"/>
      <c r="I43" s="724" t="s">
        <v>171</v>
      </c>
      <c r="J43" s="204" t="s">
        <v>184</v>
      </c>
      <c r="K43" s="737">
        <v>4100</v>
      </c>
      <c r="L43" s="737"/>
      <c r="M43" s="362">
        <v>10</v>
      </c>
      <c r="N43" s="227">
        <f>K43*'６　固定資本装備と減価償却費'!K15</f>
        <v>13.621262458471762</v>
      </c>
      <c r="O43" s="138"/>
      <c r="P43" s="766"/>
      <c r="Q43" s="205"/>
      <c r="R43" s="228"/>
      <c r="S43" s="206"/>
      <c r="T43" s="229"/>
      <c r="U43" s="206"/>
      <c r="V43" s="213"/>
    </row>
    <row r="44" spans="2:22" ht="15" customHeight="1" thickBot="1">
      <c r="B44" s="646"/>
      <c r="C44" s="28"/>
      <c r="D44" s="28"/>
      <c r="E44" s="35"/>
      <c r="F44" s="28"/>
      <c r="G44" s="114">
        <f t="shared" ref="G44:G47" si="12">D44*F44</f>
        <v>0</v>
      </c>
      <c r="H44" s="126"/>
      <c r="I44" s="725"/>
      <c r="J44" s="205"/>
      <c r="K44" s="738"/>
      <c r="L44" s="738"/>
      <c r="M44" s="363"/>
      <c r="N44" s="213"/>
      <c r="O44" s="138"/>
      <c r="P44" s="769"/>
      <c r="Q44" s="214" t="s">
        <v>180</v>
      </c>
      <c r="R44" s="215"/>
      <c r="S44" s="215"/>
      <c r="T44" s="215"/>
      <c r="U44" s="215"/>
      <c r="V44" s="216">
        <f>SUM(V38:V43)</f>
        <v>0</v>
      </c>
    </row>
    <row r="45" spans="2:22" ht="15" customHeight="1" thickTop="1">
      <c r="B45" s="646"/>
      <c r="C45" s="28"/>
      <c r="D45" s="28"/>
      <c r="E45" s="35"/>
      <c r="F45" s="28"/>
      <c r="G45" s="114">
        <f t="shared" si="12"/>
        <v>0</v>
      </c>
      <c r="H45" s="126"/>
      <c r="I45" s="725"/>
      <c r="J45" s="123"/>
      <c r="K45" s="738"/>
      <c r="L45" s="738"/>
      <c r="M45" s="363"/>
      <c r="N45" s="213"/>
      <c r="O45" s="138"/>
      <c r="P45" s="765" t="s">
        <v>185</v>
      </c>
      <c r="Q45" s="762" t="s">
        <v>193</v>
      </c>
      <c r="R45" s="230" t="s">
        <v>184</v>
      </c>
      <c r="S45" s="426">
        <v>15600</v>
      </c>
      <c r="T45" s="427">
        <f>'６　固定資本装備と減価償却費'!K15</f>
        <v>3.3222591362126247E-3</v>
      </c>
      <c r="U45" s="426">
        <v>10</v>
      </c>
      <c r="V45" s="428">
        <f>+S45*T45/U45*10</f>
        <v>51.827242524916947</v>
      </c>
    </row>
    <row r="46" spans="2:22" ht="15" customHeight="1" thickBot="1">
      <c r="B46" s="646"/>
      <c r="C46" s="28"/>
      <c r="D46" s="28"/>
      <c r="E46" s="28"/>
      <c r="F46" s="28"/>
      <c r="G46" s="114">
        <f t="shared" si="12"/>
        <v>0</v>
      </c>
      <c r="H46" s="126"/>
      <c r="I46" s="739"/>
      <c r="J46" s="202" t="s">
        <v>115</v>
      </c>
      <c r="K46" s="735"/>
      <c r="L46" s="736"/>
      <c r="M46" s="203"/>
      <c r="N46" s="209">
        <f>SUM(N43:N45)</f>
        <v>13.621262458471762</v>
      </c>
      <c r="O46" s="138"/>
      <c r="P46" s="766"/>
      <c r="Q46" s="763"/>
      <c r="R46" s="230"/>
      <c r="S46" s="426"/>
      <c r="T46" s="427"/>
      <c r="U46" s="426"/>
      <c r="V46" s="428"/>
    </row>
    <row r="47" spans="2:22" ht="15" customHeight="1" thickTop="1">
      <c r="B47" s="646"/>
      <c r="C47" s="28"/>
      <c r="D47" s="28"/>
      <c r="E47" s="28"/>
      <c r="F47" s="28"/>
      <c r="G47" s="114">
        <f t="shared" si="12"/>
        <v>0</v>
      </c>
      <c r="H47" s="126"/>
      <c r="I47" s="724" t="s">
        <v>172</v>
      </c>
      <c r="J47" s="204"/>
      <c r="K47" s="737"/>
      <c r="L47" s="737"/>
      <c r="M47" s="362"/>
      <c r="N47" s="227"/>
      <c r="O47" s="138"/>
      <c r="P47" s="766"/>
      <c r="Q47" s="763"/>
      <c r="R47" s="230"/>
      <c r="S47" s="426"/>
      <c r="T47" s="429"/>
      <c r="U47" s="426"/>
      <c r="V47" s="428"/>
    </row>
    <row r="48" spans="2:22" ht="15" customHeight="1">
      <c r="B48" s="646"/>
      <c r="C48" s="28"/>
      <c r="D48" s="28"/>
      <c r="E48" s="28"/>
      <c r="F48" s="28"/>
      <c r="G48" s="114">
        <f t="shared" ref="G48:G52" si="13">D48*F48</f>
        <v>0</v>
      </c>
      <c r="H48" s="126"/>
      <c r="I48" s="725"/>
      <c r="J48" s="205"/>
      <c r="K48" s="738"/>
      <c r="L48" s="738"/>
      <c r="M48" s="363"/>
      <c r="N48" s="213"/>
      <c r="O48" s="138"/>
      <c r="P48" s="766"/>
      <c r="Q48" s="763"/>
      <c r="R48" s="230"/>
      <c r="S48" s="426"/>
      <c r="T48" s="427"/>
      <c r="U48" s="426"/>
      <c r="V48" s="428"/>
    </row>
    <row r="49" spans="2:22" ht="15" customHeight="1" thickBot="1">
      <c r="B49" s="740"/>
      <c r="C49" s="117" t="s">
        <v>115</v>
      </c>
      <c r="D49" s="118"/>
      <c r="E49" s="118"/>
      <c r="F49" s="118"/>
      <c r="G49" s="119">
        <f>SUM(G39:G48)</f>
        <v>4472.2750000000005</v>
      </c>
      <c r="H49" s="126"/>
      <c r="I49" s="725"/>
      <c r="J49" s="123"/>
      <c r="K49" s="738"/>
      <c r="L49" s="738"/>
      <c r="M49" s="363"/>
      <c r="N49" s="213"/>
      <c r="O49" s="138"/>
      <c r="P49" s="766"/>
      <c r="Q49" s="764"/>
      <c r="R49" s="230"/>
      <c r="S49" s="426"/>
      <c r="T49" s="429"/>
      <c r="U49" s="430"/>
      <c r="V49" s="431"/>
    </row>
    <row r="50" spans="2:22" ht="15" customHeight="1" thickTop="1" thickBot="1">
      <c r="B50" s="741" t="s">
        <v>29</v>
      </c>
      <c r="C50" s="28" t="s">
        <v>412</v>
      </c>
      <c r="D50" s="60">
        <v>0.5</v>
      </c>
      <c r="E50" s="35" t="s">
        <v>116</v>
      </c>
      <c r="F50" s="28">
        <v>2199</v>
      </c>
      <c r="G50" s="114">
        <f t="shared" si="13"/>
        <v>1099.5</v>
      </c>
      <c r="H50" s="126"/>
      <c r="I50" s="739"/>
      <c r="J50" s="202" t="s">
        <v>115</v>
      </c>
      <c r="K50" s="735"/>
      <c r="L50" s="736"/>
      <c r="M50" s="203"/>
      <c r="N50" s="209">
        <f>SUM(N47:N49)</f>
        <v>0</v>
      </c>
      <c r="O50" s="138"/>
      <c r="P50" s="766"/>
      <c r="Q50" s="214" t="s">
        <v>180</v>
      </c>
      <c r="R50" s="215"/>
      <c r="S50" s="432"/>
      <c r="T50" s="433"/>
      <c r="U50" s="432"/>
      <c r="V50" s="434">
        <f>SUM(V45:V49)</f>
        <v>51.827242524916947</v>
      </c>
    </row>
    <row r="51" spans="2:22" ht="15" customHeight="1" thickTop="1">
      <c r="B51" s="646"/>
      <c r="C51" s="28"/>
      <c r="D51" s="28"/>
      <c r="E51" s="28"/>
      <c r="F51" s="28"/>
      <c r="G51" s="114">
        <f t="shared" si="13"/>
        <v>0</v>
      </c>
      <c r="H51" s="126"/>
      <c r="I51" s="724" t="s">
        <v>173</v>
      </c>
      <c r="J51" s="204" t="s">
        <v>43</v>
      </c>
      <c r="K51" s="727">
        <v>2400</v>
      </c>
      <c r="L51" s="728"/>
      <c r="M51" s="422">
        <v>10</v>
      </c>
      <c r="N51" s="423">
        <f>K51*'６　固定資本装備と減価償却費'!K13</f>
        <v>7.9734219269102988</v>
      </c>
      <c r="O51" s="138"/>
      <c r="P51" s="766"/>
      <c r="Q51" s="762" t="s">
        <v>194</v>
      </c>
      <c r="R51" s="230" t="s">
        <v>184</v>
      </c>
      <c r="S51" s="426">
        <v>25000</v>
      </c>
      <c r="T51" s="427">
        <f>'６　固定資本装備と減価償却費'!K15</f>
        <v>3.3222591362126247E-3</v>
      </c>
      <c r="U51" s="426">
        <v>10</v>
      </c>
      <c r="V51" s="428">
        <f>+S51*T51</f>
        <v>83.056478405315616</v>
      </c>
    </row>
    <row r="52" spans="2:22" ht="15" customHeight="1">
      <c r="B52" s="646"/>
      <c r="C52" s="28"/>
      <c r="D52" s="28"/>
      <c r="E52" s="28"/>
      <c r="F52" s="28"/>
      <c r="G52" s="114">
        <f t="shared" si="13"/>
        <v>0</v>
      </c>
      <c r="H52" s="126"/>
      <c r="I52" s="725"/>
      <c r="J52" s="205" t="s">
        <v>184</v>
      </c>
      <c r="K52" s="729">
        <v>5000</v>
      </c>
      <c r="L52" s="730"/>
      <c r="M52" s="337">
        <v>10</v>
      </c>
      <c r="N52" s="213">
        <f>K52*'６　固定資本装備と減価償却費'!K15</f>
        <v>16.611295681063122</v>
      </c>
      <c r="O52" s="138"/>
      <c r="P52" s="766"/>
      <c r="Q52" s="763"/>
      <c r="R52" s="230"/>
      <c r="S52" s="205"/>
      <c r="T52" s="229"/>
      <c r="U52" s="205"/>
      <c r="V52" s="213"/>
    </row>
    <row r="53" spans="2:22" ht="14.25" thickBot="1">
      <c r="B53" s="740"/>
      <c r="C53" s="117" t="s">
        <v>115</v>
      </c>
      <c r="D53" s="118"/>
      <c r="E53" s="118"/>
      <c r="F53" s="118"/>
      <c r="G53" s="119">
        <f>SUM(G50:G52)</f>
        <v>1099.5</v>
      </c>
      <c r="I53" s="725"/>
      <c r="J53" s="205"/>
      <c r="K53" s="729"/>
      <c r="L53" s="730"/>
      <c r="M53" s="337"/>
      <c r="N53" s="213"/>
      <c r="O53" s="138"/>
      <c r="P53" s="766"/>
      <c r="Q53" s="763"/>
      <c r="R53" s="230"/>
      <c r="S53" s="205"/>
      <c r="T53" s="205"/>
      <c r="U53" s="205"/>
      <c r="V53" s="213"/>
    </row>
    <row r="54" spans="2:22" ht="14.25" thickTop="1">
      <c r="B54" s="741" t="s">
        <v>137</v>
      </c>
      <c r="C54" s="28"/>
      <c r="D54" s="28"/>
      <c r="E54" s="35"/>
      <c r="F54" s="28"/>
      <c r="G54" s="114">
        <f>D54*F54</f>
        <v>0</v>
      </c>
      <c r="I54" s="725"/>
      <c r="J54" s="199"/>
      <c r="K54" s="731"/>
      <c r="L54" s="732"/>
      <c r="M54" s="337"/>
      <c r="N54" s="213"/>
      <c r="O54" s="138"/>
      <c r="P54" s="766"/>
      <c r="Q54" s="763"/>
      <c r="R54" s="230"/>
      <c r="S54" s="205"/>
      <c r="T54" s="229"/>
      <c r="U54" s="205"/>
      <c r="V54" s="213"/>
    </row>
    <row r="55" spans="2:22">
      <c r="B55" s="646"/>
      <c r="C55" s="28"/>
      <c r="D55" s="28"/>
      <c r="E55" s="35"/>
      <c r="F55" s="28"/>
      <c r="G55" s="114">
        <f>D55*F55</f>
        <v>0</v>
      </c>
      <c r="I55" s="725"/>
      <c r="J55" s="205"/>
      <c r="K55" s="729"/>
      <c r="L55" s="730"/>
      <c r="M55" s="335"/>
      <c r="N55" s="336"/>
      <c r="O55" s="138"/>
      <c r="P55" s="766"/>
      <c r="Q55" s="764"/>
      <c r="R55" s="230"/>
      <c r="S55" s="205"/>
      <c r="T55" s="205"/>
      <c r="U55" s="123"/>
      <c r="V55" s="231"/>
    </row>
    <row r="56" spans="2:22">
      <c r="B56" s="646"/>
      <c r="C56" s="28"/>
      <c r="D56" s="28"/>
      <c r="E56" s="35"/>
      <c r="F56" s="28"/>
      <c r="G56" s="114">
        <f>D56*F56</f>
        <v>0</v>
      </c>
      <c r="I56" s="726"/>
      <c r="J56" s="207" t="s">
        <v>115</v>
      </c>
      <c r="K56" s="733"/>
      <c r="L56" s="734"/>
      <c r="M56" s="208"/>
      <c r="N56" s="210">
        <f>SUM(N51:N55)</f>
        <v>24.58471760797342</v>
      </c>
      <c r="O56" s="138"/>
      <c r="P56" s="767"/>
      <c r="Q56" s="234" t="s">
        <v>180</v>
      </c>
      <c r="R56" s="235"/>
      <c r="S56" s="235"/>
      <c r="T56" s="235"/>
      <c r="U56" s="235"/>
      <c r="V56" s="236">
        <f>SUM(V51:V55)</f>
        <v>83.056478405315616</v>
      </c>
    </row>
    <row r="57" spans="2:22" ht="14.25" thickBot="1">
      <c r="B57" s="742"/>
      <c r="C57" s="120" t="s">
        <v>117</v>
      </c>
      <c r="D57" s="121"/>
      <c r="E57" s="121"/>
      <c r="F57" s="121"/>
      <c r="G57" s="122">
        <f>SUM(G54:G56)</f>
        <v>0</v>
      </c>
      <c r="I57" s="745" t="s">
        <v>174</v>
      </c>
      <c r="J57" s="746"/>
      <c r="K57" s="749"/>
      <c r="L57" s="750"/>
      <c r="M57" s="145"/>
      <c r="N57" s="211">
        <f>SUM(N42,N46,N50,N56)</f>
        <v>4634.4850498338865</v>
      </c>
      <c r="O57" s="138"/>
      <c r="P57" s="760" t="s">
        <v>174</v>
      </c>
      <c r="Q57" s="761"/>
      <c r="R57" s="232"/>
      <c r="S57" s="232"/>
      <c r="T57" s="232"/>
      <c r="U57" s="232"/>
      <c r="V57" s="233">
        <f>SUM(V44,V50,V56)</f>
        <v>134.88372093023256</v>
      </c>
    </row>
    <row r="58" spans="2:22">
      <c r="O58" s="138"/>
      <c r="V58" s="29"/>
    </row>
    <row r="59" spans="2:22">
      <c r="I59" s="138"/>
      <c r="J59" s="138"/>
      <c r="K59" s="138"/>
      <c r="L59" s="138"/>
      <c r="M59" s="138"/>
      <c r="N59" s="138"/>
      <c r="O59" s="138"/>
    </row>
    <row r="60" spans="2:22">
      <c r="I60" s="138"/>
      <c r="J60" s="138"/>
      <c r="K60" s="138"/>
      <c r="L60" s="138"/>
      <c r="M60" s="138"/>
      <c r="N60" s="138"/>
      <c r="O60" s="138"/>
    </row>
    <row r="61" spans="2:22">
      <c r="I61" s="138"/>
      <c r="J61" s="138"/>
      <c r="K61" s="138"/>
      <c r="L61" s="138"/>
      <c r="M61" s="138"/>
      <c r="N61" s="138"/>
      <c r="O61" s="138"/>
    </row>
    <row r="62" spans="2:22">
      <c r="I62" s="138"/>
      <c r="J62" s="138"/>
      <c r="K62" s="138"/>
      <c r="L62" s="138"/>
      <c r="M62" s="138"/>
      <c r="N62" s="138"/>
      <c r="O62" s="138"/>
    </row>
    <row r="63" spans="2:22">
      <c r="I63" s="138"/>
      <c r="J63" s="138"/>
      <c r="K63" s="138"/>
      <c r="L63" s="138"/>
      <c r="M63" s="138"/>
      <c r="N63" s="138"/>
      <c r="O63" s="138"/>
    </row>
    <row r="64" spans="2:22">
      <c r="I64" s="138"/>
      <c r="J64" s="138"/>
      <c r="K64" s="138"/>
      <c r="L64" s="138"/>
      <c r="M64" s="138"/>
      <c r="N64" s="138"/>
      <c r="O64" s="138"/>
    </row>
    <row r="65" spans="9:15">
      <c r="I65" s="138"/>
      <c r="J65" s="138"/>
      <c r="K65" s="138"/>
      <c r="L65" s="138"/>
      <c r="M65" s="138"/>
      <c r="N65" s="138"/>
      <c r="O65" s="138"/>
    </row>
    <row r="66" spans="9:15">
      <c r="I66" s="138"/>
      <c r="J66" s="138"/>
      <c r="K66" s="138"/>
      <c r="L66" s="138"/>
      <c r="M66" s="138"/>
      <c r="N66" s="138"/>
      <c r="O66" s="138"/>
    </row>
    <row r="67" spans="9:15">
      <c r="I67" s="138"/>
      <c r="J67" s="138"/>
      <c r="K67" s="138"/>
      <c r="L67" s="138"/>
      <c r="M67" s="138"/>
      <c r="N67" s="138"/>
      <c r="O67" s="138"/>
    </row>
    <row r="68" spans="9:15">
      <c r="I68" s="138"/>
      <c r="J68" s="138"/>
      <c r="K68" s="138"/>
      <c r="L68" s="138"/>
      <c r="M68" s="138"/>
      <c r="N68" s="138"/>
      <c r="O68" s="138"/>
    </row>
    <row r="69" spans="9:15">
      <c r="I69" s="138"/>
      <c r="J69" s="138"/>
      <c r="K69" s="138"/>
      <c r="L69" s="138"/>
      <c r="M69" s="138"/>
      <c r="N69" s="138"/>
      <c r="O69" s="138"/>
    </row>
    <row r="70" spans="9:15">
      <c r="I70" s="138"/>
      <c r="J70" s="138"/>
      <c r="K70" s="138"/>
      <c r="L70" s="138"/>
      <c r="M70" s="138"/>
      <c r="N70" s="138"/>
      <c r="O70" s="138"/>
    </row>
    <row r="71" spans="9:15">
      <c r="I71" s="138"/>
      <c r="J71" s="138"/>
      <c r="K71" s="138"/>
      <c r="L71" s="138"/>
      <c r="M71" s="138"/>
      <c r="N71" s="138"/>
      <c r="O71" s="138"/>
    </row>
    <row r="72" spans="9:15">
      <c r="I72" s="138"/>
      <c r="J72" s="138"/>
      <c r="K72" s="138"/>
      <c r="L72" s="138"/>
      <c r="M72" s="138"/>
      <c r="N72" s="138"/>
      <c r="O72" s="138"/>
    </row>
    <row r="73" spans="9:15">
      <c r="I73" s="138"/>
      <c r="J73" s="138"/>
      <c r="K73" s="138"/>
      <c r="L73" s="138"/>
      <c r="M73" s="138"/>
      <c r="N73" s="138"/>
      <c r="O73" s="138"/>
    </row>
    <row r="74" spans="9:15">
      <c r="I74" s="138"/>
      <c r="J74" s="138"/>
      <c r="K74" s="138"/>
      <c r="L74" s="138"/>
      <c r="M74" s="138"/>
      <c r="N74" s="138"/>
      <c r="O74" s="138"/>
    </row>
    <row r="75" spans="9:15">
      <c r="I75" s="138"/>
      <c r="J75" s="138"/>
      <c r="K75" s="138"/>
      <c r="L75" s="138"/>
      <c r="M75" s="138"/>
      <c r="N75" s="138"/>
      <c r="O75" s="138"/>
    </row>
    <row r="76" spans="9:15">
      <c r="I76" s="138"/>
      <c r="J76" s="138"/>
      <c r="K76" s="138"/>
      <c r="L76" s="138"/>
      <c r="M76" s="138"/>
      <c r="N76" s="138"/>
      <c r="O76" s="138"/>
    </row>
    <row r="77" spans="9:15">
      <c r="I77" s="138"/>
      <c r="J77" s="138"/>
      <c r="K77" s="138"/>
      <c r="L77" s="138"/>
      <c r="M77" s="138"/>
      <c r="N77" s="138"/>
      <c r="O77" s="138"/>
    </row>
    <row r="78" spans="9:15">
      <c r="I78" s="138"/>
      <c r="J78" s="138"/>
      <c r="K78" s="138"/>
      <c r="L78" s="138"/>
      <c r="M78" s="138"/>
      <c r="N78" s="138"/>
      <c r="O78" s="138"/>
    </row>
    <row r="79" spans="9:15">
      <c r="I79" s="138"/>
      <c r="J79" s="138"/>
      <c r="K79" s="138"/>
      <c r="L79" s="138"/>
      <c r="M79" s="138"/>
      <c r="N79" s="138"/>
      <c r="O79" s="138"/>
    </row>
    <row r="80" spans="9:15">
      <c r="I80" s="138"/>
      <c r="J80" s="138"/>
      <c r="K80" s="138"/>
      <c r="L80" s="138"/>
      <c r="M80" s="138"/>
      <c r="N80" s="138"/>
      <c r="O80" s="138"/>
    </row>
    <row r="81" spans="2:15">
      <c r="I81" s="138"/>
      <c r="J81" s="138"/>
      <c r="K81" s="138"/>
      <c r="L81" s="138"/>
      <c r="M81" s="138"/>
      <c r="N81" s="138"/>
      <c r="O81" s="138"/>
    </row>
    <row r="82" spans="2:15">
      <c r="I82" s="138"/>
      <c r="J82" s="138"/>
      <c r="K82" s="138"/>
      <c r="L82" s="138"/>
      <c r="M82" s="138"/>
      <c r="N82" s="138"/>
      <c r="O82" s="138"/>
    </row>
    <row r="83" spans="2:15">
      <c r="B83" s="125"/>
      <c r="C83" s="126"/>
      <c r="D83" s="126"/>
      <c r="E83" s="126"/>
      <c r="F83" s="126"/>
      <c r="I83" s="138"/>
      <c r="J83" s="138"/>
      <c r="K83" s="138"/>
      <c r="L83" s="138"/>
      <c r="M83" s="138"/>
      <c r="N83" s="138"/>
      <c r="O83" s="138"/>
    </row>
    <row r="84" spans="2:15">
      <c r="B84" s="125"/>
      <c r="C84" s="126"/>
      <c r="D84" s="126"/>
      <c r="E84" s="126"/>
      <c r="F84" s="126"/>
      <c r="I84" s="138"/>
      <c r="J84" s="138"/>
      <c r="K84" s="138"/>
      <c r="L84" s="138"/>
      <c r="M84" s="138"/>
      <c r="N84" s="138"/>
      <c r="O84" s="138"/>
    </row>
    <row r="85" spans="2:15">
      <c r="I85" s="138"/>
      <c r="J85" s="138"/>
      <c r="K85" s="138"/>
      <c r="L85" s="138"/>
      <c r="M85" s="138"/>
      <c r="N85" s="138"/>
      <c r="O85" s="138"/>
    </row>
    <row r="86" spans="2:15">
      <c r="I86" s="138"/>
      <c r="J86" s="138"/>
      <c r="K86" s="138"/>
      <c r="L86" s="138"/>
      <c r="M86" s="138"/>
      <c r="N86" s="138"/>
      <c r="O86" s="138"/>
    </row>
    <row r="87" spans="2:15">
      <c r="I87" s="138"/>
      <c r="J87" s="138"/>
      <c r="K87" s="138"/>
      <c r="L87" s="138"/>
      <c r="M87" s="138"/>
      <c r="N87" s="138"/>
      <c r="O87" s="138"/>
    </row>
    <row r="88" spans="2:15">
      <c r="I88" s="138"/>
      <c r="J88" s="138"/>
      <c r="K88" s="138"/>
      <c r="L88" s="138"/>
      <c r="M88" s="138"/>
      <c r="N88" s="138"/>
      <c r="O88" s="138"/>
    </row>
    <row r="89" spans="2:15">
      <c r="I89" s="138"/>
      <c r="J89" s="138"/>
      <c r="K89" s="138"/>
      <c r="L89" s="138"/>
      <c r="M89" s="138"/>
      <c r="N89" s="138"/>
      <c r="O89" s="138"/>
    </row>
    <row r="90" spans="2:15">
      <c r="I90" s="138"/>
      <c r="J90" s="138"/>
      <c r="K90" s="138"/>
      <c r="L90" s="138"/>
      <c r="M90" s="138"/>
      <c r="N90" s="138"/>
      <c r="O90" s="138"/>
    </row>
    <row r="91" spans="2:15">
      <c r="I91" s="138"/>
      <c r="J91" s="138"/>
      <c r="K91" s="138"/>
      <c r="L91" s="138"/>
      <c r="M91" s="138"/>
      <c r="N91" s="138"/>
      <c r="O91" s="138"/>
    </row>
    <row r="92" spans="2:15">
      <c r="I92" s="138"/>
      <c r="J92" s="138"/>
      <c r="K92" s="138"/>
      <c r="L92" s="138"/>
      <c r="M92" s="138"/>
      <c r="N92" s="138"/>
      <c r="O92" s="138"/>
    </row>
    <row r="93" spans="2:15">
      <c r="I93" s="138"/>
      <c r="J93" s="138"/>
      <c r="K93" s="138"/>
      <c r="L93" s="138"/>
      <c r="M93" s="138"/>
      <c r="N93" s="138"/>
      <c r="O93" s="138"/>
    </row>
    <row r="94" spans="2:15">
      <c r="I94" s="138"/>
      <c r="J94" s="138"/>
      <c r="K94" s="138"/>
      <c r="L94" s="138"/>
      <c r="M94" s="138"/>
      <c r="N94" s="138"/>
      <c r="O94" s="138"/>
    </row>
    <row r="95" spans="2:15">
      <c r="I95" s="138"/>
      <c r="J95" s="138"/>
      <c r="K95" s="138"/>
      <c r="L95" s="138"/>
      <c r="M95" s="138"/>
      <c r="N95" s="138"/>
      <c r="O95" s="138"/>
    </row>
    <row r="96" spans="2:15">
      <c r="I96" s="138"/>
      <c r="J96" s="138"/>
      <c r="K96" s="138"/>
      <c r="L96" s="138"/>
      <c r="M96" s="138"/>
      <c r="N96" s="138"/>
      <c r="O96" s="138"/>
    </row>
    <row r="97" spans="9:15">
      <c r="I97" s="138"/>
      <c r="J97" s="138"/>
      <c r="K97" s="138"/>
      <c r="L97" s="138"/>
      <c r="M97" s="138"/>
      <c r="N97" s="138"/>
      <c r="O97" s="138"/>
    </row>
    <row r="98" spans="9:15">
      <c r="I98" s="138"/>
      <c r="J98" s="138"/>
      <c r="K98" s="138"/>
      <c r="L98" s="138"/>
      <c r="M98" s="138"/>
      <c r="N98" s="138"/>
      <c r="O98" s="138"/>
    </row>
    <row r="99" spans="9:15">
      <c r="I99" s="138"/>
      <c r="J99" s="138"/>
      <c r="K99" s="138"/>
      <c r="L99" s="138"/>
      <c r="M99" s="138"/>
      <c r="N99" s="138"/>
      <c r="O99" s="138"/>
    </row>
    <row r="100" spans="9:15">
      <c r="I100" s="138"/>
      <c r="J100" s="138"/>
      <c r="K100" s="138"/>
      <c r="L100" s="138"/>
      <c r="M100" s="138"/>
      <c r="N100" s="138"/>
      <c r="O100" s="138"/>
    </row>
    <row r="101" spans="9:15">
      <c r="I101" s="138"/>
      <c r="J101" s="138"/>
      <c r="K101" s="138"/>
      <c r="L101" s="138"/>
      <c r="M101" s="138"/>
      <c r="N101" s="138"/>
      <c r="O101" s="138"/>
    </row>
    <row r="102" spans="9:15">
      <c r="I102" s="138"/>
      <c r="J102" s="138"/>
      <c r="K102" s="138"/>
      <c r="L102" s="138"/>
      <c r="M102" s="138"/>
      <c r="N102" s="138"/>
      <c r="O102" s="138"/>
    </row>
    <row r="103" spans="9:15">
      <c r="I103" s="138"/>
      <c r="J103" s="138"/>
      <c r="K103" s="138"/>
      <c r="L103" s="138"/>
      <c r="M103" s="138"/>
      <c r="N103" s="138"/>
      <c r="O103" s="138"/>
    </row>
    <row r="104" spans="9:15">
      <c r="I104" s="138"/>
      <c r="J104" s="138"/>
      <c r="K104" s="138"/>
      <c r="L104" s="138"/>
      <c r="M104" s="138"/>
      <c r="N104" s="138"/>
      <c r="O104" s="138"/>
    </row>
    <row r="105" spans="9:15">
      <c r="I105" s="138"/>
      <c r="J105" s="138"/>
      <c r="K105" s="138"/>
      <c r="L105" s="138"/>
      <c r="M105" s="138"/>
      <c r="N105" s="138"/>
      <c r="O105" s="138"/>
    </row>
    <row r="106" spans="9:15">
      <c r="I106" s="138"/>
      <c r="J106" s="138"/>
      <c r="K106" s="138"/>
      <c r="L106" s="138"/>
      <c r="M106" s="138"/>
      <c r="N106" s="138"/>
      <c r="O106" s="138"/>
    </row>
    <row r="107" spans="9:15">
      <c r="I107" s="138"/>
      <c r="J107" s="138"/>
      <c r="K107" s="138"/>
      <c r="L107" s="138"/>
      <c r="M107" s="138"/>
      <c r="N107" s="138"/>
      <c r="O107" s="138"/>
    </row>
    <row r="108" spans="9:15">
      <c r="I108" s="138"/>
      <c r="J108" s="138"/>
      <c r="K108" s="138"/>
      <c r="L108" s="138"/>
      <c r="M108" s="138"/>
      <c r="N108" s="138"/>
      <c r="O108" s="138"/>
    </row>
    <row r="109" spans="9:15">
      <c r="I109" s="138"/>
      <c r="J109" s="138"/>
      <c r="K109" s="138"/>
      <c r="L109" s="138"/>
      <c r="M109" s="138"/>
      <c r="N109" s="138"/>
      <c r="O109" s="138"/>
    </row>
    <row r="110" spans="9:15">
      <c r="I110" s="138"/>
      <c r="J110" s="138"/>
      <c r="K110" s="138"/>
      <c r="L110" s="138"/>
      <c r="M110" s="138"/>
      <c r="N110" s="138"/>
      <c r="O110" s="138"/>
    </row>
    <row r="111" spans="9:15">
      <c r="I111" s="138"/>
      <c r="J111" s="138"/>
      <c r="K111" s="138"/>
      <c r="L111" s="138"/>
      <c r="M111" s="138"/>
      <c r="N111" s="138"/>
      <c r="O111" s="138"/>
    </row>
    <row r="112" spans="9:15">
      <c r="I112" s="138"/>
      <c r="J112" s="138"/>
      <c r="K112" s="138"/>
      <c r="L112" s="138"/>
      <c r="M112" s="138"/>
      <c r="N112" s="138"/>
      <c r="O112" s="138"/>
    </row>
    <row r="113" spans="9:15">
      <c r="I113" s="138"/>
      <c r="J113" s="138"/>
      <c r="K113" s="138"/>
      <c r="L113" s="138"/>
      <c r="M113" s="138"/>
      <c r="N113" s="138"/>
      <c r="O113" s="138"/>
    </row>
    <row r="114" spans="9:15">
      <c r="I114" s="138"/>
      <c r="J114" s="138"/>
      <c r="K114" s="138"/>
      <c r="L114" s="138"/>
      <c r="M114" s="138"/>
      <c r="N114" s="138"/>
      <c r="O114" s="138"/>
    </row>
    <row r="115" spans="9:15">
      <c r="I115" s="138"/>
      <c r="J115" s="138"/>
      <c r="K115" s="138"/>
      <c r="L115" s="138"/>
      <c r="M115" s="138"/>
      <c r="N115" s="138"/>
      <c r="O115" s="138"/>
    </row>
    <row r="116" spans="9:15">
      <c r="I116" s="138"/>
      <c r="J116" s="138"/>
      <c r="K116" s="138"/>
      <c r="L116" s="138"/>
      <c r="M116" s="138"/>
      <c r="N116" s="138"/>
      <c r="O116" s="138"/>
    </row>
    <row r="117" spans="9:15">
      <c r="I117" s="138"/>
      <c r="J117" s="138"/>
      <c r="K117" s="138"/>
      <c r="L117" s="138"/>
      <c r="M117" s="138"/>
      <c r="N117" s="138"/>
      <c r="O117" s="138"/>
    </row>
    <row r="118" spans="9:15">
      <c r="I118" s="138"/>
      <c r="J118" s="138"/>
      <c r="K118" s="138"/>
      <c r="L118" s="138"/>
      <c r="M118" s="138"/>
      <c r="N118" s="138"/>
      <c r="O118" s="138"/>
    </row>
    <row r="119" spans="9:15">
      <c r="I119" s="138"/>
      <c r="J119" s="138"/>
      <c r="K119" s="138"/>
      <c r="L119" s="138"/>
      <c r="M119" s="138"/>
      <c r="N119" s="138"/>
      <c r="O119" s="138"/>
    </row>
    <row r="120" spans="9:15">
      <c r="I120" s="138"/>
      <c r="J120" s="138"/>
      <c r="K120" s="138"/>
      <c r="L120" s="138"/>
      <c r="M120" s="138"/>
      <c r="N120" s="138"/>
      <c r="O120" s="138"/>
    </row>
    <row r="121" spans="9:15">
      <c r="I121" s="138"/>
      <c r="J121" s="138"/>
      <c r="K121" s="138"/>
      <c r="L121" s="138"/>
      <c r="M121" s="138"/>
      <c r="N121" s="138"/>
      <c r="O121" s="138"/>
    </row>
    <row r="122" spans="9:15">
      <c r="I122" s="138"/>
      <c r="J122" s="138"/>
      <c r="K122" s="138"/>
      <c r="L122" s="138"/>
      <c r="M122" s="138"/>
      <c r="N122" s="138"/>
      <c r="O122" s="138"/>
    </row>
    <row r="123" spans="9:15">
      <c r="I123" s="138"/>
      <c r="J123" s="138"/>
      <c r="K123" s="138"/>
      <c r="L123" s="138"/>
      <c r="M123" s="138"/>
      <c r="N123" s="138"/>
      <c r="O123" s="138"/>
    </row>
    <row r="124" spans="9:15">
      <c r="I124" s="138"/>
      <c r="J124" s="138"/>
      <c r="K124" s="138"/>
      <c r="L124" s="138"/>
      <c r="M124" s="138"/>
      <c r="N124" s="138"/>
      <c r="O124" s="138"/>
    </row>
    <row r="125" spans="9:15">
      <c r="I125" s="138"/>
      <c r="J125" s="138"/>
      <c r="K125" s="138"/>
      <c r="L125" s="138"/>
      <c r="M125" s="138"/>
      <c r="N125" s="138"/>
      <c r="O125" s="138"/>
    </row>
    <row r="126" spans="9:15">
      <c r="I126" s="138"/>
      <c r="J126" s="138"/>
      <c r="K126" s="138"/>
      <c r="L126" s="138"/>
      <c r="M126" s="138"/>
      <c r="N126" s="138"/>
      <c r="O126" s="138"/>
    </row>
    <row r="127" spans="9:15">
      <c r="I127" s="138"/>
      <c r="J127" s="138"/>
      <c r="K127" s="138"/>
      <c r="L127" s="138"/>
      <c r="M127" s="138"/>
      <c r="N127" s="138"/>
      <c r="O127" s="138"/>
    </row>
    <row r="128" spans="9:15">
      <c r="I128" s="138"/>
      <c r="J128" s="138"/>
      <c r="K128" s="138"/>
      <c r="L128" s="138"/>
      <c r="M128" s="138"/>
      <c r="N128" s="138"/>
      <c r="O128" s="138"/>
    </row>
    <row r="129" spans="9:15">
      <c r="I129" s="138"/>
      <c r="J129" s="138"/>
      <c r="K129" s="138"/>
      <c r="L129" s="138"/>
      <c r="M129" s="138"/>
      <c r="N129" s="138"/>
      <c r="O129" s="138"/>
    </row>
    <row r="130" spans="9:15">
      <c r="I130" s="138"/>
      <c r="J130" s="138"/>
      <c r="K130" s="138"/>
      <c r="L130" s="138"/>
      <c r="M130" s="138"/>
      <c r="N130" s="138"/>
      <c r="O130" s="138"/>
    </row>
    <row r="131" spans="9:15">
      <c r="I131" s="138"/>
      <c r="J131" s="138"/>
      <c r="K131" s="138"/>
      <c r="L131" s="138"/>
      <c r="M131" s="138"/>
      <c r="N131" s="138"/>
      <c r="O131" s="138"/>
    </row>
    <row r="132" spans="9:15">
      <c r="I132" s="138"/>
      <c r="J132" s="138"/>
      <c r="K132" s="138"/>
      <c r="L132" s="138"/>
      <c r="M132" s="138"/>
      <c r="N132" s="138"/>
      <c r="O132" s="138"/>
    </row>
    <row r="133" spans="9:15">
      <c r="I133" s="138"/>
      <c r="J133" s="138"/>
      <c r="K133" s="138"/>
      <c r="L133" s="138"/>
      <c r="M133" s="138"/>
      <c r="N133" s="138"/>
      <c r="O133" s="138"/>
    </row>
    <row r="134" spans="9:15">
      <c r="I134" s="138"/>
      <c r="J134" s="138"/>
      <c r="K134" s="138"/>
      <c r="L134" s="138"/>
      <c r="M134" s="138"/>
      <c r="N134" s="138"/>
      <c r="O134" s="138"/>
    </row>
    <row r="135" spans="9:15">
      <c r="I135" s="138"/>
      <c r="J135" s="138"/>
      <c r="K135" s="138"/>
      <c r="L135" s="138"/>
      <c r="M135" s="138"/>
      <c r="N135" s="138"/>
      <c r="O135" s="138"/>
    </row>
    <row r="136" spans="9:15">
      <c r="I136" s="138"/>
      <c r="J136" s="138"/>
      <c r="K136" s="138"/>
      <c r="L136" s="138"/>
      <c r="M136" s="138"/>
      <c r="N136" s="138"/>
      <c r="O136" s="138"/>
    </row>
    <row r="137" spans="9:15">
      <c r="I137" s="138"/>
      <c r="J137" s="138"/>
      <c r="K137" s="138"/>
      <c r="L137" s="138"/>
      <c r="M137" s="138"/>
      <c r="N137" s="138"/>
      <c r="O137" s="138"/>
    </row>
    <row r="138" spans="9:15">
      <c r="I138" s="138"/>
      <c r="J138" s="138"/>
      <c r="K138" s="138"/>
      <c r="L138" s="138"/>
      <c r="M138" s="138"/>
      <c r="N138" s="138"/>
      <c r="O138" s="138"/>
    </row>
    <row r="139" spans="9:15">
      <c r="I139" s="138"/>
      <c r="J139" s="138"/>
      <c r="K139" s="138"/>
      <c r="L139" s="138"/>
      <c r="M139" s="138"/>
      <c r="N139" s="138"/>
    </row>
    <row r="140" spans="9:15">
      <c r="I140" s="138"/>
      <c r="J140" s="138"/>
      <c r="K140" s="138"/>
      <c r="L140" s="138"/>
      <c r="M140" s="138"/>
      <c r="N140" s="138"/>
    </row>
    <row r="141" spans="9:15">
      <c r="I141" s="138"/>
      <c r="J141" s="138"/>
      <c r="K141" s="138"/>
      <c r="L141" s="138"/>
      <c r="M141" s="138"/>
      <c r="N141" s="138"/>
    </row>
    <row r="142" spans="9:15">
      <c r="I142" s="138"/>
      <c r="J142" s="138"/>
      <c r="K142" s="138"/>
      <c r="L142" s="138"/>
      <c r="M142" s="138"/>
      <c r="N142" s="138"/>
    </row>
    <row r="143" spans="9:15">
      <c r="I143" s="138"/>
      <c r="J143" s="138"/>
      <c r="K143" s="138"/>
      <c r="L143" s="138"/>
      <c r="M143" s="138"/>
      <c r="N143" s="138"/>
    </row>
    <row r="144" spans="9:15">
      <c r="I144" s="138"/>
      <c r="J144" s="138"/>
      <c r="K144" s="138"/>
      <c r="L144" s="138"/>
      <c r="M144" s="138"/>
      <c r="N144" s="138"/>
    </row>
    <row r="145" spans="9:14">
      <c r="I145" s="138"/>
      <c r="J145" s="138"/>
      <c r="K145" s="138"/>
      <c r="L145" s="138"/>
      <c r="M145" s="138"/>
      <c r="N145" s="138"/>
    </row>
    <row r="146" spans="9:14">
      <c r="I146" s="138"/>
      <c r="J146" s="138"/>
      <c r="K146" s="138"/>
      <c r="L146" s="138"/>
      <c r="M146" s="138"/>
      <c r="N146" s="138"/>
    </row>
    <row r="147" spans="9:14">
      <c r="I147" s="138"/>
      <c r="J147" s="138"/>
      <c r="K147" s="138"/>
      <c r="L147" s="138"/>
      <c r="M147" s="138"/>
      <c r="N147" s="138"/>
    </row>
    <row r="148" spans="9:14">
      <c r="I148" s="138"/>
      <c r="J148" s="138"/>
      <c r="K148" s="138"/>
      <c r="L148" s="138"/>
      <c r="M148" s="138"/>
      <c r="N148" s="138"/>
    </row>
    <row r="149" spans="9:14">
      <c r="I149" s="138"/>
      <c r="J149" s="138"/>
      <c r="K149" s="138"/>
      <c r="L149" s="138"/>
      <c r="M149" s="138"/>
      <c r="N149" s="138"/>
    </row>
    <row r="150" spans="9:14">
      <c r="I150" s="138"/>
      <c r="J150" s="138"/>
      <c r="K150" s="138"/>
      <c r="L150" s="138"/>
      <c r="M150" s="138"/>
      <c r="N150" s="138"/>
    </row>
    <row r="151" spans="9:14">
      <c r="I151" s="138"/>
      <c r="J151" s="138"/>
      <c r="K151" s="138"/>
      <c r="L151" s="138"/>
      <c r="M151" s="138"/>
      <c r="N151" s="138"/>
    </row>
    <row r="152" spans="9:14">
      <c r="I152" s="138"/>
      <c r="J152" s="138"/>
      <c r="K152" s="138"/>
      <c r="L152" s="138"/>
      <c r="M152" s="138"/>
      <c r="N152" s="138"/>
    </row>
    <row r="153" spans="9:14">
      <c r="I153" s="138"/>
      <c r="J153" s="138"/>
      <c r="K153" s="138"/>
      <c r="L153" s="138"/>
      <c r="M153" s="138"/>
      <c r="N153" s="138"/>
    </row>
    <row r="154" spans="9:14">
      <c r="I154" s="138"/>
      <c r="J154" s="138"/>
      <c r="K154" s="138"/>
      <c r="L154" s="138"/>
      <c r="M154" s="138"/>
      <c r="N154" s="138"/>
    </row>
    <row r="155" spans="9:14">
      <c r="J155" s="138"/>
      <c r="K155" s="138"/>
      <c r="L155" s="138"/>
      <c r="M155" s="138"/>
      <c r="N155" s="138"/>
    </row>
    <row r="156" spans="9:14">
      <c r="J156" s="138"/>
      <c r="K156" s="138"/>
      <c r="L156" s="138"/>
      <c r="M156" s="138"/>
      <c r="N156" s="138"/>
    </row>
    <row r="172" spans="15:15">
      <c r="O172" s="138"/>
    </row>
    <row r="173" spans="15:15">
      <c r="O173" s="138"/>
    </row>
    <row r="174" spans="15:15">
      <c r="O174" s="138"/>
    </row>
    <row r="175" spans="15:15">
      <c r="O175" s="138"/>
    </row>
    <row r="176" spans="15:15">
      <c r="O176" s="138"/>
    </row>
    <row r="177" spans="15:15">
      <c r="O177" s="138"/>
    </row>
    <row r="178" spans="15:15">
      <c r="O178" s="138"/>
    </row>
    <row r="179" spans="15:15">
      <c r="O179" s="138"/>
    </row>
    <row r="180" spans="15:15">
      <c r="O180" s="138"/>
    </row>
    <row r="181" spans="15:15">
      <c r="O181" s="138"/>
    </row>
    <row r="182" spans="15:15">
      <c r="O182" s="138"/>
    </row>
    <row r="183" spans="15:15">
      <c r="O183" s="138"/>
    </row>
    <row r="184" spans="15:15">
      <c r="O184" s="138"/>
    </row>
    <row r="185" spans="15:15">
      <c r="O185" s="138"/>
    </row>
    <row r="186" spans="15:15">
      <c r="O186" s="138"/>
    </row>
    <row r="187" spans="15:15">
      <c r="O187" s="138"/>
    </row>
    <row r="188" spans="15:15">
      <c r="O188" s="138"/>
    </row>
    <row r="189" spans="15:15">
      <c r="O189" s="138"/>
    </row>
    <row r="190" spans="15:15">
      <c r="O190" s="138"/>
    </row>
    <row r="191" spans="15:15">
      <c r="O191" s="138"/>
    </row>
  </sheetData>
  <mergeCells count="71">
    <mergeCell ref="I6:I10"/>
    <mergeCell ref="P57:Q57"/>
    <mergeCell ref="Q45:Q49"/>
    <mergeCell ref="Q51:Q55"/>
    <mergeCell ref="P45:P56"/>
    <mergeCell ref="P38:P44"/>
    <mergeCell ref="I20:I23"/>
    <mergeCell ref="I28:I31"/>
    <mergeCell ref="I24:I27"/>
    <mergeCell ref="I11:I16"/>
    <mergeCell ref="I17:I19"/>
    <mergeCell ref="K34:L34"/>
    <mergeCell ref="K35:L35"/>
    <mergeCell ref="K36:L36"/>
    <mergeCell ref="K39:L39"/>
    <mergeCell ref="K40:L40"/>
    <mergeCell ref="T6:U6"/>
    <mergeCell ref="T7:U7"/>
    <mergeCell ref="T8:U8"/>
    <mergeCell ref="T9:U9"/>
    <mergeCell ref="T10:U10"/>
    <mergeCell ref="M4:M5"/>
    <mergeCell ref="N4:N5"/>
    <mergeCell ref="J4:J5"/>
    <mergeCell ref="I4:I5"/>
    <mergeCell ref="T4:U4"/>
    <mergeCell ref="T5:U5"/>
    <mergeCell ref="T14:U14"/>
    <mergeCell ref="T15:U15"/>
    <mergeCell ref="T18:U18"/>
    <mergeCell ref="T19:U19"/>
    <mergeCell ref="T20:U20"/>
    <mergeCell ref="T16:U16"/>
    <mergeCell ref="T17:U17"/>
    <mergeCell ref="T13:U13"/>
    <mergeCell ref="T11:U11"/>
    <mergeCell ref="T12:U12"/>
    <mergeCell ref="B54:B57"/>
    <mergeCell ref="B50:B53"/>
    <mergeCell ref="B28:B38"/>
    <mergeCell ref="B39:B49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B5:B7"/>
    <mergeCell ref="B8:B11"/>
    <mergeCell ref="B12:B16"/>
    <mergeCell ref="B21:B24"/>
    <mergeCell ref="B17:B20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1"/>
  <sheetViews>
    <sheetView showZeros="0" zoomScale="75" zoomScaleNormal="75" zoomScaleSheetLayoutView="96" workbookViewId="0"/>
  </sheetViews>
  <sheetFormatPr defaultRowHeight="13.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38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04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2" ht="9.9499999999999993" customHeight="1"/>
    <row r="2" spans="2:22" ht="24.95" customHeight="1">
      <c r="B2" s="29" t="s">
        <v>389</v>
      </c>
      <c r="C2" s="31"/>
      <c r="D2" s="5"/>
      <c r="E2" s="5"/>
      <c r="F2" s="31"/>
      <c r="G2" s="73"/>
      <c r="H2" s="83"/>
      <c r="I2" s="73"/>
      <c r="J2" s="73"/>
      <c r="K2" s="73"/>
      <c r="L2" s="73"/>
      <c r="M2" s="73"/>
      <c r="N2" s="73"/>
      <c r="O2" s="5"/>
    </row>
    <row r="3" spans="2:22" ht="15" customHeight="1" thickBot="1">
      <c r="B3" s="29" t="s">
        <v>162</v>
      </c>
      <c r="I3" s="5" t="s">
        <v>163</v>
      </c>
      <c r="P3" s="138" t="s">
        <v>182</v>
      </c>
    </row>
    <row r="4" spans="2:22" ht="15" customHeight="1">
      <c r="B4" s="217" t="s">
        <v>71</v>
      </c>
      <c r="C4" s="124" t="s">
        <v>138</v>
      </c>
      <c r="D4" s="124" t="s">
        <v>108</v>
      </c>
      <c r="E4" s="124" t="s">
        <v>109</v>
      </c>
      <c r="F4" s="124" t="s">
        <v>21</v>
      </c>
      <c r="G4" s="112" t="s">
        <v>110</v>
      </c>
      <c r="H4" s="125"/>
      <c r="I4" s="756" t="s">
        <v>71</v>
      </c>
      <c r="J4" s="752" t="s">
        <v>141</v>
      </c>
      <c r="K4" s="130" t="s">
        <v>276</v>
      </c>
      <c r="L4" s="130" t="s">
        <v>111</v>
      </c>
      <c r="M4" s="752" t="s">
        <v>21</v>
      </c>
      <c r="N4" s="754" t="s">
        <v>110</v>
      </c>
      <c r="O4" s="148"/>
      <c r="P4" s="218" t="s">
        <v>144</v>
      </c>
      <c r="Q4" s="219" t="s">
        <v>145</v>
      </c>
      <c r="R4" s="219" t="s">
        <v>146</v>
      </c>
      <c r="S4" s="219" t="s">
        <v>147</v>
      </c>
      <c r="T4" s="758" t="s">
        <v>148</v>
      </c>
      <c r="U4" s="682"/>
      <c r="V4" s="220" t="s">
        <v>149</v>
      </c>
    </row>
    <row r="5" spans="2:22" ht="15" customHeight="1">
      <c r="B5" s="645" t="s">
        <v>132</v>
      </c>
      <c r="C5" s="28" t="s">
        <v>271</v>
      </c>
      <c r="D5" s="28">
        <v>1</v>
      </c>
      <c r="E5" s="35" t="s">
        <v>136</v>
      </c>
      <c r="F5" s="28">
        <v>5000</v>
      </c>
      <c r="G5" s="113">
        <f t="shared" ref="G5:G6" si="0">D5*F5</f>
        <v>5000</v>
      </c>
      <c r="H5" s="126"/>
      <c r="I5" s="757"/>
      <c r="J5" s="753"/>
      <c r="K5" s="132" t="s">
        <v>113</v>
      </c>
      <c r="L5" s="132" t="s">
        <v>277</v>
      </c>
      <c r="M5" s="753"/>
      <c r="N5" s="755"/>
      <c r="O5" s="148"/>
      <c r="P5" s="221" t="s">
        <v>294</v>
      </c>
      <c r="Q5" s="110">
        <v>1</v>
      </c>
      <c r="R5" s="331" t="s">
        <v>116</v>
      </c>
      <c r="S5" s="110">
        <v>18000</v>
      </c>
      <c r="T5" s="743">
        <v>3</v>
      </c>
      <c r="U5" s="744"/>
      <c r="V5" s="141">
        <f>Q5*S5/T5*10/20</f>
        <v>3000</v>
      </c>
    </row>
    <row r="6" spans="2:22" ht="15" customHeight="1">
      <c r="B6" s="646"/>
      <c r="C6" s="28"/>
      <c r="D6" s="28"/>
      <c r="E6" s="35"/>
      <c r="F6" s="28"/>
      <c r="G6" s="114">
        <f t="shared" si="0"/>
        <v>0</v>
      </c>
      <c r="H6" s="126"/>
      <c r="I6" s="759" t="s">
        <v>140</v>
      </c>
      <c r="J6" s="28" t="s">
        <v>305</v>
      </c>
      <c r="K6" s="133">
        <v>4</v>
      </c>
      <c r="L6" s="133">
        <v>3.5</v>
      </c>
      <c r="M6" s="133">
        <v>84.7</v>
      </c>
      <c r="N6" s="114">
        <f>K6*L6*M6</f>
        <v>1185.8</v>
      </c>
      <c r="O6" s="148"/>
      <c r="P6" s="221"/>
      <c r="Q6" s="110"/>
      <c r="R6" s="331"/>
      <c r="S6" s="110"/>
      <c r="T6" s="743"/>
      <c r="U6" s="744"/>
      <c r="V6" s="352"/>
    </row>
    <row r="7" spans="2:22" ht="15" customHeight="1" thickBot="1">
      <c r="B7" s="740"/>
      <c r="C7" s="115" t="s">
        <v>114</v>
      </c>
      <c r="D7" s="115"/>
      <c r="E7" s="115"/>
      <c r="F7" s="115"/>
      <c r="G7" s="116">
        <f>SUM(G5:G6)</f>
        <v>5000</v>
      </c>
      <c r="H7" s="126"/>
      <c r="I7" s="646"/>
      <c r="J7" s="28" t="s">
        <v>306</v>
      </c>
      <c r="K7" s="133">
        <v>8</v>
      </c>
      <c r="L7" s="133">
        <v>3.5</v>
      </c>
      <c r="M7" s="133">
        <v>84.7</v>
      </c>
      <c r="N7" s="114">
        <f t="shared" ref="N7:N9" si="1">K7*L7*M7</f>
        <v>2371.6</v>
      </c>
      <c r="O7" s="148"/>
      <c r="P7" s="221"/>
      <c r="Q7" s="110"/>
      <c r="R7" s="331"/>
      <c r="S7" s="110"/>
      <c r="T7" s="743"/>
      <c r="U7" s="744"/>
      <c r="V7" s="141"/>
    </row>
    <row r="8" spans="2:22" ht="15" customHeight="1" thickTop="1">
      <c r="B8" s="741" t="s">
        <v>130</v>
      </c>
      <c r="C8" s="28" t="s">
        <v>413</v>
      </c>
      <c r="D8" s="28">
        <v>7</v>
      </c>
      <c r="E8" s="35" t="s">
        <v>112</v>
      </c>
      <c r="F8" s="28">
        <v>880</v>
      </c>
      <c r="G8" s="114">
        <f>D8*F8</f>
        <v>6160</v>
      </c>
      <c r="H8" s="126"/>
      <c r="I8" s="646"/>
      <c r="J8" s="28"/>
      <c r="K8" s="133"/>
      <c r="L8" s="133"/>
      <c r="M8" s="133"/>
      <c r="N8" s="114">
        <f t="shared" si="1"/>
        <v>0</v>
      </c>
      <c r="O8" s="148"/>
      <c r="P8" s="221"/>
      <c r="Q8" s="110"/>
      <c r="R8" s="331"/>
      <c r="S8" s="110"/>
      <c r="T8" s="743"/>
      <c r="U8" s="744"/>
      <c r="V8" s="141"/>
    </row>
    <row r="9" spans="2:22" ht="15" customHeight="1">
      <c r="B9" s="646"/>
      <c r="C9" s="28"/>
      <c r="D9" s="28"/>
      <c r="E9" s="35"/>
      <c r="F9" s="28"/>
      <c r="G9" s="114">
        <f>D9*F9</f>
        <v>0</v>
      </c>
      <c r="H9" s="126"/>
      <c r="I9" s="646"/>
      <c r="J9" s="28"/>
      <c r="K9" s="133"/>
      <c r="L9" s="133"/>
      <c r="M9" s="133"/>
      <c r="N9" s="114">
        <f t="shared" si="1"/>
        <v>0</v>
      </c>
      <c r="O9" s="148"/>
      <c r="P9" s="221"/>
      <c r="Q9" s="110"/>
      <c r="R9" s="331"/>
      <c r="S9" s="110"/>
      <c r="T9" s="743"/>
      <c r="U9" s="744"/>
      <c r="V9" s="141"/>
    </row>
    <row r="10" spans="2:22" ht="15" customHeight="1" thickBot="1">
      <c r="B10" s="646"/>
      <c r="C10" s="28"/>
      <c r="D10" s="28"/>
      <c r="E10" s="35"/>
      <c r="F10" s="28"/>
      <c r="G10" s="114">
        <f>D10*F10</f>
        <v>0</v>
      </c>
      <c r="H10" s="126"/>
      <c r="I10" s="740"/>
      <c r="J10" s="222" t="s">
        <v>186</v>
      </c>
      <c r="K10" s="134">
        <f t="shared" ref="K10" si="2">SUM(K6:K9)</f>
        <v>12</v>
      </c>
      <c r="L10" s="134">
        <f>AVERAGE(L6:L9)</f>
        <v>3.5</v>
      </c>
      <c r="M10" s="134"/>
      <c r="N10" s="129">
        <f>SUM(N6:N9)</f>
        <v>3557.3999999999996</v>
      </c>
      <c r="O10" s="148"/>
      <c r="P10" s="221"/>
      <c r="Q10" s="110"/>
      <c r="R10" s="331"/>
      <c r="S10" s="110"/>
      <c r="T10" s="743"/>
      <c r="U10" s="744"/>
      <c r="V10" s="141"/>
    </row>
    <row r="11" spans="2:22" ht="15" customHeight="1" thickTop="1" thickBot="1">
      <c r="B11" s="740"/>
      <c r="C11" s="117" t="s">
        <v>115</v>
      </c>
      <c r="D11" s="118"/>
      <c r="E11" s="118"/>
      <c r="F11" s="118"/>
      <c r="G11" s="119">
        <f>SUM(G8:G10)</f>
        <v>6160</v>
      </c>
      <c r="H11" s="126"/>
      <c r="I11" s="772" t="s">
        <v>187</v>
      </c>
      <c r="J11" s="28" t="s">
        <v>301</v>
      </c>
      <c r="K11" s="133">
        <v>3</v>
      </c>
      <c r="L11" s="133">
        <v>1</v>
      </c>
      <c r="M11" s="133">
        <v>158.4</v>
      </c>
      <c r="N11" s="114">
        <f>K11*L11*M11</f>
        <v>475.20000000000005</v>
      </c>
      <c r="O11" s="148"/>
      <c r="P11" s="221"/>
      <c r="Q11" s="110"/>
      <c r="R11" s="331"/>
      <c r="S11" s="110"/>
      <c r="T11" s="743"/>
      <c r="U11" s="744"/>
      <c r="V11" s="141"/>
    </row>
    <row r="12" spans="2:22" ht="15" customHeight="1" thickTop="1">
      <c r="B12" s="741" t="s">
        <v>131</v>
      </c>
      <c r="C12" s="28" t="s">
        <v>331</v>
      </c>
      <c r="D12" s="60">
        <v>5.5</v>
      </c>
      <c r="E12" s="35" t="s">
        <v>112</v>
      </c>
      <c r="F12" s="28">
        <v>2450</v>
      </c>
      <c r="G12" s="114">
        <f>D12*F12</f>
        <v>13475</v>
      </c>
      <c r="H12" s="126"/>
      <c r="I12" s="773"/>
      <c r="J12" s="28" t="s">
        <v>284</v>
      </c>
      <c r="K12" s="133">
        <v>5</v>
      </c>
      <c r="L12" s="133">
        <v>1.5</v>
      </c>
      <c r="M12" s="133">
        <v>158.4</v>
      </c>
      <c r="N12" s="114">
        <f>K12*L12*M12</f>
        <v>1188</v>
      </c>
      <c r="O12" s="148"/>
      <c r="P12" s="221"/>
      <c r="Q12" s="110"/>
      <c r="R12" s="331"/>
      <c r="S12" s="110"/>
      <c r="T12" s="743"/>
      <c r="U12" s="744"/>
      <c r="V12" s="141"/>
    </row>
    <row r="13" spans="2:22" ht="15" customHeight="1">
      <c r="B13" s="646"/>
      <c r="C13" s="28" t="s">
        <v>414</v>
      </c>
      <c r="D13" s="28">
        <v>1</v>
      </c>
      <c r="E13" s="35" t="s">
        <v>112</v>
      </c>
      <c r="F13" s="28">
        <v>2010</v>
      </c>
      <c r="G13" s="114">
        <f>D13*F13</f>
        <v>2010</v>
      </c>
      <c r="H13" s="126"/>
      <c r="I13" s="773"/>
      <c r="J13" s="28" t="s">
        <v>285</v>
      </c>
      <c r="K13" s="133">
        <v>6</v>
      </c>
      <c r="L13" s="133">
        <v>1</v>
      </c>
      <c r="M13" s="133">
        <v>158.4</v>
      </c>
      <c r="N13" s="114">
        <f>K13*L13*M13</f>
        <v>950.40000000000009</v>
      </c>
      <c r="O13" s="148"/>
      <c r="P13" s="221"/>
      <c r="Q13" s="110"/>
      <c r="R13" s="331"/>
      <c r="S13" s="110"/>
      <c r="T13" s="743"/>
      <c r="U13" s="744"/>
      <c r="V13" s="141"/>
    </row>
    <row r="14" spans="2:22" ht="15" customHeight="1">
      <c r="B14" s="646"/>
      <c r="C14" s="28" t="s">
        <v>415</v>
      </c>
      <c r="D14" s="28">
        <v>1</v>
      </c>
      <c r="E14" s="35" t="s">
        <v>112</v>
      </c>
      <c r="F14" s="28">
        <v>1170</v>
      </c>
      <c r="G14" s="114">
        <f>D14*F14</f>
        <v>1170</v>
      </c>
      <c r="H14" s="126"/>
      <c r="I14" s="773"/>
      <c r="J14" s="356" t="s">
        <v>286</v>
      </c>
      <c r="K14" s="354">
        <v>3</v>
      </c>
      <c r="L14" s="354">
        <v>2</v>
      </c>
      <c r="M14" s="354">
        <v>158.4</v>
      </c>
      <c r="N14" s="114">
        <f>K14*L14*M14</f>
        <v>950.40000000000009</v>
      </c>
      <c r="O14" s="148"/>
      <c r="P14" s="221"/>
      <c r="Q14" s="110"/>
      <c r="R14" s="331"/>
      <c r="S14" s="110"/>
      <c r="T14" s="743"/>
      <c r="U14" s="744"/>
      <c r="V14" s="141"/>
    </row>
    <row r="15" spans="2:22" ht="15" customHeight="1">
      <c r="B15" s="646"/>
      <c r="C15" s="28"/>
      <c r="D15" s="28"/>
      <c r="E15" s="28"/>
      <c r="F15" s="28"/>
      <c r="G15" s="114">
        <f t="shared" ref="G15" si="3">D15*F15</f>
        <v>0</v>
      </c>
      <c r="H15" s="126"/>
      <c r="I15" s="773"/>
      <c r="J15" s="363" t="s">
        <v>376</v>
      </c>
      <c r="K15" s="435">
        <v>3</v>
      </c>
      <c r="L15" s="435">
        <v>1</v>
      </c>
      <c r="M15" s="436">
        <v>158.4</v>
      </c>
      <c r="N15" s="421">
        <f>K15*L15*M15</f>
        <v>475.20000000000005</v>
      </c>
      <c r="O15" s="148"/>
      <c r="P15" s="221"/>
      <c r="Q15" s="110"/>
      <c r="R15" s="331"/>
      <c r="S15" s="110"/>
      <c r="T15" s="743"/>
      <c r="U15" s="744"/>
      <c r="V15" s="141"/>
    </row>
    <row r="16" spans="2:22" ht="15" customHeight="1" thickBot="1">
      <c r="B16" s="740"/>
      <c r="C16" s="117" t="s">
        <v>115</v>
      </c>
      <c r="D16" s="118"/>
      <c r="E16" s="118"/>
      <c r="F16" s="118"/>
      <c r="G16" s="119">
        <f>SUM(G12:G15)</f>
        <v>16655</v>
      </c>
      <c r="H16" s="126"/>
      <c r="I16" s="774"/>
      <c r="J16" s="357" t="s">
        <v>186</v>
      </c>
      <c r="K16" s="355">
        <f>SUM(K11:K15)</f>
        <v>20</v>
      </c>
      <c r="L16" s="355">
        <f>AVERAGE(L11:L15)</f>
        <v>1.3</v>
      </c>
      <c r="M16" s="355"/>
      <c r="N16" s="129">
        <f>SUM(N11:N15)</f>
        <v>4039.2000000000007</v>
      </c>
      <c r="O16" s="148"/>
      <c r="P16" s="221"/>
      <c r="Q16" s="110"/>
      <c r="R16" s="331"/>
      <c r="S16" s="110"/>
      <c r="T16" s="743"/>
      <c r="U16" s="744"/>
      <c r="V16" s="141"/>
    </row>
    <row r="17" spans="2:22" ht="15" customHeight="1" thickTop="1">
      <c r="B17" s="741" t="s">
        <v>133</v>
      </c>
      <c r="C17" s="28"/>
      <c r="D17" s="28"/>
      <c r="E17" s="35"/>
      <c r="F17" s="28"/>
      <c r="G17" s="114">
        <f t="shared" ref="G17" si="4">D17*F17</f>
        <v>0</v>
      </c>
      <c r="H17" s="126"/>
      <c r="I17" s="741" t="s">
        <v>142</v>
      </c>
      <c r="J17" s="28"/>
      <c r="K17" s="133"/>
      <c r="L17" s="133"/>
      <c r="M17" s="133"/>
      <c r="N17" s="114">
        <f t="shared" ref="N17:N18" si="5">K17*L17*M17</f>
        <v>0</v>
      </c>
      <c r="O17" s="148"/>
      <c r="P17" s="221"/>
      <c r="Q17" s="110"/>
      <c r="R17" s="331"/>
      <c r="S17" s="110"/>
      <c r="T17" s="743"/>
      <c r="U17" s="744"/>
      <c r="V17" s="141"/>
    </row>
    <row r="18" spans="2:22" ht="15" customHeight="1">
      <c r="B18" s="646"/>
      <c r="C18" s="28"/>
      <c r="D18" s="28"/>
      <c r="E18" s="35"/>
      <c r="F18" s="28"/>
      <c r="G18" s="114">
        <f>D18*F18</f>
        <v>0</v>
      </c>
      <c r="H18" s="126"/>
      <c r="I18" s="646"/>
      <c r="J18" s="28"/>
      <c r="K18" s="133"/>
      <c r="L18" s="133"/>
      <c r="M18" s="133"/>
      <c r="N18" s="114">
        <f t="shared" si="5"/>
        <v>0</v>
      </c>
      <c r="O18" s="148"/>
      <c r="P18" s="221"/>
      <c r="Q18" s="110"/>
      <c r="R18" s="331"/>
      <c r="S18" s="110"/>
      <c r="T18" s="743"/>
      <c r="U18" s="744"/>
      <c r="V18" s="141"/>
    </row>
    <row r="19" spans="2:22" ht="15" customHeight="1" thickBot="1">
      <c r="B19" s="646"/>
      <c r="C19" s="28"/>
      <c r="D19" s="28"/>
      <c r="E19" s="28"/>
      <c r="F19" s="28"/>
      <c r="G19" s="114">
        <f t="shared" ref="G19" si="6">D19*F19</f>
        <v>0</v>
      </c>
      <c r="H19" s="126"/>
      <c r="I19" s="740"/>
      <c r="J19" s="222" t="s">
        <v>186</v>
      </c>
      <c r="K19" s="134">
        <f>SUM(K17:K18)</f>
        <v>0</v>
      </c>
      <c r="L19" s="135">
        <f>SUM(L17:L18)</f>
        <v>0</v>
      </c>
      <c r="M19" s="136"/>
      <c r="N19" s="129">
        <f>SUM(N17:N18)</f>
        <v>0</v>
      </c>
      <c r="O19" s="148"/>
      <c r="P19" s="221"/>
      <c r="Q19" s="110"/>
      <c r="R19" s="331"/>
      <c r="S19" s="110"/>
      <c r="T19" s="743"/>
      <c r="U19" s="744"/>
      <c r="V19" s="141"/>
    </row>
    <row r="20" spans="2:22" ht="15" customHeight="1" thickTop="1" thickBot="1">
      <c r="B20" s="740"/>
      <c r="C20" s="117" t="s">
        <v>115</v>
      </c>
      <c r="D20" s="118"/>
      <c r="E20" s="118"/>
      <c r="F20" s="118"/>
      <c r="G20" s="119">
        <f>SUM(G17:G19)</f>
        <v>0</v>
      </c>
      <c r="H20" s="126"/>
      <c r="I20" s="741" t="s">
        <v>143</v>
      </c>
      <c r="J20" s="28"/>
      <c r="K20" s="133"/>
      <c r="L20" s="133"/>
      <c r="M20" s="133"/>
      <c r="N20" s="114"/>
      <c r="O20" s="148"/>
      <c r="P20" s="142" t="s">
        <v>26</v>
      </c>
      <c r="Q20" s="143"/>
      <c r="R20" s="143"/>
      <c r="S20" s="143"/>
      <c r="T20" s="751"/>
      <c r="U20" s="746"/>
      <c r="V20" s="144">
        <f>SUM(V5:V19)</f>
        <v>3000</v>
      </c>
    </row>
    <row r="21" spans="2:22" ht="15" customHeight="1" thickTop="1">
      <c r="B21" s="741" t="s">
        <v>134</v>
      </c>
      <c r="C21" s="28"/>
      <c r="D21" s="28"/>
      <c r="E21" s="35"/>
      <c r="F21" s="28"/>
      <c r="G21" s="114">
        <f>D21*F21</f>
        <v>0</v>
      </c>
      <c r="H21" s="126"/>
      <c r="I21" s="646"/>
      <c r="J21" s="28"/>
      <c r="K21" s="133"/>
      <c r="L21" s="133"/>
      <c r="M21" s="133"/>
      <c r="N21" s="114">
        <f t="shared" ref="N21:N22" si="7">K21*L21*M21</f>
        <v>0</v>
      </c>
      <c r="O21" s="148"/>
    </row>
    <row r="22" spans="2:22" ht="15" customHeight="1" thickBot="1">
      <c r="B22" s="646"/>
      <c r="C22" s="28"/>
      <c r="D22" s="28"/>
      <c r="E22" s="35"/>
      <c r="F22" s="28"/>
      <c r="G22" s="114">
        <f>D22*F22</f>
        <v>0</v>
      </c>
      <c r="H22" s="126"/>
      <c r="I22" s="646"/>
      <c r="J22" s="28"/>
      <c r="K22" s="133"/>
      <c r="L22" s="133"/>
      <c r="M22" s="133"/>
      <c r="N22" s="114">
        <f t="shared" si="7"/>
        <v>0</v>
      </c>
      <c r="O22" s="148"/>
      <c r="P22" s="138" t="s">
        <v>183</v>
      </c>
    </row>
    <row r="23" spans="2:22" ht="15" customHeight="1" thickBot="1">
      <c r="B23" s="646"/>
      <c r="C23" s="28"/>
      <c r="D23" s="28"/>
      <c r="E23" s="35"/>
      <c r="F23" s="28"/>
      <c r="G23" s="114">
        <f>D23*F23</f>
        <v>0</v>
      </c>
      <c r="H23" s="126"/>
      <c r="I23" s="740"/>
      <c r="J23" s="222" t="s">
        <v>186</v>
      </c>
      <c r="K23" s="134">
        <f>SUM(K20:K22)</f>
        <v>0</v>
      </c>
      <c r="L23" s="135">
        <f>SUM(L20:L22)</f>
        <v>0</v>
      </c>
      <c r="M23" s="136"/>
      <c r="N23" s="129">
        <f>SUM(N20:N22)</f>
        <v>0</v>
      </c>
      <c r="O23" s="148"/>
      <c r="P23" s="218" t="s">
        <v>150</v>
      </c>
      <c r="Q23" s="219" t="s">
        <v>145</v>
      </c>
      <c r="R23" s="219" t="s">
        <v>146</v>
      </c>
      <c r="S23" s="219" t="s">
        <v>189</v>
      </c>
      <c r="T23" s="219" t="s">
        <v>148</v>
      </c>
      <c r="U23" s="270" t="s">
        <v>229</v>
      </c>
      <c r="V23" s="220" t="s">
        <v>149</v>
      </c>
    </row>
    <row r="24" spans="2:22" ht="15" customHeight="1" thickTop="1" thickBot="1">
      <c r="B24" s="742"/>
      <c r="C24" s="120" t="s">
        <v>117</v>
      </c>
      <c r="D24" s="121"/>
      <c r="E24" s="121"/>
      <c r="F24" s="128"/>
      <c r="G24" s="122">
        <f>SUM(G21:G23)</f>
        <v>0</v>
      </c>
      <c r="I24" s="741" t="s">
        <v>232</v>
      </c>
      <c r="J24" s="28"/>
      <c r="K24" s="133"/>
      <c r="L24" s="133"/>
      <c r="M24" s="133"/>
      <c r="N24" s="114"/>
      <c r="O24" s="148"/>
      <c r="P24" s="221" t="s">
        <v>292</v>
      </c>
      <c r="Q24" s="110">
        <v>2</v>
      </c>
      <c r="R24" s="361" t="s">
        <v>293</v>
      </c>
      <c r="S24" s="110">
        <v>2000</v>
      </c>
      <c r="T24" s="110">
        <v>5</v>
      </c>
      <c r="U24" s="111">
        <v>20</v>
      </c>
      <c r="V24" s="141">
        <f>Q24*S24/T24/U24*10</f>
        <v>400</v>
      </c>
    </row>
    <row r="25" spans="2:22" ht="15" customHeight="1">
      <c r="H25" s="127"/>
      <c r="I25" s="646"/>
      <c r="J25" s="28"/>
      <c r="K25" s="133"/>
      <c r="L25" s="133"/>
      <c r="M25" s="133"/>
      <c r="N25" s="114">
        <f t="shared" ref="N25:N26" si="8">K25*L25*M25</f>
        <v>0</v>
      </c>
      <c r="O25" s="148"/>
      <c r="P25" s="221" t="s">
        <v>302</v>
      </c>
      <c r="Q25" s="110">
        <v>2</v>
      </c>
      <c r="R25" s="361" t="s">
        <v>116</v>
      </c>
      <c r="S25" s="110">
        <v>5000</v>
      </c>
      <c r="T25" s="110">
        <v>5</v>
      </c>
      <c r="U25" s="111">
        <v>20</v>
      </c>
      <c r="V25" s="141">
        <f>Q25*S25/T25/U25*10</f>
        <v>1000</v>
      </c>
    </row>
    <row r="26" spans="2:22" ht="15" customHeight="1" thickBot="1">
      <c r="B26" s="5" t="s">
        <v>190</v>
      </c>
      <c r="C26" s="5"/>
      <c r="D26" s="31"/>
      <c r="E26" s="5"/>
      <c r="F26" s="31"/>
      <c r="G26" s="32"/>
      <c r="H26" s="125"/>
      <c r="I26" s="646"/>
      <c r="J26" s="28"/>
      <c r="K26" s="133"/>
      <c r="L26" s="133"/>
      <c r="M26" s="133"/>
      <c r="N26" s="114">
        <f t="shared" si="8"/>
        <v>0</v>
      </c>
      <c r="O26" s="148"/>
      <c r="P26" s="221" t="s">
        <v>310</v>
      </c>
      <c r="Q26" s="110">
        <v>1</v>
      </c>
      <c r="R26" s="361" t="s">
        <v>311</v>
      </c>
      <c r="S26" s="110">
        <v>44000</v>
      </c>
      <c r="T26" s="424">
        <v>5</v>
      </c>
      <c r="U26" s="425">
        <v>20</v>
      </c>
      <c r="V26" s="141">
        <f>Q26*S26/T26/U26*10</f>
        <v>4400</v>
      </c>
    </row>
    <row r="27" spans="2:22" ht="15" customHeight="1" thickBot="1">
      <c r="B27" s="217" t="s">
        <v>71</v>
      </c>
      <c r="C27" s="124" t="s">
        <v>107</v>
      </c>
      <c r="D27" s="124" t="s">
        <v>108</v>
      </c>
      <c r="E27" s="124" t="s">
        <v>109</v>
      </c>
      <c r="F27" s="124" t="s">
        <v>21</v>
      </c>
      <c r="G27" s="112" t="s">
        <v>110</v>
      </c>
      <c r="H27" s="126"/>
      <c r="I27" s="740"/>
      <c r="J27" s="222" t="s">
        <v>186</v>
      </c>
      <c r="K27" s="134">
        <f>SUM(K24:K26)</f>
        <v>0</v>
      </c>
      <c r="L27" s="135">
        <f>SUM(L24:L26)</f>
        <v>0</v>
      </c>
      <c r="M27" s="136"/>
      <c r="N27" s="129">
        <f>SUM(N24:N26)</f>
        <v>0</v>
      </c>
      <c r="O27" s="148"/>
      <c r="P27" s="221"/>
      <c r="Q27" s="110">
        <v>0</v>
      </c>
      <c r="R27" s="271"/>
      <c r="S27" s="110"/>
      <c r="T27" s="110"/>
      <c r="U27" s="111"/>
      <c r="V27" s="141"/>
    </row>
    <row r="28" spans="2:22" ht="15" customHeight="1" thickTop="1">
      <c r="B28" s="645" t="s">
        <v>27</v>
      </c>
      <c r="C28" s="28" t="s">
        <v>413</v>
      </c>
      <c r="D28" s="60">
        <v>0.25</v>
      </c>
      <c r="E28" s="35" t="s">
        <v>112</v>
      </c>
      <c r="F28" s="28">
        <v>4743</v>
      </c>
      <c r="G28" s="113">
        <f t="shared" ref="G28:G37" si="9">D28*F28</f>
        <v>1185.75</v>
      </c>
      <c r="H28" s="126"/>
      <c r="I28" s="741" t="s">
        <v>139</v>
      </c>
      <c r="J28" s="28"/>
      <c r="K28" s="133"/>
      <c r="L28" s="133"/>
      <c r="M28" s="133"/>
      <c r="N28" s="114"/>
      <c r="O28" s="148"/>
      <c r="P28" s="221"/>
      <c r="Q28" s="110"/>
      <c r="R28" s="271"/>
      <c r="S28" s="110"/>
      <c r="T28" s="110"/>
      <c r="U28" s="111"/>
      <c r="V28" s="141"/>
    </row>
    <row r="29" spans="2:22" ht="15" customHeight="1">
      <c r="B29" s="646"/>
      <c r="C29" s="28" t="s">
        <v>416</v>
      </c>
      <c r="D29" s="28">
        <v>1</v>
      </c>
      <c r="E29" s="35" t="s">
        <v>112</v>
      </c>
      <c r="F29" s="28">
        <v>5658</v>
      </c>
      <c r="G29" s="114">
        <f t="shared" si="9"/>
        <v>5658</v>
      </c>
      <c r="H29" s="126"/>
      <c r="I29" s="646"/>
      <c r="J29" s="28"/>
      <c r="K29" s="133"/>
      <c r="L29" s="133"/>
      <c r="M29" s="133"/>
      <c r="N29" s="114">
        <f t="shared" ref="N29:N30" si="10">K29*L29*M29</f>
        <v>0</v>
      </c>
      <c r="O29" s="30"/>
      <c r="P29" s="221"/>
      <c r="Q29" s="110"/>
      <c r="R29" s="271"/>
      <c r="S29" s="110"/>
      <c r="T29" s="110"/>
      <c r="U29" s="111"/>
      <c r="V29" s="141"/>
    </row>
    <row r="30" spans="2:22" ht="15" customHeight="1">
      <c r="B30" s="646"/>
      <c r="C30" s="28" t="s">
        <v>415</v>
      </c>
      <c r="D30" s="60">
        <v>0.2</v>
      </c>
      <c r="E30" s="35" t="s">
        <v>112</v>
      </c>
      <c r="F30" s="28">
        <v>1629</v>
      </c>
      <c r="G30" s="114">
        <f t="shared" si="9"/>
        <v>325.8</v>
      </c>
      <c r="H30" s="126"/>
      <c r="I30" s="646"/>
      <c r="J30" s="28"/>
      <c r="K30" s="133"/>
      <c r="L30" s="133"/>
      <c r="M30" s="133"/>
      <c r="N30" s="114">
        <f t="shared" si="10"/>
        <v>0</v>
      </c>
      <c r="P30" s="221"/>
      <c r="Q30" s="110"/>
      <c r="R30" s="331"/>
      <c r="S30" s="110"/>
      <c r="T30" s="110"/>
      <c r="U30" s="111"/>
      <c r="V30" s="141"/>
    </row>
    <row r="31" spans="2:22" ht="15" customHeight="1" thickBot="1">
      <c r="B31" s="646"/>
      <c r="C31" s="28" t="s">
        <v>417</v>
      </c>
      <c r="D31" s="60">
        <v>0.2</v>
      </c>
      <c r="E31" s="35" t="s">
        <v>112</v>
      </c>
      <c r="F31" s="28">
        <v>1858</v>
      </c>
      <c r="G31" s="114">
        <f t="shared" si="9"/>
        <v>371.6</v>
      </c>
      <c r="H31" s="126"/>
      <c r="I31" s="742"/>
      <c r="J31" s="223" t="s">
        <v>186</v>
      </c>
      <c r="K31" s="137">
        <f>SUM(K28:K30)</f>
        <v>0</v>
      </c>
      <c r="L31" s="139">
        <f>SUM(L28:L30)</f>
        <v>0</v>
      </c>
      <c r="M31" s="140"/>
      <c r="N31" s="131">
        <f>SUM(N28:N30)</f>
        <v>0</v>
      </c>
      <c r="P31" s="221"/>
      <c r="Q31" s="110"/>
      <c r="R31" s="331"/>
      <c r="S31" s="110"/>
      <c r="T31" s="110"/>
      <c r="U31" s="111"/>
      <c r="V31" s="141"/>
    </row>
    <row r="32" spans="2:22" ht="15" customHeight="1">
      <c r="B32" s="646"/>
      <c r="C32" s="283" t="s">
        <v>418</v>
      </c>
      <c r="D32" s="248">
        <v>0.2</v>
      </c>
      <c r="E32" s="35" t="s">
        <v>112</v>
      </c>
      <c r="F32" s="283">
        <v>3922</v>
      </c>
      <c r="G32" s="114">
        <f>D32*F32</f>
        <v>784.40000000000009</v>
      </c>
      <c r="H32" s="126"/>
      <c r="I32" s="105"/>
      <c r="J32" s="105"/>
      <c r="K32" s="105"/>
      <c r="L32" s="105"/>
      <c r="M32" s="105"/>
      <c r="N32" s="105"/>
      <c r="P32" s="221"/>
      <c r="Q32" s="110"/>
      <c r="R32" s="331"/>
      <c r="S32" s="110"/>
      <c r="T32" s="110"/>
      <c r="U32" s="111"/>
      <c r="V32" s="141"/>
    </row>
    <row r="33" spans="2:23" ht="15" customHeight="1" thickBot="1">
      <c r="B33" s="646"/>
      <c r="C33" s="283"/>
      <c r="D33" s="283"/>
      <c r="E33" s="35"/>
      <c r="F33" s="283"/>
      <c r="G33" s="114">
        <f t="shared" si="9"/>
        <v>0</v>
      </c>
      <c r="H33" s="126"/>
      <c r="I33" s="99" t="s">
        <v>181</v>
      </c>
      <c r="J33" s="92"/>
      <c r="K33" s="92"/>
      <c r="L33" s="92"/>
      <c r="M33" s="92"/>
      <c r="P33" s="221"/>
      <c r="Q33" s="110"/>
      <c r="R33" s="331"/>
      <c r="S33" s="110"/>
      <c r="T33" s="110"/>
      <c r="U33" s="111"/>
      <c r="V33" s="141"/>
    </row>
    <row r="34" spans="2:23" ht="15" customHeight="1" thickBot="1">
      <c r="B34" s="646"/>
      <c r="C34" s="28"/>
      <c r="D34" s="28"/>
      <c r="E34" s="35"/>
      <c r="F34" s="28"/>
      <c r="G34" s="114">
        <f t="shared" si="9"/>
        <v>0</v>
      </c>
      <c r="H34" s="126"/>
      <c r="I34" s="200" t="s">
        <v>169</v>
      </c>
      <c r="J34" s="201" t="s">
        <v>3</v>
      </c>
      <c r="K34" s="770" t="s">
        <v>170</v>
      </c>
      <c r="L34" s="771"/>
      <c r="M34" s="437" t="s">
        <v>229</v>
      </c>
      <c r="N34" s="224" t="s">
        <v>192</v>
      </c>
      <c r="P34" s="225" t="s">
        <v>174</v>
      </c>
      <c r="Q34" s="143"/>
      <c r="R34" s="143"/>
      <c r="S34" s="143"/>
      <c r="T34" s="143"/>
      <c r="U34" s="145"/>
      <c r="V34" s="144">
        <f>SUM(V24:V33)</f>
        <v>5800</v>
      </c>
    </row>
    <row r="35" spans="2:23" ht="15" customHeight="1">
      <c r="B35" s="646"/>
      <c r="C35" s="28"/>
      <c r="D35" s="28"/>
      <c r="E35" s="35"/>
      <c r="F35" s="28"/>
      <c r="G35" s="114">
        <f t="shared" si="9"/>
        <v>0</v>
      </c>
      <c r="H35" s="126"/>
      <c r="I35" s="726" t="s">
        <v>0</v>
      </c>
      <c r="J35" s="123" t="s">
        <v>287</v>
      </c>
      <c r="K35" s="738">
        <f>'６　固定資本装備と減価償却費'!I5</f>
        <v>2160000</v>
      </c>
      <c r="L35" s="738"/>
      <c r="M35" s="363">
        <v>10</v>
      </c>
      <c r="N35" s="213">
        <f>K35*0.3*0.014*'６　固定資本装備と減価償却費'!K5</f>
        <v>4536</v>
      </c>
    </row>
    <row r="36" spans="2:23" ht="15" customHeight="1" thickBot="1">
      <c r="B36" s="646"/>
      <c r="C36" s="28"/>
      <c r="D36" s="28"/>
      <c r="E36" s="35"/>
      <c r="F36" s="28"/>
      <c r="G36" s="114">
        <f t="shared" si="9"/>
        <v>0</v>
      </c>
      <c r="H36" s="126"/>
      <c r="I36" s="747"/>
      <c r="J36" s="123" t="s">
        <v>288</v>
      </c>
      <c r="K36" s="738">
        <f>'６　固定資本装備と減価償却費'!I6</f>
        <v>4320000</v>
      </c>
      <c r="L36" s="738"/>
      <c r="M36" s="363">
        <v>10</v>
      </c>
      <c r="N36" s="213">
        <f>+K36*0.014*0.3*'６　固定資本装備と減価償却費'!K6</f>
        <v>60.279069767441861</v>
      </c>
      <c r="P36" s="99" t="s">
        <v>175</v>
      </c>
      <c r="Q36" s="92"/>
      <c r="R36" s="92"/>
      <c r="S36" s="92"/>
      <c r="T36" s="92"/>
    </row>
    <row r="37" spans="2:23" ht="15" customHeight="1">
      <c r="B37" s="646"/>
      <c r="C37" s="28"/>
      <c r="D37" s="28"/>
      <c r="E37" s="35"/>
      <c r="F37" s="28"/>
      <c r="G37" s="114">
        <f t="shared" si="9"/>
        <v>0</v>
      </c>
      <c r="H37" s="126"/>
      <c r="I37" s="747"/>
      <c r="J37" s="123"/>
      <c r="K37" s="738"/>
      <c r="L37" s="738"/>
      <c r="M37" s="311"/>
      <c r="N37" s="213"/>
      <c r="O37" s="138"/>
      <c r="P37" s="200" t="s">
        <v>168</v>
      </c>
      <c r="Q37" s="723" t="s">
        <v>176</v>
      </c>
      <c r="R37" s="723"/>
      <c r="S37" s="333" t="s">
        <v>179</v>
      </c>
      <c r="T37" s="333" t="s">
        <v>178</v>
      </c>
      <c r="U37" s="272" t="s">
        <v>229</v>
      </c>
      <c r="V37" s="226" t="s">
        <v>192</v>
      </c>
    </row>
    <row r="38" spans="2:23" ht="15" customHeight="1" thickBot="1">
      <c r="B38" s="740"/>
      <c r="C38" s="115" t="s">
        <v>114</v>
      </c>
      <c r="D38" s="115"/>
      <c r="E38" s="115"/>
      <c r="F38" s="115"/>
      <c r="G38" s="116">
        <f>SUM(G28:G37)</f>
        <v>8325.5500000000011</v>
      </c>
      <c r="H38" s="126"/>
      <c r="I38" s="747"/>
      <c r="J38" s="123"/>
      <c r="K38" s="738"/>
      <c r="L38" s="738"/>
      <c r="M38" s="311"/>
      <c r="N38" s="213"/>
      <c r="O38" s="138"/>
      <c r="P38" s="768" t="s">
        <v>177</v>
      </c>
      <c r="Q38" s="205"/>
      <c r="R38" s="228"/>
      <c r="S38" s="206"/>
      <c r="T38" s="229"/>
      <c r="U38" s="206"/>
      <c r="V38" s="213"/>
    </row>
    <row r="39" spans="2:23" ht="15" customHeight="1" thickTop="1">
      <c r="B39" s="741" t="s">
        <v>135</v>
      </c>
      <c r="C39" s="28" t="s">
        <v>413</v>
      </c>
      <c r="D39" s="60">
        <v>0.2</v>
      </c>
      <c r="E39" s="35" t="s">
        <v>112</v>
      </c>
      <c r="F39" s="28">
        <v>5564</v>
      </c>
      <c r="G39" s="114">
        <f>D39*F39</f>
        <v>1112.8</v>
      </c>
      <c r="H39" s="126"/>
      <c r="I39" s="747"/>
      <c r="J39" s="123"/>
      <c r="K39" s="738"/>
      <c r="L39" s="738"/>
      <c r="M39" s="311"/>
      <c r="N39" s="213"/>
      <c r="O39" s="138"/>
      <c r="P39" s="766"/>
      <c r="Q39" s="205"/>
      <c r="R39" s="228"/>
      <c r="S39" s="206"/>
      <c r="T39" s="229"/>
      <c r="U39" s="206"/>
      <c r="V39" s="213"/>
    </row>
    <row r="40" spans="2:23" ht="15" customHeight="1">
      <c r="B40" s="646"/>
      <c r="C40" s="28" t="s">
        <v>416</v>
      </c>
      <c r="D40" s="60">
        <v>1</v>
      </c>
      <c r="E40" s="35" t="s">
        <v>112</v>
      </c>
      <c r="F40" s="28">
        <v>1060</v>
      </c>
      <c r="G40" s="114">
        <f>D40*F40</f>
        <v>1060</v>
      </c>
      <c r="H40" s="126"/>
      <c r="I40" s="747"/>
      <c r="J40" s="123"/>
      <c r="K40" s="738"/>
      <c r="L40" s="738"/>
      <c r="M40" s="311"/>
      <c r="N40" s="213"/>
      <c r="O40" s="138"/>
      <c r="P40" s="766"/>
      <c r="Q40" s="205"/>
      <c r="R40" s="228"/>
      <c r="S40" s="206"/>
      <c r="T40" s="229"/>
      <c r="U40" s="206"/>
      <c r="V40" s="213"/>
    </row>
    <row r="41" spans="2:23" ht="15" customHeight="1">
      <c r="B41" s="646"/>
      <c r="C41" s="28" t="s">
        <v>420</v>
      </c>
      <c r="D41" s="60">
        <v>0.5</v>
      </c>
      <c r="E41" s="35" t="s">
        <v>112</v>
      </c>
      <c r="F41" s="28">
        <v>880</v>
      </c>
      <c r="G41" s="114">
        <f t="shared" ref="G41:G52" si="11">D41*F41</f>
        <v>440</v>
      </c>
      <c r="H41" s="126"/>
      <c r="I41" s="747"/>
      <c r="J41" s="123"/>
      <c r="K41" s="738"/>
      <c r="L41" s="738"/>
      <c r="M41" s="311"/>
      <c r="N41" s="213"/>
      <c r="O41" s="138"/>
      <c r="P41" s="766"/>
      <c r="Q41" s="205"/>
      <c r="R41" s="228"/>
      <c r="S41" s="206"/>
      <c r="T41" s="229"/>
      <c r="U41" s="206"/>
      <c r="V41" s="213"/>
    </row>
    <row r="42" spans="2:23" ht="15" customHeight="1" thickBot="1">
      <c r="B42" s="646"/>
      <c r="C42" s="283" t="s">
        <v>417</v>
      </c>
      <c r="D42" s="248">
        <v>0.3125</v>
      </c>
      <c r="E42" s="35" t="s">
        <v>112</v>
      </c>
      <c r="F42" s="283">
        <v>7878</v>
      </c>
      <c r="G42" s="114">
        <f t="shared" si="11"/>
        <v>2461.875</v>
      </c>
      <c r="H42" s="126"/>
      <c r="I42" s="748"/>
      <c r="J42" s="202" t="s">
        <v>115</v>
      </c>
      <c r="K42" s="735"/>
      <c r="L42" s="736"/>
      <c r="M42" s="203"/>
      <c r="N42" s="209">
        <f>SUM(N35:N41)</f>
        <v>4596.2790697674418</v>
      </c>
      <c r="O42" s="138"/>
      <c r="P42" s="766"/>
      <c r="Q42" s="205"/>
      <c r="R42" s="228"/>
      <c r="S42" s="206"/>
      <c r="T42" s="229"/>
      <c r="U42" s="206"/>
      <c r="V42" s="213"/>
    </row>
    <row r="43" spans="2:23" ht="15" customHeight="1" thickTop="1">
      <c r="B43" s="646"/>
      <c r="C43" s="283" t="s">
        <v>421</v>
      </c>
      <c r="D43" s="248">
        <v>0.1</v>
      </c>
      <c r="E43" s="35" t="s">
        <v>112</v>
      </c>
      <c r="F43" s="283">
        <v>4576</v>
      </c>
      <c r="G43" s="114">
        <f t="shared" si="11"/>
        <v>457.6</v>
      </c>
      <c r="H43" s="126"/>
      <c r="I43" s="724" t="s">
        <v>171</v>
      </c>
      <c r="J43" s="204" t="s">
        <v>184</v>
      </c>
      <c r="K43" s="737">
        <v>4100</v>
      </c>
      <c r="L43" s="737"/>
      <c r="M43" s="362">
        <v>10</v>
      </c>
      <c r="N43" s="227">
        <f>K43*'６　固定資本装備と減価償却費'!K15</f>
        <v>13.621262458471762</v>
      </c>
      <c r="O43" s="138"/>
      <c r="P43" s="766"/>
      <c r="Q43" s="205"/>
      <c r="R43" s="228"/>
      <c r="S43" s="206"/>
      <c r="T43" s="229"/>
      <c r="U43" s="206"/>
      <c r="V43" s="213"/>
    </row>
    <row r="44" spans="2:23" ht="15" customHeight="1" thickBot="1">
      <c r="B44" s="646"/>
      <c r="C44" s="28"/>
      <c r="D44" s="28"/>
      <c r="E44" s="35"/>
      <c r="F44" s="28"/>
      <c r="G44" s="114">
        <f t="shared" si="11"/>
        <v>0</v>
      </c>
      <c r="H44" s="126"/>
      <c r="I44" s="725"/>
      <c r="J44" s="205"/>
      <c r="K44" s="738"/>
      <c r="L44" s="738"/>
      <c r="M44" s="363"/>
      <c r="N44" s="213"/>
      <c r="O44" s="138"/>
      <c r="P44" s="769"/>
      <c r="Q44" s="214" t="s">
        <v>180</v>
      </c>
      <c r="R44" s="215"/>
      <c r="S44" s="215"/>
      <c r="T44" s="215"/>
      <c r="U44" s="215"/>
      <c r="V44" s="216">
        <f>SUM(V38:V43)</f>
        <v>0</v>
      </c>
    </row>
    <row r="45" spans="2:23" ht="15" customHeight="1" thickTop="1">
      <c r="B45" s="646"/>
      <c r="C45" s="28"/>
      <c r="D45" s="28"/>
      <c r="E45" s="35"/>
      <c r="F45" s="28"/>
      <c r="G45" s="114">
        <f t="shared" si="11"/>
        <v>0</v>
      </c>
      <c r="H45" s="126"/>
      <c r="I45" s="725"/>
      <c r="J45" s="123"/>
      <c r="K45" s="738"/>
      <c r="L45" s="738"/>
      <c r="M45" s="363"/>
      <c r="N45" s="213"/>
      <c r="O45" s="138"/>
      <c r="P45" s="765" t="s">
        <v>185</v>
      </c>
      <c r="Q45" s="762" t="s">
        <v>193</v>
      </c>
      <c r="R45" s="230" t="s">
        <v>184</v>
      </c>
      <c r="S45" s="426">
        <v>15600</v>
      </c>
      <c r="T45" s="427">
        <f>'６　固定資本装備と減価償却費'!K15</f>
        <v>3.3222591362126247E-3</v>
      </c>
      <c r="U45" s="426">
        <v>10</v>
      </c>
      <c r="V45" s="428">
        <f>S45*T45</f>
        <v>51.827242524916947</v>
      </c>
      <c r="W45" s="364"/>
    </row>
    <row r="46" spans="2:23" ht="15" customHeight="1" thickBot="1">
      <c r="B46" s="646"/>
      <c r="C46" s="28"/>
      <c r="D46" s="28"/>
      <c r="E46" s="28"/>
      <c r="F46" s="28"/>
      <c r="G46" s="114">
        <f t="shared" si="11"/>
        <v>0</v>
      </c>
      <c r="H46" s="126"/>
      <c r="I46" s="739"/>
      <c r="J46" s="202" t="s">
        <v>115</v>
      </c>
      <c r="K46" s="735"/>
      <c r="L46" s="736"/>
      <c r="M46" s="203"/>
      <c r="N46" s="209">
        <f>SUM(N43:N45)</f>
        <v>13.621262458471762</v>
      </c>
      <c r="O46" s="138"/>
      <c r="P46" s="766"/>
      <c r="Q46" s="763"/>
      <c r="R46" s="230"/>
      <c r="S46" s="426"/>
      <c r="T46" s="427"/>
      <c r="U46" s="426"/>
      <c r="V46" s="428"/>
    </row>
    <row r="47" spans="2:23" ht="15" customHeight="1" thickTop="1">
      <c r="B47" s="646"/>
      <c r="C47" s="28"/>
      <c r="D47" s="28"/>
      <c r="E47" s="28"/>
      <c r="F47" s="28"/>
      <c r="G47" s="114">
        <f t="shared" si="11"/>
        <v>0</v>
      </c>
      <c r="H47" s="126"/>
      <c r="I47" s="724" t="s">
        <v>172</v>
      </c>
      <c r="J47" s="204"/>
      <c r="K47" s="737"/>
      <c r="L47" s="737"/>
      <c r="M47" s="362"/>
      <c r="N47" s="227"/>
      <c r="O47" s="138"/>
      <c r="P47" s="766"/>
      <c r="Q47" s="763"/>
      <c r="R47" s="230"/>
      <c r="S47" s="426"/>
      <c r="T47" s="429"/>
      <c r="U47" s="426"/>
      <c r="V47" s="428"/>
    </row>
    <row r="48" spans="2:23" ht="15" customHeight="1">
      <c r="B48" s="646"/>
      <c r="C48" s="28"/>
      <c r="D48" s="28"/>
      <c r="E48" s="28"/>
      <c r="F48" s="28"/>
      <c r="G48" s="114">
        <f t="shared" si="11"/>
        <v>0</v>
      </c>
      <c r="H48" s="126"/>
      <c r="I48" s="725"/>
      <c r="J48" s="205"/>
      <c r="K48" s="738"/>
      <c r="L48" s="738"/>
      <c r="M48" s="363"/>
      <c r="N48" s="213"/>
      <c r="O48" s="138"/>
      <c r="P48" s="766"/>
      <c r="Q48" s="763"/>
      <c r="R48" s="230"/>
      <c r="S48" s="426"/>
      <c r="T48" s="427"/>
      <c r="U48" s="426"/>
      <c r="V48" s="428"/>
    </row>
    <row r="49" spans="2:22" ht="15" customHeight="1" thickBot="1">
      <c r="B49" s="740"/>
      <c r="C49" s="117" t="s">
        <v>115</v>
      </c>
      <c r="D49" s="118"/>
      <c r="E49" s="118"/>
      <c r="F49" s="118"/>
      <c r="G49" s="119">
        <f>SUM(G39:G48)</f>
        <v>5532.2750000000005</v>
      </c>
      <c r="H49" s="126"/>
      <c r="I49" s="725"/>
      <c r="J49" s="123"/>
      <c r="K49" s="738"/>
      <c r="L49" s="738"/>
      <c r="M49" s="363"/>
      <c r="N49" s="213"/>
      <c r="O49" s="138"/>
      <c r="P49" s="766"/>
      <c r="Q49" s="764"/>
      <c r="R49" s="230"/>
      <c r="S49" s="426"/>
      <c r="T49" s="429"/>
      <c r="U49" s="430"/>
      <c r="V49" s="431"/>
    </row>
    <row r="50" spans="2:22" ht="15" customHeight="1" thickTop="1" thickBot="1">
      <c r="B50" s="741" t="s">
        <v>29</v>
      </c>
      <c r="C50" s="28" t="s">
        <v>412</v>
      </c>
      <c r="D50" s="60">
        <v>0.5</v>
      </c>
      <c r="E50" s="35" t="s">
        <v>116</v>
      </c>
      <c r="F50" s="28">
        <v>2199</v>
      </c>
      <c r="G50" s="114">
        <f t="shared" si="11"/>
        <v>1099.5</v>
      </c>
      <c r="H50" s="126"/>
      <c r="I50" s="739"/>
      <c r="J50" s="202" t="s">
        <v>115</v>
      </c>
      <c r="K50" s="735"/>
      <c r="L50" s="736"/>
      <c r="M50" s="203"/>
      <c r="N50" s="209">
        <f>SUM(N47:N49)</f>
        <v>0</v>
      </c>
      <c r="O50" s="138"/>
      <c r="P50" s="766"/>
      <c r="Q50" s="214" t="s">
        <v>180</v>
      </c>
      <c r="R50" s="215"/>
      <c r="S50" s="432"/>
      <c r="T50" s="433"/>
      <c r="U50" s="432"/>
      <c r="V50" s="434">
        <f>SUM(V45:V49)</f>
        <v>51.827242524916947</v>
      </c>
    </row>
    <row r="51" spans="2:22" ht="15" customHeight="1" thickTop="1">
      <c r="B51" s="646"/>
      <c r="C51" s="28"/>
      <c r="D51" s="28"/>
      <c r="E51" s="28"/>
      <c r="F51" s="28"/>
      <c r="G51" s="114">
        <f t="shared" si="11"/>
        <v>0</v>
      </c>
      <c r="H51" s="126"/>
      <c r="I51" s="724" t="s">
        <v>173</v>
      </c>
      <c r="J51" s="204" t="s">
        <v>43</v>
      </c>
      <c r="K51" s="727">
        <v>2400</v>
      </c>
      <c r="L51" s="728"/>
      <c r="M51" s="422">
        <v>10</v>
      </c>
      <c r="N51" s="423">
        <f>K51*'６　固定資本装備と減価償却費'!K13</f>
        <v>7.9734219269102988</v>
      </c>
      <c r="O51" s="138"/>
      <c r="P51" s="766"/>
      <c r="Q51" s="762" t="s">
        <v>194</v>
      </c>
      <c r="R51" s="230" t="s">
        <v>184</v>
      </c>
      <c r="S51" s="426">
        <v>25000</v>
      </c>
      <c r="T51" s="427">
        <f>'６　固定資本装備と減価償却費'!K15</f>
        <v>3.3222591362126247E-3</v>
      </c>
      <c r="U51" s="426">
        <v>10</v>
      </c>
      <c r="V51" s="428">
        <f>S51*T51</f>
        <v>83.056478405315616</v>
      </c>
    </row>
    <row r="52" spans="2:22" ht="15" customHeight="1">
      <c r="B52" s="646"/>
      <c r="C52" s="28"/>
      <c r="D52" s="28"/>
      <c r="E52" s="28"/>
      <c r="F52" s="28"/>
      <c r="G52" s="114">
        <f t="shared" si="11"/>
        <v>0</v>
      </c>
      <c r="H52" s="126"/>
      <c r="I52" s="725"/>
      <c r="J52" s="205" t="s">
        <v>184</v>
      </c>
      <c r="K52" s="729">
        <v>5000</v>
      </c>
      <c r="L52" s="730"/>
      <c r="M52" s="337">
        <v>10</v>
      </c>
      <c r="N52" s="213">
        <f>K52*'６　固定資本装備と減価償却費'!K15</f>
        <v>16.611295681063122</v>
      </c>
      <c r="O52" s="138"/>
      <c r="P52" s="766"/>
      <c r="Q52" s="763"/>
      <c r="R52" s="230"/>
      <c r="S52" s="205"/>
      <c r="T52" s="229"/>
      <c r="U52" s="205"/>
      <c r="V52" s="213"/>
    </row>
    <row r="53" spans="2:22" ht="14.25" thickBot="1">
      <c r="B53" s="740"/>
      <c r="C53" s="117" t="s">
        <v>115</v>
      </c>
      <c r="D53" s="118"/>
      <c r="E53" s="118"/>
      <c r="F53" s="118"/>
      <c r="G53" s="119">
        <f>SUM(G50:G52)</f>
        <v>1099.5</v>
      </c>
      <c r="I53" s="725"/>
      <c r="J53" s="205"/>
      <c r="K53" s="729"/>
      <c r="L53" s="730"/>
      <c r="M53" s="337"/>
      <c r="N53" s="213"/>
      <c r="O53" s="138"/>
      <c r="P53" s="766"/>
      <c r="Q53" s="763"/>
      <c r="R53" s="230"/>
      <c r="S53" s="205"/>
      <c r="T53" s="205"/>
      <c r="U53" s="205"/>
      <c r="V53" s="213"/>
    </row>
    <row r="54" spans="2:22" ht="14.25" thickTop="1">
      <c r="B54" s="741" t="s">
        <v>137</v>
      </c>
      <c r="C54" s="28"/>
      <c r="D54" s="28"/>
      <c r="E54" s="35"/>
      <c r="F54" s="28"/>
      <c r="G54" s="114">
        <f>D54*F54</f>
        <v>0</v>
      </c>
      <c r="I54" s="725"/>
      <c r="J54" s="363"/>
      <c r="K54" s="731"/>
      <c r="L54" s="732"/>
      <c r="M54" s="337"/>
      <c r="N54" s="213"/>
      <c r="O54" s="138"/>
      <c r="P54" s="766"/>
      <c r="Q54" s="763"/>
      <c r="R54" s="230"/>
      <c r="S54" s="205"/>
      <c r="T54" s="229"/>
      <c r="U54" s="205"/>
      <c r="V54" s="213"/>
    </row>
    <row r="55" spans="2:22">
      <c r="B55" s="646"/>
      <c r="C55" s="28"/>
      <c r="D55" s="28"/>
      <c r="E55" s="35"/>
      <c r="F55" s="28"/>
      <c r="G55" s="114">
        <f>D55*F55</f>
        <v>0</v>
      </c>
      <c r="I55" s="725"/>
      <c r="J55" s="205"/>
      <c r="K55" s="729"/>
      <c r="L55" s="730"/>
      <c r="M55" s="335"/>
      <c r="N55" s="336"/>
      <c r="O55" s="138"/>
      <c r="P55" s="766"/>
      <c r="Q55" s="764"/>
      <c r="R55" s="230"/>
      <c r="S55" s="205"/>
      <c r="T55" s="205"/>
      <c r="U55" s="123"/>
      <c r="V55" s="231"/>
    </row>
    <row r="56" spans="2:22">
      <c r="B56" s="646"/>
      <c r="C56" s="28"/>
      <c r="D56" s="28"/>
      <c r="E56" s="35"/>
      <c r="F56" s="28"/>
      <c r="G56" s="114">
        <f>D56*F56</f>
        <v>0</v>
      </c>
      <c r="I56" s="726"/>
      <c r="J56" s="207" t="s">
        <v>115</v>
      </c>
      <c r="K56" s="733"/>
      <c r="L56" s="734"/>
      <c r="M56" s="208"/>
      <c r="N56" s="210">
        <f>SUM(N51:N55)</f>
        <v>24.58471760797342</v>
      </c>
      <c r="O56" s="138"/>
      <c r="P56" s="767"/>
      <c r="Q56" s="234" t="s">
        <v>180</v>
      </c>
      <c r="R56" s="235"/>
      <c r="S56" s="235"/>
      <c r="T56" s="235"/>
      <c r="U56" s="235"/>
      <c r="V56" s="236">
        <f>SUM(V51:V55)</f>
        <v>83.056478405315616</v>
      </c>
    </row>
    <row r="57" spans="2:22" ht="14.25" thickBot="1">
      <c r="B57" s="742"/>
      <c r="C57" s="120" t="s">
        <v>117</v>
      </c>
      <c r="D57" s="121"/>
      <c r="E57" s="121"/>
      <c r="F57" s="121"/>
      <c r="G57" s="122">
        <f>SUM(G54:G56)</f>
        <v>0</v>
      </c>
      <c r="I57" s="745" t="s">
        <v>174</v>
      </c>
      <c r="J57" s="746"/>
      <c r="K57" s="749"/>
      <c r="L57" s="750"/>
      <c r="M57" s="145"/>
      <c r="N57" s="211">
        <f>SUM(N42,N46,N50,N56)</f>
        <v>4634.4850498338865</v>
      </c>
      <c r="O57" s="138"/>
      <c r="P57" s="760" t="s">
        <v>174</v>
      </c>
      <c r="Q57" s="761"/>
      <c r="R57" s="232"/>
      <c r="S57" s="232"/>
      <c r="T57" s="232"/>
      <c r="U57" s="232"/>
      <c r="V57" s="233">
        <f>SUM(V44,V50,V56)</f>
        <v>134.88372093023256</v>
      </c>
    </row>
    <row r="58" spans="2:22">
      <c r="O58" s="138"/>
      <c r="V58" s="29"/>
    </row>
    <row r="59" spans="2:22">
      <c r="I59" s="138"/>
      <c r="J59" s="138"/>
      <c r="K59" s="138"/>
      <c r="L59" s="138"/>
      <c r="M59" s="138"/>
      <c r="N59" s="138"/>
      <c r="O59" s="138"/>
    </row>
    <row r="60" spans="2:22">
      <c r="I60" s="138"/>
      <c r="J60" s="138"/>
      <c r="K60" s="138"/>
      <c r="L60" s="138"/>
      <c r="M60" s="138"/>
      <c r="N60" s="138"/>
      <c r="O60" s="138"/>
    </row>
    <row r="61" spans="2:22">
      <c r="I61" s="138"/>
      <c r="J61" s="138"/>
      <c r="K61" s="138"/>
      <c r="L61" s="138"/>
      <c r="M61" s="138"/>
      <c r="N61" s="138"/>
      <c r="O61" s="138"/>
    </row>
    <row r="62" spans="2:22">
      <c r="I62" s="138"/>
      <c r="J62" s="138"/>
      <c r="K62" s="138"/>
      <c r="L62" s="138"/>
      <c r="M62" s="138"/>
      <c r="N62" s="138"/>
      <c r="O62" s="138"/>
    </row>
    <row r="63" spans="2:22">
      <c r="I63" s="138"/>
      <c r="J63" s="138"/>
      <c r="K63" s="138"/>
      <c r="L63" s="138"/>
      <c r="M63" s="138"/>
      <c r="N63" s="138"/>
      <c r="O63" s="138"/>
    </row>
    <row r="64" spans="2:22">
      <c r="I64" s="138"/>
      <c r="J64" s="138"/>
      <c r="K64" s="138"/>
      <c r="L64" s="138"/>
      <c r="M64" s="138"/>
      <c r="N64" s="138"/>
      <c r="O64" s="138"/>
    </row>
    <row r="65" spans="9:15">
      <c r="I65" s="138"/>
      <c r="J65" s="138"/>
      <c r="K65" s="138"/>
      <c r="L65" s="138"/>
      <c r="M65" s="138"/>
      <c r="N65" s="138"/>
      <c r="O65" s="138"/>
    </row>
    <row r="66" spans="9:15">
      <c r="I66" s="138"/>
      <c r="J66" s="138"/>
      <c r="K66" s="138"/>
      <c r="L66" s="138"/>
      <c r="M66" s="138"/>
      <c r="N66" s="138"/>
      <c r="O66" s="138"/>
    </row>
    <row r="67" spans="9:15">
      <c r="I67" s="138"/>
      <c r="J67" s="138"/>
      <c r="K67" s="138"/>
      <c r="L67" s="138"/>
      <c r="M67" s="138"/>
      <c r="N67" s="138"/>
      <c r="O67" s="138"/>
    </row>
    <row r="68" spans="9:15">
      <c r="I68" s="138"/>
      <c r="J68" s="138"/>
      <c r="K68" s="138"/>
      <c r="L68" s="138"/>
      <c r="M68" s="138"/>
      <c r="N68" s="138"/>
      <c r="O68" s="138"/>
    </row>
    <row r="69" spans="9:15">
      <c r="I69" s="138"/>
      <c r="J69" s="138"/>
      <c r="K69" s="138"/>
      <c r="L69" s="138"/>
      <c r="M69" s="138"/>
      <c r="N69" s="138"/>
      <c r="O69" s="138"/>
    </row>
    <row r="70" spans="9:15">
      <c r="I70" s="138"/>
      <c r="J70" s="138"/>
      <c r="K70" s="138"/>
      <c r="L70" s="138"/>
      <c r="M70" s="138"/>
      <c r="N70" s="138"/>
      <c r="O70" s="138"/>
    </row>
    <row r="71" spans="9:15">
      <c r="I71" s="138"/>
      <c r="J71" s="138"/>
      <c r="K71" s="138"/>
      <c r="L71" s="138"/>
      <c r="M71" s="138"/>
      <c r="N71" s="138"/>
      <c r="O71" s="138"/>
    </row>
    <row r="72" spans="9:15">
      <c r="I72" s="138"/>
      <c r="J72" s="138"/>
      <c r="K72" s="138"/>
      <c r="L72" s="138"/>
      <c r="M72" s="138"/>
      <c r="N72" s="138"/>
      <c r="O72" s="138"/>
    </row>
    <row r="73" spans="9:15">
      <c r="I73" s="138"/>
      <c r="J73" s="138"/>
      <c r="K73" s="138"/>
      <c r="L73" s="138"/>
      <c r="M73" s="138"/>
      <c r="N73" s="138"/>
      <c r="O73" s="138"/>
    </row>
    <row r="74" spans="9:15">
      <c r="I74" s="138"/>
      <c r="J74" s="138"/>
      <c r="K74" s="138"/>
      <c r="L74" s="138"/>
      <c r="M74" s="138"/>
      <c r="N74" s="138"/>
      <c r="O74" s="138"/>
    </row>
    <row r="75" spans="9:15">
      <c r="I75" s="138"/>
      <c r="J75" s="138"/>
      <c r="K75" s="138"/>
      <c r="L75" s="138"/>
      <c r="M75" s="138"/>
      <c r="N75" s="138"/>
      <c r="O75" s="138"/>
    </row>
    <row r="76" spans="9:15">
      <c r="I76" s="138"/>
      <c r="J76" s="138"/>
      <c r="K76" s="138"/>
      <c r="L76" s="138"/>
      <c r="M76" s="138"/>
      <c r="N76" s="138"/>
      <c r="O76" s="138"/>
    </row>
    <row r="77" spans="9:15">
      <c r="I77" s="138"/>
      <c r="J77" s="138"/>
      <c r="K77" s="138"/>
      <c r="L77" s="138"/>
      <c r="M77" s="138"/>
      <c r="N77" s="138"/>
      <c r="O77" s="138"/>
    </row>
    <row r="78" spans="9:15">
      <c r="I78" s="138"/>
      <c r="J78" s="138"/>
      <c r="K78" s="138"/>
      <c r="L78" s="138"/>
      <c r="M78" s="138"/>
      <c r="N78" s="138"/>
      <c r="O78" s="138"/>
    </row>
    <row r="79" spans="9:15">
      <c r="I79" s="138"/>
      <c r="J79" s="138"/>
      <c r="K79" s="138"/>
      <c r="L79" s="138"/>
      <c r="M79" s="138"/>
      <c r="N79" s="138"/>
      <c r="O79" s="138"/>
    </row>
    <row r="80" spans="9:15">
      <c r="I80" s="138"/>
      <c r="J80" s="138"/>
      <c r="K80" s="138"/>
      <c r="L80" s="138"/>
      <c r="M80" s="138"/>
      <c r="N80" s="138"/>
      <c r="O80" s="138"/>
    </row>
    <row r="81" spans="2:15">
      <c r="I81" s="138"/>
      <c r="J81" s="138"/>
      <c r="K81" s="138"/>
      <c r="L81" s="138"/>
      <c r="M81" s="138"/>
      <c r="N81" s="138"/>
      <c r="O81" s="138"/>
    </row>
    <row r="82" spans="2:15">
      <c r="I82" s="138"/>
      <c r="J82" s="138"/>
      <c r="K82" s="138"/>
      <c r="L82" s="138"/>
      <c r="M82" s="138"/>
      <c r="N82" s="138"/>
      <c r="O82" s="138"/>
    </row>
    <row r="83" spans="2:15">
      <c r="B83" s="125"/>
      <c r="C83" s="126"/>
      <c r="D83" s="126"/>
      <c r="E83" s="126"/>
      <c r="F83" s="126"/>
      <c r="I83" s="138"/>
      <c r="J83" s="138"/>
      <c r="K83" s="138"/>
      <c r="L83" s="138"/>
      <c r="M83" s="138"/>
      <c r="N83" s="138"/>
      <c r="O83" s="138"/>
    </row>
    <row r="84" spans="2:15">
      <c r="B84" s="125"/>
      <c r="C84" s="126"/>
      <c r="D84" s="126"/>
      <c r="E84" s="126"/>
      <c r="F84" s="126"/>
      <c r="I84" s="138"/>
      <c r="J84" s="138"/>
      <c r="K84" s="138"/>
      <c r="L84" s="138"/>
      <c r="M84" s="138"/>
      <c r="N84" s="138"/>
      <c r="O84" s="138"/>
    </row>
    <row r="85" spans="2:15">
      <c r="I85" s="138"/>
      <c r="J85" s="138"/>
      <c r="K85" s="138"/>
      <c r="L85" s="138"/>
      <c r="M85" s="138"/>
      <c r="N85" s="138"/>
      <c r="O85" s="138"/>
    </row>
    <row r="86" spans="2:15">
      <c r="I86" s="138"/>
      <c r="J86" s="138"/>
      <c r="K86" s="138"/>
      <c r="L86" s="138"/>
      <c r="M86" s="138"/>
      <c r="N86" s="138"/>
      <c r="O86" s="138"/>
    </row>
    <row r="87" spans="2:15">
      <c r="I87" s="138"/>
      <c r="J87" s="138"/>
      <c r="K87" s="138"/>
      <c r="L87" s="138"/>
      <c r="M87" s="138"/>
      <c r="N87" s="138"/>
      <c r="O87" s="138"/>
    </row>
    <row r="88" spans="2:15">
      <c r="I88" s="138"/>
      <c r="J88" s="138"/>
      <c r="K88" s="138"/>
      <c r="L88" s="138"/>
      <c r="M88" s="138"/>
      <c r="N88" s="138"/>
      <c r="O88" s="138"/>
    </row>
    <row r="89" spans="2:15">
      <c r="I89" s="138"/>
      <c r="J89" s="138"/>
      <c r="K89" s="138"/>
      <c r="L89" s="138"/>
      <c r="M89" s="138"/>
      <c r="N89" s="138"/>
      <c r="O89" s="138"/>
    </row>
    <row r="90" spans="2:15">
      <c r="I90" s="138"/>
      <c r="J90" s="138"/>
      <c r="K90" s="138"/>
      <c r="L90" s="138"/>
      <c r="M90" s="138"/>
      <c r="N90" s="138"/>
      <c r="O90" s="138"/>
    </row>
    <row r="91" spans="2:15">
      <c r="I91" s="138"/>
      <c r="J91" s="138"/>
      <c r="K91" s="138"/>
      <c r="L91" s="138"/>
      <c r="M91" s="138"/>
      <c r="N91" s="138"/>
      <c r="O91" s="138"/>
    </row>
    <row r="92" spans="2:15">
      <c r="I92" s="138"/>
      <c r="J92" s="138"/>
      <c r="K92" s="138"/>
      <c r="L92" s="138"/>
      <c r="M92" s="138"/>
      <c r="N92" s="138"/>
      <c r="O92" s="138"/>
    </row>
    <row r="93" spans="2:15">
      <c r="I93" s="138"/>
      <c r="J93" s="138"/>
      <c r="K93" s="138"/>
      <c r="L93" s="138"/>
      <c r="M93" s="138"/>
      <c r="N93" s="138"/>
      <c r="O93" s="138"/>
    </row>
    <row r="94" spans="2:15">
      <c r="I94" s="138"/>
      <c r="J94" s="138"/>
      <c r="K94" s="138"/>
      <c r="L94" s="138"/>
      <c r="M94" s="138"/>
      <c r="N94" s="138"/>
      <c r="O94" s="138"/>
    </row>
    <row r="95" spans="2:15">
      <c r="I95" s="138"/>
      <c r="J95" s="138"/>
      <c r="K95" s="138"/>
      <c r="L95" s="138"/>
      <c r="M95" s="138"/>
      <c r="N95" s="138"/>
      <c r="O95" s="138"/>
    </row>
    <row r="96" spans="2:15">
      <c r="I96" s="138"/>
      <c r="J96" s="138"/>
      <c r="K96" s="138"/>
      <c r="L96" s="138"/>
      <c r="M96" s="138"/>
      <c r="N96" s="138"/>
      <c r="O96" s="138"/>
    </row>
    <row r="97" spans="9:15">
      <c r="I97" s="138"/>
      <c r="J97" s="138"/>
      <c r="K97" s="138"/>
      <c r="L97" s="138"/>
      <c r="M97" s="138"/>
      <c r="N97" s="138"/>
      <c r="O97" s="138"/>
    </row>
    <row r="98" spans="9:15">
      <c r="I98" s="138"/>
      <c r="J98" s="138"/>
      <c r="K98" s="138"/>
      <c r="L98" s="138"/>
      <c r="M98" s="138"/>
      <c r="N98" s="138"/>
      <c r="O98" s="138"/>
    </row>
    <row r="99" spans="9:15">
      <c r="I99" s="138"/>
      <c r="J99" s="138"/>
      <c r="K99" s="138"/>
      <c r="L99" s="138"/>
      <c r="M99" s="138"/>
      <c r="N99" s="138"/>
      <c r="O99" s="138"/>
    </row>
    <row r="100" spans="9:15">
      <c r="I100" s="138"/>
      <c r="J100" s="138"/>
      <c r="K100" s="138"/>
      <c r="L100" s="138"/>
      <c r="M100" s="138"/>
      <c r="N100" s="138"/>
      <c r="O100" s="138"/>
    </row>
    <row r="101" spans="9:15">
      <c r="I101" s="138"/>
      <c r="J101" s="138"/>
      <c r="K101" s="138"/>
      <c r="L101" s="138"/>
      <c r="M101" s="138"/>
      <c r="N101" s="138"/>
      <c r="O101" s="138"/>
    </row>
    <row r="102" spans="9:15">
      <c r="I102" s="138"/>
      <c r="J102" s="138"/>
      <c r="K102" s="138"/>
      <c r="L102" s="138"/>
      <c r="M102" s="138"/>
      <c r="N102" s="138"/>
      <c r="O102" s="138"/>
    </row>
    <row r="103" spans="9:15">
      <c r="I103" s="138"/>
      <c r="J103" s="138"/>
      <c r="K103" s="138"/>
      <c r="L103" s="138"/>
      <c r="M103" s="138"/>
      <c r="N103" s="138"/>
      <c r="O103" s="138"/>
    </row>
    <row r="104" spans="9:15">
      <c r="I104" s="138"/>
      <c r="J104" s="138"/>
      <c r="K104" s="138"/>
      <c r="L104" s="138"/>
      <c r="M104" s="138"/>
      <c r="N104" s="138"/>
      <c r="O104" s="138"/>
    </row>
    <row r="105" spans="9:15">
      <c r="I105" s="138"/>
      <c r="J105" s="138"/>
      <c r="K105" s="138"/>
      <c r="L105" s="138"/>
      <c r="M105" s="138"/>
      <c r="N105" s="138"/>
      <c r="O105" s="138"/>
    </row>
    <row r="106" spans="9:15">
      <c r="I106" s="138"/>
      <c r="J106" s="138"/>
      <c r="K106" s="138"/>
      <c r="L106" s="138"/>
      <c r="M106" s="138"/>
      <c r="N106" s="138"/>
      <c r="O106" s="138"/>
    </row>
    <row r="107" spans="9:15">
      <c r="I107" s="138"/>
      <c r="J107" s="138"/>
      <c r="K107" s="138"/>
      <c r="L107" s="138"/>
      <c r="M107" s="138"/>
      <c r="N107" s="138"/>
      <c r="O107" s="138"/>
    </row>
    <row r="108" spans="9:15">
      <c r="I108" s="138"/>
      <c r="J108" s="138"/>
      <c r="K108" s="138"/>
      <c r="L108" s="138"/>
      <c r="M108" s="138"/>
      <c r="N108" s="138"/>
      <c r="O108" s="138"/>
    </row>
    <row r="109" spans="9:15">
      <c r="I109" s="138"/>
      <c r="J109" s="138"/>
      <c r="K109" s="138"/>
      <c r="L109" s="138"/>
      <c r="M109" s="138"/>
      <c r="N109" s="138"/>
      <c r="O109" s="138"/>
    </row>
    <row r="110" spans="9:15">
      <c r="I110" s="138"/>
      <c r="J110" s="138"/>
      <c r="K110" s="138"/>
      <c r="L110" s="138"/>
      <c r="M110" s="138"/>
      <c r="N110" s="138"/>
      <c r="O110" s="138"/>
    </row>
    <row r="111" spans="9:15">
      <c r="I111" s="138"/>
      <c r="J111" s="138"/>
      <c r="K111" s="138"/>
      <c r="L111" s="138"/>
      <c r="M111" s="138"/>
      <c r="N111" s="138"/>
      <c r="O111" s="138"/>
    </row>
    <row r="112" spans="9:15">
      <c r="I112" s="138"/>
      <c r="J112" s="138"/>
      <c r="K112" s="138"/>
      <c r="L112" s="138"/>
      <c r="M112" s="138"/>
      <c r="N112" s="138"/>
      <c r="O112" s="138"/>
    </row>
    <row r="113" spans="9:15">
      <c r="I113" s="138"/>
      <c r="J113" s="138"/>
      <c r="K113" s="138"/>
      <c r="L113" s="138"/>
      <c r="M113" s="138"/>
      <c r="N113" s="138"/>
      <c r="O113" s="138"/>
    </row>
    <row r="114" spans="9:15">
      <c r="I114" s="138"/>
      <c r="J114" s="138"/>
      <c r="K114" s="138"/>
      <c r="L114" s="138"/>
      <c r="M114" s="138"/>
      <c r="N114" s="138"/>
      <c r="O114" s="138"/>
    </row>
    <row r="115" spans="9:15">
      <c r="I115" s="138"/>
      <c r="J115" s="138"/>
      <c r="K115" s="138"/>
      <c r="L115" s="138"/>
      <c r="M115" s="138"/>
      <c r="N115" s="138"/>
      <c r="O115" s="138"/>
    </row>
    <row r="116" spans="9:15">
      <c r="I116" s="138"/>
      <c r="J116" s="138"/>
      <c r="K116" s="138"/>
      <c r="L116" s="138"/>
      <c r="M116" s="138"/>
      <c r="N116" s="138"/>
      <c r="O116" s="138"/>
    </row>
    <row r="117" spans="9:15">
      <c r="I117" s="138"/>
      <c r="J117" s="138"/>
      <c r="K117" s="138"/>
      <c r="L117" s="138"/>
      <c r="M117" s="138"/>
      <c r="N117" s="138"/>
      <c r="O117" s="138"/>
    </row>
    <row r="118" spans="9:15">
      <c r="I118" s="138"/>
      <c r="J118" s="138"/>
      <c r="K118" s="138"/>
      <c r="L118" s="138"/>
      <c r="M118" s="138"/>
      <c r="N118" s="138"/>
      <c r="O118" s="138"/>
    </row>
    <row r="119" spans="9:15">
      <c r="I119" s="138"/>
      <c r="J119" s="138"/>
      <c r="K119" s="138"/>
      <c r="L119" s="138"/>
      <c r="M119" s="138"/>
      <c r="N119" s="138"/>
      <c r="O119" s="138"/>
    </row>
    <row r="120" spans="9:15">
      <c r="I120" s="138"/>
      <c r="J120" s="138"/>
      <c r="K120" s="138"/>
      <c r="L120" s="138"/>
      <c r="M120" s="138"/>
      <c r="N120" s="138"/>
      <c r="O120" s="138"/>
    </row>
    <row r="121" spans="9:15">
      <c r="I121" s="138"/>
      <c r="J121" s="138"/>
      <c r="K121" s="138"/>
      <c r="L121" s="138"/>
      <c r="M121" s="138"/>
      <c r="N121" s="138"/>
      <c r="O121" s="138"/>
    </row>
    <row r="122" spans="9:15">
      <c r="I122" s="138"/>
      <c r="J122" s="138"/>
      <c r="K122" s="138"/>
      <c r="L122" s="138"/>
      <c r="M122" s="138"/>
      <c r="N122" s="138"/>
      <c r="O122" s="138"/>
    </row>
    <row r="123" spans="9:15">
      <c r="I123" s="138"/>
      <c r="J123" s="138"/>
      <c r="K123" s="138"/>
      <c r="L123" s="138"/>
      <c r="M123" s="138"/>
      <c r="N123" s="138"/>
      <c r="O123" s="138"/>
    </row>
    <row r="124" spans="9:15">
      <c r="I124" s="138"/>
      <c r="J124" s="138"/>
      <c r="K124" s="138"/>
      <c r="L124" s="138"/>
      <c r="M124" s="138"/>
      <c r="N124" s="138"/>
      <c r="O124" s="138"/>
    </row>
    <row r="125" spans="9:15">
      <c r="I125" s="138"/>
      <c r="J125" s="138"/>
      <c r="K125" s="138"/>
      <c r="L125" s="138"/>
      <c r="M125" s="138"/>
      <c r="N125" s="138"/>
      <c r="O125" s="138"/>
    </row>
    <row r="126" spans="9:15">
      <c r="I126" s="138"/>
      <c r="J126" s="138"/>
      <c r="K126" s="138"/>
      <c r="L126" s="138"/>
      <c r="M126" s="138"/>
      <c r="N126" s="138"/>
      <c r="O126" s="138"/>
    </row>
    <row r="127" spans="9:15">
      <c r="I127" s="138"/>
      <c r="J127" s="138"/>
      <c r="K127" s="138"/>
      <c r="L127" s="138"/>
      <c r="M127" s="138"/>
      <c r="N127" s="138"/>
      <c r="O127" s="138"/>
    </row>
    <row r="128" spans="9:15">
      <c r="I128" s="138"/>
      <c r="J128" s="138"/>
      <c r="K128" s="138"/>
      <c r="L128" s="138"/>
      <c r="M128" s="138"/>
      <c r="N128" s="138"/>
      <c r="O128" s="138"/>
    </row>
    <row r="129" spans="9:15">
      <c r="I129" s="138"/>
      <c r="J129" s="138"/>
      <c r="K129" s="138"/>
      <c r="L129" s="138"/>
      <c r="M129" s="138"/>
      <c r="N129" s="138"/>
      <c r="O129" s="138"/>
    </row>
    <row r="130" spans="9:15">
      <c r="I130" s="138"/>
      <c r="J130" s="138"/>
      <c r="K130" s="138"/>
      <c r="L130" s="138"/>
      <c r="M130" s="138"/>
      <c r="N130" s="138"/>
      <c r="O130" s="138"/>
    </row>
    <row r="131" spans="9:15">
      <c r="I131" s="138"/>
      <c r="J131" s="138"/>
      <c r="K131" s="138"/>
      <c r="L131" s="138"/>
      <c r="M131" s="138"/>
      <c r="N131" s="138"/>
      <c r="O131" s="138"/>
    </row>
    <row r="132" spans="9:15">
      <c r="I132" s="138"/>
      <c r="J132" s="138"/>
      <c r="K132" s="138"/>
      <c r="L132" s="138"/>
      <c r="M132" s="138"/>
      <c r="N132" s="138"/>
      <c r="O132" s="138"/>
    </row>
    <row r="133" spans="9:15">
      <c r="I133" s="138"/>
      <c r="J133" s="138"/>
      <c r="K133" s="138"/>
      <c r="L133" s="138"/>
      <c r="M133" s="138"/>
      <c r="N133" s="138"/>
      <c r="O133" s="138"/>
    </row>
    <row r="134" spans="9:15">
      <c r="I134" s="138"/>
      <c r="J134" s="138"/>
      <c r="K134" s="138"/>
      <c r="L134" s="138"/>
      <c r="M134" s="138"/>
      <c r="N134" s="138"/>
      <c r="O134" s="138"/>
    </row>
    <row r="135" spans="9:15">
      <c r="I135" s="138"/>
      <c r="J135" s="138"/>
      <c r="K135" s="138"/>
      <c r="L135" s="138"/>
      <c r="M135" s="138"/>
      <c r="N135" s="138"/>
      <c r="O135" s="138"/>
    </row>
    <row r="136" spans="9:15">
      <c r="I136" s="138"/>
      <c r="J136" s="138"/>
      <c r="K136" s="138"/>
      <c r="L136" s="138"/>
      <c r="M136" s="138"/>
      <c r="N136" s="138"/>
      <c r="O136" s="138"/>
    </row>
    <row r="137" spans="9:15">
      <c r="I137" s="138"/>
      <c r="J137" s="138"/>
      <c r="K137" s="138"/>
      <c r="L137" s="138"/>
      <c r="M137" s="138"/>
      <c r="N137" s="138"/>
      <c r="O137" s="138"/>
    </row>
    <row r="138" spans="9:15">
      <c r="I138" s="138"/>
      <c r="J138" s="138"/>
      <c r="K138" s="138"/>
      <c r="L138" s="138"/>
      <c r="M138" s="138"/>
      <c r="N138" s="138"/>
      <c r="O138" s="138"/>
    </row>
    <row r="139" spans="9:15">
      <c r="I139" s="138"/>
      <c r="J139" s="138"/>
      <c r="K139" s="138"/>
      <c r="L139" s="138"/>
      <c r="M139" s="138"/>
      <c r="N139" s="138"/>
    </row>
    <row r="140" spans="9:15">
      <c r="I140" s="138"/>
      <c r="J140" s="138"/>
      <c r="K140" s="138"/>
      <c r="L140" s="138"/>
      <c r="M140" s="138"/>
      <c r="N140" s="138"/>
    </row>
    <row r="141" spans="9:15">
      <c r="I141" s="138"/>
      <c r="J141" s="138"/>
      <c r="K141" s="138"/>
      <c r="L141" s="138"/>
      <c r="M141" s="138"/>
      <c r="N141" s="138"/>
    </row>
    <row r="142" spans="9:15">
      <c r="I142" s="138"/>
      <c r="J142" s="138"/>
      <c r="K142" s="138"/>
      <c r="L142" s="138"/>
      <c r="M142" s="138"/>
      <c r="N142" s="138"/>
    </row>
    <row r="143" spans="9:15">
      <c r="I143" s="138"/>
      <c r="J143" s="138"/>
      <c r="K143" s="138"/>
      <c r="L143" s="138"/>
      <c r="M143" s="138"/>
      <c r="N143" s="138"/>
    </row>
    <row r="144" spans="9:15">
      <c r="I144" s="138"/>
      <c r="J144" s="138"/>
      <c r="K144" s="138"/>
      <c r="L144" s="138"/>
      <c r="M144" s="138"/>
      <c r="N144" s="138"/>
    </row>
    <row r="145" spans="9:14">
      <c r="I145" s="138"/>
      <c r="J145" s="138"/>
      <c r="K145" s="138"/>
      <c r="L145" s="138"/>
      <c r="M145" s="138"/>
      <c r="N145" s="138"/>
    </row>
    <row r="146" spans="9:14">
      <c r="I146" s="138"/>
      <c r="J146" s="138"/>
      <c r="K146" s="138"/>
      <c r="L146" s="138"/>
      <c r="M146" s="138"/>
      <c r="N146" s="138"/>
    </row>
    <row r="147" spans="9:14">
      <c r="I147" s="138"/>
      <c r="J147" s="138"/>
      <c r="K147" s="138"/>
      <c r="L147" s="138"/>
      <c r="M147" s="138"/>
      <c r="N147" s="138"/>
    </row>
    <row r="148" spans="9:14">
      <c r="I148" s="138"/>
      <c r="J148" s="138"/>
      <c r="K148" s="138"/>
      <c r="L148" s="138"/>
      <c r="M148" s="138"/>
      <c r="N148" s="138"/>
    </row>
    <row r="149" spans="9:14">
      <c r="I149" s="138"/>
      <c r="J149" s="138"/>
      <c r="K149" s="138"/>
      <c r="L149" s="138"/>
      <c r="M149" s="138"/>
      <c r="N149" s="138"/>
    </row>
    <row r="150" spans="9:14">
      <c r="I150" s="138"/>
      <c r="J150" s="138"/>
      <c r="K150" s="138"/>
      <c r="L150" s="138"/>
      <c r="M150" s="138"/>
      <c r="N150" s="138"/>
    </row>
    <row r="151" spans="9:14">
      <c r="I151" s="138"/>
      <c r="J151" s="138"/>
      <c r="K151" s="138"/>
      <c r="L151" s="138"/>
      <c r="M151" s="138"/>
      <c r="N151" s="138"/>
    </row>
    <row r="152" spans="9:14">
      <c r="I152" s="138"/>
      <c r="J152" s="138"/>
      <c r="K152" s="138"/>
      <c r="L152" s="138"/>
      <c r="M152" s="138"/>
      <c r="N152" s="138"/>
    </row>
    <row r="153" spans="9:14">
      <c r="I153" s="138"/>
      <c r="J153" s="138"/>
      <c r="K153" s="138"/>
      <c r="L153" s="138"/>
      <c r="M153" s="138"/>
      <c r="N153" s="138"/>
    </row>
    <row r="154" spans="9:14">
      <c r="I154" s="138"/>
      <c r="J154" s="138"/>
      <c r="K154" s="138"/>
      <c r="L154" s="138"/>
      <c r="M154" s="138"/>
      <c r="N154" s="138"/>
    </row>
    <row r="155" spans="9:14">
      <c r="J155" s="138"/>
      <c r="K155" s="138"/>
      <c r="L155" s="138"/>
      <c r="M155" s="138"/>
      <c r="N155" s="138"/>
    </row>
    <row r="156" spans="9:14">
      <c r="J156" s="138"/>
      <c r="K156" s="138"/>
      <c r="L156" s="138"/>
      <c r="M156" s="138"/>
      <c r="N156" s="138"/>
    </row>
    <row r="172" spans="15:15">
      <c r="O172" s="138"/>
    </row>
    <row r="173" spans="15:15">
      <c r="O173" s="138"/>
    </row>
    <row r="174" spans="15:15">
      <c r="O174" s="138"/>
    </row>
    <row r="175" spans="15:15">
      <c r="O175" s="138"/>
    </row>
    <row r="176" spans="15:15">
      <c r="O176" s="138"/>
    </row>
    <row r="177" spans="15:15">
      <c r="O177" s="138"/>
    </row>
    <row r="178" spans="15:15">
      <c r="O178" s="138"/>
    </row>
    <row r="179" spans="15:15">
      <c r="O179" s="138"/>
    </row>
    <row r="180" spans="15:15">
      <c r="O180" s="138"/>
    </row>
    <row r="181" spans="15:15">
      <c r="O181" s="138"/>
    </row>
    <row r="182" spans="15:15">
      <c r="O182" s="138"/>
    </row>
    <row r="183" spans="15:15">
      <c r="O183" s="138"/>
    </row>
    <row r="184" spans="15:15">
      <c r="O184" s="138"/>
    </row>
    <row r="185" spans="15:15">
      <c r="O185" s="138"/>
    </row>
    <row r="186" spans="15:15">
      <c r="O186" s="138"/>
    </row>
    <row r="187" spans="15:15">
      <c r="O187" s="138"/>
    </row>
    <row r="188" spans="15:15">
      <c r="O188" s="138"/>
    </row>
    <row r="189" spans="15:15">
      <c r="O189" s="138"/>
    </row>
    <row r="190" spans="15:15">
      <c r="O190" s="138"/>
    </row>
    <row r="191" spans="15:15">
      <c r="O191" s="138"/>
    </row>
  </sheetData>
  <mergeCells count="71"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8:L48"/>
    <mergeCell ref="K49:L49"/>
    <mergeCell ref="K56:L56"/>
    <mergeCell ref="I57:J57"/>
    <mergeCell ref="K57:L57"/>
    <mergeCell ref="Q37:R37"/>
    <mergeCell ref="K38:L38"/>
    <mergeCell ref="P38:P44"/>
    <mergeCell ref="B39:B49"/>
    <mergeCell ref="K39:L39"/>
    <mergeCell ref="K40:L40"/>
    <mergeCell ref="K41:L41"/>
    <mergeCell ref="K42:L42"/>
    <mergeCell ref="I43:I46"/>
    <mergeCell ref="K43:L43"/>
    <mergeCell ref="K44:L44"/>
    <mergeCell ref="K45:L45"/>
    <mergeCell ref="P45:P56"/>
    <mergeCell ref="Q45:Q49"/>
    <mergeCell ref="K46:L46"/>
    <mergeCell ref="K47:L47"/>
    <mergeCell ref="B28:B38"/>
    <mergeCell ref="I28:I31"/>
    <mergeCell ref="K34:L34"/>
    <mergeCell ref="I35:I42"/>
    <mergeCell ref="K35:L35"/>
    <mergeCell ref="K36:L36"/>
    <mergeCell ref="K37:L37"/>
    <mergeCell ref="B17:B20"/>
    <mergeCell ref="T17:U17"/>
    <mergeCell ref="T18:U18"/>
    <mergeCell ref="T19:U19"/>
    <mergeCell ref="I20:I23"/>
    <mergeCell ref="T20:U20"/>
    <mergeCell ref="B21:B24"/>
    <mergeCell ref="I24:I27"/>
    <mergeCell ref="I17:I19"/>
    <mergeCell ref="B12:B16"/>
    <mergeCell ref="T12:U12"/>
    <mergeCell ref="T13:U13"/>
    <mergeCell ref="T14:U14"/>
    <mergeCell ref="T15:U15"/>
    <mergeCell ref="T16:U16"/>
    <mergeCell ref="I11:I16"/>
    <mergeCell ref="B5:B7"/>
    <mergeCell ref="T5:U5"/>
    <mergeCell ref="I6:I10"/>
    <mergeCell ref="T6:U6"/>
    <mergeCell ref="T7:U7"/>
    <mergeCell ref="I4:I5"/>
    <mergeCell ref="J4:J5"/>
    <mergeCell ref="M4:M5"/>
    <mergeCell ref="N4:N5"/>
    <mergeCell ref="T4:U4"/>
    <mergeCell ref="B8:B11"/>
    <mergeCell ref="T8:U8"/>
    <mergeCell ref="T9:U9"/>
    <mergeCell ref="T10:U10"/>
    <mergeCell ref="T11:U11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１　対象経営の概要，２　前提条件</vt:lpstr>
      <vt:lpstr>３　ブロッコリー標準技術</vt:lpstr>
      <vt:lpstr>４　経営収支</vt:lpstr>
      <vt:lpstr>５ ブロッコリー作業時間</vt:lpstr>
      <vt:lpstr>６　固定資本装備と減価償却費</vt:lpstr>
      <vt:lpstr>７-１　ブロッコリー（春まき）部門収支</vt:lpstr>
      <vt:lpstr>７-2　ブロッコリー（夏まき）部門収支</vt:lpstr>
      <vt:lpstr>８-１　ブロッコリー（春まき）算出基礎</vt:lpstr>
      <vt:lpstr>８-２　ブロッコリー（夏まき）算出基礎</vt:lpstr>
      <vt:lpstr>９　ブロッコリー単価算出基礎</vt:lpstr>
      <vt:lpstr>Sheet1</vt:lpstr>
      <vt:lpstr>'４　経営収支'!Print_Area</vt:lpstr>
      <vt:lpstr>'５ ブロッコリー作業時間'!Print_Area</vt:lpstr>
      <vt:lpstr>'６　固定資本装備と減価償却費'!Print_Area</vt:lpstr>
      <vt:lpstr>'７-１　ブロッコリー（春まき）部門収支'!Print_Area</vt:lpstr>
      <vt:lpstr>'７-2　ブロッコリー（夏まき）部門収支'!Print_Area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2015-02-17T07:57:34Z</cp:lastPrinted>
  <dcterms:created xsi:type="dcterms:W3CDTF">2005-02-26T02:20:11Z</dcterms:created>
  <dcterms:modified xsi:type="dcterms:W3CDTF">2015-03-24T05:20:49Z</dcterms:modified>
</cp:coreProperties>
</file>