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60" windowWidth="10410" windowHeight="7200" tabRatio="701"/>
  </bookViews>
  <sheets>
    <sheet name="１　対象経営の概要，２　前提条件" sheetId="19" r:id="rId1"/>
    <sheet name="３　かぼちゃ標準技術" sheetId="24" r:id="rId2"/>
    <sheet name="４　経営収支" sheetId="22" r:id="rId3"/>
    <sheet name="５　かぼちゃ作業時間" sheetId="27" r:id="rId4"/>
    <sheet name="６　固定資本装備と減価償却費" sheetId="30" r:id="rId5"/>
    <sheet name="７　かぼちゃ部門収支" sheetId="35" r:id="rId6"/>
    <sheet name="８　かぼちゃ算出基礎" sheetId="36" r:id="rId7"/>
    <sheet name="９　かぼちゃ単価算出基礎" sheetId="42" r:id="rId8"/>
  </sheet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2">'４　経営収支'!$A$1:$N$38</definedName>
    <definedName name="_xlnm.Print_Area" localSheetId="3">'５　かぼちゃ作業時間'!$A$1:$AN$53</definedName>
    <definedName name="_xlnm.Print_Area" localSheetId="4">'６　固定資本装備と減価償却費'!$1:$36</definedName>
    <definedName name="_xlnm.Print_Area" localSheetId="5">'７　かぼちゃ部門収支'!$A$1:$S$45</definedName>
    <definedName name="_xlnm.Print_Area" localSheetId="7">'９　かぼちゃ単価算出基礎'!$A$1:$P$20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O34" i="35" l="1"/>
  <c r="O33" i="35"/>
  <c r="O31" i="35"/>
  <c r="O30" i="35"/>
  <c r="N37" i="36" l="1"/>
  <c r="K37" i="36" l="1"/>
  <c r="V26" i="36" l="1"/>
  <c r="K18" i="30" l="1"/>
  <c r="K17" i="30"/>
  <c r="K16" i="30"/>
  <c r="K15" i="30"/>
  <c r="K14" i="30"/>
  <c r="K13" i="30"/>
  <c r="N51" i="36" s="1"/>
  <c r="K7" i="30"/>
  <c r="K6" i="30"/>
  <c r="N52" i="36" l="1"/>
  <c r="T51" i="36"/>
  <c r="V51" i="36" s="1"/>
  <c r="T45" i="36"/>
  <c r="V45" i="36" s="1"/>
  <c r="K5" i="30"/>
  <c r="N11" i="42" l="1"/>
  <c r="M11" i="42"/>
  <c r="L11" i="42"/>
  <c r="K11" i="42"/>
  <c r="J11" i="42"/>
  <c r="I11" i="42"/>
  <c r="H11" i="42"/>
  <c r="G11" i="42"/>
  <c r="F11" i="42"/>
  <c r="E11" i="42"/>
  <c r="D11" i="42"/>
  <c r="C11" i="42"/>
  <c r="O10" i="42"/>
  <c r="O9" i="42"/>
  <c r="O8" i="42"/>
  <c r="O7" i="42"/>
  <c r="O6" i="42"/>
  <c r="O16" i="42"/>
  <c r="O17" i="42"/>
  <c r="O18" i="42"/>
  <c r="O19" i="42"/>
  <c r="O15" i="42"/>
  <c r="O11" i="42" l="1"/>
  <c r="O20" i="42"/>
  <c r="N5" i="35" l="1"/>
  <c r="E36" i="27" l="1"/>
  <c r="F36" i="27"/>
  <c r="G36" i="27"/>
  <c r="H36" i="27"/>
  <c r="I36" i="27"/>
  <c r="J36" i="27"/>
  <c r="K36" i="27"/>
  <c r="L36" i="27"/>
  <c r="M36" i="27"/>
  <c r="P36" i="27"/>
  <c r="Q36" i="27"/>
  <c r="R36" i="27"/>
  <c r="S36" i="27"/>
  <c r="T36" i="27"/>
  <c r="U36" i="27"/>
  <c r="V36" i="27"/>
  <c r="W36" i="27"/>
  <c r="X36" i="27"/>
  <c r="Y36" i="27"/>
  <c r="Z36" i="27"/>
  <c r="AA36" i="27"/>
  <c r="AB36" i="27"/>
  <c r="AC36" i="27"/>
  <c r="AD36" i="27"/>
  <c r="AE36" i="27"/>
  <c r="AF36" i="27"/>
  <c r="AG36" i="27"/>
  <c r="AH36" i="27"/>
  <c r="AI36" i="27"/>
  <c r="AJ36" i="27"/>
  <c r="AK36" i="27"/>
  <c r="AL36" i="27"/>
  <c r="AM36" i="27"/>
  <c r="D36" i="27"/>
  <c r="AN36" i="27" s="1"/>
  <c r="P9" i="27"/>
  <c r="N9" i="27"/>
  <c r="N36" i="27" s="1"/>
  <c r="N37" i="27" s="1"/>
  <c r="O9" i="27"/>
  <c r="O36" i="27" s="1"/>
  <c r="L28" i="36"/>
  <c r="N28" i="36" s="1"/>
  <c r="Q8" i="36"/>
  <c r="Q6" i="36"/>
  <c r="N13" i="35"/>
  <c r="Q7" i="36" s="1"/>
  <c r="U51" i="36"/>
  <c r="U45" i="36"/>
  <c r="U25" i="36"/>
  <c r="U24" i="36"/>
  <c r="M52" i="36"/>
  <c r="M51" i="36"/>
  <c r="M43" i="36"/>
  <c r="N43" i="36" s="1"/>
  <c r="M36" i="36"/>
  <c r="M37" i="36"/>
  <c r="M35" i="36"/>
  <c r="G4" i="22"/>
  <c r="G6" i="30"/>
  <c r="K36" i="36" s="1"/>
  <c r="N36" i="36" s="1"/>
  <c r="G5" i="30"/>
  <c r="K35" i="36" s="1"/>
  <c r="N35" i="36" s="1"/>
  <c r="V7" i="36" l="1"/>
  <c r="Q10" i="36"/>
  <c r="V10" i="36" s="1"/>
  <c r="V8" i="36"/>
  <c r="Q9" i="36"/>
  <c r="V9" i="36" s="1"/>
  <c r="AN9" i="27"/>
  <c r="F41" i="36"/>
  <c r="F40" i="36"/>
  <c r="F39" i="36"/>
  <c r="F31" i="36"/>
  <c r="F30" i="36"/>
  <c r="F29" i="36"/>
  <c r="F28" i="36"/>
  <c r="F13" i="36"/>
  <c r="F12" i="36"/>
  <c r="F8" i="36"/>
  <c r="AN16" i="27" l="1"/>
  <c r="V6" i="36"/>
  <c r="S5" i="36"/>
  <c r="D41" i="36"/>
  <c r="D40" i="36"/>
  <c r="D39" i="36"/>
  <c r="D31" i="36"/>
  <c r="D30" i="36"/>
  <c r="D29" i="36"/>
  <c r="D28" i="36"/>
  <c r="W10" i="35"/>
  <c r="X10" i="35"/>
  <c r="V10" i="35"/>
  <c r="Q25" i="36" l="1"/>
  <c r="G26" i="22"/>
  <c r="F26" i="22" s="1"/>
  <c r="G27" i="22"/>
  <c r="F27" i="22" s="1"/>
  <c r="G29" i="22"/>
  <c r="F29" i="22" s="1"/>
  <c r="G14" i="22"/>
  <c r="F14" i="22" s="1"/>
  <c r="G20" i="22"/>
  <c r="F20" i="22" s="1"/>
  <c r="N20" i="42"/>
  <c r="M20" i="42"/>
  <c r="L20" i="42"/>
  <c r="K20" i="42"/>
  <c r="J20" i="42"/>
  <c r="I20" i="42"/>
  <c r="H20" i="42"/>
  <c r="G20" i="42"/>
  <c r="F20" i="42"/>
  <c r="G6" i="22"/>
  <c r="F6" i="22" s="1"/>
  <c r="G41" i="36" l="1"/>
  <c r="G42" i="36"/>
  <c r="G43" i="36"/>
  <c r="G44" i="36"/>
  <c r="G45" i="36"/>
  <c r="G46" i="36"/>
  <c r="G47" i="36"/>
  <c r="G31" i="36"/>
  <c r="G32" i="36"/>
  <c r="G33" i="36"/>
  <c r="G34" i="36"/>
  <c r="G35" i="36"/>
  <c r="L27" i="36"/>
  <c r="K27" i="36"/>
  <c r="N26" i="36"/>
  <c r="N25" i="36"/>
  <c r="N27" i="36" l="1"/>
  <c r="N50" i="36"/>
  <c r="N46" i="36"/>
  <c r="V56" i="36"/>
  <c r="V50" i="36"/>
  <c r="V44" i="36"/>
  <c r="V25" i="36"/>
  <c r="V24" i="36"/>
  <c r="N56" i="36" l="1"/>
  <c r="V57" i="36"/>
  <c r="P9" i="30"/>
  <c r="P10" i="30"/>
  <c r="I6" i="30"/>
  <c r="L6" i="30" s="1"/>
  <c r="I7" i="30"/>
  <c r="L7" i="30" s="1"/>
  <c r="I5" i="30"/>
  <c r="L5" i="30" s="1"/>
  <c r="N42" i="36" l="1"/>
  <c r="N57" i="36" s="1"/>
  <c r="AM51" i="27" l="1"/>
  <c r="AL51" i="27"/>
  <c r="AK51" i="27"/>
  <c r="AJ51" i="27"/>
  <c r="AI51" i="27"/>
  <c r="AH51" i="27"/>
  <c r="AG51" i="27"/>
  <c r="AF51" i="27"/>
  <c r="AE51" i="27"/>
  <c r="AD51" i="27"/>
  <c r="M51" i="27"/>
  <c r="L51" i="27"/>
  <c r="K51" i="27"/>
  <c r="J51" i="27"/>
  <c r="I51" i="27"/>
  <c r="H51" i="27"/>
  <c r="G51" i="27"/>
  <c r="F51" i="27"/>
  <c r="E51" i="27"/>
  <c r="D51" i="27"/>
  <c r="AN50" i="27"/>
  <c r="G19" i="36"/>
  <c r="G18" i="36"/>
  <c r="L31" i="36"/>
  <c r="K31" i="36"/>
  <c r="L23" i="36"/>
  <c r="K23" i="36"/>
  <c r="L19" i="36"/>
  <c r="K19" i="36"/>
  <c r="N30" i="36"/>
  <c r="N29" i="36"/>
  <c r="N22" i="36"/>
  <c r="N21" i="36"/>
  <c r="N18" i="36"/>
  <c r="N17" i="36"/>
  <c r="N16" i="36"/>
  <c r="L15" i="36"/>
  <c r="K15" i="36"/>
  <c r="L10" i="36"/>
  <c r="K10" i="36"/>
  <c r="N14" i="36"/>
  <c r="N13" i="36"/>
  <c r="N12" i="36"/>
  <c r="N11" i="36"/>
  <c r="N7" i="36"/>
  <c r="N8" i="36"/>
  <c r="N9" i="36"/>
  <c r="N6" i="36"/>
  <c r="G17" i="36"/>
  <c r="G15" i="36"/>
  <c r="G14" i="36"/>
  <c r="G13" i="36"/>
  <c r="G12" i="36"/>
  <c r="G8" i="36"/>
  <c r="G6" i="36"/>
  <c r="G5" i="36"/>
  <c r="P11" i="35"/>
  <c r="P14" i="35"/>
  <c r="V5" i="36"/>
  <c r="V20" i="36" s="1"/>
  <c r="G52" i="36"/>
  <c r="G51" i="36"/>
  <c r="G48" i="36"/>
  <c r="G40" i="36"/>
  <c r="G39" i="36"/>
  <c r="G37" i="36"/>
  <c r="G36" i="36"/>
  <c r="G30" i="36"/>
  <c r="G29" i="36"/>
  <c r="G28" i="36"/>
  <c r="N10" i="35"/>
  <c r="N11" i="35"/>
  <c r="P13" i="35"/>
  <c r="P15" i="35" s="1"/>
  <c r="I18" i="30"/>
  <c r="I14" i="30"/>
  <c r="L14" i="30" s="1"/>
  <c r="P27" i="30"/>
  <c r="P26" i="30"/>
  <c r="P20" i="30"/>
  <c r="P19" i="30"/>
  <c r="I16" i="30"/>
  <c r="L16" i="30" s="1"/>
  <c r="I15" i="30"/>
  <c r="L15" i="30" s="1"/>
  <c r="G35" i="30"/>
  <c r="P34" i="30"/>
  <c r="P33" i="30"/>
  <c r="P32" i="30"/>
  <c r="G30" i="30"/>
  <c r="P28" i="30"/>
  <c r="P25" i="30"/>
  <c r="P21" i="30"/>
  <c r="I17" i="30"/>
  <c r="L17" i="30" s="1"/>
  <c r="I13" i="30"/>
  <c r="L13" i="30" s="1"/>
  <c r="G12" i="30"/>
  <c r="P11" i="30"/>
  <c r="P8" i="30"/>
  <c r="AN34" i="27"/>
  <c r="AN35" i="27"/>
  <c r="AN26" i="27"/>
  <c r="AN27" i="27"/>
  <c r="AN28" i="27"/>
  <c r="AN29" i="27"/>
  <c r="AN30" i="27"/>
  <c r="AN31" i="27"/>
  <c r="AN32" i="27"/>
  <c r="AN33" i="27"/>
  <c r="AN10" i="27"/>
  <c r="AN25" i="27"/>
  <c r="AN24" i="27"/>
  <c r="AN23" i="27"/>
  <c r="AN22" i="27"/>
  <c r="AN21" i="27"/>
  <c r="AN20" i="27"/>
  <c r="AN19" i="27"/>
  <c r="AN18" i="27"/>
  <c r="AN17" i="27"/>
  <c r="AN15" i="27"/>
  <c r="AN14" i="27"/>
  <c r="AN13" i="27"/>
  <c r="AN12" i="27"/>
  <c r="AN11" i="27"/>
  <c r="N18" i="30" l="1"/>
  <c r="P18" i="30" s="1"/>
  <c r="L18" i="30"/>
  <c r="AN37" i="27"/>
  <c r="E55" i="27"/>
  <c r="D45" i="27" s="1"/>
  <c r="D52" i="27" s="1"/>
  <c r="AC45" i="27"/>
  <c r="AA45" i="27"/>
  <c r="AE45" i="27"/>
  <c r="AE52" i="27" s="1"/>
  <c r="I45" i="27"/>
  <c r="Q45" i="27"/>
  <c r="V45" i="27"/>
  <c r="Z45" i="27"/>
  <c r="F22" i="35"/>
  <c r="G24" i="22" s="1"/>
  <c r="F24" i="22" s="1"/>
  <c r="F21" i="35"/>
  <c r="G23" i="22" s="1"/>
  <c r="F23" i="22" s="1"/>
  <c r="G38" i="36"/>
  <c r="P24" i="35" s="1"/>
  <c r="F6" i="35"/>
  <c r="G8" i="22" s="1"/>
  <c r="F8" i="22" s="1"/>
  <c r="G33" i="22"/>
  <c r="F33" i="22" s="1"/>
  <c r="L37" i="22"/>
  <c r="I35" i="30"/>
  <c r="N5" i="30"/>
  <c r="P5" i="30" s="1"/>
  <c r="I52" i="27"/>
  <c r="K37" i="27"/>
  <c r="H37" i="27"/>
  <c r="G20" i="36"/>
  <c r="R11" i="35"/>
  <c r="N15" i="36"/>
  <c r="P31" i="35" s="1"/>
  <c r="V34" i="36"/>
  <c r="F11" i="35" s="1"/>
  <c r="G13" i="22" s="1"/>
  <c r="F13" i="22" s="1"/>
  <c r="N31" i="36"/>
  <c r="P34" i="35" s="1"/>
  <c r="N19" i="36"/>
  <c r="P33" i="35" s="1"/>
  <c r="N23" i="36"/>
  <c r="N10" i="36"/>
  <c r="P30" i="35" s="1"/>
  <c r="G7" i="36"/>
  <c r="P17" i="35" s="1"/>
  <c r="G11" i="36"/>
  <c r="P18" i="35" s="1"/>
  <c r="G16" i="36"/>
  <c r="P19" i="35" s="1"/>
  <c r="G24" i="36"/>
  <c r="G53" i="36"/>
  <c r="F10" i="35"/>
  <c r="G12" i="22" s="1"/>
  <c r="F12" i="22" s="1"/>
  <c r="G57" i="36"/>
  <c r="G49" i="36"/>
  <c r="P25" i="35" s="1"/>
  <c r="N15" i="30"/>
  <c r="P15" i="30" s="1"/>
  <c r="I30" i="30"/>
  <c r="G36" i="30"/>
  <c r="I12" i="30"/>
  <c r="P29" i="30"/>
  <c r="N7" i="30"/>
  <c r="P7" i="30" s="1"/>
  <c r="N6" i="30"/>
  <c r="P6" i="30" s="1"/>
  <c r="P23" i="30"/>
  <c r="P24" i="30"/>
  <c r="T37" i="27"/>
  <c r="AF37" i="27"/>
  <c r="W37" i="27"/>
  <c r="AI37" i="27"/>
  <c r="AL37" i="27"/>
  <c r="E37" i="27"/>
  <c r="Q37" i="27"/>
  <c r="AC37" i="27"/>
  <c r="Z37" i="27"/>
  <c r="P22" i="35" l="1"/>
  <c r="AL45" i="27"/>
  <c r="AL52" i="27" s="1"/>
  <c r="F45" i="27"/>
  <c r="F52" i="27" s="1"/>
  <c r="H45" i="27"/>
  <c r="H52" i="27" s="1"/>
  <c r="K45" i="27"/>
  <c r="K52" i="27" s="1"/>
  <c r="J45" i="27"/>
  <c r="J52" i="27" s="1"/>
  <c r="P45" i="27"/>
  <c r="P49" i="27" s="1"/>
  <c r="O45" i="27"/>
  <c r="O48" i="27" s="1"/>
  <c r="E45" i="27"/>
  <c r="E52" i="27" s="1"/>
  <c r="T45" i="27"/>
  <c r="T47" i="27" s="1"/>
  <c r="AH45" i="27"/>
  <c r="AH52" i="27" s="1"/>
  <c r="R45" i="27"/>
  <c r="R47" i="27" s="1"/>
  <c r="AG45" i="27"/>
  <c r="AG52" i="27" s="1"/>
  <c r="AM45" i="27"/>
  <c r="AM52" i="27" s="1"/>
  <c r="W45" i="27"/>
  <c r="W48" i="27" s="1"/>
  <c r="G45" i="27"/>
  <c r="G52" i="27" s="1"/>
  <c r="U45" i="27"/>
  <c r="U47" i="27" s="1"/>
  <c r="AD45" i="27"/>
  <c r="AD52" i="27" s="1"/>
  <c r="N45" i="27"/>
  <c r="N48" i="27" s="1"/>
  <c r="Y45" i="27"/>
  <c r="Y49" i="27" s="1"/>
  <c r="X45" i="27"/>
  <c r="X49" i="27" s="1"/>
  <c r="AI45" i="27"/>
  <c r="AI52" i="27" s="1"/>
  <c r="S45" i="27"/>
  <c r="S48" i="27" s="1"/>
  <c r="AK45" i="27"/>
  <c r="AK52" i="27" s="1"/>
  <c r="M45" i="27"/>
  <c r="M52" i="27" s="1"/>
  <c r="AF45" i="27"/>
  <c r="AF52" i="27" s="1"/>
  <c r="L45" i="27"/>
  <c r="L52" i="27" s="1"/>
  <c r="Y47" i="27"/>
  <c r="F4" i="35"/>
  <c r="F28" i="35" s="1"/>
  <c r="F23" i="35"/>
  <c r="G25" i="22" s="1"/>
  <c r="F25" i="22" s="1"/>
  <c r="R48" i="27"/>
  <c r="U49" i="27"/>
  <c r="U48" i="27"/>
  <c r="AB45" i="27"/>
  <c r="AC46" i="27" s="1"/>
  <c r="X47" i="27"/>
  <c r="X48" i="27"/>
  <c r="T49" i="27"/>
  <c r="Z48" i="27"/>
  <c r="Z47" i="27"/>
  <c r="Z49" i="27"/>
  <c r="Q47" i="27"/>
  <c r="Q49" i="27"/>
  <c r="Q48" i="27"/>
  <c r="O47" i="27"/>
  <c r="V48" i="27"/>
  <c r="V47" i="27"/>
  <c r="V49" i="27"/>
  <c r="AA48" i="27"/>
  <c r="AA47" i="27"/>
  <c r="AA49" i="27"/>
  <c r="AJ45" i="27"/>
  <c r="AJ52" i="27" s="1"/>
  <c r="P12" i="30"/>
  <c r="F15" i="35" s="1"/>
  <c r="G17" i="22" s="1"/>
  <c r="N16" i="30"/>
  <c r="P16" i="30" s="1"/>
  <c r="F26" i="35"/>
  <c r="L12" i="30"/>
  <c r="F13" i="35" s="1"/>
  <c r="G15" i="22" s="1"/>
  <c r="P32" i="35"/>
  <c r="F7" i="35"/>
  <c r="G9" i="22" s="1"/>
  <c r="F9" i="22" s="1"/>
  <c r="P28" i="35"/>
  <c r="F8" i="35" s="1"/>
  <c r="G10" i="22" s="1"/>
  <c r="F10" i="22" s="1"/>
  <c r="Q11" i="35"/>
  <c r="I36" i="30"/>
  <c r="P22" i="30"/>
  <c r="N17" i="30"/>
  <c r="P17" i="30" s="1"/>
  <c r="L30" i="30"/>
  <c r="F14" i="35" s="1"/>
  <c r="G16" i="22" s="1"/>
  <c r="N13" i="30"/>
  <c r="P13" i="30" s="1"/>
  <c r="L35" i="30"/>
  <c r="P31" i="30"/>
  <c r="P35" i="30" s="1"/>
  <c r="F17" i="35" s="1"/>
  <c r="G19" i="22" s="1"/>
  <c r="N14" i="30"/>
  <c r="P14" i="30" s="1"/>
  <c r="P47" i="27" l="1"/>
  <c r="E46" i="27"/>
  <c r="P37" i="35"/>
  <c r="F9" i="35" s="1"/>
  <c r="G11" i="22" s="1"/>
  <c r="F11" i="22" s="1"/>
  <c r="S47" i="27"/>
  <c r="P30" i="30"/>
  <c r="F16" i="35" s="1"/>
  <c r="G18" i="22" s="1"/>
  <c r="Z46" i="27"/>
  <c r="K46" i="27"/>
  <c r="Q46" i="27"/>
  <c r="P48" i="27"/>
  <c r="Y48" i="27"/>
  <c r="Y51" i="27" s="1"/>
  <c r="Y52" i="27" s="1"/>
  <c r="T51" i="27"/>
  <c r="T52" i="27" s="1"/>
  <c r="O49" i="27"/>
  <c r="T48" i="27"/>
  <c r="W49" i="27"/>
  <c r="W46" i="27"/>
  <c r="R49" i="27"/>
  <c r="R51" i="27" s="1"/>
  <c r="R52" i="27" s="1"/>
  <c r="H46" i="27"/>
  <c r="N47" i="27"/>
  <c r="N51" i="27" s="1"/>
  <c r="W47" i="27"/>
  <c r="N46" i="27"/>
  <c r="N49" i="27"/>
  <c r="AF46" i="27"/>
  <c r="T46" i="27"/>
  <c r="S49" i="27"/>
  <c r="S51" i="27" s="1"/>
  <c r="S52" i="27" s="1"/>
  <c r="AL46" i="27"/>
  <c r="V51" i="27"/>
  <c r="V52" i="27" s="1"/>
  <c r="Q51" i="27"/>
  <c r="Q52" i="27" s="1"/>
  <c r="U51" i="27"/>
  <c r="U52" i="27" s="1"/>
  <c r="AN45" i="27"/>
  <c r="G5" i="22"/>
  <c r="F5" i="22" s="1"/>
  <c r="AI46" i="27"/>
  <c r="Z51" i="27"/>
  <c r="Z52" i="27" s="1"/>
  <c r="F19" i="22"/>
  <c r="AA51" i="27"/>
  <c r="AA52" i="27" s="1"/>
  <c r="O51" i="27"/>
  <c r="O52" i="27" s="1"/>
  <c r="P51" i="27"/>
  <c r="P52" i="27" s="1"/>
  <c r="X51" i="27"/>
  <c r="X52" i="27" s="1"/>
  <c r="AB47" i="27"/>
  <c r="AB49" i="27"/>
  <c r="AB48" i="27"/>
  <c r="F16" i="22"/>
  <c r="F17" i="22"/>
  <c r="F15" i="22"/>
  <c r="G28" i="22"/>
  <c r="F28" i="22" s="1"/>
  <c r="G30" i="22"/>
  <c r="F30" i="22" s="1"/>
  <c r="L36" i="30"/>
  <c r="AN48" i="27" l="1"/>
  <c r="W51" i="27"/>
  <c r="W52" i="27" s="1"/>
  <c r="AN46" i="27"/>
  <c r="I37" i="22" s="1"/>
  <c r="G37" i="22" s="1"/>
  <c r="F37" i="22" s="1"/>
  <c r="AN47" i="27"/>
  <c r="AN49" i="27"/>
  <c r="AB51" i="27"/>
  <c r="AB52" i="27" s="1"/>
  <c r="N52" i="27"/>
  <c r="F18" i="22"/>
  <c r="F29" i="35"/>
  <c r="G31" i="22" s="1"/>
  <c r="F31" i="22" s="1"/>
  <c r="F32" i="22" s="1"/>
  <c r="P36" i="30"/>
  <c r="G7" i="22"/>
  <c r="AN52" i="27" l="1"/>
  <c r="AN51" i="27"/>
  <c r="F30" i="35"/>
  <c r="F19" i="35"/>
  <c r="G21" i="22" s="1"/>
  <c r="F21" i="22" s="1"/>
  <c r="F22" i="22" s="1"/>
  <c r="F34" i="22" s="1"/>
  <c r="F7" i="22"/>
  <c r="F35" i="22" l="1"/>
  <c r="F36" i="22" s="1"/>
  <c r="F20" i="35"/>
  <c r="G22" i="22"/>
  <c r="F38" i="22" l="1"/>
  <c r="G32" i="22"/>
  <c r="G34" i="22" s="1"/>
  <c r="G35" i="22" s="1"/>
  <c r="G36" i="22" l="1"/>
  <c r="G38" i="22"/>
</calcChain>
</file>

<file path=xl/comments1.xml><?xml version="1.0" encoding="utf-8"?>
<comments xmlns="http://schemas.openxmlformats.org/spreadsheetml/2006/main">
  <authors>
    <author>広島県</author>
  </authors>
  <commentList>
    <comment ref="F5" authorId="0">
      <text>
        <r>
          <rPr>
            <b/>
            <sz val="9"/>
            <color indexed="81"/>
            <rFont val="ＭＳ Ｐゴシック"/>
            <family val="3"/>
            <charset val="128"/>
          </rPr>
          <t>輸送料・散布料含む</t>
        </r>
      </text>
    </comment>
    <comment ref="S9" authorId="0">
      <text>
        <r>
          <rPr>
            <b/>
            <sz val="9"/>
            <color indexed="81"/>
            <rFont val="ＭＳ Ｐゴシック"/>
            <family val="3"/>
            <charset val="128"/>
          </rPr>
          <t>11ｋｇ規格：ポリポット70作成可能</t>
        </r>
      </text>
    </comment>
    <comment ref="S10" authorId="0">
      <text>
        <r>
          <rPr>
            <b/>
            <sz val="9"/>
            <color indexed="81"/>
            <rFont val="ＭＳ Ｐゴシック"/>
            <family val="3"/>
            <charset val="128"/>
          </rPr>
          <t>50Ｌ規格：セルトレイ128穴が13.5枚作成可能</t>
        </r>
      </text>
    </comment>
  </commentList>
</comments>
</file>

<file path=xl/sharedStrings.xml><?xml version="1.0" encoding="utf-8"?>
<sst xmlns="http://schemas.openxmlformats.org/spreadsheetml/2006/main" count="658" uniqueCount="432">
  <si>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</si>
  <si>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</si>
  <si>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</si>
  <si>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</si>
  <si>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</si>
  <si>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</si>
  <si>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</si>
  <si>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</si>
  <si>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</si>
  <si>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</si>
  <si>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</si>
  <si>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</si>
  <si>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</si>
  <si>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</si>
  <si>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</si>
  <si>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</si>
  <si>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</si>
  <si>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</si>
  <si>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</si>
  <si>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</si>
  <si>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</si>
  <si>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</si>
  <si>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</si>
  <si>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</si>
  <si>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</si>
  <si>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</si>
  <si>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</si>
  <si>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</si>
  <si>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</si>
  <si>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</si>
  <si>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</si>
  <si>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</si>
  <si>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</si>
  <si>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</si>
  <si>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</si>
  <si>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</si>
  <si>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</si>
  <si>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</si>
  <si>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</si>
  <si>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</si>
  <si>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</si>
  <si>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</si>
  <si>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</si>
  <si>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トラクター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</si>
  <si>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</si>
  <si>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</si>
  <si>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</si>
  <si>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</si>
  <si>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</si>
  <si>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</si>
  <si>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</si>
  <si>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</si>
  <si>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</si>
  <si>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</si>
  <si>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</si>
  <si>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</si>
  <si>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</si>
  <si>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</si>
  <si>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</si>
  <si>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</si>
  <si>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</si>
  <si>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</si>
  <si>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</si>
  <si>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</si>
  <si>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</si>
  <si>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</si>
  <si>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</si>
  <si>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</si>
  <si>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</si>
  <si>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</si>
  <si>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</si>
  <si>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</si>
  <si>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</si>
  <si>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</si>
  <si>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</si>
  <si>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</si>
  <si>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</si>
  <si>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</si>
  <si>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</si>
  <si>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</si>
  <si>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</si>
  <si>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</si>
  <si>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</si>
  <si>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</si>
  <si>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</si>
  <si>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</si>
  <si>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</si>
  <si>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</si>
  <si>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</si>
  <si>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</si>
  <si>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</si>
  <si>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</si>
  <si>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</si>
  <si>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</si>
  <si>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</si>
  <si>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</si>
  <si>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</si>
  <si>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</si>
  <si>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</si>
  <si>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</si>
  <si>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</si>
  <si>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</si>
  <si>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</si>
  <si>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</si>
  <si>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</si>
  <si>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</si>
  <si>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</si>
  <si>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</si>
  <si>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</si>
  <si>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</si>
  <si>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</si>
  <si>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</si>
  <si>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</si>
  <si>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</si>
  <si>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</si>
  <si>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</si>
  <si>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</si>
  <si>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</si>
  <si>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</si>
  <si>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</si>
  <si>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</si>
  <si>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</si>
  <si>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</si>
  <si>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</si>
  <si>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</si>
  <si>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</si>
  <si>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</si>
  <si>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</si>
  <si>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</si>
  <si>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</si>
  <si>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</si>
  <si>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</si>
  <si>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t</t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</si>
  <si>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</si>
  <si>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</si>
  <si>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</si>
  <si>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</si>
  <si>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</si>
  <si>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</si>
  <si>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</si>
  <si>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</si>
  <si>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</si>
  <si>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</si>
  <si>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</si>
  <si>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</si>
  <si>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</si>
  <si>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</si>
  <si>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</si>
  <si>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</si>
  <si>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</si>
  <si>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</si>
  <si>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</si>
  <si>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</si>
  <si>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</si>
  <si>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</si>
  <si>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</si>
  <si>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</si>
  <si>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</si>
  <si>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</si>
  <si>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</si>
  <si>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</si>
  <si>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</si>
  <si>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</si>
  <si>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</si>
  <si>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</si>
  <si>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</si>
  <si>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</si>
  <si>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</si>
  <si>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</si>
  <si>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</si>
  <si>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</si>
  <si>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</si>
  <si>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</si>
  <si>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</si>
  <si>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</si>
  <si>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</si>
  <si>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</si>
  <si>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</si>
  <si>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</si>
  <si>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</si>
  <si>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</si>
  <si>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</si>
  <si>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個</t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</si>
  <si>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</si>
  <si>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</si>
  <si>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</si>
  <si>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</si>
  <si>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</si>
  <si>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</si>
  <si>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</si>
  <si>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</si>
  <si>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</si>
  <si>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</si>
  <si>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</si>
  <si>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</si>
  <si>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ａ</t>
    <phoneticPr fontId="4"/>
  </si>
  <si>
    <t>（１）10a当たり</t>
    <rPh sb="6" eb="7">
      <t>ア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</si>
  <si>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</si>
  <si>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Ａ</t>
    <phoneticPr fontId="4"/>
  </si>
  <si>
    <t>Ｂ</t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</si>
  <si>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</si>
  <si>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</si>
  <si>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</si>
  <si>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</si>
  <si>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</si>
  <si>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C</t>
    <phoneticPr fontId="4"/>
  </si>
  <si>
    <t>月別平均価格の推移</t>
  </si>
  <si>
    <t>（全産地）</t>
    <phoneticPr fontId="4"/>
  </si>
  <si>
    <t>平均</t>
  </si>
  <si>
    <t>平　　均</t>
  </si>
  <si>
    <t>作業場</t>
  </si>
  <si>
    <t>㎡</t>
  </si>
  <si>
    <t>資材・農機具庫</t>
  </si>
  <si>
    <t>〃</t>
  </si>
  <si>
    <t>25ps</t>
  </si>
  <si>
    <t>動力噴霧機</t>
  </si>
  <si>
    <t>可搬式6ps</t>
  </si>
  <si>
    <t>軽トラック</t>
  </si>
  <si>
    <t>660cc4WD</t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</si>
  <si>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</si>
  <si>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</si>
  <si>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</si>
  <si>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</si>
  <si>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</si>
  <si>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</si>
  <si>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</si>
  <si>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</si>
  <si>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</si>
  <si>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</si>
  <si>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</si>
  <si>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</si>
  <si>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個</t>
    <rPh sb="0" eb="1">
      <t>コ</t>
    </rPh>
    <phoneticPr fontId="4"/>
  </si>
  <si>
    <t>台</t>
    <rPh sb="0" eb="1">
      <t>ダイ</t>
    </rPh>
    <phoneticPr fontId="4"/>
  </si>
  <si>
    <t>数量</t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</si>
  <si>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</si>
  <si>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</si>
  <si>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</si>
  <si>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</si>
  <si>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</si>
  <si>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</si>
  <si>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</si>
  <si>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</si>
  <si>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</si>
  <si>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</si>
  <si>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</si>
  <si>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</si>
  <si>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</si>
  <si>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</si>
  <si>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</si>
  <si>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</si>
  <si>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</si>
  <si>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</si>
  <si>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</si>
  <si>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</si>
  <si>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</si>
  <si>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（広島県産）</t>
    <rPh sb="1" eb="5">
      <t>ヒロシマケンサン</t>
    </rPh>
    <phoneticPr fontId="4"/>
  </si>
  <si>
    <t>５　作業別・旬別作業時間（かぼちゃ）</t>
    <phoneticPr fontId="4"/>
  </si>
  <si>
    <t>かぼちゃ</t>
    <phoneticPr fontId="4"/>
  </si>
  <si>
    <t>耕起</t>
    <rPh sb="0" eb="1">
      <t>コウ</t>
    </rPh>
    <rPh sb="1" eb="2">
      <t>オ</t>
    </rPh>
    <phoneticPr fontId="4"/>
  </si>
  <si>
    <t>畝たてマルチ</t>
    <rPh sb="0" eb="1">
      <t>ウネ</t>
    </rPh>
    <phoneticPr fontId="4"/>
  </si>
  <si>
    <t>定植</t>
    <rPh sb="0" eb="2">
      <t>テイショク</t>
    </rPh>
    <phoneticPr fontId="4"/>
  </si>
  <si>
    <t>追肥</t>
    <rPh sb="0" eb="2">
      <t>ツイヒ</t>
    </rPh>
    <phoneticPr fontId="4"/>
  </si>
  <si>
    <t>防除</t>
    <rPh sb="0" eb="2">
      <t>ボウジョ</t>
    </rPh>
    <phoneticPr fontId="4"/>
  </si>
  <si>
    <t>草刈り</t>
    <rPh sb="0" eb="1">
      <t>クサ</t>
    </rPh>
    <rPh sb="1" eb="2">
      <t>カ</t>
    </rPh>
    <phoneticPr fontId="4"/>
  </si>
  <si>
    <t>交配</t>
    <rPh sb="0" eb="2">
      <t>コウハイ</t>
    </rPh>
    <phoneticPr fontId="4"/>
  </si>
  <si>
    <t>玉敷き</t>
    <rPh sb="0" eb="1">
      <t>タマ</t>
    </rPh>
    <rPh sb="1" eb="2">
      <t>シ</t>
    </rPh>
    <phoneticPr fontId="4"/>
  </si>
  <si>
    <t>収穫</t>
    <rPh sb="0" eb="2">
      <t>シュウカク</t>
    </rPh>
    <phoneticPr fontId="4"/>
  </si>
  <si>
    <t>片付け</t>
    <rPh sb="0" eb="2">
      <t>カタヅ</t>
    </rPh>
    <phoneticPr fontId="4"/>
  </si>
  <si>
    <t>かぼちゃ</t>
    <phoneticPr fontId="4"/>
  </si>
  <si>
    <t>普通作</t>
    <rPh sb="0" eb="2">
      <t>フツウ</t>
    </rPh>
    <rPh sb="2" eb="3">
      <t>サク</t>
    </rPh>
    <phoneticPr fontId="4"/>
  </si>
  <si>
    <t>７　経営収支（かぼちゃ部門，10a当たり）</t>
    <rPh sb="11" eb="13">
      <t>ブモン</t>
    </rPh>
    <rPh sb="17" eb="18">
      <t>ア</t>
    </rPh>
    <phoneticPr fontId="4"/>
  </si>
  <si>
    <t>県内市場平均単価</t>
    <rPh sb="0" eb="2">
      <t>ケンナイ</t>
    </rPh>
    <rPh sb="2" eb="4">
      <t>シジョウ</t>
    </rPh>
    <rPh sb="4" eb="6">
      <t>ヘイキン</t>
    </rPh>
    <rPh sb="6" eb="8">
      <t>タンカ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</si>
  <si>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</si>
  <si>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</si>
  <si>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</si>
  <si>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Ｈ25</t>
    <phoneticPr fontId="4"/>
  </si>
  <si>
    <t>Ｈ24</t>
    <phoneticPr fontId="4"/>
  </si>
  <si>
    <t>Ｈ23</t>
    <phoneticPr fontId="4"/>
  </si>
  <si>
    <t>Ｈ22</t>
    <phoneticPr fontId="4"/>
  </si>
  <si>
    <t>Ｈ21</t>
    <phoneticPr fontId="4"/>
  </si>
  <si>
    <t>平均</t>
    <rPh sb="0" eb="2">
      <t>ヘイキン</t>
    </rPh>
    <phoneticPr fontId="4"/>
  </si>
  <si>
    <t>８　経費の算出基礎（かぼちゃ，10a当たり）</t>
    <rPh sb="2" eb="4">
      <t>ケイヒ</t>
    </rPh>
    <rPh sb="5" eb="7">
      <t>サンシュツ</t>
    </rPh>
    <rPh sb="7" eb="9">
      <t>キソ</t>
    </rPh>
    <rPh sb="18" eb="19">
      <t>ア</t>
    </rPh>
    <phoneticPr fontId="4"/>
  </si>
  <si>
    <t>袋　</t>
    <rPh sb="0" eb="1">
      <t>フクロ</t>
    </rPh>
    <phoneticPr fontId="4"/>
  </si>
  <si>
    <t>袋</t>
    <phoneticPr fontId="4"/>
  </si>
  <si>
    <t>黒マルチ</t>
    <rPh sb="0" eb="1">
      <t>クロ</t>
    </rPh>
    <phoneticPr fontId="4"/>
  </si>
  <si>
    <t>m</t>
    <phoneticPr fontId="4"/>
  </si>
  <si>
    <t>敷きマット</t>
    <rPh sb="0" eb="1">
      <t>シ</t>
    </rPh>
    <phoneticPr fontId="4"/>
  </si>
  <si>
    <t>収穫はさみ</t>
    <rPh sb="0" eb="2">
      <t>シュウカク</t>
    </rPh>
    <phoneticPr fontId="4"/>
  </si>
  <si>
    <t>コンテナ</t>
    <phoneticPr fontId="4"/>
  </si>
  <si>
    <t>個</t>
    <rPh sb="0" eb="1">
      <t>コ</t>
    </rPh>
    <phoneticPr fontId="4"/>
  </si>
  <si>
    <t>９　単価の算出基礎（かぼちゃ，1kg当たり）</t>
    <rPh sb="2" eb="4">
      <t>タンカ</t>
    </rPh>
    <phoneticPr fontId="4"/>
  </si>
  <si>
    <t>平成25年</t>
    <phoneticPr fontId="4"/>
  </si>
  <si>
    <t>平成24年</t>
    <phoneticPr fontId="4"/>
  </si>
  <si>
    <t>平成23年</t>
    <phoneticPr fontId="4"/>
  </si>
  <si>
    <t>平成22年</t>
    <phoneticPr fontId="4"/>
  </si>
  <si>
    <t>平成21年</t>
    <phoneticPr fontId="4"/>
  </si>
  <si>
    <t>本</t>
    <phoneticPr fontId="4"/>
  </si>
  <si>
    <t>中耕</t>
    <rPh sb="0" eb="2">
      <t>チュウコウ</t>
    </rPh>
    <phoneticPr fontId="4"/>
  </si>
  <si>
    <t>かぼちゃ</t>
    <phoneticPr fontId="3"/>
  </si>
  <si>
    <t>ℓ・kw／時</t>
    <rPh sb="5" eb="6">
      <t>ジ</t>
    </rPh>
    <phoneticPr fontId="4"/>
  </si>
  <si>
    <t>10a機械</t>
    <phoneticPr fontId="4"/>
  </si>
  <si>
    <t>管理機</t>
    <rPh sb="0" eb="2">
      <t>カンリ</t>
    </rPh>
    <rPh sb="2" eb="3">
      <t>キ</t>
    </rPh>
    <phoneticPr fontId="4"/>
  </si>
  <si>
    <t>１種類</t>
    <phoneticPr fontId="4"/>
  </si>
  <si>
    <t>２種類</t>
    <phoneticPr fontId="4"/>
  </si>
  <si>
    <t>４種類</t>
    <phoneticPr fontId="4"/>
  </si>
  <si>
    <t>３種類</t>
    <phoneticPr fontId="4"/>
  </si>
  <si>
    <t>１作業</t>
    <rPh sb="1" eb="3">
      <t>サギョウ</t>
    </rPh>
    <phoneticPr fontId="4"/>
  </si>
  <si>
    <t>ＪＡ3%，市場8.5%</t>
    <rPh sb="5" eb="7">
      <t>シジョウ</t>
    </rPh>
    <phoneticPr fontId="4"/>
  </si>
  <si>
    <t>2.5人</t>
    <rPh sb="3" eb="4">
      <t>ニン</t>
    </rPh>
    <phoneticPr fontId="3"/>
  </si>
  <si>
    <t>かぼちゃ</t>
    <phoneticPr fontId="4"/>
  </si>
  <si>
    <t>トップカー</t>
    <phoneticPr fontId="4"/>
  </si>
  <si>
    <t>台</t>
    <rPh sb="0" eb="1">
      <t>ダイ</t>
    </rPh>
    <phoneticPr fontId="4"/>
  </si>
  <si>
    <t>600kg積み，3輪</t>
    <rPh sb="5" eb="6">
      <t>ヅ</t>
    </rPh>
    <rPh sb="9" eb="10">
      <t>リン</t>
    </rPh>
    <phoneticPr fontId="4"/>
  </si>
  <si>
    <t>鉄骨，ルーフデッキ</t>
    <rPh sb="0" eb="2">
      <t>テッコツ</t>
    </rPh>
    <phoneticPr fontId="2"/>
  </si>
  <si>
    <t>くじゅうくりＥＸ</t>
    <phoneticPr fontId="3"/>
  </si>
  <si>
    <t>北海道産が市場に出回るまで（盆前）出荷を目指す。</t>
    <rPh sb="0" eb="3">
      <t>ホッカイドウ</t>
    </rPh>
    <rPh sb="3" eb="4">
      <t>サン</t>
    </rPh>
    <rPh sb="5" eb="7">
      <t>シジョウ</t>
    </rPh>
    <rPh sb="8" eb="10">
      <t>デマワ</t>
    </rPh>
    <rPh sb="14" eb="15">
      <t>ボン</t>
    </rPh>
    <rPh sb="15" eb="16">
      <t>マエ</t>
    </rPh>
    <rPh sb="17" eb="19">
      <t>シュッカ</t>
    </rPh>
    <rPh sb="20" eb="22">
      <t>メザ</t>
    </rPh>
    <phoneticPr fontId="3"/>
  </si>
  <si>
    <t>1.1ha</t>
    <phoneticPr fontId="4"/>
  </si>
  <si>
    <t>1.1ha</t>
    <phoneticPr fontId="4"/>
  </si>
  <si>
    <t>1.1ha（借地0ha）</t>
    <phoneticPr fontId="4"/>
  </si>
  <si>
    <t>作業場</t>
    <rPh sb="0" eb="2">
      <t>サギョウ</t>
    </rPh>
    <rPh sb="2" eb="3">
      <t>ジョウ</t>
    </rPh>
    <phoneticPr fontId="4"/>
  </si>
  <si>
    <t>資材・農機具庫</t>
    <rPh sb="0" eb="2">
      <t>シザイ</t>
    </rPh>
    <rPh sb="3" eb="6">
      <t>ノウキグ</t>
    </rPh>
    <rPh sb="6" eb="7">
      <t>コ</t>
    </rPh>
    <phoneticPr fontId="4"/>
  </si>
  <si>
    <t>水田</t>
    <rPh sb="0" eb="2">
      <t>スイデン</t>
    </rPh>
    <phoneticPr fontId="4"/>
  </si>
  <si>
    <t>⑤=③×④（円/10a）</t>
    <phoneticPr fontId="4"/>
  </si>
  <si>
    <t>⑦＝⑤×⑥（円/10a）</t>
    <rPh sb="6" eb="7">
      <t>エン</t>
    </rPh>
    <phoneticPr fontId="4"/>
  </si>
  <si>
    <t>育苗管理</t>
    <rPh sb="0" eb="2">
      <t>イクビョウ</t>
    </rPh>
    <rPh sb="2" eb="4">
      <t>カンリ</t>
    </rPh>
    <phoneticPr fontId="4"/>
  </si>
  <si>
    <t>種子</t>
    <rPh sb="0" eb="2">
      <t>シュシ</t>
    </rPh>
    <phoneticPr fontId="4"/>
  </si>
  <si>
    <t>くじゅうくりＥＸ</t>
    <phoneticPr fontId="4"/>
  </si>
  <si>
    <t>（個）</t>
    <rPh sb="1" eb="2">
      <t>コ</t>
    </rPh>
    <phoneticPr fontId="4"/>
  </si>
  <si>
    <t>セルトレイ</t>
    <phoneticPr fontId="4"/>
  </si>
  <si>
    <t>枚</t>
    <rPh sb="0" eb="1">
      <t>マイ</t>
    </rPh>
    <phoneticPr fontId="4"/>
  </si>
  <si>
    <t>枚</t>
    <rPh sb="0" eb="1">
      <t>マイ</t>
    </rPh>
    <phoneticPr fontId="4"/>
  </si>
  <si>
    <t>ﾎﾟﾘﾎﾟｯﾄ（9cm）</t>
    <phoneticPr fontId="4"/>
  </si>
  <si>
    <t>台</t>
    <rPh sb="0" eb="1">
      <t>ダイ</t>
    </rPh>
    <phoneticPr fontId="4"/>
  </si>
  <si>
    <t>水稲育苗器</t>
    <rPh sb="0" eb="2">
      <t>スイトウ</t>
    </rPh>
    <rPh sb="2" eb="4">
      <t>イクビョウ</t>
    </rPh>
    <rPh sb="4" eb="5">
      <t>キ</t>
    </rPh>
    <phoneticPr fontId="4"/>
  </si>
  <si>
    <t>電気代</t>
    <rPh sb="0" eb="3">
      <t>デンキダイ</t>
    </rPh>
    <phoneticPr fontId="4"/>
  </si>
  <si>
    <t>１作業</t>
    <rPh sb="1" eb="3">
      <t>サギョウ</t>
    </rPh>
    <phoneticPr fontId="4"/>
  </si>
  <si>
    <t>育苗培土（ＪＡの土）</t>
    <rPh sb="0" eb="2">
      <t>イクビョウ</t>
    </rPh>
    <rPh sb="2" eb="3">
      <t>バイ</t>
    </rPh>
    <rPh sb="3" eb="4">
      <t>ツチ</t>
    </rPh>
    <rPh sb="8" eb="9">
      <t>ツチ</t>
    </rPh>
    <phoneticPr fontId="4"/>
  </si>
  <si>
    <t>袋</t>
    <rPh sb="0" eb="1">
      <t>フクロ</t>
    </rPh>
    <phoneticPr fontId="4"/>
  </si>
  <si>
    <t>４作業</t>
    <rPh sb="1" eb="3">
      <t>サギョウ</t>
    </rPh>
    <phoneticPr fontId="4"/>
  </si>
  <si>
    <t>育苗培土（がっちりくん）</t>
    <rPh sb="0" eb="2">
      <t>イクビョウ</t>
    </rPh>
    <rPh sb="2" eb="3">
      <t>バイ</t>
    </rPh>
    <rPh sb="3" eb="4">
      <t>ツチ</t>
    </rPh>
    <phoneticPr fontId="4"/>
  </si>
  <si>
    <t>袋</t>
    <rPh sb="0" eb="1">
      <t>フクロ</t>
    </rPh>
    <phoneticPr fontId="4"/>
  </si>
  <si>
    <t>※広島中央卸売市場（東部市場）</t>
    <rPh sb="1" eb="3">
      <t>ヒロシマ</t>
    </rPh>
    <rPh sb="3" eb="5">
      <t>チュウオウ</t>
    </rPh>
    <rPh sb="5" eb="7">
      <t>オロシウリ</t>
    </rPh>
    <rPh sb="7" eb="9">
      <t>シジョウ</t>
    </rPh>
    <rPh sb="10" eb="12">
      <t>トウブ</t>
    </rPh>
    <rPh sb="12" eb="14">
      <t>シジョウ</t>
    </rPh>
    <phoneticPr fontId="4"/>
  </si>
  <si>
    <t>※野菜の入荷状況</t>
    <rPh sb="1" eb="3">
      <t>ヤサイ</t>
    </rPh>
    <rPh sb="4" eb="6">
      <t>ニュウカ</t>
    </rPh>
    <rPh sb="6" eb="8">
      <t>ジョウキョウ</t>
    </rPh>
    <phoneticPr fontId="4"/>
  </si>
  <si>
    <t>育苗</t>
    <rPh sb="0" eb="2">
      <t>イクビョウ</t>
    </rPh>
    <phoneticPr fontId="4"/>
  </si>
  <si>
    <t>耕起・元肥・整地</t>
    <rPh sb="0" eb="1">
      <t>タガヤ</t>
    </rPh>
    <rPh sb="1" eb="2">
      <t>オ</t>
    </rPh>
    <rPh sb="3" eb="4">
      <t>モト</t>
    </rPh>
    <rPh sb="6" eb="8">
      <t>セイチ</t>
    </rPh>
    <phoneticPr fontId="4"/>
  </si>
  <si>
    <t>定植</t>
    <rPh sb="0" eb="2">
      <t>テイショク</t>
    </rPh>
    <phoneticPr fontId="4"/>
  </si>
  <si>
    <t>整枝・誘引</t>
    <rPh sb="0" eb="2">
      <t>セイシ</t>
    </rPh>
    <rPh sb="3" eb="5">
      <t>ユウイン</t>
    </rPh>
    <phoneticPr fontId="4"/>
  </si>
  <si>
    <t>玉敷き</t>
    <rPh sb="0" eb="1">
      <t>タマ</t>
    </rPh>
    <rPh sb="1" eb="2">
      <t>シ</t>
    </rPh>
    <phoneticPr fontId="4"/>
  </si>
  <si>
    <t>整枝・誘引・交配</t>
    <rPh sb="0" eb="1">
      <t>トトノ</t>
    </rPh>
    <rPh sb="1" eb="2">
      <t>エダ</t>
    </rPh>
    <rPh sb="3" eb="5">
      <t>ユウイン</t>
    </rPh>
    <rPh sb="6" eb="8">
      <t>コウハイ</t>
    </rPh>
    <phoneticPr fontId="4"/>
  </si>
  <si>
    <t>後片付け</t>
    <rPh sb="0" eb="3">
      <t>アトカタヅ</t>
    </rPh>
    <phoneticPr fontId="4"/>
  </si>
  <si>
    <t>かぼちゃ</t>
    <phoneticPr fontId="4"/>
  </si>
  <si>
    <t>３　標準技術（かぼちゃ）</t>
    <rPh sb="2" eb="4">
      <t>ヒョウジュン</t>
    </rPh>
    <rPh sb="4" eb="6">
      <t>ギジュツ</t>
    </rPh>
    <phoneticPr fontId="4"/>
  </si>
  <si>
    <t>4月中旬～5月上旬</t>
    <rPh sb="1" eb="2">
      <t>ガツ</t>
    </rPh>
    <rPh sb="2" eb="4">
      <t>チュウジュン</t>
    </rPh>
    <rPh sb="6" eb="7">
      <t>ガツ</t>
    </rPh>
    <rPh sb="7" eb="9">
      <t>ジョウジュン</t>
    </rPh>
    <phoneticPr fontId="4"/>
  </si>
  <si>
    <t>パイプハウス</t>
    <phoneticPr fontId="4"/>
  </si>
  <si>
    <t>育苗ハウス
水稲育苗器</t>
    <rPh sb="0" eb="2">
      <t>イクビョウ</t>
    </rPh>
    <rPh sb="6" eb="8">
      <t>スイトウ</t>
    </rPh>
    <rPh sb="8" eb="10">
      <t>イクビョウ</t>
    </rPh>
    <rPh sb="10" eb="11">
      <t>キ</t>
    </rPh>
    <phoneticPr fontId="4"/>
  </si>
  <si>
    <t>間口3.4ｍ×10ｍ，ﾊﾟｲﾌﾟ径22mm</t>
    <rPh sb="0" eb="2">
      <t>マグチ</t>
    </rPh>
    <rPh sb="16" eb="17">
      <t>ケイ</t>
    </rPh>
    <phoneticPr fontId="4"/>
  </si>
  <si>
    <t>4月中旬～下旬</t>
    <rPh sb="1" eb="2">
      <t>ガツ</t>
    </rPh>
    <rPh sb="2" eb="4">
      <t>チュウジュン</t>
    </rPh>
    <rPh sb="5" eb="7">
      <t>ゲジュン</t>
    </rPh>
    <phoneticPr fontId="4"/>
  </si>
  <si>
    <t>追肥</t>
    <rPh sb="0" eb="2">
      <t>ツイヒ</t>
    </rPh>
    <phoneticPr fontId="4"/>
  </si>
  <si>
    <t>管理機</t>
    <rPh sb="0" eb="2">
      <t>カンリ</t>
    </rPh>
    <rPh sb="2" eb="3">
      <t>キ</t>
    </rPh>
    <phoneticPr fontId="4"/>
  </si>
  <si>
    <t>中耕・除草・敷き藁</t>
    <rPh sb="0" eb="1">
      <t>ナカ</t>
    </rPh>
    <rPh sb="1" eb="2">
      <t>コウ</t>
    </rPh>
    <rPh sb="3" eb="5">
      <t>ジョソウ</t>
    </rPh>
    <rPh sb="6" eb="7">
      <t>シ</t>
    </rPh>
    <rPh sb="8" eb="9">
      <t>ワラ</t>
    </rPh>
    <phoneticPr fontId="4"/>
  </si>
  <si>
    <t>5月上旬</t>
    <rPh sb="1" eb="2">
      <t>ガツ</t>
    </rPh>
    <rPh sb="2" eb="4">
      <t>ジョウジュン</t>
    </rPh>
    <phoneticPr fontId="4"/>
  </si>
  <si>
    <t>5月下旬</t>
    <rPh sb="1" eb="2">
      <t>ガツ</t>
    </rPh>
    <rPh sb="2" eb="4">
      <t>ゲジュン</t>
    </rPh>
    <phoneticPr fontId="4"/>
  </si>
  <si>
    <t>5月中旬～6月下旬</t>
    <rPh sb="1" eb="2">
      <t>ガツ</t>
    </rPh>
    <rPh sb="2" eb="4">
      <t>チュウジュン</t>
    </rPh>
    <rPh sb="6" eb="7">
      <t>ガツ</t>
    </rPh>
    <rPh sb="7" eb="9">
      <t>ゲジュン</t>
    </rPh>
    <phoneticPr fontId="4"/>
  </si>
  <si>
    <t>7月上旬～中旬</t>
    <rPh sb="1" eb="2">
      <t>ガツ</t>
    </rPh>
    <rPh sb="2" eb="4">
      <t>ジョウジュン</t>
    </rPh>
    <rPh sb="5" eb="7">
      <t>チュウジュン</t>
    </rPh>
    <phoneticPr fontId="4"/>
  </si>
  <si>
    <t>7月下旬～8月下旬</t>
    <rPh sb="1" eb="2">
      <t>ガツ</t>
    </rPh>
    <rPh sb="2" eb="4">
      <t>ゲジュン</t>
    </rPh>
    <rPh sb="6" eb="7">
      <t>ガツ</t>
    </rPh>
    <rPh sb="7" eb="9">
      <t>ゲジュン</t>
    </rPh>
    <phoneticPr fontId="4"/>
  </si>
  <si>
    <t>病害虫防除</t>
    <rPh sb="0" eb="3">
      <t>ビョウガイチュウ</t>
    </rPh>
    <rPh sb="3" eb="5">
      <t>ボウジョ</t>
    </rPh>
    <phoneticPr fontId="4"/>
  </si>
  <si>
    <t>9月上旬</t>
    <rPh sb="1" eb="2">
      <t>ガツ</t>
    </rPh>
    <rPh sb="2" eb="4">
      <t>ジョウジュン</t>
    </rPh>
    <phoneticPr fontId="4"/>
  </si>
  <si>
    <t>可搬型動噴
軽トラック</t>
    <rPh sb="0" eb="3">
      <t>カハンガタ</t>
    </rPh>
    <rPh sb="3" eb="5">
      <t>ドウフン</t>
    </rPh>
    <rPh sb="6" eb="7">
      <t>ケイ</t>
    </rPh>
    <phoneticPr fontId="4"/>
  </si>
  <si>
    <t>5月上旬～7月上旬</t>
    <rPh sb="1" eb="2">
      <t>ガツ</t>
    </rPh>
    <rPh sb="2" eb="4">
      <t>ジョウジュン</t>
    </rPh>
    <rPh sb="6" eb="7">
      <t>ガツ</t>
    </rPh>
    <rPh sb="7" eb="9">
      <t>ジョウジュン</t>
    </rPh>
    <phoneticPr fontId="4"/>
  </si>
  <si>
    <t>組合せ用</t>
    <rPh sb="0" eb="2">
      <t>クミアワ</t>
    </rPh>
    <rPh sb="3" eb="4">
      <t>ヨウ</t>
    </rPh>
    <phoneticPr fontId="3"/>
  </si>
  <si>
    <t>夏どり</t>
    <rPh sb="0" eb="1">
      <t>ナツ</t>
    </rPh>
    <phoneticPr fontId="3"/>
  </si>
  <si>
    <t>夏どり</t>
    <rPh sb="0" eb="1">
      <t>ナツ</t>
    </rPh>
    <phoneticPr fontId="4"/>
  </si>
  <si>
    <t>水稲用育苗器，他作物育苗ハウス利用</t>
    <rPh sb="0" eb="2">
      <t>スイトウ</t>
    </rPh>
    <rPh sb="2" eb="3">
      <t>ヨウ</t>
    </rPh>
    <rPh sb="3" eb="5">
      <t>イクビョウ</t>
    </rPh>
    <rPh sb="5" eb="6">
      <t>キ</t>
    </rPh>
    <rPh sb="7" eb="8">
      <t>ホカ</t>
    </rPh>
    <rPh sb="8" eb="10">
      <t>サクモツ</t>
    </rPh>
    <rPh sb="10" eb="12">
      <t>イクビョウ</t>
    </rPh>
    <rPh sb="15" eb="17">
      <t>リヨウ</t>
    </rPh>
    <phoneticPr fontId="3"/>
  </si>
  <si>
    <t>（育苗ハウス　１a）</t>
    <phoneticPr fontId="3"/>
  </si>
  <si>
    <t>10a/3000a</t>
    <phoneticPr fontId="4"/>
  </si>
  <si>
    <t>10a/110a</t>
    <phoneticPr fontId="4"/>
  </si>
  <si>
    <t>10a/110a</t>
    <phoneticPr fontId="4"/>
  </si>
  <si>
    <r>
      <rPr>
        <sz val="12"/>
        <color rgb="FF00B050"/>
        <rFont val="ＭＳ Ｐゴシック"/>
        <family val="3"/>
        <charset val="128"/>
      </rPr>
      <t>元</t>
    </r>
    <r>
      <rPr>
        <sz val="12"/>
        <rFont val="ＭＳ Ｐゴシック"/>
        <family val="3"/>
        <charset val="128"/>
      </rPr>
      <t>肥施用</t>
    </r>
    <rPh sb="0" eb="1">
      <t>モト</t>
    </rPh>
    <rPh sb="1" eb="2">
      <t>ヒ</t>
    </rPh>
    <rPh sb="2" eb="4">
      <t>セヨウ</t>
    </rPh>
    <phoneticPr fontId="4"/>
  </si>
  <si>
    <t>6月中旬～6月下旬</t>
    <rPh sb="1" eb="2">
      <t>ガツ</t>
    </rPh>
    <rPh sb="2" eb="4">
      <t>チュウジュン</t>
    </rPh>
    <rPh sb="6" eb="7">
      <t>ガツ</t>
    </rPh>
    <rPh sb="7" eb="9">
      <t>ゲジュン</t>
    </rPh>
    <phoneticPr fontId="4"/>
  </si>
  <si>
    <t>軽トラック
作業場</t>
    <phoneticPr fontId="4"/>
  </si>
  <si>
    <t>育苗器3日間</t>
    <rPh sb="0" eb="2">
      <t>イクビョウ</t>
    </rPh>
    <rPh sb="2" eb="3">
      <t>キ</t>
    </rPh>
    <rPh sb="4" eb="5">
      <t>ニチ</t>
    </rPh>
    <rPh sb="5" eb="6">
      <t>カン</t>
    </rPh>
    <phoneticPr fontId="4"/>
  </si>
  <si>
    <t>トラクター
トップカー</t>
    <phoneticPr fontId="4"/>
  </si>
  <si>
    <t>草刈り機</t>
    <rPh sb="0" eb="2">
      <t>クサカ</t>
    </rPh>
    <rPh sb="3" eb="4">
      <t>キ</t>
    </rPh>
    <phoneticPr fontId="4"/>
  </si>
  <si>
    <t>台</t>
    <rPh sb="0" eb="1">
      <t>ダイ</t>
    </rPh>
    <phoneticPr fontId="4"/>
  </si>
  <si>
    <t>トラクター
トップカー</t>
    <phoneticPr fontId="4"/>
  </si>
  <si>
    <t>経営規模30ha規模経営体導入
ほ場整備完了水田　平均30ａ規模　排水良好な水田</t>
    <phoneticPr fontId="3"/>
  </si>
  <si>
    <t>個選・共販</t>
    <rPh sb="0" eb="1">
      <t>コ</t>
    </rPh>
    <rPh sb="1" eb="2">
      <t>セン</t>
    </rPh>
    <rPh sb="3" eb="5">
      <t>キョウハン</t>
    </rPh>
    <phoneticPr fontId="3"/>
  </si>
  <si>
    <t>3,000円/10a</t>
    <rPh sb="5" eb="6">
      <t>エン</t>
    </rPh>
    <phoneticPr fontId="4"/>
  </si>
  <si>
    <t>右表（広島中央卸売市場東部市場広島県産過去５ヵ年単価平均）</t>
    <rPh sb="0" eb="1">
      <t>ミギ</t>
    </rPh>
    <rPh sb="1" eb="2">
      <t>ヒョウ</t>
    </rPh>
    <rPh sb="3" eb="5">
      <t>ヒロシマ</t>
    </rPh>
    <rPh sb="5" eb="7">
      <t>チュウオウ</t>
    </rPh>
    <rPh sb="7" eb="9">
      <t>オロシウリ</t>
    </rPh>
    <rPh sb="9" eb="11">
      <t>シジョウ</t>
    </rPh>
    <rPh sb="11" eb="13">
      <t>トウブ</t>
    </rPh>
    <rPh sb="13" eb="15">
      <t>シジョウ</t>
    </rPh>
    <rPh sb="15" eb="19">
      <t>ヒロシマケンサン</t>
    </rPh>
    <rPh sb="19" eb="21">
      <t>カコ</t>
    </rPh>
    <rPh sb="23" eb="24">
      <t>ネン</t>
    </rPh>
    <rPh sb="24" eb="26">
      <t>タンカ</t>
    </rPh>
    <rPh sb="26" eb="28">
      <t>ヘイキン</t>
    </rPh>
    <phoneticPr fontId="4"/>
  </si>
  <si>
    <t>中部
北部</t>
    <rPh sb="0" eb="2">
      <t>チュウブ</t>
    </rPh>
    <rPh sb="3" eb="5">
      <t>ホクブ</t>
    </rPh>
    <phoneticPr fontId="3"/>
  </si>
  <si>
    <t>○：播種　△：仮植　×：定植　■：収穫　　　　：天井ビニール被覆　　　：天井ビニール撤去</t>
    <rPh sb="17" eb="19">
      <t>シュウカク</t>
    </rPh>
    <rPh sb="24" eb="26">
      <t>テンジョウ</t>
    </rPh>
    <rPh sb="30" eb="32">
      <t>ヒフク</t>
    </rPh>
    <rPh sb="36" eb="38">
      <t>テンジョウ</t>
    </rPh>
    <rPh sb="42" eb="44">
      <t>テッキョ</t>
    </rPh>
    <phoneticPr fontId="4"/>
  </si>
  <si>
    <t>自家労力（2.5人）</t>
    <phoneticPr fontId="3"/>
  </si>
  <si>
    <t>普通栽培（育苗・2本仕立て）</t>
    <rPh sb="0" eb="2">
      <t>フツウ</t>
    </rPh>
    <rPh sb="2" eb="4">
      <t>サイバイ</t>
    </rPh>
    <rPh sb="5" eb="7">
      <t>イクビョウ</t>
    </rPh>
    <rPh sb="9" eb="10">
      <t>ホン</t>
    </rPh>
    <rPh sb="10" eb="12">
      <t>シタ</t>
    </rPh>
    <phoneticPr fontId="3"/>
  </si>
  <si>
    <t>⑨＝（⑤－⑦）÷⑧（円/10a）</t>
    <phoneticPr fontId="4"/>
  </si>
  <si>
    <t>段ﾎﾞｰﾙ，ｸﾗﾌﾄﾃｰﾌﾟ，ｼｰﾙ</t>
    <phoneticPr fontId="4"/>
  </si>
  <si>
    <t>除草（草刈り機）</t>
    <rPh sb="0" eb="2">
      <t>ジョソウ</t>
    </rPh>
    <rPh sb="3" eb="5">
      <t>クサカ</t>
    </rPh>
    <rPh sb="6" eb="7">
      <t>キ</t>
    </rPh>
    <phoneticPr fontId="4"/>
  </si>
  <si>
    <t>耕起（トラクター）</t>
    <rPh sb="0" eb="1">
      <t>タガヤ</t>
    </rPh>
    <rPh sb="1" eb="2">
      <t>オ</t>
    </rPh>
    <phoneticPr fontId="4"/>
  </si>
  <si>
    <t>運搬（軽トラック）</t>
    <rPh sb="0" eb="2">
      <t>ウンパン</t>
    </rPh>
    <rPh sb="3" eb="4">
      <t>ケイ</t>
    </rPh>
    <phoneticPr fontId="4"/>
  </si>
  <si>
    <t>防除（可搬型動噴）</t>
    <rPh sb="0" eb="2">
      <t>ボウジョ</t>
    </rPh>
    <rPh sb="3" eb="5">
      <t>カハン</t>
    </rPh>
    <rPh sb="5" eb="6">
      <t>ガタ</t>
    </rPh>
    <rPh sb="6" eb="8">
      <t>ドウフン</t>
    </rPh>
    <phoneticPr fontId="4"/>
  </si>
  <si>
    <t>中耕（管理機）</t>
    <rPh sb="0" eb="2">
      <t>チュウコウ</t>
    </rPh>
    <rPh sb="3" eb="5">
      <t>カンリ</t>
    </rPh>
    <rPh sb="5" eb="6">
      <t>キ</t>
    </rPh>
    <phoneticPr fontId="4"/>
  </si>
  <si>
    <t>運搬（ﾄｯﾌﾟｶｰ）</t>
    <rPh sb="0" eb="2">
      <t>ウンパン</t>
    </rPh>
    <phoneticPr fontId="4"/>
  </si>
  <si>
    <t>育苗（水稲育苗器）</t>
    <rPh sb="0" eb="2">
      <t>イクビョウ</t>
    </rPh>
    <rPh sb="3" eb="5">
      <t>スイトウ</t>
    </rPh>
    <rPh sb="5" eb="7">
      <t>イクビョウ</t>
    </rPh>
    <rPh sb="7" eb="8">
      <t>キ</t>
    </rPh>
    <phoneticPr fontId="4"/>
  </si>
  <si>
    <t xml:space="preserve">種子　314個
ｾﾙﾄﾚｲ　2.4枚
ﾎﾟﾘﾎﾟｯﾄ　314枚
育苗培土1　50kg
育苗培土2　3.6kg
</t>
    <rPh sb="0" eb="2">
      <t>シュシ</t>
    </rPh>
    <rPh sb="6" eb="7">
      <t>コ</t>
    </rPh>
    <rPh sb="17" eb="18">
      <t>マイ</t>
    </rPh>
    <rPh sb="30" eb="31">
      <t>マイ</t>
    </rPh>
    <rPh sb="32" eb="34">
      <t>イクビョウ</t>
    </rPh>
    <rPh sb="34" eb="35">
      <t>バイ</t>
    </rPh>
    <rPh sb="35" eb="36">
      <t>ツチ</t>
    </rPh>
    <rPh sb="43" eb="45">
      <t>イクビョウ</t>
    </rPh>
    <rPh sb="45" eb="46">
      <t>バイ</t>
    </rPh>
    <rPh sb="46" eb="47">
      <t>ツチ</t>
    </rPh>
    <phoneticPr fontId="4"/>
  </si>
  <si>
    <t>牛ふん堆肥　2ｔ
土づくり資材　200kg
化成肥料　80kg
黒マルチ</t>
    <rPh sb="0" eb="1">
      <t>ギュウ</t>
    </rPh>
    <rPh sb="3" eb="5">
      <t>タイヒ</t>
    </rPh>
    <rPh sb="9" eb="10">
      <t>ツチ</t>
    </rPh>
    <rPh sb="13" eb="15">
      <t>シザイ</t>
    </rPh>
    <rPh sb="22" eb="24">
      <t>カセイ</t>
    </rPh>
    <rPh sb="24" eb="26">
      <t>ヒリョウ</t>
    </rPh>
    <rPh sb="32" eb="33">
      <t>クロ</t>
    </rPh>
    <phoneticPr fontId="4"/>
  </si>
  <si>
    <t>稲わら</t>
    <rPh sb="0" eb="1">
      <t>イナ</t>
    </rPh>
    <phoneticPr fontId="4"/>
  </si>
  <si>
    <t>収穫ばさみ
コンテナ
段ボール
クラフトテープ
シール</t>
    <rPh sb="0" eb="2">
      <t>シュウカク</t>
    </rPh>
    <phoneticPr fontId="4"/>
  </si>
  <si>
    <t>殺菌剤　4種類
殺虫剤　3種類</t>
    <rPh sb="0" eb="3">
      <t>サッキンザイ</t>
    </rPh>
    <rPh sb="5" eb="7">
      <t>シュルイ</t>
    </rPh>
    <rPh sb="8" eb="10">
      <t>サッチュウ</t>
    </rPh>
    <rPh sb="10" eb="11">
      <t>ザイ</t>
    </rPh>
    <rPh sb="13" eb="15">
      <t>シュルイ</t>
    </rPh>
    <phoneticPr fontId="4"/>
  </si>
  <si>
    <t xml:space="preserve">
品種：
　くじゅうくりＥＸ
播種：
　セルトレイ128穴
鉢上げ：
　ポリポット（9cm）
　発芽までは水稲育苗器に入れ，28℃で保温する。</t>
    <rPh sb="1" eb="3">
      <t>ヒンシュ</t>
    </rPh>
    <rPh sb="15" eb="17">
      <t>ハシュ</t>
    </rPh>
    <rPh sb="28" eb="29">
      <t>アナ</t>
    </rPh>
    <rPh sb="30" eb="31">
      <t>ハチ</t>
    </rPh>
    <rPh sb="31" eb="32">
      <t>ア</t>
    </rPh>
    <rPh sb="49" eb="51">
      <t>ハツガ</t>
    </rPh>
    <rPh sb="54" eb="56">
      <t>スイトウ</t>
    </rPh>
    <rPh sb="56" eb="58">
      <t>イクビョウ</t>
    </rPh>
    <rPh sb="58" eb="59">
      <t>キ</t>
    </rPh>
    <rPh sb="60" eb="61">
      <t>イ</t>
    </rPh>
    <rPh sb="67" eb="69">
      <t>ホオン</t>
    </rPh>
    <phoneticPr fontId="4"/>
  </si>
  <si>
    <t xml:space="preserve">
　牛ふん堆肥，改良資材を施用して耕起する。
　マルチ幅（150cm）に元肥を施用し，耕起・畝立てを行う。
　マルチを張る。</t>
    <rPh sb="2" eb="3">
      <t>ウシ</t>
    </rPh>
    <rPh sb="5" eb="7">
      <t>タイヒ</t>
    </rPh>
    <rPh sb="8" eb="10">
      <t>カイリョウ</t>
    </rPh>
    <rPh sb="10" eb="12">
      <t>シザイ</t>
    </rPh>
    <rPh sb="13" eb="15">
      <t>セヨウ</t>
    </rPh>
    <rPh sb="17" eb="18">
      <t>タガヤ</t>
    </rPh>
    <rPh sb="18" eb="19">
      <t>オ</t>
    </rPh>
    <rPh sb="27" eb="28">
      <t>ハバ</t>
    </rPh>
    <rPh sb="36" eb="37">
      <t>モト</t>
    </rPh>
    <rPh sb="39" eb="41">
      <t>セヨウ</t>
    </rPh>
    <rPh sb="43" eb="44">
      <t>タガヤ</t>
    </rPh>
    <rPh sb="44" eb="45">
      <t>オ</t>
    </rPh>
    <rPh sb="46" eb="47">
      <t>ウネ</t>
    </rPh>
    <rPh sb="47" eb="48">
      <t>タ</t>
    </rPh>
    <rPh sb="50" eb="51">
      <t>オコナ</t>
    </rPh>
    <rPh sb="59" eb="60">
      <t>ハ</t>
    </rPh>
    <phoneticPr fontId="4"/>
  </si>
  <si>
    <t xml:space="preserve">
　２本仕立ては，株間70～80cm，畦幅80～90cm，畦間5ｍの１条植えとする。</t>
    <rPh sb="3" eb="4">
      <t>ホン</t>
    </rPh>
    <rPh sb="4" eb="6">
      <t>シタ</t>
    </rPh>
    <rPh sb="9" eb="10">
      <t>カブ</t>
    </rPh>
    <rPh sb="10" eb="11">
      <t>マ</t>
    </rPh>
    <rPh sb="19" eb="20">
      <t>ウネ</t>
    </rPh>
    <rPh sb="20" eb="21">
      <t>ハバ</t>
    </rPh>
    <rPh sb="29" eb="30">
      <t>ウネ</t>
    </rPh>
    <rPh sb="30" eb="31">
      <t>マ</t>
    </rPh>
    <rPh sb="35" eb="36">
      <t>ジョウ</t>
    </rPh>
    <rPh sb="36" eb="37">
      <t>ウ</t>
    </rPh>
    <phoneticPr fontId="4"/>
  </si>
  <si>
    <t xml:space="preserve">
　蔓が伸びる前に畦間を中耕除草し，敷き藁を行う。</t>
    <rPh sb="2" eb="3">
      <t>ツル</t>
    </rPh>
    <rPh sb="4" eb="5">
      <t>ノ</t>
    </rPh>
    <rPh sb="7" eb="8">
      <t>マエ</t>
    </rPh>
    <rPh sb="9" eb="10">
      <t>ウネ</t>
    </rPh>
    <rPh sb="10" eb="11">
      <t>マ</t>
    </rPh>
    <rPh sb="12" eb="14">
      <t>チュウコウ</t>
    </rPh>
    <rPh sb="14" eb="16">
      <t>ジョソウ</t>
    </rPh>
    <rPh sb="18" eb="19">
      <t>シ</t>
    </rPh>
    <rPh sb="20" eb="21">
      <t>ワラ</t>
    </rPh>
    <rPh sb="22" eb="23">
      <t>オコナ</t>
    </rPh>
    <phoneticPr fontId="4"/>
  </si>
  <si>
    <t xml:space="preserve">
　本葉4枚を残し，親蔓を摘心する。
　よく揃った小蔓を２本残し，蔓の長さ50～60cmの時に，畦と直角になるように誘引する。
　着果予定位置（２番果）までのわき芽を除去する。
　低温期は朝８時までに人工授粉を行う。</t>
    <rPh sb="2" eb="3">
      <t>ホン</t>
    </rPh>
    <rPh sb="3" eb="4">
      <t>ハ</t>
    </rPh>
    <rPh sb="5" eb="6">
      <t>マイ</t>
    </rPh>
    <rPh sb="7" eb="8">
      <t>ノコ</t>
    </rPh>
    <rPh sb="10" eb="11">
      <t>オヤ</t>
    </rPh>
    <rPh sb="11" eb="12">
      <t>ツル</t>
    </rPh>
    <rPh sb="13" eb="15">
      <t>テキシン</t>
    </rPh>
    <rPh sb="22" eb="23">
      <t>ソロ</t>
    </rPh>
    <rPh sb="25" eb="26">
      <t>ショウ</t>
    </rPh>
    <rPh sb="26" eb="27">
      <t>ツル</t>
    </rPh>
    <rPh sb="29" eb="30">
      <t>ホン</t>
    </rPh>
    <rPh sb="30" eb="31">
      <t>ノコ</t>
    </rPh>
    <rPh sb="33" eb="34">
      <t>ツル</t>
    </rPh>
    <rPh sb="35" eb="36">
      <t>ナガ</t>
    </rPh>
    <rPh sb="45" eb="46">
      <t>トキ</t>
    </rPh>
    <rPh sb="48" eb="49">
      <t>ウネ</t>
    </rPh>
    <rPh sb="50" eb="52">
      <t>チョッカク</t>
    </rPh>
    <rPh sb="58" eb="60">
      <t>ユウイン</t>
    </rPh>
    <rPh sb="65" eb="67">
      <t>チャッカ</t>
    </rPh>
    <rPh sb="67" eb="69">
      <t>ヨテイ</t>
    </rPh>
    <rPh sb="69" eb="71">
      <t>イチ</t>
    </rPh>
    <rPh sb="73" eb="74">
      <t>バン</t>
    </rPh>
    <rPh sb="74" eb="75">
      <t>カ</t>
    </rPh>
    <rPh sb="81" eb="82">
      <t>メ</t>
    </rPh>
    <rPh sb="83" eb="85">
      <t>ジョキョ</t>
    </rPh>
    <rPh sb="90" eb="92">
      <t>テイオン</t>
    </rPh>
    <rPh sb="92" eb="93">
      <t>キ</t>
    </rPh>
    <rPh sb="94" eb="95">
      <t>アサ</t>
    </rPh>
    <rPh sb="96" eb="97">
      <t>ジ</t>
    </rPh>
    <rPh sb="100" eb="102">
      <t>ジンコウ</t>
    </rPh>
    <rPh sb="102" eb="104">
      <t>ジュフン</t>
    </rPh>
    <rPh sb="105" eb="106">
      <t>オコナ</t>
    </rPh>
    <phoneticPr fontId="4"/>
  </si>
  <si>
    <t xml:space="preserve">
　１回目の追肥は，１番花開花時に定植畦の両側に施用する。
　２番目の追肥は，２番花開花時に，つる先に幅広く施用する。</t>
    <rPh sb="3" eb="5">
      <t>カイメ</t>
    </rPh>
    <rPh sb="6" eb="8">
      <t>ツイヒ</t>
    </rPh>
    <rPh sb="11" eb="12">
      <t>バン</t>
    </rPh>
    <rPh sb="12" eb="13">
      <t>カ</t>
    </rPh>
    <rPh sb="13" eb="15">
      <t>カイカ</t>
    </rPh>
    <rPh sb="15" eb="16">
      <t>ジ</t>
    </rPh>
    <rPh sb="17" eb="19">
      <t>テイショク</t>
    </rPh>
    <rPh sb="19" eb="20">
      <t>ウネ</t>
    </rPh>
    <rPh sb="21" eb="23">
      <t>リョウガワ</t>
    </rPh>
    <rPh sb="24" eb="26">
      <t>セヨウ</t>
    </rPh>
    <rPh sb="32" eb="34">
      <t>バンメ</t>
    </rPh>
    <rPh sb="35" eb="37">
      <t>ツイヒ</t>
    </rPh>
    <rPh sb="40" eb="41">
      <t>バン</t>
    </rPh>
    <rPh sb="41" eb="42">
      <t>ハナ</t>
    </rPh>
    <rPh sb="42" eb="44">
      <t>カイカ</t>
    </rPh>
    <rPh sb="44" eb="45">
      <t>ジ</t>
    </rPh>
    <rPh sb="49" eb="50">
      <t>サキ</t>
    </rPh>
    <rPh sb="51" eb="53">
      <t>ハバヒロ</t>
    </rPh>
    <rPh sb="54" eb="56">
      <t>セヨウ</t>
    </rPh>
    <phoneticPr fontId="4"/>
  </si>
  <si>
    <t xml:space="preserve">
　雌花開花後20～25日頃（果実の緑色が一段濃くなった頃）に敷きマットを敷く。</t>
    <rPh sb="2" eb="4">
      <t>メバナ</t>
    </rPh>
    <rPh sb="4" eb="6">
      <t>カイカ</t>
    </rPh>
    <rPh sb="6" eb="7">
      <t>ゴ</t>
    </rPh>
    <rPh sb="12" eb="13">
      <t>ニチ</t>
    </rPh>
    <rPh sb="13" eb="14">
      <t>コロ</t>
    </rPh>
    <rPh sb="15" eb="17">
      <t>カジツ</t>
    </rPh>
    <rPh sb="18" eb="20">
      <t>ミドリイロ</t>
    </rPh>
    <rPh sb="21" eb="23">
      <t>イチダン</t>
    </rPh>
    <rPh sb="23" eb="24">
      <t>コ</t>
    </rPh>
    <rPh sb="28" eb="29">
      <t>コロ</t>
    </rPh>
    <rPh sb="31" eb="32">
      <t>シ</t>
    </rPh>
    <rPh sb="37" eb="38">
      <t>シ</t>
    </rPh>
    <phoneticPr fontId="4"/>
  </si>
  <si>
    <t xml:space="preserve">
　定植時にウリハムシ等の対策を行う。
　6月上旬頃から10日おきにべと病，疫病，うどんこ病，アブラムシ等の防除を行う。</t>
    <rPh sb="2" eb="4">
      <t>テイショク</t>
    </rPh>
    <rPh sb="4" eb="5">
      <t>ジ</t>
    </rPh>
    <rPh sb="11" eb="12">
      <t>トウ</t>
    </rPh>
    <rPh sb="13" eb="15">
      <t>タイサク</t>
    </rPh>
    <rPh sb="16" eb="17">
      <t>オコナ</t>
    </rPh>
    <rPh sb="22" eb="23">
      <t>ガツ</t>
    </rPh>
    <rPh sb="23" eb="25">
      <t>ジョウジュン</t>
    </rPh>
    <rPh sb="25" eb="26">
      <t>ゴロ</t>
    </rPh>
    <rPh sb="30" eb="31">
      <t>ニチ</t>
    </rPh>
    <rPh sb="36" eb="37">
      <t>ビョウ</t>
    </rPh>
    <rPh sb="38" eb="40">
      <t>エキビョウ</t>
    </rPh>
    <rPh sb="45" eb="46">
      <t>ビョウ</t>
    </rPh>
    <rPh sb="52" eb="53">
      <t>トウ</t>
    </rPh>
    <rPh sb="54" eb="56">
      <t>ボウジョ</t>
    </rPh>
    <rPh sb="57" eb="58">
      <t>オコナ</t>
    </rPh>
    <phoneticPr fontId="4"/>
  </si>
  <si>
    <t xml:space="preserve">
　開花後45～50日（積算温度1000℃）を目安に，果梗がコルク化し，ひび割れが生じた頃に収穫を行う。
　収穫後１週間を目安に，風通しの良い冷暗所で風乾する。
　風乾後，果実に付着した土等をふき取って箱詰めする。</t>
    <rPh sb="54" eb="56">
      <t>シュウカク</t>
    </rPh>
    <rPh sb="56" eb="57">
      <t>ゴ</t>
    </rPh>
    <rPh sb="58" eb="60">
      <t>シュウカン</t>
    </rPh>
    <rPh sb="61" eb="63">
      <t>メヤス</t>
    </rPh>
    <rPh sb="65" eb="67">
      <t>カゼトオ</t>
    </rPh>
    <rPh sb="69" eb="70">
      <t>ヨ</t>
    </rPh>
    <rPh sb="71" eb="73">
      <t>レイアン</t>
    </rPh>
    <rPh sb="73" eb="74">
      <t>ショ</t>
    </rPh>
    <rPh sb="75" eb="77">
      <t>フウカン</t>
    </rPh>
    <rPh sb="82" eb="84">
      <t>フウカン</t>
    </rPh>
    <rPh sb="84" eb="85">
      <t>ゴ</t>
    </rPh>
    <rPh sb="86" eb="88">
      <t>カジツ</t>
    </rPh>
    <rPh sb="89" eb="91">
      <t>フチャク</t>
    </rPh>
    <rPh sb="93" eb="94">
      <t>ツチ</t>
    </rPh>
    <rPh sb="94" eb="95">
      <t>トウ</t>
    </rPh>
    <rPh sb="98" eb="99">
      <t>ト</t>
    </rPh>
    <rPh sb="101" eb="103">
      <t>ハコヅ</t>
    </rPh>
    <phoneticPr fontId="4"/>
  </si>
  <si>
    <t xml:space="preserve">
　圃場残さを除去する。
　マルチを撤去する。
　耕うんする。</t>
    <rPh sb="2" eb="4">
      <t>ホジョウ</t>
    </rPh>
    <rPh sb="4" eb="5">
      <t>ザン</t>
    </rPh>
    <rPh sb="7" eb="9">
      <t>ジョキョ</t>
    </rPh>
    <rPh sb="18" eb="20">
      <t>テッキョ</t>
    </rPh>
    <rPh sb="25" eb="26">
      <t>コウ</t>
    </rPh>
    <phoneticPr fontId="4"/>
  </si>
  <si>
    <t xml:space="preserve">
　鉢上げ後は徐々に外気にならす。
　本葉2.5～3枚で定植。</t>
    <rPh sb="2" eb="3">
      <t>ハチ</t>
    </rPh>
    <rPh sb="3" eb="4">
      <t>ア</t>
    </rPh>
    <rPh sb="5" eb="6">
      <t>ゴ</t>
    </rPh>
    <rPh sb="7" eb="9">
      <t>ジョジョ</t>
    </rPh>
    <rPh sb="10" eb="12">
      <t>ガイキ</t>
    </rPh>
    <rPh sb="19" eb="20">
      <t>ホン</t>
    </rPh>
    <rPh sb="20" eb="21">
      <t>ハ</t>
    </rPh>
    <rPh sb="26" eb="27">
      <t>マイ</t>
    </rPh>
    <rPh sb="28" eb="30">
      <t>テイショク</t>
    </rPh>
    <phoneticPr fontId="4"/>
  </si>
  <si>
    <t xml:space="preserve">
草刈り機</t>
    <rPh sb="1" eb="3">
      <t>クサカ</t>
    </rPh>
    <rPh sb="4" eb="5">
      <t>キ</t>
    </rPh>
    <phoneticPr fontId="4"/>
  </si>
  <si>
    <t xml:space="preserve">
　早めのマット敷きは落果や果実肥大を妨げるので注意する。</t>
    <rPh sb="2" eb="3">
      <t>ハヤ</t>
    </rPh>
    <rPh sb="8" eb="9">
      <t>シ</t>
    </rPh>
    <rPh sb="11" eb="13">
      <t>ラッカ</t>
    </rPh>
    <rPh sb="14" eb="16">
      <t>カジツ</t>
    </rPh>
    <rPh sb="16" eb="18">
      <t>ヒダイ</t>
    </rPh>
    <rPh sb="19" eb="20">
      <t>サマタ</t>
    </rPh>
    <rPh sb="24" eb="26">
      <t>チュウイ</t>
    </rPh>
    <phoneticPr fontId="4"/>
  </si>
  <si>
    <t xml:space="preserve">
　早どりは風味が悪くなるので避ける。</t>
    <phoneticPr fontId="4"/>
  </si>
  <si>
    <t>右表（イ）　</t>
    <phoneticPr fontId="4"/>
  </si>
  <si>
    <t>右表（ウ）　</t>
    <phoneticPr fontId="4"/>
  </si>
  <si>
    <t>右表（エ）　</t>
    <phoneticPr fontId="4"/>
  </si>
  <si>
    <t>収穫・出荷調製</t>
    <rPh sb="0" eb="2">
      <t>シュウカク</t>
    </rPh>
    <rPh sb="3" eb="5">
      <t>シュッカ</t>
    </rPh>
    <rPh sb="5" eb="7">
      <t>チョウセイ</t>
    </rPh>
    <phoneticPr fontId="4"/>
  </si>
  <si>
    <t>出荷調製</t>
    <rPh sb="0" eb="2">
      <t>シュッカ</t>
    </rPh>
    <rPh sb="2" eb="4">
      <t>チョウセイ</t>
    </rPh>
    <phoneticPr fontId="4"/>
  </si>
  <si>
    <t>A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</si>
  <si>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</si>
  <si>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</si>
  <si>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</si>
  <si>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</si>
  <si>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A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</si>
</sst>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  <numFmt numFmtId="186" formatCode="0\ &quot;a&quot;"/>
    <numFmt numFmtId="187" formatCode="#,##0.0;[Red]\-#,##0.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215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779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5" fillId="0" borderId="89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76" fontId="0" fillId="0" borderId="89" xfId="0" applyNumberForma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181" fontId="0" fillId="0" borderId="38" xfId="0" applyNumberFormat="1" applyFont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181" fontId="0" fillId="0" borderId="41" xfId="0" applyNumberFormat="1" applyFont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3" borderId="43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73" xfId="0" applyNumberFormat="1" applyFont="1" applyBorder="1" applyAlignment="1">
      <alignment horizontal="center" vertical="center" shrinkToFit="1"/>
    </xf>
    <xf numFmtId="176" fontId="0" fillId="0" borderId="89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4" xfId="0" applyNumberFormat="1" applyFont="1" applyBorder="1" applyAlignment="1">
      <alignment horizontal="center" vertical="center" shrinkToFit="1"/>
    </xf>
    <xf numFmtId="176" fontId="0" fillId="0" borderId="85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70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9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69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70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2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7" xfId="2" applyFont="1" applyBorder="1" applyAlignment="1">
      <alignment horizontal="center" vertical="center" wrapText="1"/>
    </xf>
    <xf numFmtId="0" fontId="8" fillId="0" borderId="114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89" xfId="2" applyFont="1" applyBorder="1" applyAlignment="1">
      <alignment vertical="center" wrapText="1"/>
    </xf>
    <xf numFmtId="0" fontId="1" fillId="0" borderId="89" xfId="2" applyFont="1" applyBorder="1" applyAlignment="1">
      <alignment horizontal="center" vertical="center" wrapText="1"/>
    </xf>
    <xf numFmtId="0" fontId="8" fillId="0" borderId="76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/>
    </xf>
    <xf numFmtId="0" fontId="8" fillId="0" borderId="89" xfId="2" applyFont="1" applyBorder="1" applyAlignment="1">
      <alignment horizontal="right" vertical="center" wrapText="1"/>
    </xf>
    <xf numFmtId="0" fontId="1" fillId="0" borderId="76" xfId="2" applyFont="1" applyBorder="1" applyAlignment="1">
      <alignment horizontal="center" vertical="center" wrapText="1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1" fillId="0" borderId="117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52" xfId="2" applyFont="1" applyBorder="1" applyAlignment="1">
      <alignment horizontal="center" vertical="center" wrapText="1"/>
    </xf>
    <xf numFmtId="0" fontId="1" fillId="0" borderId="121" xfId="2" applyFont="1" applyBorder="1" applyAlignment="1">
      <alignment horizontal="center" vertical="center" wrapText="1"/>
    </xf>
    <xf numFmtId="0" fontId="1" fillId="0" borderId="122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left" vertical="center" wrapText="1"/>
    </xf>
    <xf numFmtId="0" fontId="1" fillId="0" borderId="16" xfId="2" applyFont="1" applyBorder="1" applyAlignment="1">
      <alignment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19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5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2" xfId="0" applyNumberFormat="1" applyFont="1" applyFill="1" applyBorder="1" applyAlignment="1">
      <alignment vertical="center" shrinkToFit="1"/>
    </xf>
    <xf numFmtId="178" fontId="0" fillId="2" borderId="112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/>
    </xf>
    <xf numFmtId="177" fontId="0" fillId="0" borderId="89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4" xfId="0" applyNumberFormat="1" applyFont="1" applyBorder="1" applyAlignment="1">
      <alignment horizontal="center" vertical="center" shrinkToFit="1"/>
    </xf>
    <xf numFmtId="176" fontId="0" fillId="0" borderId="76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2" xfId="0" applyNumberFormat="1" applyFont="1" applyFill="1" applyBorder="1" applyAlignment="1">
      <alignment vertical="center" shrinkToFit="1"/>
    </xf>
    <xf numFmtId="176" fontId="0" fillId="2" borderId="125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6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2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7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76" fontId="0" fillId="6" borderId="125" xfId="0" applyNumberFormat="1" applyFont="1" applyFill="1" applyBorder="1" applyAlignment="1">
      <alignment vertical="center" shrinkToFit="1"/>
    </xf>
    <xf numFmtId="179" fontId="0" fillId="0" borderId="130" xfId="0" applyNumberFormat="1" applyFont="1" applyBorder="1" applyAlignment="1">
      <alignment horizontal="center" vertical="center" shrinkToFit="1"/>
    </xf>
    <xf numFmtId="176" fontId="0" fillId="6" borderId="116" xfId="0" applyNumberFormat="1" applyFont="1" applyFill="1" applyBorder="1" applyAlignment="1">
      <alignment vertical="center" shrinkToFit="1"/>
    </xf>
    <xf numFmtId="179" fontId="0" fillId="0" borderId="133" xfId="0" applyNumberFormat="1" applyFont="1" applyBorder="1" applyAlignment="1">
      <alignment horizontal="center"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6" borderId="112" xfId="0" applyNumberFormat="1" applyFont="1" applyFill="1" applyBorder="1" applyAlignment="1">
      <alignment vertical="center" shrinkToFit="1"/>
    </xf>
    <xf numFmtId="183" fontId="0" fillId="6" borderId="55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83" fontId="0" fillId="6" borderId="127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6" borderId="115" xfId="0" applyNumberFormat="1" applyFont="1" applyFill="1" applyBorder="1" applyAlignment="1">
      <alignment vertical="center" shrinkToFit="1"/>
    </xf>
    <xf numFmtId="183" fontId="0" fillId="6" borderId="135" xfId="0" applyNumberFormat="1" applyFont="1" applyFill="1" applyBorder="1" applyAlignment="1">
      <alignment vertical="center" shrinkToFit="1"/>
    </xf>
    <xf numFmtId="177" fontId="0" fillId="0" borderId="76" xfId="0" applyNumberFormat="1" applyFont="1" applyBorder="1" applyAlignment="1">
      <alignment vertical="center" shrinkToFit="1"/>
    </xf>
    <xf numFmtId="177" fontId="0" fillId="2" borderId="136" xfId="0" applyNumberFormat="1" applyFont="1" applyFill="1" applyBorder="1" applyAlignment="1">
      <alignment vertical="center" shrinkToFit="1"/>
    </xf>
    <xf numFmtId="177" fontId="0" fillId="2" borderId="115" xfId="0" applyNumberFormat="1" applyFont="1" applyFill="1" applyBorder="1" applyAlignment="1">
      <alignment vertical="center" shrinkToFit="1"/>
    </xf>
    <xf numFmtId="177" fontId="0" fillId="2" borderId="116" xfId="0" applyNumberFormat="1" applyFont="1" applyFill="1" applyBorder="1" applyAlignment="1">
      <alignment vertical="center" shrinkToFit="1"/>
    </xf>
    <xf numFmtId="177" fontId="0" fillId="2" borderId="127" xfId="0" applyNumberFormat="1" applyFont="1" applyFill="1" applyBorder="1" applyAlignment="1">
      <alignment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44" xfId="0" applyNumberFormat="1" applyFill="1" applyBorder="1" applyAlignment="1">
      <alignment vertical="center"/>
    </xf>
    <xf numFmtId="177" fontId="0" fillId="6" borderId="145" xfId="0" applyNumberFormat="1" applyFont="1" applyFill="1" applyBorder="1" applyAlignment="1">
      <alignment vertical="center" shrinkToFit="1"/>
    </xf>
    <xf numFmtId="177" fontId="0" fillId="0" borderId="145" xfId="3" applyNumberFormat="1" applyFont="1" applyBorder="1" applyAlignment="1">
      <alignment vertical="center"/>
    </xf>
    <xf numFmtId="177" fontId="0" fillId="0" borderId="109" xfId="3" applyNumberFormat="1" applyFont="1" applyBorder="1" applyAlignment="1">
      <alignment horizontal="right" vertical="center"/>
    </xf>
    <xf numFmtId="177" fontId="0" fillId="0" borderId="109" xfId="3" applyNumberFormat="1" applyFont="1" applyBorder="1" applyAlignment="1">
      <alignment horizontal="left" vertical="center" shrinkToFit="1"/>
    </xf>
    <xf numFmtId="177" fontId="0" fillId="0" borderId="146" xfId="0" applyNumberFormat="1" applyFont="1" applyBorder="1" applyAlignment="1">
      <alignment vertical="center"/>
    </xf>
    <xf numFmtId="177" fontId="0" fillId="0" borderId="144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7" fontId="0" fillId="0" borderId="147" xfId="3" applyNumberFormat="1" applyFont="1" applyBorder="1" applyAlignment="1">
      <alignment vertical="center" shrinkToFit="1"/>
    </xf>
    <xf numFmtId="177" fontId="0" fillId="0" borderId="147" xfId="0" applyNumberFormat="1" applyFont="1" applyFill="1" applyBorder="1" applyAlignment="1">
      <alignment vertical="center"/>
    </xf>
    <xf numFmtId="177" fontId="0" fillId="0" borderId="144" xfId="0" applyNumberFormat="1" applyFont="1" applyFill="1" applyBorder="1" applyAlignment="1">
      <alignment horizontal="center" vertical="center"/>
    </xf>
    <xf numFmtId="177" fontId="0" fillId="0" borderId="144" xfId="0" applyNumberFormat="1" applyFont="1" applyFill="1" applyBorder="1" applyAlignment="1">
      <alignment vertical="center"/>
    </xf>
    <xf numFmtId="177" fontId="0" fillId="0" borderId="147" xfId="0" applyNumberFormat="1" applyFill="1" applyBorder="1" applyAlignment="1">
      <alignment vertical="center"/>
    </xf>
    <xf numFmtId="178" fontId="0" fillId="0" borderId="144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8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9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52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47" xfId="0" applyNumberFormat="1" applyFont="1" applyFill="1" applyBorder="1" applyAlignment="1">
      <alignment vertical="center" shrinkToFit="1"/>
    </xf>
    <xf numFmtId="177" fontId="0" fillId="0" borderId="74" xfId="0" applyNumberFormat="1" applyFon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52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48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144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7" xfId="0" applyNumberFormat="1" applyFont="1" applyFill="1" applyBorder="1" applyAlignment="1">
      <alignment horizontal="left" vertical="center"/>
    </xf>
    <xf numFmtId="177" fontId="0" fillId="0" borderId="147" xfId="3" applyNumberFormat="1" applyFont="1" applyFill="1" applyBorder="1" applyAlignment="1">
      <alignment vertical="center" shrinkToFit="1"/>
    </xf>
    <xf numFmtId="178" fontId="0" fillId="0" borderId="148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7" fontId="0" fillId="0" borderId="150" xfId="3" applyNumberFormat="1" applyFont="1" applyBorder="1" applyAlignment="1">
      <alignment horizontal="center" vertical="center" shrinkToFit="1"/>
    </xf>
    <xf numFmtId="177" fontId="0" fillId="0" borderId="77" xfId="3" applyNumberFormat="1" applyFont="1" applyBorder="1" applyAlignment="1">
      <alignment horizontal="center" vertical="center" shrinkToFit="1"/>
    </xf>
    <xf numFmtId="176" fontId="0" fillId="2" borderId="53" xfId="0" applyNumberFormat="1" applyFont="1" applyFill="1" applyBorder="1" applyAlignment="1">
      <alignment horizontal="center" vertical="center" shrinkToFit="1"/>
    </xf>
    <xf numFmtId="177" fontId="0" fillId="2" borderId="53" xfId="0" applyNumberFormat="1" applyFont="1" applyFill="1" applyBorder="1" applyAlignment="1">
      <alignment vertical="center" shrinkToFit="1"/>
    </xf>
    <xf numFmtId="177" fontId="0" fillId="0" borderId="155" xfId="3" applyNumberFormat="1" applyFont="1" applyBorder="1" applyAlignment="1">
      <alignment vertical="center" shrinkToFit="1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42" xfId="0" applyNumberFormat="1" applyFont="1" applyFill="1" applyBorder="1" applyAlignment="1">
      <alignment horizontal="center" vertical="center" shrinkToFit="1"/>
    </xf>
    <xf numFmtId="177" fontId="0" fillId="2" borderId="42" xfId="0" applyNumberFormat="1" applyFont="1" applyFill="1" applyBorder="1" applyAlignment="1">
      <alignment vertical="center" shrinkToFit="1"/>
    </xf>
    <xf numFmtId="176" fontId="0" fillId="2" borderId="153" xfId="0" applyNumberFormat="1" applyFont="1" applyFill="1" applyBorder="1" applyAlignment="1">
      <alignment vertical="center" shrinkToFit="1"/>
    </xf>
    <xf numFmtId="176" fontId="0" fillId="2" borderId="66" xfId="0" applyNumberFormat="1" applyFont="1" applyFill="1" applyBorder="1" applyAlignment="1">
      <alignment vertical="center" shrinkToFit="1"/>
    </xf>
    <xf numFmtId="176" fontId="0" fillId="2" borderId="116" xfId="0" applyNumberFormat="1" applyFont="1" applyFill="1" applyBorder="1" applyAlignment="1">
      <alignment vertical="center" shrinkToFit="1"/>
    </xf>
    <xf numFmtId="176" fontId="0" fillId="0" borderId="62" xfId="0" applyNumberFormat="1" applyFont="1" applyBorder="1" applyAlignment="1">
      <alignment vertical="center"/>
    </xf>
    <xf numFmtId="177" fontId="0" fillId="2" borderId="53" xfId="3" applyNumberFormat="1" applyFont="1" applyFill="1" applyBorder="1" applyAlignment="1">
      <alignment horizontal="center" vertical="center" shrinkToFit="1"/>
    </xf>
    <xf numFmtId="177" fontId="0" fillId="2" borderId="53" xfId="3" applyNumberFormat="1" applyFont="1" applyFill="1" applyBorder="1" applyAlignment="1">
      <alignment vertical="center" shrinkToFit="1"/>
    </xf>
    <xf numFmtId="176" fontId="0" fillId="6" borderId="153" xfId="0" applyNumberFormat="1" applyFont="1" applyFill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3" xfId="0" applyNumberFormat="1" applyFont="1" applyBorder="1" applyAlignment="1">
      <alignment vertical="center" shrinkToFit="1"/>
    </xf>
    <xf numFmtId="177" fontId="0" fillId="0" borderId="113" xfId="0" applyNumberFormat="1" applyFont="1" applyBorder="1" applyAlignment="1">
      <alignment horizontal="center" vertical="center" shrinkToFit="1"/>
    </xf>
    <xf numFmtId="177" fontId="0" fillId="0" borderId="57" xfId="0" applyNumberFormat="1" applyFont="1" applyBorder="1" applyAlignment="1">
      <alignment horizontal="center" vertical="center" shrinkToFit="1"/>
    </xf>
    <xf numFmtId="177" fontId="0" fillId="0" borderId="114" xfId="0" applyNumberFormat="1" applyFont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vertical="center" shrinkToFit="1"/>
    </xf>
    <xf numFmtId="176" fontId="0" fillId="6" borderId="112" xfId="0" applyNumberFormat="1" applyFont="1" applyFill="1" applyBorder="1" applyAlignment="1">
      <alignment horizontal="center" vertical="center" shrinkToFit="1"/>
    </xf>
    <xf numFmtId="176" fontId="0" fillId="6" borderId="127" xfId="0" applyNumberFormat="1" applyFont="1" applyFill="1" applyBorder="1" applyAlignment="1">
      <alignment horizontal="center" vertical="center" shrinkToFit="1"/>
    </xf>
    <xf numFmtId="177" fontId="0" fillId="0" borderId="110" xfId="0" applyNumberFormat="1" applyFont="1" applyBorder="1" applyAlignment="1">
      <alignment horizontal="center" vertical="center" shrinkToFit="1"/>
    </xf>
    <xf numFmtId="177" fontId="0" fillId="2" borderId="136" xfId="0" applyNumberFormat="1" applyFont="1" applyFill="1" applyBorder="1" applyAlignment="1">
      <alignment horizontal="center" vertical="center" shrinkToFit="1"/>
    </xf>
    <xf numFmtId="177" fontId="0" fillId="0" borderId="61" xfId="0" applyNumberFormat="1" applyFont="1" applyBorder="1" applyAlignment="1">
      <alignment horizontal="center" vertical="center" shrinkToFit="1"/>
    </xf>
    <xf numFmtId="176" fontId="0" fillId="0" borderId="156" xfId="0" applyNumberFormat="1" applyFont="1" applyBorder="1" applyAlignment="1">
      <alignment vertical="center"/>
    </xf>
    <xf numFmtId="176" fontId="0" fillId="0" borderId="159" xfId="0" applyNumberFormat="1" applyFont="1" applyBorder="1" applyAlignment="1">
      <alignment vertical="center"/>
    </xf>
    <xf numFmtId="176" fontId="0" fillId="0" borderId="134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2" xfId="0" applyNumberFormat="1" applyFont="1" applyBorder="1" applyAlignment="1">
      <alignment vertical="center" shrinkToFit="1"/>
    </xf>
    <xf numFmtId="177" fontId="0" fillId="2" borderId="164" xfId="0" applyNumberFormat="1" applyFont="1" applyFill="1" applyBorder="1" applyAlignment="1">
      <alignment vertical="center" shrinkToFit="1"/>
    </xf>
    <xf numFmtId="176" fontId="0" fillId="2" borderId="165" xfId="0" applyNumberFormat="1" applyFont="1" applyFill="1" applyBorder="1" applyAlignment="1">
      <alignment vertical="center" shrinkToFit="1"/>
    </xf>
    <xf numFmtId="177" fontId="0" fillId="2" borderId="161" xfId="3" applyNumberFormat="1" applyFont="1" applyFill="1" applyBorder="1" applyAlignment="1">
      <alignment horizontal="center" vertical="center" shrinkToFit="1"/>
    </xf>
    <xf numFmtId="177" fontId="0" fillId="2" borderId="161" xfId="3" applyNumberFormat="1" applyFont="1" applyFill="1" applyBorder="1" applyAlignment="1">
      <alignment vertical="center" shrinkToFit="1"/>
    </xf>
    <xf numFmtId="176" fontId="0" fillId="6" borderId="166" xfId="0" applyNumberFormat="1" applyFont="1" applyFill="1" applyBorder="1" applyAlignment="1">
      <alignment vertical="center"/>
    </xf>
    <xf numFmtId="181" fontId="0" fillId="0" borderId="130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8" fillId="0" borderId="171" xfId="0" applyFont="1" applyBorder="1" applyAlignment="1">
      <alignment horizontal="center" vertical="center" shrinkToFit="1"/>
    </xf>
    <xf numFmtId="0" fontId="8" fillId="0" borderId="174" xfId="0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vertical="center" shrinkToFit="1"/>
    </xf>
    <xf numFmtId="176" fontId="0" fillId="0" borderId="178" xfId="0" applyNumberFormat="1" applyFont="1" applyBorder="1" applyAlignment="1">
      <alignment vertical="center"/>
    </xf>
    <xf numFmtId="176" fontId="0" fillId="0" borderId="89" xfId="0" applyNumberFormat="1" applyBorder="1" applyAlignment="1">
      <alignment vertical="center"/>
    </xf>
    <xf numFmtId="176" fontId="0" fillId="0" borderId="89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79" xfId="0" applyNumberFormat="1" applyFont="1" applyBorder="1" applyAlignment="1">
      <alignment vertical="center" shrinkToFit="1"/>
    </xf>
    <xf numFmtId="176" fontId="0" fillId="0" borderId="79" xfId="0" applyNumberForma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181" xfId="0" applyNumberFormat="1" applyFont="1" applyBorder="1" applyAlignment="1">
      <alignment vertical="center" shrinkToFit="1"/>
    </xf>
    <xf numFmtId="179" fontId="0" fillId="0" borderId="182" xfId="0" applyNumberFormat="1" applyFont="1" applyBorder="1" applyAlignment="1">
      <alignment vertical="center" shrinkToFit="1"/>
    </xf>
    <xf numFmtId="179" fontId="0" fillId="0" borderId="144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84" xfId="0" applyNumberFormat="1" applyFont="1" applyBorder="1" applyAlignment="1">
      <alignment vertical="center" shrinkToFit="1"/>
    </xf>
    <xf numFmtId="179" fontId="0" fillId="0" borderId="126" xfId="0" applyNumberFormat="1" applyFont="1" applyBorder="1" applyAlignment="1">
      <alignment vertical="center" shrinkToFit="1"/>
    </xf>
    <xf numFmtId="179" fontId="0" fillId="0" borderId="127" xfId="0" applyNumberFormat="1" applyFont="1" applyBorder="1" applyAlignment="1">
      <alignment vertical="center" shrinkToFit="1"/>
    </xf>
    <xf numFmtId="179" fontId="0" fillId="0" borderId="186" xfId="0" applyNumberFormat="1" applyFont="1" applyBorder="1" applyAlignment="1">
      <alignment vertical="center" shrinkToFit="1"/>
    </xf>
    <xf numFmtId="179" fontId="0" fillId="0" borderId="165" xfId="0" applyNumberFormat="1" applyFont="1" applyBorder="1" applyAlignment="1">
      <alignment vertical="center" shrinkToFit="1"/>
    </xf>
    <xf numFmtId="176" fontId="0" fillId="0" borderId="55" xfId="0" applyNumberFormat="1" applyBorder="1" applyAlignment="1">
      <alignment horizontal="center" vertical="center"/>
    </xf>
    <xf numFmtId="184" fontId="0" fillId="0" borderId="12" xfId="0" applyNumberFormat="1" applyFont="1" applyBorder="1" applyAlignment="1">
      <alignment vertical="center" shrinkToFit="1"/>
    </xf>
    <xf numFmtId="184" fontId="0" fillId="0" borderId="181" xfId="0" applyNumberFormat="1" applyFont="1" applyBorder="1" applyAlignment="1">
      <alignment vertical="center" shrinkToFit="1"/>
    </xf>
    <xf numFmtId="184" fontId="13" fillId="0" borderId="181" xfId="0" applyNumberFormat="1" applyFont="1" applyBorder="1" applyAlignment="1">
      <alignment vertical="center" shrinkToFit="1"/>
    </xf>
    <xf numFmtId="0" fontId="1" fillId="0" borderId="0" xfId="2" applyFont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73" xfId="0" applyNumberFormat="1" applyFont="1" applyBorder="1" applyAlignment="1">
      <alignment horizontal="center" vertical="center" shrinkToFit="1"/>
    </xf>
    <xf numFmtId="0" fontId="0" fillId="0" borderId="0" xfId="2" applyFont="1" applyAlignment="1">
      <alignment horizontal="right" vertical="center"/>
    </xf>
    <xf numFmtId="176" fontId="0" fillId="0" borderId="89" xfId="0" applyNumberFormat="1" applyFont="1" applyBorder="1" applyAlignment="1">
      <alignment vertical="center" shrinkToFit="1"/>
    </xf>
    <xf numFmtId="9" fontId="0" fillId="0" borderId="89" xfId="0" applyNumberFormat="1" applyFont="1" applyBorder="1" applyAlignment="1">
      <alignment vertical="center" shrinkToFit="1"/>
    </xf>
    <xf numFmtId="182" fontId="0" fillId="0" borderId="89" xfId="4" applyNumberFormat="1" applyFont="1" applyBorder="1" applyAlignment="1">
      <alignment vertical="center" shrinkToFit="1"/>
    </xf>
    <xf numFmtId="176" fontId="0" fillId="0" borderId="89" xfId="0" applyNumberFormat="1" applyFont="1" applyBorder="1" applyAlignment="1">
      <alignment horizontal="right" vertical="center" shrinkToFit="1"/>
    </xf>
    <xf numFmtId="176" fontId="0" fillId="2" borderId="89" xfId="0" applyNumberFormat="1" applyFont="1" applyFill="1" applyBorder="1" applyAlignment="1">
      <alignment vertical="center" shrinkToFit="1"/>
    </xf>
    <xf numFmtId="176" fontId="0" fillId="2" borderId="89" xfId="0" applyNumberFormat="1" applyFont="1" applyFill="1" applyBorder="1" applyAlignment="1">
      <alignment horizontal="left" vertical="center" shrinkToFit="1"/>
    </xf>
    <xf numFmtId="179" fontId="0" fillId="2" borderId="89" xfId="0" applyNumberFormat="1" applyFont="1" applyFill="1" applyBorder="1" applyAlignment="1">
      <alignment vertical="center" shrinkToFit="1"/>
    </xf>
    <xf numFmtId="9" fontId="0" fillId="0" borderId="89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162" xfId="0" applyNumberFormat="1" applyFont="1" applyFill="1" applyBorder="1" applyAlignment="1">
      <alignment vertical="center"/>
    </xf>
    <xf numFmtId="177" fontId="0" fillId="0" borderId="169" xfId="0" applyNumberFormat="1" applyFont="1" applyFill="1" applyBorder="1" applyAlignment="1">
      <alignment vertical="center"/>
    </xf>
    <xf numFmtId="177" fontId="0" fillId="0" borderId="170" xfId="0" applyNumberFormat="1" applyFont="1" applyFill="1" applyBorder="1" applyAlignment="1">
      <alignment vertical="center"/>
    </xf>
    <xf numFmtId="177" fontId="0" fillId="0" borderId="162" xfId="0" applyNumberFormat="1" applyFont="1" applyBorder="1" applyAlignment="1">
      <alignment vertical="center" shrinkToFit="1"/>
    </xf>
    <xf numFmtId="176" fontId="0" fillId="0" borderId="144" xfId="0" applyNumberFormat="1" applyFont="1" applyBorder="1" applyAlignment="1">
      <alignment vertical="center" shrinkToFit="1"/>
    </xf>
    <xf numFmtId="185" fontId="0" fillId="0" borderId="78" xfId="0" applyNumberFormat="1" applyFont="1" applyBorder="1" applyAlignment="1">
      <alignment horizontal="center" vertical="center"/>
    </xf>
    <xf numFmtId="181" fontId="0" fillId="4" borderId="43" xfId="0" applyNumberFormat="1" applyFont="1" applyFill="1" applyBorder="1" applyAlignment="1">
      <alignment horizontal="right" vertical="center"/>
    </xf>
    <xf numFmtId="181" fontId="0" fillId="0" borderId="41" xfId="0" applyNumberFormat="1" applyFont="1" applyFill="1" applyBorder="1" applyAlignment="1">
      <alignment horizontal="right" vertical="center"/>
    </xf>
    <xf numFmtId="181" fontId="0" fillId="7" borderId="41" xfId="0" applyNumberFormat="1" applyFont="1" applyFill="1" applyBorder="1" applyAlignment="1">
      <alignment horizontal="right" vertical="center"/>
    </xf>
    <xf numFmtId="181" fontId="0" fillId="7" borderId="44" xfId="1" applyNumberFormat="1" applyFont="1" applyFill="1" applyBorder="1" applyAlignment="1">
      <alignment horizontal="right" vertical="center"/>
    </xf>
    <xf numFmtId="181" fontId="0" fillId="0" borderId="40" xfId="0" applyNumberFormat="1" applyFont="1" applyBorder="1" applyAlignment="1">
      <alignment vertical="center"/>
    </xf>
    <xf numFmtId="181" fontId="0" fillId="0" borderId="193" xfId="0" applyNumberFormat="1" applyFont="1" applyBorder="1" applyAlignment="1">
      <alignment vertical="center"/>
    </xf>
    <xf numFmtId="181" fontId="0" fillId="5" borderId="40" xfId="0" applyNumberFormat="1" applyFont="1" applyFill="1" applyBorder="1" applyAlignment="1">
      <alignment vertical="center"/>
    </xf>
    <xf numFmtId="181" fontId="0" fillId="3" borderId="24" xfId="1" applyNumberFormat="1" applyFont="1" applyFill="1" applyBorder="1" applyAlignment="1">
      <alignment horizontal="right" vertical="center"/>
    </xf>
    <xf numFmtId="181" fontId="0" fillId="0" borderId="40" xfId="0" applyNumberFormat="1" applyFont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9" xfId="1" applyNumberFormat="1" applyFont="1" applyFill="1" applyBorder="1" applyAlignment="1">
      <alignment horizontal="right" vertical="center"/>
    </xf>
    <xf numFmtId="177" fontId="0" fillId="0" borderId="144" xfId="3" applyNumberFormat="1" applyFont="1" applyFill="1" applyBorder="1" applyAlignment="1">
      <alignment vertical="center" shrinkToFit="1"/>
    </xf>
    <xf numFmtId="176" fontId="4" fillId="0" borderId="200" xfId="0" applyNumberFormat="1" applyFont="1" applyBorder="1" applyAlignment="1">
      <alignment horizontal="left" vertical="center" wrapText="1"/>
    </xf>
    <xf numFmtId="176" fontId="0" fillId="0" borderId="19" xfId="0" applyNumberFormat="1" applyFont="1" applyBorder="1" applyAlignment="1">
      <alignment vertical="center" shrinkToFit="1"/>
    </xf>
    <xf numFmtId="176" fontId="0" fillId="0" borderId="72" xfId="0" applyNumberFormat="1" applyFont="1" applyBorder="1" applyAlignment="1">
      <alignment vertical="center" shrinkToFit="1"/>
    </xf>
    <xf numFmtId="176" fontId="0" fillId="0" borderId="71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201" xfId="0" applyNumberFormat="1" applyFont="1" applyBorder="1" applyAlignment="1">
      <alignment horizontal="center" vertical="center" shrinkToFit="1"/>
    </xf>
    <xf numFmtId="176" fontId="0" fillId="0" borderId="202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72" xfId="0" applyNumberFormat="1" applyFont="1" applyFill="1" applyBorder="1" applyAlignment="1">
      <alignment vertical="center" shrinkToFit="1"/>
    </xf>
    <xf numFmtId="176" fontId="16" fillId="0" borderId="0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vertical="center"/>
    </xf>
    <xf numFmtId="176" fontId="16" fillId="0" borderId="0" xfId="0" applyNumberFormat="1" applyFont="1" applyBorder="1" applyAlignment="1">
      <alignment horizontal="right" vertical="center"/>
    </xf>
    <xf numFmtId="177" fontId="0" fillId="0" borderId="24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horizontal="center" vertical="center" shrinkToFit="1"/>
    </xf>
    <xf numFmtId="178" fontId="0" fillId="0" borderId="89" xfId="0" applyNumberFormat="1" applyFont="1" applyBorder="1" applyAlignment="1">
      <alignment vertical="center" shrinkToFit="1"/>
    </xf>
    <xf numFmtId="179" fontId="0" fillId="0" borderId="1" xfId="0" applyNumberFormat="1" applyFont="1" applyFill="1" applyBorder="1" applyAlignment="1">
      <alignment vertical="center" shrinkToFit="1"/>
    </xf>
    <xf numFmtId="179" fontId="0" fillId="0" borderId="69" xfId="0" applyNumberFormat="1" applyFont="1" applyFill="1" applyBorder="1" applyAlignment="1">
      <alignment vertical="center" shrinkToFit="1"/>
    </xf>
    <xf numFmtId="179" fontId="0" fillId="0" borderId="144" xfId="0" applyNumberFormat="1" applyFont="1" applyFill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83" fontId="0" fillId="0" borderId="1" xfId="0" applyNumberFormat="1" applyFont="1" applyFill="1" applyBorder="1" applyAlignment="1">
      <alignment vertical="center" shrinkToFit="1"/>
    </xf>
    <xf numFmtId="176" fontId="9" fillId="0" borderId="0" xfId="0" applyNumberFormat="1" applyFont="1" applyAlignment="1">
      <alignment vertical="center"/>
    </xf>
    <xf numFmtId="179" fontId="9" fillId="0" borderId="0" xfId="0" applyNumberFormat="1" applyFont="1" applyAlignment="1">
      <alignment vertical="center"/>
    </xf>
    <xf numFmtId="177" fontId="0" fillId="0" borderId="0" xfId="0" applyNumberFormat="1" applyFill="1" applyBorder="1" applyAlignment="1">
      <alignment vertical="center"/>
    </xf>
    <xf numFmtId="177" fontId="0" fillId="0" borderId="1" xfId="0" applyNumberFormat="1" applyBorder="1" applyAlignment="1">
      <alignment vertical="center" shrinkToFit="1"/>
    </xf>
    <xf numFmtId="176" fontId="9" fillId="0" borderId="0" xfId="0" applyNumberFormat="1" applyFont="1" applyBorder="1" applyAlignment="1">
      <alignment vertical="center"/>
    </xf>
    <xf numFmtId="179" fontId="0" fillId="0" borderId="204" xfId="0" applyNumberFormat="1" applyFont="1" applyBorder="1" applyAlignment="1">
      <alignment vertical="center" shrinkToFit="1"/>
    </xf>
    <xf numFmtId="179" fontId="0" fillId="0" borderId="147" xfId="0" applyNumberFormat="1" applyFont="1" applyBorder="1" applyAlignment="1">
      <alignment vertical="center" shrinkToFit="1"/>
    </xf>
    <xf numFmtId="179" fontId="0" fillId="0" borderId="17" xfId="0" applyNumberFormat="1" applyFont="1" applyBorder="1" applyAlignment="1">
      <alignment vertical="center" shrinkToFit="1"/>
    </xf>
    <xf numFmtId="179" fontId="0" fillId="0" borderId="205" xfId="0" applyNumberFormat="1" applyFont="1" applyBorder="1" applyAlignment="1">
      <alignment vertical="center" shrinkToFit="1"/>
    </xf>
    <xf numFmtId="179" fontId="0" fillId="0" borderId="206" xfId="0" applyNumberFormat="1" applyFont="1" applyBorder="1" applyAlignment="1">
      <alignment vertical="center" shrinkToFit="1"/>
    </xf>
    <xf numFmtId="179" fontId="0" fillId="0" borderId="207" xfId="0" applyNumberFormat="1" applyFont="1" applyBorder="1" applyAlignment="1">
      <alignment vertical="center" shrinkToFit="1"/>
    </xf>
    <xf numFmtId="179" fontId="0" fillId="0" borderId="21" xfId="0" applyNumberFormat="1" applyFont="1" applyBorder="1" applyAlignment="1">
      <alignment vertical="center" shrinkToFit="1"/>
    </xf>
    <xf numFmtId="184" fontId="0" fillId="0" borderId="21" xfId="0" applyNumberFormat="1" applyFont="1" applyBorder="1" applyAlignment="1">
      <alignment vertical="center" shrinkToFit="1"/>
    </xf>
    <xf numFmtId="179" fontId="0" fillId="0" borderId="135" xfId="0" applyNumberFormat="1" applyFont="1" applyBorder="1" applyAlignment="1">
      <alignment vertical="center" shrinkToFit="1"/>
    </xf>
    <xf numFmtId="179" fontId="0" fillId="0" borderId="203" xfId="0" applyNumberFormat="1" applyFont="1" applyBorder="1" applyAlignment="1">
      <alignment vertical="center" shrinkToFit="1"/>
    </xf>
    <xf numFmtId="184" fontId="0" fillId="0" borderId="207" xfId="0" applyNumberFormat="1" applyFont="1" applyBorder="1" applyAlignment="1">
      <alignment vertical="center" shrinkToFit="1"/>
    </xf>
    <xf numFmtId="179" fontId="0" fillId="0" borderId="208" xfId="0" applyNumberFormat="1" applyFont="1" applyBorder="1" applyAlignment="1">
      <alignment vertical="center" shrinkToFit="1"/>
    </xf>
    <xf numFmtId="0" fontId="0" fillId="0" borderId="28" xfId="2" applyFont="1" applyBorder="1" applyAlignment="1">
      <alignment horizontal="center" vertical="center" wrapText="1"/>
    </xf>
    <xf numFmtId="179" fontId="0" fillId="0" borderId="24" xfId="0" applyNumberFormat="1" applyFont="1" applyBorder="1" applyAlignment="1">
      <alignment vertical="center"/>
    </xf>
    <xf numFmtId="177" fontId="0" fillId="0" borderId="10" xfId="0" applyNumberFormat="1" applyFont="1" applyFill="1" applyBorder="1" applyAlignment="1">
      <alignment vertical="center" shrinkToFit="1"/>
    </xf>
    <xf numFmtId="176" fontId="0" fillId="0" borderId="54" xfId="3" applyNumberFormat="1" applyFont="1" applyFill="1" applyBorder="1" applyAlignment="1">
      <alignment vertical="center" shrinkToFit="1"/>
    </xf>
    <xf numFmtId="0" fontId="0" fillId="0" borderId="25" xfId="2" applyFont="1" applyBorder="1" applyAlignment="1">
      <alignment horizontal="center" vertical="center" wrapText="1"/>
    </xf>
    <xf numFmtId="176" fontId="0" fillId="0" borderId="0" xfId="0" applyNumberFormat="1" applyAlignment="1">
      <alignment horizontal="right" vertical="center"/>
    </xf>
    <xf numFmtId="176" fontId="9" fillId="0" borderId="8" xfId="0" applyNumberFormat="1" applyFont="1" applyBorder="1" applyAlignment="1">
      <alignment vertical="center"/>
    </xf>
    <xf numFmtId="177" fontId="0" fillId="0" borderId="13" xfId="0" applyNumberFormat="1" applyFont="1" applyFill="1" applyBorder="1" applyAlignment="1">
      <alignment vertical="center" shrinkToFit="1"/>
    </xf>
    <xf numFmtId="176" fontId="13" fillId="0" borderId="89" xfId="0" applyNumberFormat="1" applyFont="1" applyFill="1" applyBorder="1" applyAlignment="1">
      <alignment vertical="center" shrinkToFit="1"/>
    </xf>
    <xf numFmtId="179" fontId="0" fillId="0" borderId="2" xfId="0" applyNumberFormat="1" applyFont="1" applyFill="1" applyBorder="1" applyAlignment="1">
      <alignment vertical="center" shrinkToFit="1"/>
    </xf>
    <xf numFmtId="177" fontId="0" fillId="0" borderId="23" xfId="0" applyNumberFormat="1" applyFont="1" applyBorder="1" applyAlignment="1">
      <alignment vertical="center"/>
    </xf>
    <xf numFmtId="177" fontId="0" fillId="2" borderId="127" xfId="0" applyNumberFormat="1" applyFont="1" applyFill="1" applyBorder="1" applyAlignment="1">
      <alignment vertical="center"/>
    </xf>
    <xf numFmtId="177" fontId="0" fillId="2" borderId="135" xfId="0" applyNumberFormat="1" applyFont="1" applyFill="1" applyBorder="1" applyAlignment="1">
      <alignment vertical="center"/>
    </xf>
    <xf numFmtId="177" fontId="0" fillId="2" borderId="164" xfId="0" applyNumberFormat="1" applyFont="1" applyFill="1" applyBorder="1" applyAlignment="1">
      <alignment vertical="center"/>
    </xf>
    <xf numFmtId="177" fontId="0" fillId="0" borderId="76" xfId="0" applyNumberFormat="1" applyFont="1" applyFill="1" applyBorder="1" applyAlignment="1">
      <alignment vertical="center" shrinkToFit="1"/>
    </xf>
    <xf numFmtId="177" fontId="0" fillId="0" borderId="88" xfId="0" applyNumberFormat="1" applyFont="1" applyFill="1" applyBorder="1" applyAlignment="1">
      <alignment vertical="center" shrinkToFit="1"/>
    </xf>
    <xf numFmtId="178" fontId="0" fillId="0" borderId="89" xfId="0" applyNumberFormat="1" applyFon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horizontal="center" vertical="center" shrinkToFit="1"/>
    </xf>
    <xf numFmtId="187" fontId="0" fillId="0" borderId="89" xfId="1" applyNumberFormat="1" applyFont="1" applyFill="1" applyBorder="1" applyAlignment="1">
      <alignment vertical="center" shrinkToFit="1"/>
    </xf>
    <xf numFmtId="0" fontId="1" fillId="0" borderId="117" xfId="2" applyFont="1" applyFill="1" applyBorder="1" applyAlignment="1">
      <alignment horizontal="center" vertical="center" wrapText="1"/>
    </xf>
    <xf numFmtId="0" fontId="0" fillId="0" borderId="26" xfId="2" applyFont="1" applyBorder="1" applyAlignment="1">
      <alignment horizontal="left" vertical="center" wrapText="1"/>
    </xf>
    <xf numFmtId="0" fontId="0" fillId="0" borderId="57" xfId="2" applyFont="1" applyBorder="1" applyAlignment="1">
      <alignment horizontal="center" vertical="center"/>
    </xf>
    <xf numFmtId="0" fontId="8" fillId="0" borderId="89" xfId="2" applyFont="1" applyBorder="1" applyAlignment="1">
      <alignment horizontal="left" vertical="top" wrapText="1"/>
    </xf>
    <xf numFmtId="0" fontId="0" fillId="0" borderId="89" xfId="2" applyFont="1" applyBorder="1" applyAlignment="1">
      <alignment horizontal="center" vertical="center" wrapText="1"/>
    </xf>
    <xf numFmtId="0" fontId="8" fillId="0" borderId="57" xfId="2" applyFont="1" applyBorder="1" applyAlignment="1">
      <alignment horizontal="center" vertical="center" wrapText="1"/>
    </xf>
    <xf numFmtId="0" fontId="8" fillId="0" borderId="76" xfId="2" applyFont="1" applyBorder="1" applyAlignment="1">
      <alignment horizontal="left" vertical="top" wrapText="1"/>
    </xf>
    <xf numFmtId="179" fontId="0" fillId="0" borderId="169" xfId="0" applyNumberFormat="1" applyFont="1" applyBorder="1" applyAlignment="1">
      <alignment vertical="center" shrinkToFit="1"/>
    </xf>
    <xf numFmtId="179" fontId="0" fillId="0" borderId="209" xfId="0" applyNumberFormat="1" applyFont="1" applyBorder="1" applyAlignment="1">
      <alignment vertical="center" shrinkToFit="1"/>
    </xf>
    <xf numFmtId="179" fontId="0" fillId="0" borderId="210" xfId="0" applyNumberFormat="1" applyFont="1" applyBorder="1" applyAlignment="1">
      <alignment vertical="center" shrinkToFit="1"/>
    </xf>
    <xf numFmtId="179" fontId="0" fillId="0" borderId="211" xfId="0" applyNumberFormat="1" applyFont="1" applyBorder="1" applyAlignment="1">
      <alignment vertical="center" shrinkToFit="1"/>
    </xf>
    <xf numFmtId="0" fontId="0" fillId="0" borderId="89" xfId="2" applyFont="1" applyBorder="1" applyAlignment="1">
      <alignment horizontal="left" vertical="center" wrapText="1"/>
    </xf>
    <xf numFmtId="0" fontId="1" fillId="0" borderId="116" xfId="2" applyFont="1" applyBorder="1" applyAlignment="1">
      <alignment horizontal="left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27" xfId="2" applyFont="1" applyFill="1" applyBorder="1" applyAlignment="1">
      <alignment horizontal="center" vertical="center" wrapText="1"/>
    </xf>
    <xf numFmtId="0" fontId="1" fillId="0" borderId="25" xfId="2" applyFont="1" applyFill="1" applyBorder="1" applyAlignment="1">
      <alignment horizontal="center" vertical="center" wrapText="1"/>
    </xf>
    <xf numFmtId="0" fontId="1" fillId="0" borderId="26" xfId="2" applyFont="1" applyFill="1" applyBorder="1" applyAlignment="1">
      <alignment horizontal="center" vertical="center" wrapText="1"/>
    </xf>
    <xf numFmtId="0" fontId="1" fillId="0" borderId="144" xfId="2" applyFont="1" applyBorder="1" applyAlignment="1">
      <alignment horizontal="center" vertical="center" wrapText="1"/>
    </xf>
    <xf numFmtId="0" fontId="1" fillId="0" borderId="147" xfId="2" applyFont="1" applyBorder="1" applyAlignment="1">
      <alignment horizontal="center" vertical="center" wrapText="1"/>
    </xf>
    <xf numFmtId="0" fontId="1" fillId="0" borderId="212" xfId="2" applyFont="1" applyBorder="1" applyAlignment="1">
      <alignment horizontal="center" vertical="center" wrapText="1"/>
    </xf>
    <xf numFmtId="0" fontId="1" fillId="0" borderId="213" xfId="2" applyFont="1" applyBorder="1" applyAlignment="1">
      <alignment horizontal="center" vertical="center" wrapText="1"/>
    </xf>
    <xf numFmtId="0" fontId="1" fillId="0" borderId="148" xfId="2" applyFont="1" applyBorder="1" applyAlignment="1">
      <alignment horizontal="center" vertical="center" wrapText="1"/>
    </xf>
    <xf numFmtId="176" fontId="16" fillId="0" borderId="0" xfId="0" applyNumberFormat="1" applyFont="1" applyFill="1" applyBorder="1" applyAlignment="1">
      <alignment horizontal="center" vertical="center"/>
    </xf>
    <xf numFmtId="182" fontId="0" fillId="0" borderId="24" xfId="3" applyNumberFormat="1" applyFont="1" applyFill="1" applyBorder="1" applyAlignment="1">
      <alignment vertical="center" shrinkToFit="1"/>
    </xf>
    <xf numFmtId="182" fontId="0" fillId="0" borderId="24" xfId="3" applyNumberFormat="1" applyFont="1" applyBorder="1" applyAlignment="1">
      <alignment vertical="center" shrinkToFit="1"/>
    </xf>
    <xf numFmtId="182" fontId="0" fillId="0" borderId="24" xfId="0" applyNumberFormat="1" applyFont="1" applyBorder="1" applyAlignment="1">
      <alignment vertical="center"/>
    </xf>
    <xf numFmtId="182" fontId="0" fillId="2" borderId="53" xfId="3" applyNumberFormat="1" applyFont="1" applyFill="1" applyBorder="1" applyAlignment="1">
      <alignment vertical="center" shrinkToFit="1"/>
    </xf>
    <xf numFmtId="0" fontId="1" fillId="0" borderId="89" xfId="2" applyFont="1" applyBorder="1" applyAlignment="1">
      <alignment horizontal="center" vertical="center" wrapTex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6" fontId="0" fillId="0" borderId="15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horizontal="center" vertical="center" shrinkToFit="1"/>
    </xf>
    <xf numFmtId="0" fontId="1" fillId="0" borderId="89" xfId="2" applyFont="1" applyBorder="1" applyAlignment="1">
      <alignment vertical="center" wrapText="1"/>
    </xf>
    <xf numFmtId="0" fontId="1" fillId="0" borderId="76" xfId="2" applyFont="1" applyBorder="1" applyAlignment="1">
      <alignment vertical="center" wrapText="1"/>
    </xf>
    <xf numFmtId="186" fontId="0" fillId="0" borderId="89" xfId="0" applyNumberFormat="1" applyFont="1" applyBorder="1" applyAlignment="1">
      <alignment horizontal="right" vertical="center" shrinkToFit="1"/>
    </xf>
    <xf numFmtId="176" fontId="0" fillId="0" borderId="89" xfId="0" applyNumberFormat="1" applyFont="1" applyFill="1" applyBorder="1" applyAlignment="1">
      <alignment vertical="center" shrinkToFit="1"/>
    </xf>
    <xf numFmtId="176" fontId="0" fillId="0" borderId="89" xfId="0" applyNumberFormat="1" applyFont="1" applyFill="1" applyBorder="1" applyAlignment="1">
      <alignment horizontal="center" vertical="center" shrinkToFit="1"/>
    </xf>
    <xf numFmtId="9" fontId="0" fillId="0" borderId="89" xfId="0" applyNumberFormat="1" applyFont="1" applyFill="1" applyBorder="1" applyAlignment="1">
      <alignment vertical="center" shrinkToFit="1"/>
    </xf>
    <xf numFmtId="182" fontId="0" fillId="0" borderId="89" xfId="4" applyNumberFormat="1" applyFont="1" applyFill="1" applyBorder="1" applyAlignment="1">
      <alignment vertical="center" shrinkToFit="1"/>
    </xf>
    <xf numFmtId="176" fontId="0" fillId="0" borderId="2" xfId="0" applyNumberFormat="1" applyFont="1" applyFill="1" applyBorder="1" applyAlignment="1">
      <alignment vertical="center" shrinkToFit="1"/>
    </xf>
    <xf numFmtId="177" fontId="0" fillId="0" borderId="77" xfId="0" applyNumberFormat="1" applyFont="1" applyBorder="1" applyAlignment="1">
      <alignment horizontal="center" vertical="center" shrinkToFit="1"/>
    </xf>
    <xf numFmtId="177" fontId="0" fillId="0" borderId="38" xfId="0" applyNumberFormat="1" applyFont="1" applyBorder="1" applyAlignment="1">
      <alignment horizontal="center" vertical="center" shrinkToFit="1"/>
    </xf>
    <xf numFmtId="179" fontId="0" fillId="0" borderId="133" xfId="0" applyNumberFormat="1" applyFont="1" applyFill="1" applyBorder="1" applyAlignment="1">
      <alignment horizontal="center" vertical="center" shrinkToFit="1"/>
    </xf>
    <xf numFmtId="177" fontId="0" fillId="0" borderId="14" xfId="0" applyNumberFormat="1" applyFill="1" applyBorder="1" applyAlignment="1">
      <alignment vertical="center"/>
    </xf>
    <xf numFmtId="0" fontId="0" fillId="0" borderId="214" xfId="3" applyFont="1" applyFill="1" applyBorder="1" applyAlignment="1">
      <alignment vertical="center" shrinkToFit="1"/>
    </xf>
    <xf numFmtId="177" fontId="19" fillId="8" borderId="0" xfId="0" applyNumberFormat="1" applyFont="1" applyFill="1" applyBorder="1" applyAlignment="1">
      <alignment vertical="center"/>
    </xf>
    <xf numFmtId="177" fontId="19" fillId="8" borderId="0" xfId="0" applyNumberFormat="1" applyFont="1" applyFill="1" applyBorder="1" applyAlignment="1">
      <alignment horizontal="center" vertical="center"/>
    </xf>
    <xf numFmtId="0" fontId="8" fillId="0" borderId="115" xfId="2" applyFont="1" applyBorder="1" applyAlignment="1">
      <alignment vertical="top" wrapText="1"/>
    </xf>
    <xf numFmtId="0" fontId="8" fillId="0" borderId="115" xfId="2" applyFont="1" applyBorder="1" applyAlignment="1">
      <alignment horizontal="left" vertical="top" wrapText="1"/>
    </xf>
    <xf numFmtId="0" fontId="0" fillId="0" borderId="115" xfId="2" applyFont="1" applyBorder="1" applyAlignment="1">
      <alignment horizontal="left" vertical="top" wrapText="1"/>
    </xf>
    <xf numFmtId="0" fontId="1" fillId="0" borderId="115" xfId="2" applyFont="1" applyBorder="1" applyAlignment="1">
      <alignment horizontal="left" vertical="top" wrapText="1"/>
    </xf>
    <xf numFmtId="0" fontId="20" fillId="0" borderId="57" xfId="2" applyFont="1" applyBorder="1" applyAlignment="1">
      <alignment horizontal="center" vertical="center" wrapText="1"/>
    </xf>
    <xf numFmtId="0" fontId="6" fillId="0" borderId="89" xfId="2" applyFont="1" applyBorder="1" applyAlignment="1">
      <alignment horizontal="center" vertical="center" wrapText="1"/>
    </xf>
    <xf numFmtId="0" fontId="20" fillId="0" borderId="89" xfId="2" applyFont="1" applyBorder="1" applyAlignment="1">
      <alignment horizontal="center" vertical="center" wrapText="1"/>
    </xf>
    <xf numFmtId="177" fontId="0" fillId="0" borderId="144" xfId="0" applyNumberFormat="1" applyFill="1" applyBorder="1" applyAlignment="1">
      <alignment horizontal="right" vertical="center"/>
    </xf>
    <xf numFmtId="182" fontId="0" fillId="0" borderId="147" xfId="0" applyNumberFormat="1" applyFont="1" applyFill="1" applyBorder="1" applyAlignment="1">
      <alignment horizontal="left" vertical="center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0" fontId="8" fillId="0" borderId="87" xfId="2" applyFont="1" applyBorder="1" applyAlignment="1">
      <alignment vertical="center" wrapText="1"/>
    </xf>
    <xf numFmtId="0" fontId="1" fillId="0" borderId="5" xfId="2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3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58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52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17" xfId="2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52" xfId="2" applyFont="1" applyBorder="1" applyAlignment="1">
      <alignment horizontal="left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1" fillId="0" borderId="127" xfId="2" applyFont="1" applyBorder="1" applyAlignment="1">
      <alignment horizontal="left" vertical="center" wrapText="1"/>
    </xf>
    <xf numFmtId="0" fontId="1" fillId="0" borderId="135" xfId="2" applyFont="1" applyBorder="1" applyAlignment="1">
      <alignment horizontal="left" vertical="center" wrapText="1"/>
    </xf>
    <xf numFmtId="0" fontId="1" fillId="0" borderId="85" xfId="2" applyFont="1" applyBorder="1" applyAlignment="1">
      <alignment horizontal="left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80" xfId="2" applyFont="1" applyBorder="1" applyAlignment="1">
      <alignment horizontal="center" vertical="center" textRotation="255" shrinkToFit="1"/>
    </xf>
    <xf numFmtId="0" fontId="8" fillId="0" borderId="58" xfId="2" applyFont="1" applyBorder="1" applyAlignment="1">
      <alignment horizontal="center" vertical="center" textRotation="255" shrinkToFit="1"/>
    </xf>
    <xf numFmtId="0" fontId="8" fillId="0" borderId="81" xfId="2" applyFont="1" applyBorder="1" applyAlignment="1">
      <alignment horizontal="center" vertical="center" textRotation="255" shrinkToFit="1"/>
    </xf>
    <xf numFmtId="0" fontId="8" fillId="0" borderId="13" xfId="2" applyFont="1" applyBorder="1" applyAlignment="1">
      <alignment horizontal="left" vertical="center" wrapText="1" indent="1"/>
    </xf>
    <xf numFmtId="0" fontId="8" fillId="0" borderId="14" xfId="2" applyFont="1" applyBorder="1" applyAlignment="1">
      <alignment horizontal="left" vertical="center" wrapText="1" indent="1"/>
    </xf>
    <xf numFmtId="0" fontId="1" fillId="0" borderId="10" xfId="2" applyFont="1" applyBorder="1" applyAlignment="1">
      <alignment horizontal="left" vertical="center" wrapText="1" indent="1"/>
    </xf>
    <xf numFmtId="0" fontId="1" fillId="0" borderId="0" xfId="2" applyFont="1" applyBorder="1" applyAlignment="1">
      <alignment horizontal="left" vertical="center" wrapText="1" inden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8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44" xfId="2" applyFont="1" applyBorder="1" applyAlignment="1">
      <alignment horizontal="center" vertical="center" wrapText="1"/>
    </xf>
    <xf numFmtId="0" fontId="8" fillId="0" borderId="147" xfId="2" applyFont="1" applyBorder="1" applyAlignment="1">
      <alignment horizontal="center" vertical="center" wrapText="1"/>
    </xf>
    <xf numFmtId="0" fontId="8" fillId="0" borderId="119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 wrapText="1"/>
    </xf>
    <xf numFmtId="0" fontId="8" fillId="0" borderId="199" xfId="2" applyFont="1" applyBorder="1" applyAlignment="1">
      <alignment horizontal="center" vertical="center" wrapText="1"/>
    </xf>
    <xf numFmtId="0" fontId="1" fillId="0" borderId="51" xfId="2" applyFont="1" applyBorder="1" applyAlignment="1">
      <alignment horizontal="center" vertical="center"/>
    </xf>
    <xf numFmtId="0" fontId="1" fillId="0" borderId="50" xfId="2" applyFont="1" applyBorder="1" applyAlignment="1">
      <alignment horizontal="center" vertical="center"/>
    </xf>
    <xf numFmtId="0" fontId="0" fillId="0" borderId="35" xfId="2" applyFont="1" applyBorder="1" applyAlignment="1">
      <alignment vertical="center" wrapText="1"/>
    </xf>
    <xf numFmtId="0" fontId="1" fillId="0" borderId="37" xfId="2" applyFont="1" applyBorder="1" applyAlignment="1">
      <alignment vertical="center" wrapText="1"/>
    </xf>
    <xf numFmtId="0" fontId="1" fillId="0" borderId="39" xfId="2" applyFont="1" applyBorder="1" applyAlignment="1">
      <alignment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8" fillId="0" borderId="93" xfId="2" applyFont="1" applyBorder="1" applyAlignment="1">
      <alignment horizontal="center" vertical="center" wrapText="1"/>
    </xf>
    <xf numFmtId="0" fontId="8" fillId="0" borderId="94" xfId="2" applyFont="1" applyBorder="1" applyAlignment="1">
      <alignment horizontal="center" vertical="center" wrapText="1"/>
    </xf>
    <xf numFmtId="0" fontId="1" fillId="0" borderId="95" xfId="2" applyFont="1" applyBorder="1" applyAlignment="1">
      <alignment horizontal="center" vertical="center"/>
    </xf>
    <xf numFmtId="0" fontId="1" fillId="0" borderId="96" xfId="2" applyFont="1" applyBorder="1" applyAlignment="1">
      <alignment horizontal="center" vertical="center"/>
    </xf>
    <xf numFmtId="0" fontId="1" fillId="0" borderId="97" xfId="2" applyFont="1" applyBorder="1" applyAlignment="1">
      <alignment horizontal="center" vertical="center"/>
    </xf>
    <xf numFmtId="0" fontId="1" fillId="0" borderId="98" xfId="2" applyFont="1" applyBorder="1" applyAlignment="1">
      <alignment horizontal="center" vertical="center"/>
    </xf>
    <xf numFmtId="0" fontId="1" fillId="0" borderId="50" xfId="2" applyFont="1" applyBorder="1" applyAlignment="1">
      <alignment vertical="center" wrapText="1"/>
    </xf>
    <xf numFmtId="0" fontId="1" fillId="0" borderId="67" xfId="2" applyFont="1" applyBorder="1" applyAlignment="1">
      <alignment vertical="center" wrapText="1"/>
    </xf>
    <xf numFmtId="0" fontId="8" fillId="0" borderId="60" xfId="2" applyFont="1" applyBorder="1" applyAlignment="1">
      <alignment horizontal="center" vertical="center" wrapText="1"/>
    </xf>
    <xf numFmtId="0" fontId="0" fillId="0" borderId="1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1" fillId="0" borderId="49" xfId="2" applyFont="1" applyBorder="1" applyAlignment="1">
      <alignment vertical="center" wrapText="1"/>
    </xf>
    <xf numFmtId="0" fontId="1" fillId="0" borderId="64" xfId="2" applyFont="1" applyBorder="1" applyAlignment="1">
      <alignment vertical="center" wrapText="1"/>
    </xf>
    <xf numFmtId="0" fontId="1" fillId="0" borderId="99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2" xfId="2" applyFont="1" applyBorder="1" applyAlignment="1">
      <alignment vertical="center" wrapText="1"/>
    </xf>
    <xf numFmtId="0" fontId="1" fillId="0" borderId="41" xfId="2" applyFont="1" applyBorder="1" applyAlignment="1">
      <alignment horizontal="center" vertical="center"/>
    </xf>
    <xf numFmtId="0" fontId="1" fillId="0" borderId="24" xfId="2" applyFont="1" applyFill="1" applyBorder="1" applyAlignment="1">
      <alignment vertical="center" wrapText="1"/>
    </xf>
    <xf numFmtId="0" fontId="1" fillId="0" borderId="62" xfId="2" applyFont="1" applyFill="1" applyBorder="1" applyAlignment="1">
      <alignment vertical="center" wrapText="1"/>
    </xf>
    <xf numFmtId="0" fontId="1" fillId="0" borderId="63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1" fillId="0" borderId="100" xfId="2" applyFont="1" applyBorder="1" applyAlignment="1">
      <alignment horizontal="center" vertical="center"/>
    </xf>
    <xf numFmtId="0" fontId="0" fillId="0" borderId="172" xfId="0" applyFont="1" applyBorder="1" applyAlignment="1">
      <alignment horizontal="center" vertical="center" shrinkToFit="1"/>
    </xf>
    <xf numFmtId="0" fontId="0" fillId="0" borderId="173" xfId="0" applyFont="1" applyBorder="1" applyAlignment="1">
      <alignment horizontal="center" vertical="center" shrinkToFit="1"/>
    </xf>
    <xf numFmtId="0" fontId="0" fillId="0" borderId="175" xfId="0" applyFont="1" applyBorder="1" applyAlignment="1">
      <alignment horizontal="center" vertical="center" shrinkToFit="1"/>
    </xf>
    <xf numFmtId="0" fontId="8" fillId="0" borderId="101" xfId="0" quotePrefix="1" applyFont="1" applyBorder="1" applyAlignment="1">
      <alignment horizontal="center" vertical="center" wrapText="1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shrinkToFit="1"/>
    </xf>
    <xf numFmtId="0" fontId="1" fillId="0" borderId="105" xfId="0" applyFont="1" applyBorder="1" applyAlignment="1">
      <alignment horizontal="center" vertical="center" shrinkToFit="1"/>
    </xf>
    <xf numFmtId="0" fontId="0" fillId="0" borderId="75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8" fillId="0" borderId="88" xfId="2" applyFont="1" applyBorder="1" applyAlignment="1">
      <alignment horizontal="center" vertical="center" textRotation="255" wrapText="1"/>
    </xf>
    <xf numFmtId="0" fontId="8" fillId="0" borderId="113" xfId="2" applyFont="1" applyBorder="1" applyAlignment="1">
      <alignment horizontal="center" vertical="center" wrapText="1"/>
    </xf>
    <xf numFmtId="0" fontId="8" fillId="0" borderId="57" xfId="2" applyFont="1" applyBorder="1" applyAlignment="1">
      <alignment horizontal="center" vertical="center" wrapText="1"/>
    </xf>
    <xf numFmtId="0" fontId="1" fillId="0" borderId="84" xfId="2" applyFont="1" applyBorder="1" applyAlignment="1">
      <alignment horizontal="center" vertical="center"/>
    </xf>
    <xf numFmtId="0" fontId="1" fillId="0" borderId="85" xfId="2" applyFont="1" applyBorder="1" applyAlignment="1">
      <alignment horizontal="center" vertical="center"/>
    </xf>
    <xf numFmtId="0" fontId="1" fillId="0" borderId="74" xfId="2" applyFont="1" applyBorder="1" applyAlignment="1">
      <alignment horizontal="center" vertical="center"/>
    </xf>
    <xf numFmtId="0" fontId="1" fillId="0" borderId="52" xfId="2" applyFont="1" applyBorder="1" applyAlignment="1">
      <alignment horizontal="center" vertical="center"/>
    </xf>
    <xf numFmtId="0" fontId="0" fillId="3" borderId="99" xfId="0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4" borderId="161" xfId="0" applyFont="1" applyFill="1" applyBorder="1" applyAlignment="1">
      <alignment horizontal="center" vertical="center" textRotation="255" wrapText="1"/>
    </xf>
    <xf numFmtId="0" fontId="0" fillId="4" borderId="44" xfId="0" applyFont="1" applyFill="1" applyBorder="1" applyAlignment="1">
      <alignment horizontal="center" vertical="center" textRotation="255" wrapText="1"/>
    </xf>
    <xf numFmtId="0" fontId="0" fillId="4" borderId="133" xfId="0" applyFont="1" applyFill="1" applyBorder="1" applyAlignment="1">
      <alignment horizontal="center" vertical="center" textRotation="255" wrapText="1"/>
    </xf>
    <xf numFmtId="0" fontId="0" fillId="4" borderId="161" xfId="0" applyFont="1" applyFill="1" applyBorder="1" applyAlignment="1">
      <alignment horizontal="center" vertical="center" wrapText="1"/>
    </xf>
    <xf numFmtId="0" fontId="0" fillId="4" borderId="44" xfId="0" applyFont="1" applyFill="1" applyBorder="1" applyAlignment="1">
      <alignment horizontal="center" vertical="center" wrapText="1"/>
    </xf>
    <xf numFmtId="181" fontId="0" fillId="0" borderId="47" xfId="0" applyNumberFormat="1" applyFont="1" applyBorder="1" applyAlignment="1">
      <alignment vertical="center"/>
    </xf>
    <xf numFmtId="181" fontId="0" fillId="0" borderId="48" xfId="0" applyNumberFormat="1" applyFont="1" applyBorder="1" applyAlignment="1">
      <alignment vertical="center"/>
    </xf>
    <xf numFmtId="181" fontId="0" fillId="0" borderId="198" xfId="0" applyNumberFormat="1" applyFont="1" applyBorder="1" applyAlignment="1">
      <alignment vertical="center"/>
    </xf>
    <xf numFmtId="0" fontId="0" fillId="0" borderId="151" xfId="0" applyFont="1" applyBorder="1" applyAlignment="1">
      <alignment horizontal="center" vertical="center" textRotation="255"/>
    </xf>
    <xf numFmtId="0" fontId="0" fillId="0" borderId="106" xfId="0" applyFont="1" applyBorder="1" applyAlignment="1">
      <alignment horizontal="center" vertical="center" textRotation="255"/>
    </xf>
    <xf numFmtId="0" fontId="0" fillId="3" borderId="100" xfId="0" applyFill="1" applyBorder="1" applyAlignment="1">
      <alignment horizontal="center" vertical="center"/>
    </xf>
    <xf numFmtId="0" fontId="0" fillId="3" borderId="49" xfId="0" applyFont="1" applyFill="1" applyBorder="1" applyAlignment="1">
      <alignment horizontal="center" vertical="center"/>
    </xf>
    <xf numFmtId="181" fontId="0" fillId="0" borderId="34" xfId="0" applyNumberFormat="1" applyFont="1" applyBorder="1" applyAlignment="1">
      <alignment vertical="center"/>
    </xf>
    <xf numFmtId="181" fontId="0" fillId="0" borderId="40" xfId="0" applyNumberFormat="1" applyFont="1" applyBorder="1" applyAlignment="1">
      <alignment vertical="center"/>
    </xf>
    <xf numFmtId="181" fontId="0" fillId="0" borderId="193" xfId="0" applyNumberFormat="1" applyFont="1" applyBorder="1" applyAlignment="1">
      <alignment vertical="center"/>
    </xf>
    <xf numFmtId="180" fontId="0" fillId="0" borderId="187" xfId="1" applyNumberFormat="1" applyFont="1" applyBorder="1" applyAlignment="1">
      <alignment horizontal="center" vertical="center"/>
    </xf>
    <xf numFmtId="180" fontId="0" fillId="0" borderId="108" xfId="1" applyNumberFormat="1" applyFont="1" applyBorder="1" applyAlignment="1">
      <alignment horizontal="center" vertical="center"/>
    </xf>
    <xf numFmtId="180" fontId="0" fillId="0" borderId="188" xfId="1" applyNumberFormat="1" applyFont="1" applyBorder="1" applyAlignment="1">
      <alignment horizontal="center" vertical="center"/>
    </xf>
    <xf numFmtId="180" fontId="0" fillId="0" borderId="140" xfId="1" applyNumberFormat="1" applyFont="1" applyBorder="1" applyAlignment="1">
      <alignment horizontal="center" vertical="center"/>
    </xf>
    <xf numFmtId="180" fontId="0" fillId="0" borderId="109" xfId="1" applyNumberFormat="1" applyFont="1" applyBorder="1" applyAlignment="1">
      <alignment horizontal="center" vertical="center"/>
    </xf>
    <xf numFmtId="180" fontId="0" fillId="0" borderId="189" xfId="1" applyNumberFormat="1" applyFont="1" applyBorder="1" applyAlignment="1">
      <alignment horizontal="center" vertical="center"/>
    </xf>
    <xf numFmtId="181" fontId="0" fillId="0" borderId="190" xfId="0" applyNumberFormat="1" applyFont="1" applyBorder="1" applyAlignment="1">
      <alignment vertical="center"/>
    </xf>
    <xf numFmtId="181" fontId="0" fillId="0" borderId="191" xfId="0" applyNumberFormat="1" applyFont="1" applyBorder="1" applyAlignment="1">
      <alignment vertical="center"/>
    </xf>
    <xf numFmtId="181" fontId="0" fillId="0" borderId="192" xfId="0" applyNumberFormat="1" applyFont="1" applyBorder="1" applyAlignment="1">
      <alignment vertical="center"/>
    </xf>
    <xf numFmtId="0" fontId="0" fillId="7" borderId="106" xfId="0" applyFont="1" applyFill="1" applyBorder="1" applyAlignment="1">
      <alignment horizontal="center" vertical="center"/>
    </xf>
    <xf numFmtId="0" fontId="0" fillId="7" borderId="44" xfId="0" applyFont="1" applyFill="1" applyBorder="1" applyAlignment="1">
      <alignment horizontal="center" vertical="center"/>
    </xf>
    <xf numFmtId="0" fontId="0" fillId="0" borderId="161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0" fillId="0" borderId="133" xfId="0" applyFont="1" applyFill="1" applyBorder="1" applyAlignment="1">
      <alignment vertical="center"/>
    </xf>
    <xf numFmtId="0" fontId="0" fillId="4" borderId="56" xfId="0" applyFont="1" applyFill="1" applyBorder="1" applyAlignment="1">
      <alignment horizontal="center" vertical="center"/>
    </xf>
    <xf numFmtId="0" fontId="0" fillId="4" borderId="4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108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0" fontId="0" fillId="0" borderId="109" xfId="0" applyFont="1" applyBorder="1" applyAlignment="1">
      <alignment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0" borderId="161" xfId="0" applyFont="1" applyBorder="1" applyAlignment="1">
      <alignment vertical="center"/>
    </xf>
    <xf numFmtId="0" fontId="0" fillId="0" borderId="133" xfId="0" applyFont="1" applyBorder="1" applyAlignment="1">
      <alignment vertical="center"/>
    </xf>
    <xf numFmtId="0" fontId="0" fillId="0" borderId="161" xfId="0" applyFont="1" applyBorder="1" applyAlignment="1">
      <alignment vertical="center" wrapText="1"/>
    </xf>
    <xf numFmtId="0" fontId="0" fillId="0" borderId="44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3" borderId="194" xfId="0" applyFont="1" applyFill="1" applyBorder="1" applyAlignment="1">
      <alignment horizontal="center" vertical="center"/>
    </xf>
    <xf numFmtId="0" fontId="0" fillId="3" borderId="120" xfId="0" applyFont="1" applyFill="1" applyBorder="1" applyAlignment="1">
      <alignment horizontal="center" vertical="center"/>
    </xf>
    <xf numFmtId="0" fontId="0" fillId="3" borderId="195" xfId="0" applyFont="1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196" xfId="0" applyFont="1" applyFill="1" applyBorder="1" applyAlignment="1">
      <alignment horizontal="center" vertical="center"/>
    </xf>
    <xf numFmtId="0" fontId="0" fillId="3" borderId="197" xfId="0" applyFont="1" applyFill="1" applyBorder="1" applyAlignment="1">
      <alignment horizontal="center" vertical="center"/>
    </xf>
    <xf numFmtId="176" fontId="0" fillId="0" borderId="74" xfId="0" applyNumberFormat="1" applyFont="1" applyFill="1" applyBorder="1" applyAlignment="1">
      <alignment horizontal="center" vertical="center"/>
    </xf>
    <xf numFmtId="176" fontId="0" fillId="0" borderId="52" xfId="0" applyNumberFormat="1" applyFont="1" applyFill="1" applyBorder="1" applyAlignment="1">
      <alignment horizontal="center" vertical="center"/>
    </xf>
    <xf numFmtId="176" fontId="0" fillId="0" borderId="176" xfId="0" applyNumberFormat="1" applyFont="1" applyBorder="1" applyAlignment="1">
      <alignment horizontal="center" vertical="center"/>
    </xf>
    <xf numFmtId="176" fontId="0" fillId="0" borderId="177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119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7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74" xfId="0" applyNumberFormat="1" applyFont="1" applyBorder="1" applyAlignment="1">
      <alignment horizontal="left" vertical="center" indent="1"/>
    </xf>
    <xf numFmtId="176" fontId="0" fillId="0" borderId="52" xfId="0" applyNumberFormat="1" applyFont="1" applyBorder="1" applyAlignment="1">
      <alignment horizontal="left" vertical="center" indent="1"/>
    </xf>
    <xf numFmtId="176" fontId="16" fillId="0" borderId="74" xfId="0" applyNumberFormat="1" applyFont="1" applyBorder="1" applyAlignment="1">
      <alignment horizontal="center" vertical="center"/>
    </xf>
    <xf numFmtId="176" fontId="16" fillId="0" borderId="52" xfId="0" applyNumberFormat="1" applyFont="1" applyBorder="1" applyAlignment="1">
      <alignment horizontal="center" vertical="center"/>
    </xf>
    <xf numFmtId="176" fontId="0" fillId="0" borderId="141" xfId="0" applyNumberFormat="1" applyFont="1" applyBorder="1" applyAlignment="1">
      <alignment horizontal="center" vertical="center"/>
    </xf>
    <xf numFmtId="176" fontId="0" fillId="0" borderId="117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83" xfId="0" applyNumberFormat="1" applyFont="1" applyBorder="1" applyAlignment="1">
      <alignment horizontal="center" vertical="center"/>
    </xf>
    <xf numFmtId="176" fontId="0" fillId="0" borderId="74" xfId="0" applyNumberFormat="1" applyFont="1" applyBorder="1" applyAlignment="1">
      <alignment horizontal="center" vertical="center"/>
    </xf>
    <xf numFmtId="176" fontId="0" fillId="0" borderId="52" xfId="0" applyNumberFormat="1" applyFont="1" applyBorder="1" applyAlignment="1">
      <alignment horizontal="center" vertical="center"/>
    </xf>
    <xf numFmtId="176" fontId="0" fillId="0" borderId="84" xfId="0" applyNumberFormat="1" applyBorder="1" applyAlignment="1">
      <alignment horizontal="center" vertical="center"/>
    </xf>
    <xf numFmtId="176" fontId="0" fillId="0" borderId="85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80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83" xfId="0" applyNumberFormat="1" applyBorder="1" applyAlignment="1">
      <alignment horizontal="center" vertical="center"/>
    </xf>
    <xf numFmtId="176" fontId="0" fillId="0" borderId="185" xfId="0" applyNumberFormat="1" applyBorder="1" applyAlignment="1">
      <alignment horizontal="center" vertical="center"/>
    </xf>
    <xf numFmtId="176" fontId="0" fillId="0" borderId="128" xfId="0" applyNumberFormat="1" applyBorder="1" applyAlignment="1">
      <alignment horizontal="center" vertical="center"/>
    </xf>
    <xf numFmtId="176" fontId="0" fillId="0" borderId="84" xfId="0" applyNumberFormat="1" applyFont="1" applyBorder="1" applyAlignment="1">
      <alignment horizontal="center" vertical="center"/>
    </xf>
    <xf numFmtId="176" fontId="0" fillId="0" borderId="85" xfId="0" applyNumberFormat="1" applyFont="1" applyBorder="1" applyAlignment="1">
      <alignment horizontal="center" vertical="center"/>
    </xf>
    <xf numFmtId="176" fontId="0" fillId="0" borderId="123" xfId="0" applyNumberFormat="1" applyFont="1" applyBorder="1" applyAlignment="1">
      <alignment horizontal="center" vertical="center" shrinkToFit="1"/>
    </xf>
    <xf numFmtId="176" fontId="0" fillId="0" borderId="86" xfId="0" applyNumberFormat="1" applyFont="1" applyBorder="1" applyAlignment="1">
      <alignment horizontal="center" vertical="center" shrinkToFit="1"/>
    </xf>
    <xf numFmtId="176" fontId="0" fillId="0" borderId="60" xfId="0" applyNumberFormat="1" applyFont="1" applyBorder="1" applyAlignment="1">
      <alignment horizontal="center" vertical="center" textRotation="255" shrinkToFit="1"/>
    </xf>
    <xf numFmtId="176" fontId="0" fillId="0" borderId="58" xfId="0" applyNumberFormat="1" applyFont="1" applyBorder="1" applyAlignment="1">
      <alignment horizontal="center" vertical="center" textRotation="255" shrinkToFit="1"/>
    </xf>
    <xf numFmtId="176" fontId="0" fillId="0" borderId="81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80" xfId="0" applyNumberFormat="1" applyFont="1" applyBorder="1" applyAlignment="1">
      <alignment horizontal="center" vertical="center" shrinkToFit="1"/>
    </xf>
    <xf numFmtId="176" fontId="0" fillId="0" borderId="81" xfId="0" applyNumberFormat="1" applyFont="1" applyBorder="1" applyAlignment="1">
      <alignment horizontal="center" vertical="center" shrinkToFit="1"/>
    </xf>
    <xf numFmtId="176" fontId="0" fillId="0" borderId="73" xfId="0" applyNumberFormat="1" applyFont="1" applyBorder="1" applyAlignment="1">
      <alignment horizontal="center" vertical="center" shrinkToFit="1"/>
    </xf>
    <xf numFmtId="176" fontId="0" fillId="0" borderId="82" xfId="0" applyNumberFormat="1" applyFont="1" applyBorder="1" applyAlignment="1">
      <alignment horizontal="center" vertical="center" shrinkToFit="1"/>
    </xf>
    <xf numFmtId="177" fontId="0" fillId="0" borderId="162" xfId="0" applyNumberFormat="1" applyFill="1" applyBorder="1" applyAlignment="1">
      <alignment horizontal="left" vertical="center"/>
    </xf>
    <xf numFmtId="177" fontId="0" fillId="0" borderId="169" xfId="0" applyNumberFormat="1" applyFill="1" applyBorder="1" applyAlignment="1">
      <alignment horizontal="left" vertical="center"/>
    </xf>
    <xf numFmtId="177" fontId="0" fillId="0" borderId="170" xfId="0" applyNumberFormat="1" applyFill="1" applyBorder="1" applyAlignment="1">
      <alignment horizontal="left" vertical="center"/>
    </xf>
    <xf numFmtId="177" fontId="0" fillId="0" borderId="162" xfId="0" applyNumberFormat="1" applyFill="1" applyBorder="1" applyAlignment="1">
      <alignment horizontal="center" vertical="center" shrinkToFit="1"/>
    </xf>
    <xf numFmtId="177" fontId="0" fillId="0" borderId="169" xfId="0" applyNumberFormat="1" applyFill="1" applyBorder="1" applyAlignment="1">
      <alignment horizontal="center" vertical="center" shrinkToFit="1"/>
    </xf>
    <xf numFmtId="177" fontId="0" fillId="0" borderId="170" xfId="0" applyNumberFormat="1" applyFill="1" applyBorder="1" applyAlignment="1">
      <alignment horizontal="center" vertical="center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0" fontId="0" fillId="0" borderId="42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6" borderId="47" xfId="0" applyFill="1" applyBorder="1" applyAlignment="1">
      <alignment horizontal="left" vertical="center"/>
    </xf>
    <xf numFmtId="0" fontId="0" fillId="6" borderId="63" xfId="0" applyFont="1" applyFill="1" applyBorder="1" applyAlignment="1">
      <alignment horizontal="left" vertical="center"/>
    </xf>
    <xf numFmtId="177" fontId="0" fillId="2" borderId="138" xfId="0" applyNumberFormat="1" applyFill="1" applyBorder="1" applyAlignment="1">
      <alignment horizontal="center" vertical="center" shrinkToFit="1"/>
    </xf>
    <xf numFmtId="177" fontId="0" fillId="2" borderId="139" xfId="0" applyNumberFormat="1" applyFill="1" applyBorder="1" applyAlignment="1">
      <alignment horizontal="center" vertical="center" shrinkToFit="1"/>
    </xf>
    <xf numFmtId="177" fontId="0" fillId="0" borderId="141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42" xfId="0" applyNumberFormat="1" applyBorder="1" applyAlignment="1">
      <alignment horizontal="center" vertical="center" textRotation="255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99" xfId="0" applyNumberFormat="1" applyFill="1" applyBorder="1" applyAlignment="1">
      <alignment horizontal="center" vertical="center" textRotation="255" shrinkToFit="1"/>
    </xf>
    <xf numFmtId="0" fontId="0" fillId="0" borderId="137" xfId="0" applyFill="1" applyBorder="1" applyAlignment="1">
      <alignment horizontal="center" vertical="center" textRotation="255" wrapText="1"/>
    </xf>
    <xf numFmtId="0" fontId="0" fillId="0" borderId="44" xfId="0" applyFill="1" applyBorder="1" applyAlignment="1">
      <alignment horizontal="center" vertical="center" textRotation="255" wrapText="1"/>
    </xf>
    <xf numFmtId="0" fontId="0" fillId="0" borderId="78" xfId="0" applyFill="1" applyBorder="1" applyAlignment="1">
      <alignment horizontal="center" vertical="center" textRotation="255" wrapTex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11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9" xfId="0" applyNumberFormat="1" applyFont="1" applyFill="1" applyBorder="1" applyAlignment="1">
      <alignment horizontal="center" vertical="center" shrinkToFit="1"/>
    </xf>
    <xf numFmtId="177" fontId="0" fillId="0" borderId="89" xfId="0" applyNumberForma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0" fontId="0" fillId="0" borderId="76" xfId="0" applyFont="1" applyFill="1" applyBorder="1" applyAlignment="1">
      <alignment vertical="center"/>
    </xf>
    <xf numFmtId="177" fontId="0" fillId="0" borderId="129" xfId="0" applyNumberFormat="1" applyBorder="1" applyAlignment="1">
      <alignment horizontal="center" vertical="center" textRotation="255" shrinkToFit="1"/>
    </xf>
    <xf numFmtId="177" fontId="0" fillId="0" borderId="58" xfId="0" applyNumberFormat="1" applyBorder="1" applyAlignment="1">
      <alignment horizontal="center" vertical="center" textRotation="255" shrinkToFit="1"/>
    </xf>
    <xf numFmtId="177" fontId="0" fillId="0" borderId="33" xfId="0" applyNumberFormat="1" applyBorder="1" applyAlignment="1">
      <alignment horizontal="center" vertical="center" textRotation="255" shrinkToFit="1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7" xfId="0" applyNumberFormat="1" applyFont="1" applyBorder="1" applyAlignment="1">
      <alignment vertical="center"/>
    </xf>
    <xf numFmtId="177" fontId="0" fillId="0" borderId="135" xfId="0" applyNumberFormat="1" applyFont="1" applyBorder="1" applyAlignment="1">
      <alignment vertical="center"/>
    </xf>
    <xf numFmtId="177" fontId="0" fillId="0" borderId="149" xfId="0" applyNumberFormat="1" applyFont="1" applyBorder="1" applyAlignment="1">
      <alignment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11" xfId="0" applyNumberFormat="1" applyFont="1" applyFill="1" applyBorder="1" applyAlignment="1">
      <alignment horizontal="center" vertical="center" shrinkToFit="1"/>
    </xf>
    <xf numFmtId="177" fontId="0" fillId="0" borderId="89" xfId="0" applyNumberFormat="1" applyFont="1" applyFill="1" applyBorder="1" applyAlignment="1">
      <alignment vertical="center"/>
    </xf>
    <xf numFmtId="177" fontId="0" fillId="0" borderId="38" xfId="3" applyNumberFormat="1" applyFont="1" applyBorder="1" applyAlignment="1">
      <alignment horizontal="center" vertical="center" shrinkToFit="1"/>
    </xf>
    <xf numFmtId="177" fontId="0" fillId="0" borderId="154" xfId="3" applyNumberFormat="1" applyFont="1" applyBorder="1" applyAlignment="1">
      <alignment horizontal="center" vertical="center" textRotation="255" shrinkToFit="1"/>
    </xf>
    <xf numFmtId="177" fontId="0" fillId="0" borderId="99" xfId="3" applyNumberFormat="1" applyFont="1" applyBorder="1" applyAlignment="1">
      <alignment horizontal="center" vertical="center" textRotation="255" shrinkToFit="1"/>
    </xf>
    <xf numFmtId="177" fontId="0" fillId="0" borderId="151" xfId="3" applyNumberFormat="1" applyFont="1" applyBorder="1" applyAlignment="1">
      <alignment horizontal="center" vertical="center" textRotation="255" shrinkToFit="1"/>
    </xf>
    <xf numFmtId="176" fontId="0" fillId="0" borderId="157" xfId="3" applyNumberFormat="1" applyFont="1" applyFill="1" applyBorder="1" applyAlignment="1">
      <alignment vertical="center" shrinkToFit="1"/>
    </xf>
    <xf numFmtId="176" fontId="0" fillId="0" borderId="158" xfId="3" applyNumberFormat="1" applyFont="1" applyFill="1" applyBorder="1" applyAlignment="1">
      <alignment vertical="center" shrinkToFit="1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41" xfId="3" applyNumberFormat="1" applyFont="1" applyFill="1" applyBorder="1" applyAlignment="1">
      <alignment vertical="center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41" xfId="0" applyNumberFormat="1" applyFont="1" applyFill="1" applyBorder="1" applyAlignment="1">
      <alignment vertical="center"/>
    </xf>
    <xf numFmtId="176" fontId="0" fillId="2" borderId="42" xfId="0" applyNumberFormat="1" applyFont="1" applyFill="1" applyBorder="1" applyAlignment="1">
      <alignment vertical="center" shrinkToFit="1"/>
    </xf>
    <xf numFmtId="176" fontId="0" fillId="0" borderId="42" xfId="0" applyNumberFormat="1" applyFont="1" applyBorder="1" applyAlignment="1">
      <alignment vertical="center"/>
    </xf>
    <xf numFmtId="176" fontId="0" fillId="2" borderId="53" xfId="0" applyNumberFormat="1" applyFont="1" applyFill="1" applyBorder="1" applyAlignment="1">
      <alignment vertical="center" shrinkToFit="1"/>
    </xf>
    <xf numFmtId="176" fontId="0" fillId="0" borderId="53" xfId="0" applyNumberFormat="1" applyFont="1" applyBorder="1" applyAlignment="1">
      <alignment vertical="center"/>
    </xf>
    <xf numFmtId="176" fontId="0" fillId="0" borderId="15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52" xfId="3" applyNumberFormat="1" applyFont="1" applyBorder="1" applyAlignment="1">
      <alignment horizontal="center" vertical="center" textRotation="255" shrinkToFit="1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65" xfId="3" applyNumberFormat="1" applyFont="1" applyBorder="1" applyAlignment="1">
      <alignment horizontal="center" vertical="center" shrinkToFit="1"/>
    </xf>
    <xf numFmtId="177" fontId="0" fillId="2" borderId="84" xfId="0" applyNumberFormat="1" applyFont="1" applyFill="1" applyBorder="1" applyAlignment="1">
      <alignment horizontal="center" vertical="center" shrinkToFit="1"/>
    </xf>
    <xf numFmtId="177" fontId="0" fillId="2" borderId="85" xfId="0" applyNumberFormat="1" applyFont="1" applyFill="1" applyBorder="1" applyAlignment="1">
      <alignment horizontal="center" vertical="center" shrinkToFit="1"/>
    </xf>
    <xf numFmtId="0" fontId="0" fillId="0" borderId="106" xfId="0" applyFont="1" applyBorder="1">
      <alignment vertical="center"/>
    </xf>
    <xf numFmtId="0" fontId="0" fillId="0" borderId="160" xfId="0" applyFont="1" applyBorder="1">
      <alignment vertical="center"/>
    </xf>
    <xf numFmtId="176" fontId="0" fillId="2" borderId="127" xfId="0" applyNumberFormat="1" applyFont="1" applyFill="1" applyBorder="1" applyAlignment="1">
      <alignment horizontal="center" vertical="center" shrinkToFit="1"/>
    </xf>
    <xf numFmtId="176" fontId="0" fillId="2" borderId="85" xfId="0" applyNumberFormat="1" applyFont="1" applyFill="1" applyBorder="1" applyAlignment="1">
      <alignment horizontal="center" vertical="center" shrinkToFit="1"/>
    </xf>
    <xf numFmtId="176" fontId="0" fillId="0" borderId="129" xfId="0" applyNumberFormat="1" applyFont="1" applyBorder="1" applyAlignment="1">
      <alignment horizontal="center" vertical="center" textRotation="255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6" fontId="0" fillId="0" borderId="124" xfId="0" applyNumberFormat="1" applyFont="1" applyBorder="1" applyAlignment="1">
      <alignment horizontal="center" vertical="center" textRotation="255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52" xfId="0" applyNumberFormat="1" applyFont="1" applyBorder="1" applyAlignment="1">
      <alignment horizontal="center" vertical="center" shrinkToFit="1"/>
    </xf>
    <xf numFmtId="177" fontId="0" fillId="2" borderId="127" xfId="0" applyNumberFormat="1" applyFont="1" applyFill="1" applyBorder="1" applyAlignment="1">
      <alignment horizontal="center" vertical="center" shrinkToFit="1"/>
    </xf>
    <xf numFmtId="176" fontId="0" fillId="0" borderId="130" xfId="0" applyNumberFormat="1" applyFont="1" applyBorder="1" applyAlignment="1">
      <alignment horizontal="center" vertical="center" shrinkToFit="1"/>
    </xf>
    <xf numFmtId="176" fontId="0" fillId="0" borderId="133" xfId="0" applyNumberFormat="1" applyFont="1" applyBorder="1" applyAlignment="1">
      <alignment horizontal="center" vertical="center" shrinkToFit="1"/>
    </xf>
    <xf numFmtId="176" fontId="0" fillId="0" borderId="131" xfId="0" applyNumberFormat="1" applyFont="1" applyBorder="1" applyAlignment="1">
      <alignment horizontal="center" vertical="center" shrinkToFit="1"/>
    </xf>
    <xf numFmtId="176" fontId="0" fillId="0" borderId="134" xfId="0" applyNumberFormat="1" applyFont="1" applyBorder="1" applyAlignment="1">
      <alignment horizontal="center" vertical="center" shrinkToFit="1"/>
    </xf>
    <xf numFmtId="176" fontId="0" fillId="0" borderId="107" xfId="0" applyNumberFormat="1" applyFont="1" applyBorder="1" applyAlignment="1">
      <alignment horizontal="center" vertical="center" textRotation="255" shrinkToFit="1"/>
    </xf>
    <xf numFmtId="176" fontId="0" fillId="0" borderId="132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horizontal="center" vertical="center" shrinkToFit="1"/>
    </xf>
    <xf numFmtId="177" fontId="0" fillId="0" borderId="52" xfId="0" applyNumberFormat="1" applyFont="1" applyFill="1" applyBorder="1" applyAlignment="1">
      <alignment horizontal="center" vertical="center" shrinkToFit="1"/>
    </xf>
    <xf numFmtId="176" fontId="0" fillId="0" borderId="143" xfId="0" applyNumberFormat="1" applyFont="1" applyBorder="1" applyAlignment="1">
      <alignment horizontal="center" vertical="center" textRotation="255" shrinkToFit="1"/>
    </xf>
    <xf numFmtId="177" fontId="0" fillId="2" borderId="163" xfId="0" applyNumberFormat="1" applyFont="1" applyFill="1" applyBorder="1" applyAlignment="1">
      <alignment horizontal="center" vertical="center" shrinkToFit="1"/>
    </xf>
    <xf numFmtId="177" fontId="0" fillId="2" borderId="164" xfId="0" applyNumberFormat="1" applyFont="1" applyFill="1" applyBorder="1" applyAlignment="1">
      <alignment horizontal="center" vertical="center" shrinkToFit="1"/>
    </xf>
    <xf numFmtId="3" fontId="0" fillId="0" borderId="54" xfId="5" applyNumberFormat="1" applyFont="1" applyFill="1" applyBorder="1" applyAlignment="1">
      <alignment horizontal="center" vertical="center" shrinkToFit="1"/>
    </xf>
    <xf numFmtId="3" fontId="0" fillId="0" borderId="44" xfId="5" applyNumberFormat="1" applyFont="1" applyFill="1" applyBorder="1" applyAlignment="1">
      <alignment horizontal="center" vertical="center" shrinkToFit="1"/>
    </xf>
    <xf numFmtId="3" fontId="0" fillId="0" borderId="133" xfId="5" applyNumberFormat="1" applyFont="1" applyFill="1" applyBorder="1" applyAlignment="1">
      <alignment horizontal="center" vertical="center" shrinkToFit="1"/>
    </xf>
    <xf numFmtId="177" fontId="0" fillId="0" borderId="167" xfId="3" applyNumberFormat="1" applyFont="1" applyBorder="1" applyAlignment="1">
      <alignment horizontal="center" vertical="center" shrinkToFit="1"/>
    </xf>
    <xf numFmtId="177" fontId="0" fillId="0" borderId="106" xfId="3" applyNumberFormat="1" applyFont="1" applyBorder="1" applyAlignment="1">
      <alignment horizontal="center" vertical="center" shrinkToFit="1"/>
    </xf>
    <xf numFmtId="177" fontId="0" fillId="0" borderId="168" xfId="3" applyNumberFormat="1" applyFont="1" applyBorder="1" applyAlignment="1">
      <alignment horizontal="center" vertical="center" shrinkToFit="1"/>
    </xf>
    <xf numFmtId="177" fontId="0" fillId="0" borderId="151" xfId="3" applyNumberFormat="1" applyFont="1" applyBorder="1" applyAlignment="1">
      <alignment horizontal="center" vertical="center" shrinkToFit="1"/>
    </xf>
    <xf numFmtId="177" fontId="0" fillId="0" borderId="160" xfId="3" applyNumberFormat="1" applyFont="1" applyBorder="1" applyAlignment="1">
      <alignment horizontal="center" vertical="center" shrinkToFit="1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FFCCFF"/>
      <color rgb="FFFF66FF"/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159544</xdr:colOff>
      <xdr:row>20</xdr:row>
      <xdr:rowOff>26194</xdr:rowOff>
    </xdr:from>
    <xdr:to>
      <xdr:col>7</xdr:col>
      <xdr:colOff>107157</xdr:colOff>
      <xdr:row>21</xdr:row>
      <xdr:rowOff>92869</xdr:rowOff>
    </xdr:to>
    <xdr:grpSp>
      <xdr:nvGrpSpPr>
        <xdr:cNvPr id="3" name="グループ化 2"/>
        <xdr:cNvGrpSpPr/>
      </xdr:nvGrpSpPr>
      <xdr:grpSpPr>
        <a:xfrm>
          <a:off x="3512344" y="5169694"/>
          <a:ext cx="214313" cy="320675"/>
          <a:chOff x="13649325" y="3800475"/>
          <a:chExt cx="247651" cy="352425"/>
        </a:xfrm>
      </xdr:grpSpPr>
      <xdr:sp macro="" textlink="">
        <xdr:nvSpPr>
          <xdr:cNvPr id="4" name="フローチャート : 論理積ゲート 3"/>
          <xdr:cNvSpPr/>
        </xdr:nvSpPr>
        <xdr:spPr>
          <a:xfrm rot="16200000">
            <a:off x="13694569" y="3850479"/>
            <a:ext cx="157161" cy="152401"/>
          </a:xfrm>
          <a:prstGeom prst="flowChartDelay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円弧 4"/>
          <xdr:cNvSpPr/>
        </xdr:nvSpPr>
        <xdr:spPr>
          <a:xfrm>
            <a:off x="13649325" y="3800475"/>
            <a:ext cx="247651" cy="352425"/>
          </a:xfrm>
          <a:prstGeom prst="arc">
            <a:avLst>
              <a:gd name="adj1" fmla="val 12418478"/>
              <a:gd name="adj2" fmla="val 19823098"/>
            </a:avLst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38100</xdr:colOff>
      <xdr:row>20</xdr:row>
      <xdr:rowOff>47622</xdr:rowOff>
    </xdr:from>
    <xdr:to>
      <xdr:col>12</xdr:col>
      <xdr:colOff>223837</xdr:colOff>
      <xdr:row>20</xdr:row>
      <xdr:rowOff>209704</xdr:rowOff>
    </xdr:to>
    <xdr:grpSp>
      <xdr:nvGrpSpPr>
        <xdr:cNvPr id="6" name="グループ化 5"/>
        <xdr:cNvGrpSpPr/>
      </xdr:nvGrpSpPr>
      <xdr:grpSpPr>
        <a:xfrm>
          <a:off x="5029200" y="5191122"/>
          <a:ext cx="185737" cy="162082"/>
          <a:chOff x="13677900" y="2676524"/>
          <a:chExt cx="190500" cy="162082"/>
        </a:xfrm>
      </xdr:grpSpPr>
      <xdr:sp macro="" textlink="">
        <xdr:nvSpPr>
          <xdr:cNvPr id="7" name="フローチャート : 論理積ゲート 6"/>
          <xdr:cNvSpPr/>
        </xdr:nvSpPr>
        <xdr:spPr>
          <a:xfrm rot="16200000">
            <a:off x="13711239" y="2681286"/>
            <a:ext cx="161924" cy="152399"/>
          </a:xfrm>
          <a:prstGeom prst="flowChartDelay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フリーフォーム 7"/>
          <xdr:cNvSpPr/>
        </xdr:nvSpPr>
        <xdr:spPr>
          <a:xfrm>
            <a:off x="13677900" y="2695575"/>
            <a:ext cx="45719" cy="143031"/>
          </a:xfrm>
          <a:custGeom>
            <a:avLst/>
            <a:gdLst>
              <a:gd name="connsiteX0" fmla="*/ 95250 w 95250"/>
              <a:gd name="connsiteY0" fmla="*/ 0 h 171606"/>
              <a:gd name="connsiteX1" fmla="*/ 47625 w 95250"/>
              <a:gd name="connsiteY1" fmla="*/ 38100 h 171606"/>
              <a:gd name="connsiteX2" fmla="*/ 0 w 95250"/>
              <a:gd name="connsiteY2" fmla="*/ 161925 h 171606"/>
              <a:gd name="connsiteX3" fmla="*/ 28575 w 95250"/>
              <a:gd name="connsiteY3" fmla="*/ 142875 h 1716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5250" h="171606">
                <a:moveTo>
                  <a:pt x="95250" y="0"/>
                </a:moveTo>
                <a:cubicBezTo>
                  <a:pt x="79375" y="12700"/>
                  <a:pt x="54054" y="18813"/>
                  <a:pt x="47625" y="38100"/>
                </a:cubicBezTo>
                <a:cubicBezTo>
                  <a:pt x="1772" y="175659"/>
                  <a:pt x="91730" y="184858"/>
                  <a:pt x="0" y="161925"/>
                </a:cubicBezTo>
                <a:cubicBezTo>
                  <a:pt x="11770" y="126615"/>
                  <a:pt x="545" y="128860"/>
                  <a:pt x="28575" y="142875"/>
                </a:cubicBez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59532</xdr:colOff>
      <xdr:row>12</xdr:row>
      <xdr:rowOff>154782</xdr:rowOff>
    </xdr:from>
    <xdr:to>
      <xdr:col>16</xdr:col>
      <xdr:colOff>214314</xdr:colOff>
      <xdr:row>13</xdr:row>
      <xdr:rowOff>71439</xdr:rowOff>
    </xdr:to>
    <xdr:sp macro="" textlink="">
      <xdr:nvSpPr>
        <xdr:cNvPr id="10" name="円/楕円 9"/>
        <xdr:cNvSpPr/>
      </xdr:nvSpPr>
      <xdr:spPr>
        <a:xfrm>
          <a:off x="6072188" y="3202782"/>
          <a:ext cx="154782" cy="16668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104776</xdr:colOff>
      <xdr:row>12</xdr:row>
      <xdr:rowOff>164307</xdr:rowOff>
    </xdr:from>
    <xdr:to>
      <xdr:col>18</xdr:col>
      <xdr:colOff>223839</xdr:colOff>
      <xdr:row>13</xdr:row>
      <xdr:rowOff>69056</xdr:rowOff>
    </xdr:to>
    <xdr:grpSp>
      <xdr:nvGrpSpPr>
        <xdr:cNvPr id="16" name="グループ化 15"/>
        <xdr:cNvGrpSpPr/>
      </xdr:nvGrpSpPr>
      <xdr:grpSpPr>
        <a:xfrm>
          <a:off x="6696076" y="3275807"/>
          <a:ext cx="119063" cy="158749"/>
          <a:chOff x="11227592" y="1273969"/>
          <a:chExt cx="1071564" cy="976311"/>
        </a:xfrm>
      </xdr:grpSpPr>
      <xdr:grpSp>
        <xdr:nvGrpSpPr>
          <xdr:cNvPr id="17" name="グループ化 16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19" name="直線コネクタ 18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  <xdr:cxnSp macro="">
          <xdr:nvCxnSpPr>
            <xdr:cNvPr id="20" name="直線コネクタ 19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</xdr:grpSp>
      <xdr:cxnSp macro="">
        <xdr:nvCxnSpPr>
          <xdr:cNvPr id="18" name="直線コネクタ 17"/>
          <xdr:cNvCxnSpPr/>
        </xdr:nvCxnSpPr>
        <xdr:spPr>
          <a:xfrm flipV="1">
            <a:off x="11239500" y="1774031"/>
            <a:ext cx="1059656" cy="11907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26</xdr:col>
      <xdr:colOff>11907</xdr:colOff>
      <xdr:row>12</xdr:row>
      <xdr:rowOff>154780</xdr:rowOff>
    </xdr:from>
    <xdr:to>
      <xdr:col>28</xdr:col>
      <xdr:colOff>238126</xdr:colOff>
      <xdr:row>13</xdr:row>
      <xdr:rowOff>83342</xdr:rowOff>
    </xdr:to>
    <xdr:sp macro="" textlink="">
      <xdr:nvSpPr>
        <xdr:cNvPr id="21" name="正方形/長方形 20"/>
        <xdr:cNvSpPr/>
      </xdr:nvSpPr>
      <xdr:spPr>
        <a:xfrm flipV="1">
          <a:off x="8643938" y="3202780"/>
          <a:ext cx="750094" cy="178593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219077</xdr:colOff>
      <xdr:row>12</xdr:row>
      <xdr:rowOff>241699</xdr:rowOff>
    </xdr:from>
    <xdr:to>
      <xdr:col>18</xdr:col>
      <xdr:colOff>61913</xdr:colOff>
      <xdr:row>12</xdr:row>
      <xdr:rowOff>242888</xdr:rowOff>
    </xdr:to>
    <xdr:cxnSp macro="">
      <xdr:nvCxnSpPr>
        <xdr:cNvPr id="22" name="直線コネクタ 21"/>
        <xdr:cNvCxnSpPr/>
      </xdr:nvCxnSpPr>
      <xdr:spPr>
        <a:xfrm flipH="1" flipV="1">
          <a:off x="6257927" y="3289699"/>
          <a:ext cx="376236" cy="118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4766</xdr:colOff>
      <xdr:row>12</xdr:row>
      <xdr:rowOff>247648</xdr:rowOff>
    </xdr:from>
    <xdr:to>
      <xdr:col>26</xdr:col>
      <xdr:colOff>4766</xdr:colOff>
      <xdr:row>12</xdr:row>
      <xdr:rowOff>247648</xdr:rowOff>
    </xdr:to>
    <xdr:cxnSp macro="">
      <xdr:nvCxnSpPr>
        <xdr:cNvPr id="26" name="直線コネクタ 25"/>
        <xdr:cNvCxnSpPr/>
      </xdr:nvCxnSpPr>
      <xdr:spPr>
        <a:xfrm>
          <a:off x="6843716" y="3295648"/>
          <a:ext cx="18669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119062</xdr:colOff>
      <xdr:row>6</xdr:row>
      <xdr:rowOff>47626</xdr:rowOff>
    </xdr:from>
    <xdr:to>
      <xdr:col>13</xdr:col>
      <xdr:colOff>273844</xdr:colOff>
      <xdr:row>6</xdr:row>
      <xdr:rowOff>214314</xdr:rowOff>
    </xdr:to>
    <xdr:sp macro="" textlink="">
      <xdr:nvSpPr>
        <xdr:cNvPr id="4" name="円/楕円 3"/>
        <xdr:cNvSpPr/>
      </xdr:nvSpPr>
      <xdr:spPr>
        <a:xfrm>
          <a:off x="6643687" y="1535907"/>
          <a:ext cx="154782" cy="16668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166688</xdr:colOff>
      <xdr:row>6</xdr:row>
      <xdr:rowOff>47625</xdr:rowOff>
    </xdr:from>
    <xdr:to>
      <xdr:col>14</xdr:col>
      <xdr:colOff>321470</xdr:colOff>
      <xdr:row>6</xdr:row>
      <xdr:rowOff>214313</xdr:rowOff>
    </xdr:to>
    <xdr:sp macro="" textlink="">
      <xdr:nvSpPr>
        <xdr:cNvPr id="6" name="円/楕円 5"/>
        <xdr:cNvSpPr/>
      </xdr:nvSpPr>
      <xdr:spPr>
        <a:xfrm>
          <a:off x="7155657" y="1535906"/>
          <a:ext cx="154782" cy="16668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250032</xdr:colOff>
      <xdr:row>6</xdr:row>
      <xdr:rowOff>35719</xdr:rowOff>
    </xdr:from>
    <xdr:to>
      <xdr:col>15</xdr:col>
      <xdr:colOff>369095</xdr:colOff>
      <xdr:row>6</xdr:row>
      <xdr:rowOff>190499</xdr:rowOff>
    </xdr:to>
    <xdr:grpSp>
      <xdr:nvGrpSpPr>
        <xdr:cNvPr id="12" name="グループ化 11"/>
        <xdr:cNvGrpSpPr/>
      </xdr:nvGrpSpPr>
      <xdr:grpSpPr>
        <a:xfrm>
          <a:off x="7703345" y="1524000"/>
          <a:ext cx="119063" cy="154780"/>
          <a:chOff x="11227592" y="1273969"/>
          <a:chExt cx="1071564" cy="976311"/>
        </a:xfrm>
      </xdr:grpSpPr>
      <xdr:grpSp>
        <xdr:nvGrpSpPr>
          <xdr:cNvPr id="13" name="グループ化 12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15" name="直線コネクタ 14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  <xdr:cxnSp macro="">
          <xdr:nvCxnSpPr>
            <xdr:cNvPr id="16" name="直線コネクタ 15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</xdr:grpSp>
      <xdr:cxnSp macro="">
        <xdr:nvCxnSpPr>
          <xdr:cNvPr id="14" name="直線コネクタ 13"/>
          <xdr:cNvCxnSpPr/>
        </xdr:nvCxnSpPr>
        <xdr:spPr>
          <a:xfrm flipV="1">
            <a:off x="11239500" y="1774031"/>
            <a:ext cx="1059656" cy="11907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23</xdr:col>
      <xdr:colOff>23811</xdr:colOff>
      <xdr:row>6</xdr:row>
      <xdr:rowOff>47625</xdr:rowOff>
    </xdr:from>
    <xdr:to>
      <xdr:col>25</xdr:col>
      <xdr:colOff>452438</xdr:colOff>
      <xdr:row>6</xdr:row>
      <xdr:rowOff>214312</xdr:rowOff>
    </xdr:to>
    <xdr:sp macro="" textlink="">
      <xdr:nvSpPr>
        <xdr:cNvPr id="17" name="正方形/長方形 16"/>
        <xdr:cNvSpPr/>
      </xdr:nvSpPr>
      <xdr:spPr>
        <a:xfrm flipV="1">
          <a:off x="11191874" y="1535906"/>
          <a:ext cx="1357314" cy="166687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404812</xdr:colOff>
      <xdr:row>6</xdr:row>
      <xdr:rowOff>130968</xdr:rowOff>
    </xdr:from>
    <xdr:to>
      <xdr:col>23</xdr:col>
      <xdr:colOff>23811</xdr:colOff>
      <xdr:row>6</xdr:row>
      <xdr:rowOff>130969</xdr:rowOff>
    </xdr:to>
    <xdr:cxnSp macro="">
      <xdr:nvCxnSpPr>
        <xdr:cNvPr id="18" name="直線コネクタ 17"/>
        <xdr:cNvCxnSpPr>
          <a:endCxn id="17" idx="1"/>
        </xdr:cNvCxnSpPr>
      </xdr:nvCxnSpPr>
      <xdr:spPr>
        <a:xfrm flipV="1">
          <a:off x="7858125" y="1619249"/>
          <a:ext cx="3333749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321470</xdr:colOff>
      <xdr:row>6</xdr:row>
      <xdr:rowOff>130969</xdr:rowOff>
    </xdr:from>
    <xdr:to>
      <xdr:col>15</xdr:col>
      <xdr:colOff>309562</xdr:colOff>
      <xdr:row>6</xdr:row>
      <xdr:rowOff>130969</xdr:rowOff>
    </xdr:to>
    <xdr:cxnSp macro="">
      <xdr:nvCxnSpPr>
        <xdr:cNvPr id="23" name="直線コネクタ 22"/>
        <xdr:cNvCxnSpPr>
          <a:stCxn id="6" idx="6"/>
        </xdr:cNvCxnSpPr>
      </xdr:nvCxnSpPr>
      <xdr:spPr>
        <a:xfrm>
          <a:off x="7310439" y="1619250"/>
          <a:ext cx="45243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273844</xdr:colOff>
      <xdr:row>6</xdr:row>
      <xdr:rowOff>130969</xdr:rowOff>
    </xdr:from>
    <xdr:to>
      <xdr:col>14</xdr:col>
      <xdr:colOff>166688</xdr:colOff>
      <xdr:row>6</xdr:row>
      <xdr:rowOff>130970</xdr:rowOff>
    </xdr:to>
    <xdr:cxnSp macro="">
      <xdr:nvCxnSpPr>
        <xdr:cNvPr id="25" name="直線コネクタ 24"/>
        <xdr:cNvCxnSpPr>
          <a:stCxn id="4" idx="6"/>
          <a:endCxn id="6" idx="2"/>
        </xdr:cNvCxnSpPr>
      </xdr:nvCxnSpPr>
      <xdr:spPr>
        <a:xfrm flipV="1">
          <a:off x="6798469" y="1619250"/>
          <a:ext cx="35718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tabSelected="1" zoomScale="75" zoomScaleNormal="75" zoomScaleSheetLayoutView="75" workbookViewId="0"/>
  </sheetViews>
  <sheetFormatPr defaultRowHeight="13.5" x14ac:dyDescent="0.15"/>
  <cols>
    <col min="1" max="1" width="1.625" style="71" customWidth="1"/>
    <col min="2" max="3" width="7.625" style="71" customWidth="1"/>
    <col min="4" max="6" width="9" style="71"/>
    <col min="7" max="7" width="3.5" style="71" customWidth="1"/>
    <col min="8" max="8" width="3.625" style="71" customWidth="1"/>
    <col min="9" max="9" width="3.75" style="71" customWidth="1"/>
    <col min="10" max="42" width="3.5" style="71" customWidth="1"/>
    <col min="43" max="43" width="1.375" style="71" customWidth="1"/>
    <col min="44" max="16384" width="9" style="71"/>
  </cols>
  <sheetData>
    <row r="1" spans="1:42" ht="9.9499999999999993" customHeight="1" thickBot="1" x14ac:dyDescent="0.2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42" ht="39.950000000000003" customHeight="1" thickBot="1" x14ac:dyDescent="0.2">
      <c r="A2" s="82"/>
      <c r="B2" s="272" t="s">
        <v>70</v>
      </c>
      <c r="C2" s="546" t="s">
        <v>369</v>
      </c>
      <c r="D2" s="547"/>
      <c r="E2" s="273" t="s">
        <v>55</v>
      </c>
      <c r="F2" s="546" t="s">
        <v>298</v>
      </c>
      <c r="G2" s="548"/>
      <c r="H2" s="548"/>
      <c r="I2" s="548"/>
      <c r="J2" s="548"/>
      <c r="K2" s="548"/>
      <c r="L2" s="548"/>
      <c r="M2" s="548"/>
      <c r="N2" s="547"/>
      <c r="O2" s="552" t="s">
        <v>56</v>
      </c>
      <c r="P2" s="553"/>
      <c r="Q2" s="554"/>
      <c r="R2" s="555" t="s">
        <v>370</v>
      </c>
      <c r="S2" s="555"/>
      <c r="T2" s="555"/>
      <c r="U2" s="555"/>
      <c r="V2" s="556" t="s">
        <v>57</v>
      </c>
      <c r="W2" s="557"/>
      <c r="X2" s="557"/>
      <c r="Y2" s="549" t="s">
        <v>389</v>
      </c>
      <c r="Z2" s="550"/>
      <c r="AA2" s="551"/>
      <c r="AB2" s="83"/>
      <c r="AC2" s="83"/>
      <c r="AD2" s="83"/>
    </row>
    <row r="3" spans="1:42" ht="9.9499999999999993" customHeight="1" x14ac:dyDescent="0.15">
      <c r="B3" s="84"/>
    </row>
    <row r="4" spans="1:42" ht="24.95" customHeight="1" thickBot="1" x14ac:dyDescent="0.2">
      <c r="B4" s="71" t="s">
        <v>92</v>
      </c>
    </row>
    <row r="5" spans="1:42" ht="20.100000000000001" customHeight="1" x14ac:dyDescent="0.15">
      <c r="B5" s="450" t="s">
        <v>93</v>
      </c>
      <c r="C5" s="451"/>
      <c r="D5" s="452" t="s">
        <v>308</v>
      </c>
      <c r="E5" s="453"/>
      <c r="F5" s="453"/>
      <c r="G5" s="454"/>
      <c r="H5" s="455" t="s">
        <v>58</v>
      </c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6"/>
      <c r="U5" s="456"/>
      <c r="V5" s="456"/>
      <c r="W5" s="456"/>
      <c r="X5" s="456"/>
      <c r="Y5" s="456"/>
      <c r="Z5" s="456"/>
      <c r="AA5" s="457"/>
      <c r="AD5" s="83"/>
      <c r="AE5" s="83"/>
      <c r="AF5" s="83"/>
      <c r="AG5" s="83"/>
      <c r="AH5" s="83"/>
      <c r="AI5" s="83"/>
      <c r="AJ5" s="83"/>
      <c r="AK5" s="83"/>
      <c r="AL5" s="83"/>
    </row>
    <row r="6" spans="1:42" ht="20.100000000000001" customHeight="1" x14ac:dyDescent="0.15">
      <c r="B6" s="463" t="s">
        <v>59</v>
      </c>
      <c r="C6" s="464"/>
      <c r="D6" s="464"/>
      <c r="E6" s="464"/>
      <c r="F6" s="464"/>
      <c r="G6" s="465"/>
      <c r="H6" s="465" t="s">
        <v>60</v>
      </c>
      <c r="I6" s="448"/>
      <c r="J6" s="448"/>
      <c r="K6" s="448"/>
      <c r="L6" s="448"/>
      <c r="M6" s="448"/>
      <c r="N6" s="465" t="s">
        <v>61</v>
      </c>
      <c r="O6" s="448"/>
      <c r="P6" s="448"/>
      <c r="Q6" s="465" t="s">
        <v>62</v>
      </c>
      <c r="R6" s="448"/>
      <c r="S6" s="448"/>
      <c r="T6" s="448"/>
      <c r="U6" s="448"/>
      <c r="V6" s="448"/>
      <c r="W6" s="448"/>
      <c r="X6" s="470"/>
      <c r="Y6" s="448" t="s">
        <v>63</v>
      </c>
      <c r="Z6" s="448"/>
      <c r="AA6" s="449"/>
    </row>
    <row r="7" spans="1:42" ht="20.100000000000001" customHeight="1" x14ac:dyDescent="0.15">
      <c r="B7" s="466" t="s">
        <v>64</v>
      </c>
      <c r="C7" s="467"/>
      <c r="D7" s="468" t="s">
        <v>318</v>
      </c>
      <c r="E7" s="469"/>
      <c r="F7" s="469"/>
      <c r="G7" s="469"/>
      <c r="H7" s="465" t="s">
        <v>298</v>
      </c>
      <c r="I7" s="448"/>
      <c r="J7" s="448"/>
      <c r="K7" s="448"/>
      <c r="L7" s="448"/>
      <c r="M7" s="470"/>
      <c r="N7" s="471" t="s">
        <v>316</v>
      </c>
      <c r="O7" s="472"/>
      <c r="P7" s="473"/>
      <c r="Q7" s="458"/>
      <c r="R7" s="459"/>
      <c r="S7" s="459"/>
      <c r="T7" s="459"/>
      <c r="U7" s="459"/>
      <c r="V7" s="459"/>
      <c r="W7" s="459"/>
      <c r="X7" s="460"/>
      <c r="Y7" s="461"/>
      <c r="Z7" s="461"/>
      <c r="AA7" s="462"/>
    </row>
    <row r="8" spans="1:42" ht="20.100000000000001" customHeight="1" x14ac:dyDescent="0.15">
      <c r="B8" s="463" t="s">
        <v>65</v>
      </c>
      <c r="C8" s="464"/>
      <c r="D8" s="474"/>
      <c r="E8" s="474"/>
      <c r="F8" s="474"/>
      <c r="G8" s="475"/>
      <c r="H8" s="465"/>
      <c r="I8" s="448"/>
      <c r="J8" s="448"/>
      <c r="K8" s="448"/>
      <c r="L8" s="448"/>
      <c r="M8" s="470"/>
      <c r="N8" s="465"/>
      <c r="O8" s="448"/>
      <c r="P8" s="470"/>
      <c r="Q8" s="476"/>
      <c r="R8" s="477"/>
      <c r="S8" s="477"/>
      <c r="T8" s="477"/>
      <c r="U8" s="477"/>
      <c r="V8" s="477"/>
      <c r="W8" s="477"/>
      <c r="X8" s="478"/>
      <c r="Y8" s="465"/>
      <c r="Z8" s="448"/>
      <c r="AA8" s="449"/>
    </row>
    <row r="9" spans="1:42" ht="20.100000000000001" customHeight="1" x14ac:dyDescent="0.15">
      <c r="B9" s="463" t="s">
        <v>66</v>
      </c>
      <c r="C9" s="464"/>
      <c r="D9" s="474"/>
      <c r="E9" s="474"/>
      <c r="F9" s="474"/>
      <c r="G9" s="475"/>
      <c r="H9" s="465"/>
      <c r="I9" s="448"/>
      <c r="J9" s="448"/>
      <c r="K9" s="448"/>
      <c r="L9" s="448"/>
      <c r="M9" s="470"/>
      <c r="N9" s="465"/>
      <c r="O9" s="448"/>
      <c r="P9" s="470"/>
      <c r="Q9" s="476"/>
      <c r="R9" s="477"/>
      <c r="S9" s="477"/>
      <c r="T9" s="477"/>
      <c r="U9" s="477"/>
      <c r="V9" s="477"/>
      <c r="W9" s="477"/>
      <c r="X9" s="478"/>
      <c r="Y9" s="465"/>
      <c r="Z9" s="448"/>
      <c r="AA9" s="449"/>
    </row>
    <row r="10" spans="1:42" ht="20.100000000000001" customHeight="1" x14ac:dyDescent="0.15">
      <c r="B10" s="463" t="s">
        <v>67</v>
      </c>
      <c r="C10" s="464"/>
      <c r="D10" s="474"/>
      <c r="E10" s="474"/>
      <c r="F10" s="474"/>
      <c r="G10" s="475"/>
      <c r="H10" s="479"/>
      <c r="I10" s="480"/>
      <c r="J10" s="480"/>
      <c r="K10" s="480"/>
      <c r="L10" s="480"/>
      <c r="M10" s="480"/>
      <c r="N10" s="465"/>
      <c r="O10" s="448"/>
      <c r="P10" s="470"/>
      <c r="Q10" s="476"/>
      <c r="R10" s="477"/>
      <c r="S10" s="477"/>
      <c r="T10" s="477"/>
      <c r="U10" s="477"/>
      <c r="V10" s="477"/>
      <c r="W10" s="477"/>
      <c r="X10" s="478"/>
      <c r="Y10" s="448"/>
      <c r="Z10" s="448"/>
      <c r="AA10" s="449"/>
    </row>
    <row r="11" spans="1:42" ht="20.100000000000001" customHeight="1" thickBot="1" x14ac:dyDescent="0.2">
      <c r="B11" s="484" t="s">
        <v>68</v>
      </c>
      <c r="C11" s="467"/>
      <c r="D11" s="485" t="s">
        <v>373</v>
      </c>
      <c r="E11" s="486"/>
      <c r="F11" s="486"/>
      <c r="G11" s="487"/>
      <c r="H11" s="488"/>
      <c r="I11" s="489"/>
      <c r="J11" s="489"/>
      <c r="K11" s="489"/>
      <c r="L11" s="489"/>
      <c r="M11" s="489"/>
      <c r="N11" s="503"/>
      <c r="O11" s="500"/>
      <c r="P11" s="500"/>
      <c r="Q11" s="497"/>
      <c r="R11" s="498"/>
      <c r="S11" s="498"/>
      <c r="T11" s="498"/>
      <c r="U11" s="498"/>
      <c r="V11" s="498"/>
      <c r="W11" s="498"/>
      <c r="X11" s="499"/>
      <c r="Y11" s="500"/>
      <c r="Z11" s="500"/>
      <c r="AA11" s="501"/>
    </row>
    <row r="12" spans="1:42" ht="20.100000000000001" customHeight="1" x14ac:dyDescent="0.15">
      <c r="B12" s="490" t="s">
        <v>90</v>
      </c>
      <c r="C12" s="481" t="s">
        <v>94</v>
      </c>
      <c r="D12" s="451"/>
      <c r="E12" s="482"/>
      <c r="F12" s="72" t="s">
        <v>91</v>
      </c>
      <c r="G12" s="481">
        <v>1</v>
      </c>
      <c r="H12" s="451"/>
      <c r="I12" s="451"/>
      <c r="J12" s="481">
        <v>2</v>
      </c>
      <c r="K12" s="451"/>
      <c r="L12" s="482"/>
      <c r="M12" s="451">
        <v>3</v>
      </c>
      <c r="N12" s="451"/>
      <c r="O12" s="483"/>
      <c r="P12" s="481">
        <v>4</v>
      </c>
      <c r="Q12" s="451"/>
      <c r="R12" s="482"/>
      <c r="S12" s="502">
        <v>5</v>
      </c>
      <c r="T12" s="451"/>
      <c r="U12" s="483"/>
      <c r="V12" s="481">
        <v>6</v>
      </c>
      <c r="W12" s="451"/>
      <c r="X12" s="482"/>
      <c r="Y12" s="502">
        <v>7</v>
      </c>
      <c r="Z12" s="451"/>
      <c r="AA12" s="483"/>
      <c r="AB12" s="481">
        <v>8</v>
      </c>
      <c r="AC12" s="451"/>
      <c r="AD12" s="482"/>
      <c r="AE12" s="502">
        <v>9</v>
      </c>
      <c r="AF12" s="451"/>
      <c r="AG12" s="483"/>
      <c r="AH12" s="481">
        <v>10</v>
      </c>
      <c r="AI12" s="451"/>
      <c r="AJ12" s="482"/>
      <c r="AK12" s="481">
        <v>11</v>
      </c>
      <c r="AL12" s="451"/>
      <c r="AM12" s="482"/>
      <c r="AN12" s="451">
        <v>12</v>
      </c>
      <c r="AO12" s="451"/>
      <c r="AP12" s="504"/>
    </row>
    <row r="13" spans="1:42" ht="20.100000000000001" customHeight="1" x14ac:dyDescent="0.15">
      <c r="B13" s="491"/>
      <c r="C13" s="471" t="s">
        <v>298</v>
      </c>
      <c r="D13" s="472"/>
      <c r="E13" s="473"/>
      <c r="F13" s="508" t="s">
        <v>317</v>
      </c>
      <c r="G13" s="402"/>
      <c r="H13" s="403"/>
      <c r="I13" s="403"/>
      <c r="J13" s="402"/>
      <c r="K13" s="403"/>
      <c r="L13" s="85"/>
      <c r="M13" s="403"/>
      <c r="N13" s="403"/>
      <c r="O13" s="86"/>
      <c r="P13" s="374"/>
      <c r="Q13" s="390"/>
      <c r="R13" s="85"/>
      <c r="S13" s="370"/>
      <c r="T13" s="403"/>
      <c r="U13" s="86"/>
      <c r="V13" s="402"/>
      <c r="W13" s="403"/>
      <c r="X13" s="85"/>
      <c r="Y13" s="87"/>
      <c r="Z13" s="403"/>
      <c r="AA13" s="405"/>
      <c r="AB13" s="406"/>
      <c r="AC13" s="407"/>
      <c r="AD13" s="389"/>
      <c r="AE13" s="402"/>
      <c r="AF13" s="403"/>
      <c r="AG13" s="85"/>
      <c r="AH13" s="402"/>
      <c r="AI13" s="403"/>
      <c r="AJ13" s="85"/>
      <c r="AK13" s="402"/>
      <c r="AL13" s="403"/>
      <c r="AM13" s="85"/>
      <c r="AN13" s="403"/>
      <c r="AO13" s="403"/>
      <c r="AP13" s="404"/>
    </row>
    <row r="14" spans="1:42" ht="20.100000000000001" customHeight="1" x14ac:dyDescent="0.15">
      <c r="B14" s="491"/>
      <c r="C14" s="505"/>
      <c r="D14" s="506"/>
      <c r="E14" s="507"/>
      <c r="F14" s="509"/>
      <c r="G14" s="408"/>
      <c r="H14" s="409"/>
      <c r="I14" s="409"/>
      <c r="J14" s="408"/>
      <c r="K14" s="409"/>
      <c r="L14" s="100"/>
      <c r="M14" s="409"/>
      <c r="N14" s="409"/>
      <c r="O14" s="410"/>
      <c r="P14" s="408"/>
      <c r="Q14" s="409"/>
      <c r="R14" s="100"/>
      <c r="S14" s="411"/>
      <c r="T14" s="409"/>
      <c r="U14" s="410"/>
      <c r="V14" s="408"/>
      <c r="W14" s="409"/>
      <c r="X14" s="100"/>
      <c r="Y14" s="411"/>
      <c r="Z14" s="409"/>
      <c r="AA14" s="410"/>
      <c r="AB14" s="408"/>
      <c r="AC14" s="409"/>
      <c r="AD14" s="100"/>
      <c r="AE14" s="408"/>
      <c r="AF14" s="409"/>
      <c r="AG14" s="100"/>
      <c r="AH14" s="408"/>
      <c r="AI14" s="409"/>
      <c r="AJ14" s="100"/>
      <c r="AK14" s="408"/>
      <c r="AL14" s="409"/>
      <c r="AM14" s="100"/>
      <c r="AN14" s="409"/>
      <c r="AO14" s="409"/>
      <c r="AP14" s="412"/>
    </row>
    <row r="15" spans="1:42" ht="20.100000000000001" customHeight="1" x14ac:dyDescent="0.15">
      <c r="B15" s="491"/>
      <c r="C15" s="493"/>
      <c r="D15" s="494"/>
      <c r="E15" s="494"/>
      <c r="F15" s="79"/>
      <c r="G15" s="88"/>
      <c r="H15" s="89"/>
      <c r="I15" s="89"/>
      <c r="J15" s="88"/>
      <c r="K15" s="89"/>
      <c r="L15" s="90"/>
      <c r="M15" s="89"/>
      <c r="N15" s="89"/>
      <c r="O15" s="91"/>
      <c r="P15" s="88"/>
      <c r="Q15" s="89"/>
      <c r="R15" s="90"/>
      <c r="S15" s="92"/>
      <c r="T15" s="89"/>
      <c r="U15" s="91"/>
      <c r="V15" s="88"/>
      <c r="W15" s="89"/>
      <c r="X15" s="90"/>
      <c r="Y15" s="92"/>
      <c r="Z15" s="89"/>
      <c r="AA15" s="91"/>
      <c r="AB15" s="88"/>
      <c r="AC15" s="89"/>
      <c r="AD15" s="90"/>
      <c r="AE15" s="88"/>
      <c r="AF15" s="89"/>
      <c r="AG15" s="90"/>
      <c r="AH15" s="88"/>
      <c r="AI15" s="89"/>
      <c r="AJ15" s="90"/>
      <c r="AK15" s="88"/>
      <c r="AL15" s="89"/>
      <c r="AM15" s="90"/>
      <c r="AN15" s="89"/>
      <c r="AO15" s="89"/>
      <c r="AP15" s="93"/>
    </row>
    <row r="16" spans="1:42" ht="20.100000000000001" customHeight="1" x14ac:dyDescent="0.15">
      <c r="B16" s="491"/>
      <c r="C16" s="493"/>
      <c r="D16" s="494"/>
      <c r="E16" s="494"/>
      <c r="F16" s="94"/>
      <c r="G16" s="88"/>
      <c r="H16" s="89"/>
      <c r="I16" s="89"/>
      <c r="J16" s="88"/>
      <c r="K16" s="89"/>
      <c r="L16" s="90"/>
      <c r="M16" s="89"/>
      <c r="N16" s="89"/>
      <c r="O16" s="91"/>
      <c r="P16" s="88"/>
      <c r="Q16" s="89"/>
      <c r="R16" s="90"/>
      <c r="S16" s="92"/>
      <c r="T16" s="89"/>
      <c r="U16" s="91"/>
      <c r="V16" s="88"/>
      <c r="W16" s="89"/>
      <c r="X16" s="90"/>
      <c r="Y16" s="92"/>
      <c r="Z16" s="89"/>
      <c r="AA16" s="91"/>
      <c r="AB16" s="88"/>
      <c r="AC16" s="89"/>
      <c r="AD16" s="90"/>
      <c r="AE16" s="88"/>
      <c r="AF16" s="89"/>
      <c r="AG16" s="90"/>
      <c r="AH16" s="88"/>
      <c r="AI16" s="89"/>
      <c r="AJ16" s="90"/>
      <c r="AK16" s="88"/>
      <c r="AL16" s="89"/>
      <c r="AM16" s="90"/>
      <c r="AN16" s="89"/>
      <c r="AO16" s="89"/>
      <c r="AP16" s="93"/>
    </row>
    <row r="17" spans="2:42" ht="20.100000000000001" customHeight="1" x14ac:dyDescent="0.15">
      <c r="B17" s="491"/>
      <c r="C17" s="493"/>
      <c r="D17" s="494"/>
      <c r="E17" s="494"/>
      <c r="F17" s="94"/>
      <c r="G17" s="88"/>
      <c r="H17" s="89"/>
      <c r="I17" s="89"/>
      <c r="J17" s="88"/>
      <c r="K17" s="89"/>
      <c r="L17" s="90"/>
      <c r="M17" s="89"/>
      <c r="N17" s="89"/>
      <c r="O17" s="91"/>
      <c r="P17" s="88"/>
      <c r="Q17" s="89"/>
      <c r="R17" s="90"/>
      <c r="S17" s="92"/>
      <c r="T17" s="89"/>
      <c r="U17" s="91"/>
      <c r="V17" s="88"/>
      <c r="W17" s="89"/>
      <c r="X17" s="90"/>
      <c r="Y17" s="92"/>
      <c r="Z17" s="89"/>
      <c r="AA17" s="91"/>
      <c r="AB17" s="88"/>
      <c r="AC17" s="89"/>
      <c r="AD17" s="90"/>
      <c r="AE17" s="88"/>
      <c r="AF17" s="89"/>
      <c r="AG17" s="90"/>
      <c r="AH17" s="88"/>
      <c r="AI17" s="89"/>
      <c r="AJ17" s="90"/>
      <c r="AK17" s="88"/>
      <c r="AL17" s="89"/>
      <c r="AM17" s="90"/>
      <c r="AN17" s="89"/>
      <c r="AO17" s="89"/>
      <c r="AP17" s="93"/>
    </row>
    <row r="18" spans="2:42" ht="20.100000000000001" customHeight="1" x14ac:dyDescent="0.15">
      <c r="B18" s="491"/>
      <c r="C18" s="493"/>
      <c r="D18" s="494"/>
      <c r="E18" s="494"/>
      <c r="F18" s="94"/>
      <c r="G18" s="88"/>
      <c r="H18" s="89"/>
      <c r="I18" s="89"/>
      <c r="J18" s="88"/>
      <c r="K18" s="89"/>
      <c r="L18" s="90"/>
      <c r="M18" s="89"/>
      <c r="N18" s="89"/>
      <c r="O18" s="91"/>
      <c r="P18" s="88"/>
      <c r="Q18" s="89"/>
      <c r="R18" s="90"/>
      <c r="S18" s="92"/>
      <c r="T18" s="89"/>
      <c r="U18" s="91"/>
      <c r="V18" s="88"/>
      <c r="W18" s="89"/>
      <c r="X18" s="90"/>
      <c r="Y18" s="92"/>
      <c r="Z18" s="89"/>
      <c r="AA18" s="91"/>
      <c r="AB18" s="88"/>
      <c r="AC18" s="89"/>
      <c r="AD18" s="90"/>
      <c r="AE18" s="88"/>
      <c r="AF18" s="89"/>
      <c r="AG18" s="90"/>
      <c r="AH18" s="88"/>
      <c r="AI18" s="89"/>
      <c r="AJ18" s="90"/>
      <c r="AK18" s="88"/>
      <c r="AL18" s="89"/>
      <c r="AM18" s="90"/>
      <c r="AN18" s="89"/>
      <c r="AO18" s="89"/>
      <c r="AP18" s="93"/>
    </row>
    <row r="19" spans="2:42" ht="20.100000000000001" customHeight="1" x14ac:dyDescent="0.15">
      <c r="B19" s="492"/>
      <c r="C19" s="495"/>
      <c r="D19" s="496"/>
      <c r="E19" s="496"/>
      <c r="F19" s="95"/>
      <c r="G19" s="96"/>
      <c r="H19" s="97"/>
      <c r="I19" s="97"/>
      <c r="J19" s="98"/>
      <c r="K19" s="99"/>
      <c r="L19" s="100"/>
      <c r="M19" s="97"/>
      <c r="N19" s="97"/>
      <c r="O19" s="101"/>
      <c r="P19" s="98"/>
      <c r="Q19" s="99"/>
      <c r="R19" s="100"/>
      <c r="S19" s="102"/>
      <c r="T19" s="97"/>
      <c r="U19" s="101"/>
      <c r="V19" s="98"/>
      <c r="W19" s="99"/>
      <c r="X19" s="100"/>
      <c r="Y19" s="102"/>
      <c r="Z19" s="97"/>
      <c r="AA19" s="101"/>
      <c r="AB19" s="98"/>
      <c r="AC19" s="99"/>
      <c r="AD19" s="100"/>
      <c r="AE19" s="98"/>
      <c r="AF19" s="99"/>
      <c r="AG19" s="100"/>
      <c r="AH19" s="98"/>
      <c r="AI19" s="99"/>
      <c r="AJ19" s="100"/>
      <c r="AK19" s="98"/>
      <c r="AL19" s="99"/>
      <c r="AM19" s="100"/>
      <c r="AN19" s="99"/>
      <c r="AO19" s="99"/>
      <c r="AP19" s="103"/>
    </row>
    <row r="20" spans="2:42" ht="20.100000000000001" customHeight="1" x14ac:dyDescent="0.15">
      <c r="B20" s="530" t="s">
        <v>69</v>
      </c>
      <c r="C20" s="515"/>
      <c r="D20" s="516"/>
      <c r="E20" s="516"/>
      <c r="F20" s="516"/>
      <c r="G20" s="516"/>
      <c r="H20" s="516"/>
      <c r="I20" s="516"/>
      <c r="J20" s="516"/>
      <c r="K20" s="516"/>
      <c r="L20" s="516"/>
      <c r="M20" s="516"/>
      <c r="N20" s="516"/>
      <c r="O20" s="516"/>
      <c r="P20" s="516"/>
      <c r="Q20" s="516"/>
      <c r="R20" s="516"/>
      <c r="S20" s="516"/>
      <c r="T20" s="516"/>
      <c r="U20" s="516"/>
      <c r="V20" s="516"/>
      <c r="W20" s="516"/>
      <c r="X20" s="516"/>
      <c r="Y20" s="516"/>
      <c r="Z20" s="516"/>
      <c r="AA20" s="516"/>
      <c r="AB20" s="516"/>
      <c r="AC20" s="516"/>
      <c r="AD20" s="516"/>
      <c r="AE20" s="516"/>
      <c r="AF20" s="516"/>
      <c r="AG20" s="516"/>
      <c r="AH20" s="516"/>
      <c r="AI20" s="516"/>
      <c r="AJ20" s="516"/>
      <c r="AK20" s="516"/>
      <c r="AL20" s="516"/>
      <c r="AM20" s="516"/>
      <c r="AN20" s="516"/>
      <c r="AO20" s="516"/>
      <c r="AP20" s="517"/>
    </row>
    <row r="21" spans="2:42" ht="20.100000000000001" customHeight="1" x14ac:dyDescent="0.15">
      <c r="B21" s="466"/>
      <c r="C21" s="531" t="s">
        <v>390</v>
      </c>
      <c r="D21" s="532"/>
      <c r="E21" s="532"/>
      <c r="F21" s="532"/>
      <c r="G21" s="532"/>
      <c r="H21" s="532"/>
      <c r="I21" s="532"/>
      <c r="J21" s="532"/>
      <c r="K21" s="532"/>
      <c r="L21" s="532"/>
      <c r="M21" s="532"/>
      <c r="N21" s="532"/>
      <c r="O21" s="532"/>
      <c r="P21" s="532"/>
      <c r="Q21" s="532"/>
      <c r="R21" s="532"/>
      <c r="S21" s="532"/>
      <c r="T21" s="532"/>
      <c r="U21" s="532"/>
      <c r="V21" s="104"/>
      <c r="W21" s="104"/>
      <c r="Y21" s="469"/>
      <c r="Z21" s="469"/>
      <c r="AA21" s="469"/>
      <c r="AB21" s="469"/>
      <c r="AC21" s="104"/>
      <c r="AD21" s="104"/>
      <c r="AI21" s="104"/>
      <c r="AJ21" s="104"/>
      <c r="AK21" s="104"/>
      <c r="AL21" s="104"/>
      <c r="AM21" s="104"/>
      <c r="AN21" s="104"/>
      <c r="AO21" s="104"/>
      <c r="AP21" s="105"/>
    </row>
    <row r="22" spans="2:42" ht="20.100000000000001" customHeight="1" thickBot="1" x14ac:dyDescent="0.2">
      <c r="B22" s="484"/>
      <c r="C22" s="518"/>
      <c r="D22" s="519"/>
      <c r="E22" s="519"/>
      <c r="F22" s="519"/>
      <c r="G22" s="519"/>
      <c r="H22" s="519"/>
      <c r="I22" s="519"/>
      <c r="J22" s="519"/>
      <c r="K22" s="519"/>
      <c r="L22" s="519"/>
      <c r="M22" s="519"/>
      <c r="N22" s="519"/>
      <c r="O22" s="519"/>
      <c r="P22" s="519"/>
      <c r="Q22" s="519"/>
      <c r="R22" s="519"/>
      <c r="S22" s="519"/>
      <c r="T22" s="519"/>
      <c r="U22" s="519"/>
      <c r="V22" s="519"/>
      <c r="W22" s="519"/>
      <c r="X22" s="519"/>
      <c r="Y22" s="519"/>
      <c r="Z22" s="519"/>
      <c r="AA22" s="519"/>
      <c r="AB22" s="519"/>
      <c r="AC22" s="519"/>
      <c r="AD22" s="519"/>
      <c r="AE22" s="519"/>
      <c r="AF22" s="519"/>
      <c r="AG22" s="519"/>
      <c r="AH22" s="519"/>
      <c r="AI22" s="519"/>
      <c r="AJ22" s="519"/>
      <c r="AK22" s="519"/>
      <c r="AL22" s="519"/>
      <c r="AM22" s="519"/>
      <c r="AN22" s="519"/>
      <c r="AO22" s="519"/>
      <c r="AP22" s="520"/>
    </row>
    <row r="23" spans="2:42" ht="9.9499999999999993" customHeight="1" x14ac:dyDescent="0.15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</row>
    <row r="24" spans="2:42" ht="24.95" customHeight="1" thickBot="1" x14ac:dyDescent="0.2">
      <c r="B24" s="71" t="s">
        <v>95</v>
      </c>
    </row>
    <row r="25" spans="2:42" ht="20.100000000000001" customHeight="1" thickBot="1" x14ac:dyDescent="0.2">
      <c r="B25" s="521" t="s">
        <v>16</v>
      </c>
      <c r="C25" s="522"/>
      <c r="D25" s="522"/>
      <c r="E25" s="522"/>
      <c r="F25" s="522"/>
      <c r="G25" s="522"/>
      <c r="H25" s="522"/>
      <c r="I25" s="522"/>
      <c r="J25" s="522"/>
      <c r="K25" s="522"/>
      <c r="L25" s="522"/>
      <c r="M25" s="522"/>
      <c r="N25" s="523"/>
      <c r="O25" s="524" t="s">
        <v>15</v>
      </c>
      <c r="P25" s="525"/>
      <c r="Q25" s="525"/>
      <c r="R25" s="525"/>
      <c r="S25" s="525"/>
      <c r="T25" s="525"/>
      <c r="U25" s="525"/>
      <c r="V25" s="525"/>
      <c r="W25" s="525"/>
      <c r="X25" s="525"/>
      <c r="Y25" s="525"/>
      <c r="Z25" s="525"/>
      <c r="AA25" s="525"/>
      <c r="AB25" s="525"/>
      <c r="AC25" s="525"/>
      <c r="AD25" s="525"/>
      <c r="AE25" s="525"/>
      <c r="AF25" s="525"/>
      <c r="AG25" s="525"/>
      <c r="AH25" s="525"/>
      <c r="AI25" s="525"/>
      <c r="AJ25" s="525"/>
      <c r="AK25" s="525"/>
      <c r="AL25" s="525"/>
      <c r="AM25" s="525"/>
      <c r="AN25" s="525"/>
      <c r="AO25" s="525"/>
      <c r="AP25" s="526"/>
    </row>
    <row r="26" spans="2:42" ht="39.950000000000003" customHeight="1" x14ac:dyDescent="0.15">
      <c r="B26" s="527" t="s">
        <v>11</v>
      </c>
      <c r="C26" s="511"/>
      <c r="D26" s="511"/>
      <c r="E26" s="528" t="s">
        <v>385</v>
      </c>
      <c r="F26" s="528"/>
      <c r="G26" s="528"/>
      <c r="H26" s="528"/>
      <c r="I26" s="528"/>
      <c r="J26" s="528"/>
      <c r="K26" s="528"/>
      <c r="L26" s="528"/>
      <c r="M26" s="528"/>
      <c r="N26" s="529"/>
      <c r="O26" s="510" t="s">
        <v>8</v>
      </c>
      <c r="P26" s="511"/>
      <c r="Q26" s="511"/>
      <c r="R26" s="511"/>
      <c r="S26" s="511"/>
      <c r="T26" s="512" t="s">
        <v>314</v>
      </c>
      <c r="U26" s="513"/>
      <c r="V26" s="513"/>
      <c r="W26" s="513"/>
      <c r="X26" s="513"/>
      <c r="Y26" s="513"/>
      <c r="Z26" s="513"/>
      <c r="AA26" s="513"/>
      <c r="AB26" s="513"/>
      <c r="AC26" s="513"/>
      <c r="AD26" s="513"/>
      <c r="AE26" s="513"/>
      <c r="AF26" s="513"/>
      <c r="AG26" s="513"/>
      <c r="AH26" s="513"/>
      <c r="AI26" s="513"/>
      <c r="AJ26" s="513"/>
      <c r="AK26" s="513"/>
      <c r="AL26" s="513"/>
      <c r="AM26" s="513"/>
      <c r="AN26" s="513"/>
      <c r="AO26" s="513"/>
      <c r="AP26" s="514"/>
    </row>
    <row r="27" spans="2:42" ht="39.950000000000003" customHeight="1" x14ac:dyDescent="0.15">
      <c r="B27" s="535" t="s">
        <v>12</v>
      </c>
      <c r="C27" s="536"/>
      <c r="D27" s="536"/>
      <c r="E27" s="537" t="s">
        <v>391</v>
      </c>
      <c r="F27" s="538"/>
      <c r="G27" s="538"/>
      <c r="H27" s="538"/>
      <c r="I27" s="538"/>
      <c r="J27" s="538"/>
      <c r="K27" s="538"/>
      <c r="L27" s="538"/>
      <c r="M27" s="538"/>
      <c r="N27" s="539"/>
      <c r="O27" s="540" t="s">
        <v>9</v>
      </c>
      <c r="P27" s="536"/>
      <c r="Q27" s="536"/>
      <c r="R27" s="536"/>
      <c r="S27" s="536"/>
      <c r="T27" s="537" t="s">
        <v>392</v>
      </c>
      <c r="U27" s="538"/>
      <c r="V27" s="538"/>
      <c r="W27" s="538"/>
      <c r="X27" s="538"/>
      <c r="Y27" s="538"/>
      <c r="Z27" s="538"/>
      <c r="AA27" s="538"/>
      <c r="AB27" s="538"/>
      <c r="AC27" s="538"/>
      <c r="AD27" s="538"/>
      <c r="AE27" s="538"/>
      <c r="AF27" s="538"/>
      <c r="AG27" s="538"/>
      <c r="AH27" s="538"/>
      <c r="AI27" s="538"/>
      <c r="AJ27" s="538"/>
      <c r="AK27" s="538"/>
      <c r="AL27" s="538"/>
      <c r="AM27" s="538"/>
      <c r="AN27" s="538"/>
      <c r="AO27" s="538"/>
      <c r="AP27" s="539"/>
    </row>
    <row r="28" spans="2:42" ht="39.950000000000003" customHeight="1" x14ac:dyDescent="0.15">
      <c r="B28" s="535" t="s">
        <v>13</v>
      </c>
      <c r="C28" s="536"/>
      <c r="D28" s="536"/>
      <c r="E28" s="541" t="s">
        <v>372</v>
      </c>
      <c r="F28" s="541"/>
      <c r="G28" s="541"/>
      <c r="H28" s="541"/>
      <c r="I28" s="541"/>
      <c r="J28" s="541"/>
      <c r="K28" s="541"/>
      <c r="L28" s="541"/>
      <c r="M28" s="541"/>
      <c r="N28" s="542"/>
      <c r="O28" s="540" t="s">
        <v>10</v>
      </c>
      <c r="P28" s="536"/>
      <c r="Q28" s="536"/>
      <c r="R28" s="536"/>
      <c r="S28" s="536"/>
      <c r="T28" s="537" t="s">
        <v>315</v>
      </c>
      <c r="U28" s="538"/>
      <c r="V28" s="538"/>
      <c r="W28" s="538"/>
      <c r="X28" s="538"/>
      <c r="Y28" s="538"/>
      <c r="Z28" s="538"/>
      <c r="AA28" s="538"/>
      <c r="AB28" s="538"/>
      <c r="AC28" s="538"/>
      <c r="AD28" s="538"/>
      <c r="AE28" s="538"/>
      <c r="AF28" s="538"/>
      <c r="AG28" s="538"/>
      <c r="AH28" s="538"/>
      <c r="AI28" s="538"/>
      <c r="AJ28" s="538"/>
      <c r="AK28" s="538"/>
      <c r="AL28" s="538"/>
      <c r="AM28" s="538"/>
      <c r="AN28" s="538"/>
      <c r="AO28" s="538"/>
      <c r="AP28" s="539"/>
    </row>
    <row r="29" spans="2:42" ht="39.950000000000003" customHeight="1" thickBot="1" x14ac:dyDescent="0.2">
      <c r="B29" s="545" t="s">
        <v>14</v>
      </c>
      <c r="C29" s="544"/>
      <c r="D29" s="544"/>
      <c r="E29" s="533" t="s">
        <v>386</v>
      </c>
      <c r="F29" s="533"/>
      <c r="G29" s="533"/>
      <c r="H29" s="533"/>
      <c r="I29" s="533"/>
      <c r="J29" s="533"/>
      <c r="K29" s="533"/>
      <c r="L29" s="533"/>
      <c r="M29" s="533"/>
      <c r="N29" s="534"/>
      <c r="O29" s="543"/>
      <c r="P29" s="544"/>
      <c r="Q29" s="544"/>
      <c r="R29" s="544"/>
      <c r="S29" s="544"/>
      <c r="T29" s="533"/>
      <c r="U29" s="533"/>
      <c r="V29" s="533"/>
      <c r="W29" s="533"/>
      <c r="X29" s="533"/>
      <c r="Y29" s="533"/>
      <c r="Z29" s="533"/>
      <c r="AA29" s="533"/>
      <c r="AB29" s="533"/>
      <c r="AC29" s="533"/>
      <c r="AD29" s="533"/>
      <c r="AE29" s="533"/>
      <c r="AF29" s="533"/>
      <c r="AG29" s="533"/>
      <c r="AH29" s="533"/>
      <c r="AI29" s="533"/>
      <c r="AJ29" s="533"/>
      <c r="AK29" s="533"/>
      <c r="AL29" s="533"/>
      <c r="AM29" s="533"/>
      <c r="AN29" s="533"/>
      <c r="AO29" s="533"/>
      <c r="AP29" s="534"/>
    </row>
    <row r="30" spans="2:42" ht="9.75" customHeight="1" x14ac:dyDescent="0.15">
      <c r="B30" s="81"/>
    </row>
  </sheetData>
  <mergeCells count="86">
    <mergeCell ref="C2:D2"/>
    <mergeCell ref="F2:N2"/>
    <mergeCell ref="Y2:AA2"/>
    <mergeCell ref="O2:Q2"/>
    <mergeCell ref="R2:U2"/>
    <mergeCell ref="V2:X2"/>
    <mergeCell ref="E29:N29"/>
    <mergeCell ref="B27:D27"/>
    <mergeCell ref="E27:N27"/>
    <mergeCell ref="O27:S27"/>
    <mergeCell ref="T27:AP27"/>
    <mergeCell ref="B28:D28"/>
    <mergeCell ref="E28:N28"/>
    <mergeCell ref="O28:S29"/>
    <mergeCell ref="T28:AP29"/>
    <mergeCell ref="B29:D29"/>
    <mergeCell ref="O26:S26"/>
    <mergeCell ref="T26:AP26"/>
    <mergeCell ref="C20:AP20"/>
    <mergeCell ref="Y21:AB21"/>
    <mergeCell ref="C22:AP22"/>
    <mergeCell ref="B25:N25"/>
    <mergeCell ref="O25:AP25"/>
    <mergeCell ref="B26:D26"/>
    <mergeCell ref="E26:N26"/>
    <mergeCell ref="B20:B22"/>
    <mergeCell ref="C21:U21"/>
    <mergeCell ref="AN12:AP12"/>
    <mergeCell ref="C15:E15"/>
    <mergeCell ref="AB12:AD12"/>
    <mergeCell ref="AE12:AG12"/>
    <mergeCell ref="C13:E14"/>
    <mergeCell ref="F13:F14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C16:E16"/>
    <mergeCell ref="C17:E17"/>
    <mergeCell ref="C18:E18"/>
    <mergeCell ref="C19:E19"/>
    <mergeCell ref="Q8:X8"/>
    <mergeCell ref="Y8:AA8"/>
    <mergeCell ref="Q9:X9"/>
    <mergeCell ref="Y9:AA9"/>
    <mergeCell ref="Q10:X10"/>
    <mergeCell ref="Y10:AA10"/>
    <mergeCell ref="B9:C9"/>
    <mergeCell ref="D9:G9"/>
    <mergeCell ref="H9:M9"/>
    <mergeCell ref="N9:P9"/>
    <mergeCell ref="B8:C8"/>
    <mergeCell ref="D8:G8"/>
    <mergeCell ref="H8:M8"/>
    <mergeCell ref="N8:P8"/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</mergeCells>
  <phoneticPr fontId="3"/>
  <pageMargins left="0.78740157480314965" right="0.78740157480314965" top="0.78740157480314965" bottom="0.78740157480314965" header="0.39370078740157483" footer="0.39370078740157483"/>
  <pageSetup paperSize="9" scale="7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zoomScale="75" zoomScaleNormal="75" zoomScaleSheetLayoutView="80" workbookViewId="0"/>
  </sheetViews>
  <sheetFormatPr defaultRowHeight="13.5" x14ac:dyDescent="0.15"/>
  <cols>
    <col min="1" max="1" width="1.625" style="71" customWidth="1"/>
    <col min="2" max="2" width="6.375" style="71" customWidth="1"/>
    <col min="3" max="3" width="24.875" style="71" customWidth="1"/>
    <col min="4" max="13" width="16.125" style="71" customWidth="1"/>
    <col min="14" max="16384" width="9" style="71"/>
  </cols>
  <sheetData>
    <row r="1" spans="2:13" ht="9.9499999999999993" customHeight="1" x14ac:dyDescent="0.15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2:13" ht="24.95" customHeight="1" thickBot="1" x14ac:dyDescent="0.2">
      <c r="B2" s="271" t="s">
        <v>351</v>
      </c>
      <c r="F2" s="295" t="s">
        <v>192</v>
      </c>
      <c r="G2" s="271" t="s">
        <v>350</v>
      </c>
      <c r="I2" s="295" t="s">
        <v>193</v>
      </c>
      <c r="J2" s="71" t="s">
        <v>371</v>
      </c>
    </row>
    <row r="3" spans="2:13" ht="20.100000000000001" customHeight="1" x14ac:dyDescent="0.15">
      <c r="B3" s="559" t="s">
        <v>89</v>
      </c>
      <c r="C3" s="560"/>
      <c r="D3" s="72" t="s">
        <v>343</v>
      </c>
      <c r="E3" s="72" t="s">
        <v>344</v>
      </c>
      <c r="F3" s="72" t="s">
        <v>345</v>
      </c>
      <c r="G3" s="443" t="s">
        <v>359</v>
      </c>
      <c r="H3" s="391" t="s">
        <v>348</v>
      </c>
      <c r="I3" s="391" t="s">
        <v>357</v>
      </c>
      <c r="J3" s="72" t="s">
        <v>347</v>
      </c>
      <c r="K3" s="394" t="s">
        <v>365</v>
      </c>
      <c r="L3" s="394" t="s">
        <v>424</v>
      </c>
      <c r="M3" s="73" t="s">
        <v>349</v>
      </c>
    </row>
    <row r="4" spans="2:13" ht="224.25" customHeight="1" x14ac:dyDescent="0.15">
      <c r="B4" s="558" t="s">
        <v>80</v>
      </c>
      <c r="C4" s="74" t="s">
        <v>81</v>
      </c>
      <c r="D4" s="392" t="s">
        <v>407</v>
      </c>
      <c r="E4" s="392" t="s">
        <v>408</v>
      </c>
      <c r="F4" s="392" t="s">
        <v>409</v>
      </c>
      <c r="G4" s="392" t="s">
        <v>410</v>
      </c>
      <c r="H4" s="392" t="s">
        <v>411</v>
      </c>
      <c r="I4" s="392" t="s">
        <v>412</v>
      </c>
      <c r="J4" s="392" t="s">
        <v>413</v>
      </c>
      <c r="K4" s="392" t="s">
        <v>414</v>
      </c>
      <c r="L4" s="392" t="s">
        <v>415</v>
      </c>
      <c r="M4" s="395" t="s">
        <v>416</v>
      </c>
    </row>
    <row r="5" spans="2:13" ht="20.100000000000001" customHeight="1" x14ac:dyDescent="0.15">
      <c r="B5" s="558"/>
      <c r="C5" s="74" t="s">
        <v>82</v>
      </c>
      <c r="D5" s="444" t="s">
        <v>352</v>
      </c>
      <c r="E5" s="444" t="s">
        <v>356</v>
      </c>
      <c r="F5" s="393" t="s">
        <v>360</v>
      </c>
      <c r="G5" s="393" t="s">
        <v>361</v>
      </c>
      <c r="H5" s="445" t="s">
        <v>362</v>
      </c>
      <c r="I5" s="445" t="s">
        <v>378</v>
      </c>
      <c r="J5" s="445" t="s">
        <v>363</v>
      </c>
      <c r="K5" s="445" t="s">
        <v>368</v>
      </c>
      <c r="L5" s="445" t="s">
        <v>364</v>
      </c>
      <c r="M5" s="77" t="s">
        <v>366</v>
      </c>
    </row>
    <row r="6" spans="2:13" ht="150" customHeight="1" x14ac:dyDescent="0.15">
      <c r="B6" s="558"/>
      <c r="C6" s="74" t="s">
        <v>88</v>
      </c>
      <c r="D6" s="424" t="s">
        <v>354</v>
      </c>
      <c r="E6" s="424" t="s">
        <v>381</v>
      </c>
      <c r="F6" s="424"/>
      <c r="G6" s="424" t="s">
        <v>358</v>
      </c>
      <c r="H6" s="424"/>
      <c r="I6" s="424"/>
      <c r="J6" s="424"/>
      <c r="K6" s="424" t="s">
        <v>367</v>
      </c>
      <c r="L6" s="424" t="s">
        <v>379</v>
      </c>
      <c r="M6" s="425" t="s">
        <v>384</v>
      </c>
    </row>
    <row r="7" spans="2:13" ht="20.100000000000001" customHeight="1" x14ac:dyDescent="0.15">
      <c r="B7" s="558"/>
      <c r="C7" s="78" t="s">
        <v>85</v>
      </c>
      <c r="D7" s="418" t="s">
        <v>380</v>
      </c>
      <c r="E7" s="418">
        <v>4</v>
      </c>
      <c r="F7" s="418"/>
      <c r="G7" s="418">
        <v>1</v>
      </c>
      <c r="H7" s="418"/>
      <c r="I7" s="418"/>
      <c r="J7" s="418"/>
      <c r="K7" s="418">
        <v>4</v>
      </c>
      <c r="L7" s="418"/>
      <c r="M7" s="80">
        <v>2</v>
      </c>
    </row>
    <row r="8" spans="2:13" ht="20.100000000000001" customHeight="1" x14ac:dyDescent="0.15">
      <c r="B8" s="558"/>
      <c r="C8" s="76" t="s">
        <v>86</v>
      </c>
      <c r="D8" s="418">
        <v>15</v>
      </c>
      <c r="E8" s="418">
        <v>6</v>
      </c>
      <c r="F8" s="418">
        <v>2</v>
      </c>
      <c r="G8" s="418">
        <v>5</v>
      </c>
      <c r="H8" s="418">
        <v>31</v>
      </c>
      <c r="I8" s="418">
        <v>2</v>
      </c>
      <c r="J8" s="418">
        <v>6</v>
      </c>
      <c r="K8" s="418">
        <v>4</v>
      </c>
      <c r="L8" s="418">
        <v>27</v>
      </c>
      <c r="M8" s="80">
        <v>5</v>
      </c>
    </row>
    <row r="9" spans="2:13" ht="20.100000000000001" customHeight="1" x14ac:dyDescent="0.15">
      <c r="B9" s="558"/>
      <c r="C9" s="74" t="s">
        <v>87</v>
      </c>
      <c r="D9" s="418"/>
      <c r="E9" s="418">
        <v>2</v>
      </c>
      <c r="F9" s="418"/>
      <c r="G9" s="418"/>
      <c r="H9" s="418"/>
      <c r="I9" s="418"/>
      <c r="J9" s="418"/>
      <c r="K9" s="418">
        <v>2</v>
      </c>
      <c r="L9" s="418"/>
      <c r="M9" s="80">
        <v>2</v>
      </c>
    </row>
    <row r="10" spans="2:13" ht="150" customHeight="1" x14ac:dyDescent="0.15">
      <c r="B10" s="563" t="s">
        <v>83</v>
      </c>
      <c r="C10" s="564"/>
      <c r="D10" s="75" t="s">
        <v>402</v>
      </c>
      <c r="E10" s="75" t="s">
        <v>403</v>
      </c>
      <c r="F10" s="79"/>
      <c r="G10" s="400" t="s">
        <v>404</v>
      </c>
      <c r="H10" s="76"/>
      <c r="I10" s="76"/>
      <c r="J10" s="75" t="s">
        <v>286</v>
      </c>
      <c r="K10" s="400" t="s">
        <v>406</v>
      </c>
      <c r="L10" s="400" t="s">
        <v>405</v>
      </c>
      <c r="M10" s="80"/>
    </row>
    <row r="11" spans="2:13" ht="99.75" customHeight="1" thickBot="1" x14ac:dyDescent="0.2">
      <c r="B11" s="561" t="s">
        <v>84</v>
      </c>
      <c r="C11" s="562"/>
      <c r="D11" s="439" t="s">
        <v>417</v>
      </c>
      <c r="E11" s="440"/>
      <c r="F11" s="440"/>
      <c r="G11" s="441" t="s">
        <v>418</v>
      </c>
      <c r="H11" s="442"/>
      <c r="I11" s="442"/>
      <c r="J11" s="441" t="s">
        <v>419</v>
      </c>
      <c r="K11" s="441"/>
      <c r="L11" s="441" t="s">
        <v>420</v>
      </c>
      <c r="M11" s="401"/>
    </row>
    <row r="12" spans="2:13" ht="9.75" customHeight="1" x14ac:dyDescent="0.15">
      <c r="B12" s="81"/>
    </row>
  </sheetData>
  <mergeCells count="4">
    <mergeCell ref="B4:B9"/>
    <mergeCell ref="B3:C3"/>
    <mergeCell ref="B11:C11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8"/>
  <sheetViews>
    <sheetView zoomScale="75" zoomScaleNormal="75" zoomScaleSheetLayoutView="85" workbookViewId="0"/>
  </sheetViews>
  <sheetFormatPr defaultRowHeight="13.5" x14ac:dyDescent="0.15"/>
  <cols>
    <col min="1" max="1" width="1.625" style="11" customWidth="1"/>
    <col min="2" max="2" width="7.625" style="11" customWidth="1"/>
    <col min="3" max="3" width="15.625" style="11" customWidth="1"/>
    <col min="4" max="7" width="20.625" style="11" customWidth="1"/>
    <col min="8" max="14" width="12.625" style="11" customWidth="1"/>
    <col min="15" max="16384" width="9" style="11"/>
  </cols>
  <sheetData>
    <row r="1" spans="2:14" ht="9.9499999999999993" customHeight="1" x14ac:dyDescent="0.15"/>
    <row r="2" spans="2:14" ht="24.95" customHeight="1" thickBot="1" x14ac:dyDescent="0.2">
      <c r="B2" s="12" t="s">
        <v>79</v>
      </c>
      <c r="C2" s="13"/>
      <c r="D2" s="13"/>
      <c r="M2" s="14"/>
      <c r="N2" s="14"/>
    </row>
    <row r="3" spans="2:14" ht="20.100000000000001" customHeight="1" x14ac:dyDescent="0.15">
      <c r="B3" s="601" t="s">
        <v>251</v>
      </c>
      <c r="C3" s="602"/>
      <c r="D3" s="602"/>
      <c r="E3" s="602"/>
      <c r="F3" s="15" t="s">
        <v>22</v>
      </c>
      <c r="G3" s="15" t="s">
        <v>371</v>
      </c>
      <c r="H3" s="582" t="s">
        <v>250</v>
      </c>
      <c r="I3" s="583"/>
      <c r="J3" s="583"/>
      <c r="K3" s="583"/>
      <c r="L3" s="583"/>
      <c r="M3" s="583"/>
      <c r="N3" s="584"/>
    </row>
    <row r="4" spans="2:14" ht="20.100000000000001" customHeight="1" thickBot="1" x14ac:dyDescent="0.2">
      <c r="B4" s="603"/>
      <c r="C4" s="604"/>
      <c r="D4" s="604"/>
      <c r="E4" s="604"/>
      <c r="F4" s="16"/>
      <c r="G4" s="319">
        <f>'５　かぼちゃ作業時間'!C41</f>
        <v>110</v>
      </c>
      <c r="H4" s="585"/>
      <c r="I4" s="586"/>
      <c r="J4" s="586"/>
      <c r="K4" s="586"/>
      <c r="L4" s="586"/>
      <c r="M4" s="586"/>
      <c r="N4" s="587"/>
    </row>
    <row r="5" spans="2:14" ht="20.100000000000001" customHeight="1" x14ac:dyDescent="0.15">
      <c r="B5" s="613" t="s">
        <v>45</v>
      </c>
      <c r="C5" s="614"/>
      <c r="D5" s="17" t="s">
        <v>157</v>
      </c>
      <c r="E5" s="18"/>
      <c r="F5" s="19">
        <f>SUM(G5:G5)</f>
        <v>3445200</v>
      </c>
      <c r="G5" s="270">
        <f>'７　かぼちゃ部門収支'!F4*G$4/10</f>
        <v>3445200</v>
      </c>
      <c r="H5" s="588"/>
      <c r="I5" s="589"/>
      <c r="J5" s="589"/>
      <c r="K5" s="589"/>
      <c r="L5" s="589"/>
      <c r="M5" s="589"/>
      <c r="N5" s="590"/>
    </row>
    <row r="6" spans="2:14" ht="20.100000000000001" customHeight="1" x14ac:dyDescent="0.15">
      <c r="B6" s="615"/>
      <c r="C6" s="616"/>
      <c r="D6" s="20" t="s">
        <v>72</v>
      </c>
      <c r="E6" s="21"/>
      <c r="F6" s="22">
        <f>SUM(G6:G6)</f>
        <v>0</v>
      </c>
      <c r="G6" s="25">
        <f>'７　かぼちゃ部門収支'!F5*G$4/10</f>
        <v>0</v>
      </c>
      <c r="H6" s="579"/>
      <c r="I6" s="580"/>
      <c r="J6" s="580"/>
      <c r="K6" s="580"/>
      <c r="L6" s="580"/>
      <c r="M6" s="580"/>
      <c r="N6" s="581"/>
    </row>
    <row r="7" spans="2:14" ht="20.100000000000001" customHeight="1" x14ac:dyDescent="0.15">
      <c r="B7" s="617"/>
      <c r="C7" s="618"/>
      <c r="D7" s="605" t="s">
        <v>153</v>
      </c>
      <c r="E7" s="606"/>
      <c r="F7" s="23">
        <f>SUM(G7,H7,M7)</f>
        <v>3445200</v>
      </c>
      <c r="G7" s="24">
        <f>G5+G6</f>
        <v>3445200</v>
      </c>
      <c r="H7" s="579"/>
      <c r="I7" s="580"/>
      <c r="J7" s="580"/>
      <c r="K7" s="580"/>
      <c r="L7" s="580"/>
      <c r="M7" s="580"/>
      <c r="N7" s="581"/>
    </row>
    <row r="8" spans="2:14" ht="20.100000000000001" customHeight="1" x14ac:dyDescent="0.15">
      <c r="B8" s="575" t="s">
        <v>237</v>
      </c>
      <c r="C8" s="567" t="s">
        <v>252</v>
      </c>
      <c r="D8" s="20" t="s">
        <v>46</v>
      </c>
      <c r="E8" s="21"/>
      <c r="F8" s="22">
        <f t="shared" ref="F8:F21" si="0">SUM(G8:G8)</f>
        <v>75867</v>
      </c>
      <c r="G8" s="25">
        <f>'７　かぼちゃ部門収支'!F6*G$4/10</f>
        <v>75867</v>
      </c>
      <c r="H8" s="579"/>
      <c r="I8" s="580"/>
      <c r="J8" s="580"/>
      <c r="K8" s="580"/>
      <c r="L8" s="580"/>
      <c r="M8" s="580"/>
      <c r="N8" s="581"/>
    </row>
    <row r="9" spans="2:14" ht="20.100000000000001" customHeight="1" x14ac:dyDescent="0.15">
      <c r="B9" s="576"/>
      <c r="C9" s="568"/>
      <c r="D9" s="20" t="s">
        <v>47</v>
      </c>
      <c r="E9" s="21"/>
      <c r="F9" s="22">
        <f t="shared" si="0"/>
        <v>467086.4</v>
      </c>
      <c r="G9" s="25">
        <f>'７　かぼちゃ部門収支'!F7*G$4/10</f>
        <v>467086.4</v>
      </c>
      <c r="H9" s="579"/>
      <c r="I9" s="580"/>
      <c r="J9" s="580"/>
      <c r="K9" s="580"/>
      <c r="L9" s="580"/>
      <c r="M9" s="580"/>
      <c r="N9" s="581"/>
    </row>
    <row r="10" spans="2:14" ht="20.100000000000001" customHeight="1" x14ac:dyDescent="0.15">
      <c r="B10" s="576"/>
      <c r="C10" s="568"/>
      <c r="D10" s="20" t="s">
        <v>48</v>
      </c>
      <c r="E10" s="21"/>
      <c r="F10" s="22">
        <f t="shared" si="0"/>
        <v>178916.80168421054</v>
      </c>
      <c r="G10" s="25">
        <f>'７　かぼちゃ部門収支'!F8*G$4/10</f>
        <v>178916.80168421054</v>
      </c>
      <c r="H10" s="579"/>
      <c r="I10" s="580"/>
      <c r="J10" s="580"/>
      <c r="K10" s="580"/>
      <c r="L10" s="580"/>
      <c r="M10" s="580"/>
      <c r="N10" s="581"/>
    </row>
    <row r="11" spans="2:14" ht="20.100000000000001" customHeight="1" x14ac:dyDescent="0.15">
      <c r="B11" s="576"/>
      <c r="C11" s="568"/>
      <c r="D11" s="20" t="s">
        <v>73</v>
      </c>
      <c r="E11" s="21"/>
      <c r="F11" s="22">
        <f t="shared" si="0"/>
        <v>161584.88</v>
      </c>
      <c r="G11" s="25">
        <f>'７　かぼちゃ部門収支'!F9*G$4/10</f>
        <v>161584.88</v>
      </c>
      <c r="H11" s="579"/>
      <c r="I11" s="580"/>
      <c r="J11" s="580"/>
      <c r="K11" s="580"/>
      <c r="L11" s="580"/>
      <c r="M11" s="580"/>
      <c r="N11" s="581"/>
    </row>
    <row r="12" spans="2:14" ht="20.100000000000001" customHeight="1" x14ac:dyDescent="0.15">
      <c r="B12" s="576"/>
      <c r="C12" s="568"/>
      <c r="D12" s="20" t="s">
        <v>49</v>
      </c>
      <c r="E12" s="21"/>
      <c r="F12" s="22">
        <f t="shared" si="0"/>
        <v>202858.96471478179</v>
      </c>
      <c r="G12" s="25">
        <f>'７　かぼちゃ部門収支'!F10*G$4/10</f>
        <v>202858.96471478179</v>
      </c>
      <c r="H12" s="579"/>
      <c r="I12" s="580"/>
      <c r="J12" s="580"/>
      <c r="K12" s="580"/>
      <c r="L12" s="580"/>
      <c r="M12" s="580"/>
      <c r="N12" s="581"/>
    </row>
    <row r="13" spans="2:14" ht="20.100000000000001" customHeight="1" x14ac:dyDescent="0.15">
      <c r="B13" s="576"/>
      <c r="C13" s="568"/>
      <c r="D13" s="20" t="s">
        <v>4</v>
      </c>
      <c r="E13" s="21"/>
      <c r="F13" s="22">
        <f t="shared" si="0"/>
        <v>21720</v>
      </c>
      <c r="G13" s="25">
        <f>'７　かぼちゃ部門収支'!F11*G$4/10</f>
        <v>21720</v>
      </c>
      <c r="H13" s="579"/>
      <c r="I13" s="580"/>
      <c r="J13" s="580"/>
      <c r="K13" s="580"/>
      <c r="L13" s="580"/>
      <c r="M13" s="580"/>
      <c r="N13" s="581"/>
    </row>
    <row r="14" spans="2:14" ht="20.100000000000001" customHeight="1" x14ac:dyDescent="0.15">
      <c r="B14" s="576"/>
      <c r="C14" s="568"/>
      <c r="D14" s="20" t="s">
        <v>5</v>
      </c>
      <c r="E14" s="21"/>
      <c r="F14" s="25">
        <f t="shared" si="0"/>
        <v>0</v>
      </c>
      <c r="G14" s="25">
        <f>'７　かぼちゃ部門収支'!F12*G$4/10</f>
        <v>0</v>
      </c>
      <c r="H14" s="579"/>
      <c r="I14" s="580"/>
      <c r="J14" s="580"/>
      <c r="K14" s="580"/>
      <c r="L14" s="580"/>
      <c r="M14" s="580"/>
      <c r="N14" s="581"/>
    </row>
    <row r="15" spans="2:14" ht="20.100000000000001" customHeight="1" x14ac:dyDescent="0.15">
      <c r="B15" s="576"/>
      <c r="C15" s="568"/>
      <c r="D15" s="607" t="s">
        <v>50</v>
      </c>
      <c r="E15" s="312" t="s">
        <v>147</v>
      </c>
      <c r="F15" s="25">
        <f t="shared" si="0"/>
        <v>15394.000000000004</v>
      </c>
      <c r="G15" s="25">
        <f>'７　かぼちゃ部門収支'!F13*G$4/10</f>
        <v>15394.000000000004</v>
      </c>
      <c r="H15" s="579"/>
      <c r="I15" s="580"/>
      <c r="J15" s="580"/>
      <c r="K15" s="580"/>
      <c r="L15" s="580"/>
      <c r="M15" s="580"/>
      <c r="N15" s="581"/>
    </row>
    <row r="16" spans="2:14" ht="20.100000000000001" customHeight="1" x14ac:dyDescent="0.15">
      <c r="B16" s="576"/>
      <c r="C16" s="568"/>
      <c r="D16" s="608"/>
      <c r="E16" s="312" t="s">
        <v>148</v>
      </c>
      <c r="F16" s="25">
        <f t="shared" si="0"/>
        <v>57572.500000000015</v>
      </c>
      <c r="G16" s="25">
        <f>'７　かぼちゃ部門収支'!F14*G$4/10</f>
        <v>57572.500000000015</v>
      </c>
      <c r="H16" s="579"/>
      <c r="I16" s="580"/>
      <c r="J16" s="580"/>
      <c r="K16" s="580"/>
      <c r="L16" s="580"/>
      <c r="M16" s="580"/>
      <c r="N16" s="581"/>
    </row>
    <row r="17" spans="2:14" ht="20.100000000000001" customHeight="1" x14ac:dyDescent="0.15">
      <c r="B17" s="576"/>
      <c r="C17" s="568"/>
      <c r="D17" s="609" t="s">
        <v>74</v>
      </c>
      <c r="E17" s="312" t="s">
        <v>147</v>
      </c>
      <c r="F17" s="25">
        <f t="shared" si="0"/>
        <v>69100</v>
      </c>
      <c r="G17" s="25">
        <f>'７　かぼちゃ部門収支'!F15*G$4/10</f>
        <v>69100</v>
      </c>
      <c r="H17" s="579"/>
      <c r="I17" s="580"/>
      <c r="J17" s="580"/>
      <c r="K17" s="580"/>
      <c r="L17" s="580"/>
      <c r="M17" s="580"/>
      <c r="N17" s="581"/>
    </row>
    <row r="18" spans="2:14" ht="20.100000000000001" customHeight="1" x14ac:dyDescent="0.15">
      <c r="B18" s="576"/>
      <c r="C18" s="568"/>
      <c r="D18" s="610"/>
      <c r="E18" s="312" t="s">
        <v>148</v>
      </c>
      <c r="F18" s="25">
        <f t="shared" si="0"/>
        <v>168107.14285714287</v>
      </c>
      <c r="G18" s="25">
        <f>'７　かぼちゃ部門収支'!F16*G$4/10</f>
        <v>168107.14285714287</v>
      </c>
      <c r="H18" s="579"/>
      <c r="I18" s="580"/>
      <c r="J18" s="580"/>
      <c r="K18" s="580"/>
      <c r="L18" s="580"/>
      <c r="M18" s="580"/>
      <c r="N18" s="581"/>
    </row>
    <row r="19" spans="2:14" ht="20.100000000000001" customHeight="1" x14ac:dyDescent="0.15">
      <c r="B19" s="576"/>
      <c r="C19" s="568"/>
      <c r="D19" s="608"/>
      <c r="E19" s="313" t="s">
        <v>51</v>
      </c>
      <c r="F19" s="25">
        <f t="shared" si="0"/>
        <v>0</v>
      </c>
      <c r="G19" s="25">
        <f>'７　かぼちゃ部門収支'!F17*G$4/10</f>
        <v>0</v>
      </c>
      <c r="H19" s="579"/>
      <c r="I19" s="580"/>
      <c r="J19" s="580"/>
      <c r="K19" s="580"/>
      <c r="L19" s="580"/>
      <c r="M19" s="580"/>
      <c r="N19" s="581"/>
    </row>
    <row r="20" spans="2:14" ht="20.100000000000001" customHeight="1" x14ac:dyDescent="0.15">
      <c r="B20" s="576"/>
      <c r="C20" s="568"/>
      <c r="D20" s="20" t="s">
        <v>52</v>
      </c>
      <c r="E20" s="21"/>
      <c r="F20" s="22">
        <f t="shared" si="0"/>
        <v>0</v>
      </c>
      <c r="G20" s="25">
        <f>'７　かぼちゃ部門収支'!F18*G$4/10</f>
        <v>0</v>
      </c>
      <c r="H20" s="579"/>
      <c r="I20" s="580"/>
      <c r="J20" s="580"/>
      <c r="K20" s="580"/>
      <c r="L20" s="580"/>
      <c r="M20" s="580"/>
      <c r="N20" s="581"/>
    </row>
    <row r="21" spans="2:14" ht="20.100000000000001" customHeight="1" x14ac:dyDescent="0.15">
      <c r="B21" s="576"/>
      <c r="C21" s="568"/>
      <c r="D21" s="20" t="s">
        <v>125</v>
      </c>
      <c r="E21" s="21"/>
      <c r="F21" s="22">
        <f t="shared" si="0"/>
        <v>14325.330194506416</v>
      </c>
      <c r="G21" s="25">
        <f>'７　かぼちゃ部門収支'!F19*G$4/10</f>
        <v>14325.330194506416</v>
      </c>
      <c r="H21" s="579"/>
      <c r="I21" s="580"/>
      <c r="J21" s="580"/>
      <c r="K21" s="580"/>
      <c r="L21" s="580"/>
      <c r="M21" s="580"/>
      <c r="N21" s="581"/>
    </row>
    <row r="22" spans="2:14" ht="20.100000000000001" customHeight="1" x14ac:dyDescent="0.15">
      <c r="B22" s="576"/>
      <c r="C22" s="569"/>
      <c r="D22" s="611" t="s">
        <v>154</v>
      </c>
      <c r="E22" s="612"/>
      <c r="F22" s="322">
        <f>SUM(F8:F21)</f>
        <v>1432533.0194506417</v>
      </c>
      <c r="G22" s="322">
        <f>SUM(G8:G21)</f>
        <v>1432533.0194506417</v>
      </c>
      <c r="H22" s="579"/>
      <c r="I22" s="580"/>
      <c r="J22" s="580"/>
      <c r="K22" s="580"/>
      <c r="L22" s="580"/>
      <c r="M22" s="580"/>
      <c r="N22" s="581"/>
    </row>
    <row r="23" spans="2:14" ht="20.100000000000001" customHeight="1" x14ac:dyDescent="0.15">
      <c r="B23" s="576"/>
      <c r="C23" s="570" t="s">
        <v>151</v>
      </c>
      <c r="D23" s="593" t="s">
        <v>53</v>
      </c>
      <c r="E23" s="28" t="s">
        <v>1</v>
      </c>
      <c r="F23" s="25">
        <f t="shared" ref="F23:F31" si="1">SUM(G23:G23)</f>
        <v>255200</v>
      </c>
      <c r="G23" s="25">
        <f>'７　かぼちゃ部門収支'!F21*G$4/10</f>
        <v>255200</v>
      </c>
      <c r="H23" s="579"/>
      <c r="I23" s="580"/>
      <c r="J23" s="580"/>
      <c r="K23" s="580"/>
      <c r="L23" s="580"/>
      <c r="M23" s="580"/>
      <c r="N23" s="581"/>
    </row>
    <row r="24" spans="2:14" ht="20.100000000000001" customHeight="1" x14ac:dyDescent="0.15">
      <c r="B24" s="576"/>
      <c r="C24" s="571"/>
      <c r="D24" s="594"/>
      <c r="E24" s="28" t="s">
        <v>2</v>
      </c>
      <c r="F24" s="25">
        <f t="shared" si="1"/>
        <v>222200</v>
      </c>
      <c r="G24" s="25">
        <f>'７　かぼちゃ部門収支'!F22*G$4/10</f>
        <v>222200</v>
      </c>
      <c r="H24" s="579"/>
      <c r="I24" s="580"/>
      <c r="J24" s="580"/>
      <c r="K24" s="580"/>
      <c r="L24" s="580"/>
      <c r="M24" s="580"/>
      <c r="N24" s="581"/>
    </row>
    <row r="25" spans="2:14" ht="20.100000000000001" customHeight="1" x14ac:dyDescent="0.15">
      <c r="B25" s="576"/>
      <c r="C25" s="571"/>
      <c r="D25" s="595"/>
      <c r="E25" s="28" t="s">
        <v>6</v>
      </c>
      <c r="F25" s="25">
        <f t="shared" si="1"/>
        <v>366850</v>
      </c>
      <c r="G25" s="25">
        <f>'７　かぼちゃ部門収支'!F23*G$4/10</f>
        <v>366850</v>
      </c>
      <c r="H25" s="579"/>
      <c r="I25" s="580"/>
      <c r="J25" s="580"/>
      <c r="K25" s="580"/>
      <c r="L25" s="580"/>
      <c r="M25" s="580"/>
      <c r="N25" s="581"/>
    </row>
    <row r="26" spans="2:14" ht="20.100000000000001" customHeight="1" x14ac:dyDescent="0.15">
      <c r="B26" s="576"/>
      <c r="C26" s="571"/>
      <c r="D26" s="28" t="s">
        <v>235</v>
      </c>
      <c r="E26" s="29"/>
      <c r="F26" s="25">
        <f t="shared" si="1"/>
        <v>0</v>
      </c>
      <c r="G26" s="25">
        <f>'７　かぼちゃ部門収支'!F24*G$4/10</f>
        <v>0</v>
      </c>
      <c r="H26" s="579"/>
      <c r="I26" s="580"/>
      <c r="J26" s="580"/>
      <c r="K26" s="580"/>
      <c r="L26" s="580"/>
      <c r="M26" s="580"/>
      <c r="N26" s="581"/>
    </row>
    <row r="27" spans="2:14" ht="20.100000000000001" customHeight="1" x14ac:dyDescent="0.15">
      <c r="B27" s="576"/>
      <c r="C27" s="571"/>
      <c r="D27" s="28" t="s">
        <v>75</v>
      </c>
      <c r="E27" s="29"/>
      <c r="F27" s="25">
        <f t="shared" si="1"/>
        <v>0</v>
      </c>
      <c r="G27" s="25">
        <f>'７　かぼちゃ部門収支'!F25*G$4/10</f>
        <v>0</v>
      </c>
      <c r="H27" s="579"/>
      <c r="I27" s="580"/>
      <c r="J27" s="580"/>
      <c r="K27" s="580"/>
      <c r="L27" s="580"/>
      <c r="M27" s="580"/>
      <c r="N27" s="581"/>
    </row>
    <row r="28" spans="2:14" ht="20.100000000000001" customHeight="1" x14ac:dyDescent="0.15">
      <c r="B28" s="576"/>
      <c r="C28" s="571"/>
      <c r="D28" s="28" t="s">
        <v>96</v>
      </c>
      <c r="E28" s="29"/>
      <c r="F28" s="25">
        <f t="shared" si="1"/>
        <v>1488.6666666666667</v>
      </c>
      <c r="G28" s="25">
        <f>'７　かぼちゃ部門収支'!F26*G$4/10</f>
        <v>1488.6666666666667</v>
      </c>
      <c r="H28" s="579"/>
      <c r="I28" s="580"/>
      <c r="J28" s="580"/>
      <c r="K28" s="580"/>
      <c r="L28" s="580"/>
      <c r="M28" s="580"/>
      <c r="N28" s="581"/>
    </row>
    <row r="29" spans="2:14" ht="20.100000000000001" customHeight="1" x14ac:dyDescent="0.15">
      <c r="B29" s="576"/>
      <c r="C29" s="571"/>
      <c r="D29" s="28" t="s">
        <v>76</v>
      </c>
      <c r="E29" s="29"/>
      <c r="F29" s="25">
        <f t="shared" si="1"/>
        <v>0</v>
      </c>
      <c r="G29" s="25">
        <f>'７　かぼちゃ部門収支'!F27*G$4/10</f>
        <v>0</v>
      </c>
      <c r="H29" s="579"/>
      <c r="I29" s="580"/>
      <c r="J29" s="580"/>
      <c r="K29" s="580"/>
      <c r="L29" s="580"/>
      <c r="M29" s="580"/>
      <c r="N29" s="581"/>
    </row>
    <row r="30" spans="2:14" ht="20.100000000000001" customHeight="1" x14ac:dyDescent="0.15">
      <c r="B30" s="576"/>
      <c r="C30" s="571"/>
      <c r="D30" s="28" t="s">
        <v>54</v>
      </c>
      <c r="E30" s="29"/>
      <c r="F30" s="25">
        <f t="shared" si="1"/>
        <v>123964</v>
      </c>
      <c r="G30" s="25">
        <f>'７　かぼちゃ部門収支'!F28*G$4/10</f>
        <v>123964</v>
      </c>
      <c r="H30" s="579"/>
      <c r="I30" s="580"/>
      <c r="J30" s="580"/>
      <c r="K30" s="580"/>
      <c r="L30" s="580"/>
      <c r="M30" s="580"/>
      <c r="N30" s="581"/>
    </row>
    <row r="31" spans="2:14" ht="20.100000000000001" customHeight="1" x14ac:dyDescent="0.15">
      <c r="B31" s="576"/>
      <c r="C31" s="571"/>
      <c r="D31" s="28" t="s">
        <v>236</v>
      </c>
      <c r="E31" s="29"/>
      <c r="F31" s="25">
        <f t="shared" si="1"/>
        <v>9794.9764309764305</v>
      </c>
      <c r="G31" s="25">
        <f>'７　かぼちゃ部門収支'!F29*G$4/10</f>
        <v>9794.9764309764305</v>
      </c>
      <c r="H31" s="579"/>
      <c r="I31" s="580"/>
      <c r="J31" s="580"/>
      <c r="K31" s="580"/>
      <c r="L31" s="580"/>
      <c r="M31" s="580"/>
      <c r="N31" s="581"/>
    </row>
    <row r="32" spans="2:14" ht="20.100000000000001" customHeight="1" x14ac:dyDescent="0.15">
      <c r="B32" s="576"/>
      <c r="C32" s="571"/>
      <c r="D32" s="596" t="s">
        <v>238</v>
      </c>
      <c r="E32" s="597"/>
      <c r="F32" s="320">
        <f>SUM(F23:F31)</f>
        <v>979497.64309764304</v>
      </c>
      <c r="G32" s="320">
        <f>SUM(G23:G31)</f>
        <v>979497.64309764304</v>
      </c>
      <c r="H32" s="579"/>
      <c r="I32" s="580"/>
      <c r="J32" s="580"/>
      <c r="K32" s="580"/>
      <c r="L32" s="580"/>
      <c r="M32" s="580"/>
      <c r="N32" s="581"/>
    </row>
    <row r="33" spans="2:14" ht="20.100000000000001" customHeight="1" x14ac:dyDescent="0.15">
      <c r="B33" s="576"/>
      <c r="C33" s="598" t="s">
        <v>239</v>
      </c>
      <c r="D33" s="599"/>
      <c r="E33" s="600"/>
      <c r="F33" s="25">
        <f>SUM(G33:G33)</f>
        <v>0</v>
      </c>
      <c r="G33" s="321">
        <f>'５　かぼちゃ作業時間'!AN53*'４　経営収支'!I33</f>
        <v>0</v>
      </c>
      <c r="H33" s="26" t="s">
        <v>241</v>
      </c>
      <c r="I33" s="326">
        <v>900</v>
      </c>
      <c r="J33" s="324" t="s">
        <v>242</v>
      </c>
      <c r="K33" s="324"/>
      <c r="L33" s="324"/>
      <c r="M33" s="324"/>
      <c r="N33" s="325"/>
    </row>
    <row r="34" spans="2:14" ht="20.100000000000001" customHeight="1" x14ac:dyDescent="0.15">
      <c r="B34" s="591" t="s">
        <v>240</v>
      </c>
      <c r="C34" s="592"/>
      <c r="D34" s="592"/>
      <c r="E34" s="592"/>
      <c r="F34" s="323">
        <f>F22+F32+F33</f>
        <v>2412030.662548285</v>
      </c>
      <c r="G34" s="323">
        <f>G22+G32+G33</f>
        <v>2412030.662548285</v>
      </c>
      <c r="H34" s="579"/>
      <c r="I34" s="580"/>
      <c r="J34" s="580"/>
      <c r="K34" s="580"/>
      <c r="L34" s="580"/>
      <c r="M34" s="580"/>
      <c r="N34" s="581"/>
    </row>
    <row r="35" spans="2:14" ht="20.100000000000001" customHeight="1" x14ac:dyDescent="0.15">
      <c r="B35" s="565" t="s">
        <v>243</v>
      </c>
      <c r="C35" s="566"/>
      <c r="D35" s="566"/>
      <c r="E35" s="566"/>
      <c r="F35" s="327">
        <f>F7-F34</f>
        <v>1033169.337451715</v>
      </c>
      <c r="G35" s="327">
        <f>G7-G34</f>
        <v>1033169.337451715</v>
      </c>
      <c r="H35" s="579"/>
      <c r="I35" s="580"/>
      <c r="J35" s="580"/>
      <c r="K35" s="580"/>
      <c r="L35" s="580"/>
      <c r="M35" s="580"/>
      <c r="N35" s="581"/>
    </row>
    <row r="36" spans="2:14" ht="20.100000000000001" customHeight="1" x14ac:dyDescent="0.15">
      <c r="B36" s="565" t="s">
        <v>244</v>
      </c>
      <c r="C36" s="566"/>
      <c r="D36" s="566"/>
      <c r="E36" s="566"/>
      <c r="F36" s="329">
        <f>F35/F7</f>
        <v>0.29988660671418643</v>
      </c>
      <c r="G36" s="329">
        <f>G35/G7</f>
        <v>0.29988660671418643</v>
      </c>
      <c r="H36" s="579"/>
      <c r="I36" s="580"/>
      <c r="J36" s="580"/>
      <c r="K36" s="580"/>
      <c r="L36" s="580"/>
      <c r="M36" s="580"/>
      <c r="N36" s="581"/>
    </row>
    <row r="37" spans="2:14" ht="20.100000000000001" customHeight="1" x14ac:dyDescent="0.15">
      <c r="B37" s="565" t="s">
        <v>248</v>
      </c>
      <c r="C37" s="566"/>
      <c r="D37" s="566"/>
      <c r="E37" s="566"/>
      <c r="F37" s="327">
        <f>SUM(G37:G37)</f>
        <v>1177.6470588235293</v>
      </c>
      <c r="G37" s="327">
        <f>I37+L37</f>
        <v>1177.6470588235293</v>
      </c>
      <c r="H37" s="26" t="s">
        <v>245</v>
      </c>
      <c r="I37" s="326">
        <f>'５　かぼちゃ作業時間'!AN46</f>
        <v>1177.6470588235293</v>
      </c>
      <c r="J37" s="324" t="s">
        <v>246</v>
      </c>
      <c r="K37" s="328" t="s">
        <v>247</v>
      </c>
      <c r="L37" s="326">
        <f>'５　かぼちゃ作業時間'!AN53</f>
        <v>0</v>
      </c>
      <c r="M37" s="324" t="s">
        <v>246</v>
      </c>
      <c r="N37" s="325"/>
    </row>
    <row r="38" spans="2:14" ht="20.100000000000001" customHeight="1" thickBot="1" x14ac:dyDescent="0.2">
      <c r="B38" s="577" t="s">
        <v>249</v>
      </c>
      <c r="C38" s="578"/>
      <c r="D38" s="578"/>
      <c r="E38" s="578"/>
      <c r="F38" s="330">
        <f>F35/I37</f>
        <v>877.31662021374416</v>
      </c>
      <c r="G38" s="330">
        <f>G35/I37</f>
        <v>877.31662021374416</v>
      </c>
      <c r="H38" s="572"/>
      <c r="I38" s="573"/>
      <c r="J38" s="573"/>
      <c r="K38" s="573"/>
      <c r="L38" s="573"/>
      <c r="M38" s="573"/>
      <c r="N38" s="574"/>
    </row>
  </sheetData>
  <mergeCells count="50">
    <mergeCell ref="B3:E4"/>
    <mergeCell ref="D7:E7"/>
    <mergeCell ref="D15:D16"/>
    <mergeCell ref="D17:D19"/>
    <mergeCell ref="D22:E22"/>
    <mergeCell ref="B5:C7"/>
    <mergeCell ref="H14:N14"/>
    <mergeCell ref="H15:N15"/>
    <mergeCell ref="H16:N16"/>
    <mergeCell ref="H17:N17"/>
    <mergeCell ref="B34:E34"/>
    <mergeCell ref="D23:D25"/>
    <mergeCell ref="D32:E32"/>
    <mergeCell ref="H18:N18"/>
    <mergeCell ref="H19:N19"/>
    <mergeCell ref="H20:N20"/>
    <mergeCell ref="H21:N21"/>
    <mergeCell ref="H22:N22"/>
    <mergeCell ref="C33:E33"/>
    <mergeCell ref="H9:N9"/>
    <mergeCell ref="H10:N10"/>
    <mergeCell ref="H11:N11"/>
    <mergeCell ref="H12:N12"/>
    <mergeCell ref="H13:N13"/>
    <mergeCell ref="H3:N4"/>
    <mergeCell ref="H5:N5"/>
    <mergeCell ref="H6:N6"/>
    <mergeCell ref="H7:N7"/>
    <mergeCell ref="H8:N8"/>
    <mergeCell ref="H38:N38"/>
    <mergeCell ref="B8:B33"/>
    <mergeCell ref="B38:E38"/>
    <mergeCell ref="H34:N34"/>
    <mergeCell ref="H35:N35"/>
    <mergeCell ref="H36:N36"/>
    <mergeCell ref="H28:N28"/>
    <mergeCell ref="H29:N29"/>
    <mergeCell ref="H30:N30"/>
    <mergeCell ref="H31:N31"/>
    <mergeCell ref="H32:N32"/>
    <mergeCell ref="H23:N23"/>
    <mergeCell ref="H24:N24"/>
    <mergeCell ref="H25:N25"/>
    <mergeCell ref="H26:N26"/>
    <mergeCell ref="H27:N27"/>
    <mergeCell ref="B35:E35"/>
    <mergeCell ref="B36:E36"/>
    <mergeCell ref="B37:E37"/>
    <mergeCell ref="C8:C22"/>
    <mergeCell ref="C23:C32"/>
  </mergeCells>
  <phoneticPr fontId="4"/>
  <pageMargins left="0.78740157480314965" right="0.78740157480314965" top="0.78740157480314965" bottom="0.78740157480314965" header="0.39370078740157483" footer="0.39370078740157483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55"/>
  <sheetViews>
    <sheetView showZeros="0" view="pageBreakPreview" topLeftCell="A16" zoomScale="80" zoomScaleNormal="75" zoomScaleSheetLayoutView="80" workbookViewId="0">
      <selection activeCell="C3" sqref="C3"/>
    </sheetView>
  </sheetViews>
  <sheetFormatPr defaultRowHeight="13.5" x14ac:dyDescent="0.15"/>
  <cols>
    <col min="1" max="1" width="1.625" style="31" customWidth="1"/>
    <col min="2" max="3" width="11.625" style="31" customWidth="1"/>
    <col min="4" max="39" width="6.125" style="31" customWidth="1"/>
    <col min="40" max="40" width="7" style="31" customWidth="1"/>
    <col min="41" max="41" width="1.5" style="31" customWidth="1"/>
    <col min="42" max="16384" width="9" style="31"/>
  </cols>
  <sheetData>
    <row r="1" spans="2:63" ht="9.9499999999999993" customHeight="1" x14ac:dyDescent="0.15"/>
    <row r="2" spans="2:63" ht="24.95" customHeight="1" x14ac:dyDescent="0.15">
      <c r="B2" s="2" t="s">
        <v>256</v>
      </c>
      <c r="C2" s="2"/>
      <c r="D2" s="5"/>
      <c r="E2" s="5"/>
      <c r="F2" s="5"/>
      <c r="G2" s="5"/>
      <c r="H2" s="5"/>
      <c r="I2" s="5"/>
      <c r="J2" s="5"/>
      <c r="K2" s="5"/>
      <c r="L2" s="295" t="s">
        <v>192</v>
      </c>
      <c r="M2" s="271" t="s">
        <v>257</v>
      </c>
      <c r="N2" s="71"/>
      <c r="O2" s="295" t="s">
        <v>193</v>
      </c>
      <c r="P2" s="71" t="s">
        <v>371</v>
      </c>
      <c r="Q2" s="5"/>
      <c r="R2" s="5"/>
      <c r="S2" s="5"/>
      <c r="T2" s="5"/>
      <c r="U2" s="5"/>
      <c r="V2" s="5"/>
      <c r="W2" s="33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 x14ac:dyDescent="0.2">
      <c r="B3" s="2" t="s">
        <v>196</v>
      </c>
      <c r="C3" s="2"/>
      <c r="D3" s="5"/>
      <c r="E3" s="5"/>
      <c r="F3" s="5"/>
      <c r="G3" s="5"/>
      <c r="H3" s="5"/>
      <c r="I3" s="5"/>
      <c r="J3" s="5"/>
      <c r="K3" s="5"/>
      <c r="L3" s="5"/>
      <c r="M3" s="33"/>
      <c r="N3" s="5"/>
      <c r="O3" s="5"/>
      <c r="P3" s="33"/>
      <c r="Q3" s="5"/>
      <c r="R3" s="5"/>
      <c r="S3" s="5"/>
      <c r="T3" s="5"/>
      <c r="U3" s="5"/>
      <c r="V3" s="5"/>
      <c r="W3" s="33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100000000000001" customHeight="1" x14ac:dyDescent="0.15">
      <c r="B4" s="621" t="s">
        <v>97</v>
      </c>
      <c r="C4" s="622"/>
      <c r="D4" s="625">
        <v>1</v>
      </c>
      <c r="E4" s="626"/>
      <c r="F4" s="627"/>
      <c r="G4" s="625">
        <v>2</v>
      </c>
      <c r="H4" s="626"/>
      <c r="I4" s="627"/>
      <c r="J4" s="625">
        <v>3</v>
      </c>
      <c r="K4" s="626"/>
      <c r="L4" s="627"/>
      <c r="M4" s="625">
        <v>4</v>
      </c>
      <c r="N4" s="626"/>
      <c r="O4" s="627"/>
      <c r="P4" s="625">
        <v>5</v>
      </c>
      <c r="Q4" s="626"/>
      <c r="R4" s="627"/>
      <c r="S4" s="625">
        <v>6</v>
      </c>
      <c r="T4" s="626"/>
      <c r="U4" s="627"/>
      <c r="V4" s="625">
        <v>7</v>
      </c>
      <c r="W4" s="626"/>
      <c r="X4" s="627"/>
      <c r="Y4" s="625">
        <v>8</v>
      </c>
      <c r="Z4" s="626"/>
      <c r="AA4" s="627"/>
      <c r="AB4" s="625">
        <v>9</v>
      </c>
      <c r="AC4" s="626"/>
      <c r="AD4" s="627"/>
      <c r="AE4" s="625">
        <v>10</v>
      </c>
      <c r="AF4" s="626"/>
      <c r="AG4" s="627"/>
      <c r="AH4" s="625">
        <v>11</v>
      </c>
      <c r="AI4" s="626"/>
      <c r="AJ4" s="627"/>
      <c r="AK4" s="625">
        <v>12</v>
      </c>
      <c r="AL4" s="626"/>
      <c r="AM4" s="627"/>
      <c r="AN4" s="628" t="s">
        <v>30</v>
      </c>
    </row>
    <row r="5" spans="2:63" ht="20.100000000000001" customHeight="1" x14ac:dyDescent="0.15">
      <c r="B5" s="623"/>
      <c r="C5" s="624"/>
      <c r="D5" s="53" t="s">
        <v>31</v>
      </c>
      <c r="E5" s="54" t="s">
        <v>32</v>
      </c>
      <c r="F5" s="55" t="s">
        <v>33</v>
      </c>
      <c r="G5" s="53" t="s">
        <v>31</v>
      </c>
      <c r="H5" s="55" t="s">
        <v>32</v>
      </c>
      <c r="I5" s="55" t="s">
        <v>33</v>
      </c>
      <c r="J5" s="53" t="s">
        <v>31</v>
      </c>
      <c r="K5" s="55" t="s">
        <v>32</v>
      </c>
      <c r="L5" s="55" t="s">
        <v>33</v>
      </c>
      <c r="M5" s="53" t="s">
        <v>31</v>
      </c>
      <c r="N5" s="55" t="s">
        <v>32</v>
      </c>
      <c r="O5" s="55" t="s">
        <v>33</v>
      </c>
      <c r="P5" s="53" t="s">
        <v>31</v>
      </c>
      <c r="Q5" s="55" t="s">
        <v>32</v>
      </c>
      <c r="R5" s="55" t="s">
        <v>33</v>
      </c>
      <c r="S5" s="53" t="s">
        <v>31</v>
      </c>
      <c r="T5" s="56" t="s">
        <v>32</v>
      </c>
      <c r="U5" s="56" t="s">
        <v>33</v>
      </c>
      <c r="V5" s="53" t="s">
        <v>31</v>
      </c>
      <c r="W5" s="55" t="s">
        <v>32</v>
      </c>
      <c r="X5" s="55" t="s">
        <v>33</v>
      </c>
      <c r="Y5" s="53" t="s">
        <v>31</v>
      </c>
      <c r="Z5" s="55" t="s">
        <v>32</v>
      </c>
      <c r="AA5" s="55" t="s">
        <v>33</v>
      </c>
      <c r="AB5" s="53" t="s">
        <v>31</v>
      </c>
      <c r="AC5" s="55" t="s">
        <v>32</v>
      </c>
      <c r="AD5" s="55" t="s">
        <v>33</v>
      </c>
      <c r="AE5" s="53" t="s">
        <v>31</v>
      </c>
      <c r="AF5" s="55" t="s">
        <v>32</v>
      </c>
      <c r="AG5" s="55" t="s">
        <v>33</v>
      </c>
      <c r="AH5" s="53" t="s">
        <v>31</v>
      </c>
      <c r="AI5" s="55" t="s">
        <v>32</v>
      </c>
      <c r="AJ5" s="55" t="s">
        <v>33</v>
      </c>
      <c r="AK5" s="53" t="s">
        <v>31</v>
      </c>
      <c r="AL5" s="55" t="s">
        <v>32</v>
      </c>
      <c r="AM5" s="55" t="s">
        <v>33</v>
      </c>
      <c r="AN5" s="629"/>
    </row>
    <row r="6" spans="2:63" ht="20.100000000000001" customHeight="1" x14ac:dyDescent="0.15">
      <c r="B6" s="634" t="s">
        <v>98</v>
      </c>
      <c r="C6" s="635"/>
      <c r="D6" s="57"/>
      <c r="E6" s="5"/>
      <c r="F6" s="5"/>
      <c r="G6" s="5"/>
      <c r="H6" s="5"/>
      <c r="I6" s="5"/>
      <c r="J6" s="5"/>
      <c r="K6" s="5"/>
      <c r="L6" s="5"/>
      <c r="M6" s="5"/>
      <c r="N6" s="5"/>
      <c r="O6" s="33"/>
      <c r="P6" s="33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8"/>
    </row>
    <row r="7" spans="2:63" ht="20.100000000000001" customHeight="1" x14ac:dyDescent="0.15">
      <c r="B7" s="636"/>
      <c r="C7" s="637"/>
      <c r="D7" s="57"/>
      <c r="E7" s="5"/>
      <c r="F7" s="5"/>
      <c r="G7" s="5"/>
      <c r="H7" s="5"/>
      <c r="I7" s="5"/>
      <c r="J7" s="5"/>
      <c r="K7" s="5"/>
      <c r="L7" s="5"/>
      <c r="M7" s="375"/>
      <c r="N7" s="5"/>
      <c r="O7" s="5"/>
      <c r="P7" s="344"/>
      <c r="Q7" s="343"/>
      <c r="R7" s="343"/>
      <c r="S7" s="342"/>
      <c r="T7" s="342"/>
      <c r="U7" s="342"/>
      <c r="V7" s="342"/>
      <c r="X7" s="413"/>
      <c r="Y7" s="413"/>
      <c r="Z7" s="413"/>
      <c r="AA7" s="413"/>
      <c r="AB7" s="342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8"/>
    </row>
    <row r="8" spans="2:63" ht="20.100000000000001" customHeight="1" x14ac:dyDescent="0.15">
      <c r="B8" s="623"/>
      <c r="C8" s="624"/>
      <c r="D8" s="59"/>
      <c r="E8" s="60"/>
      <c r="F8" s="60"/>
      <c r="G8" s="60"/>
      <c r="H8" s="60"/>
      <c r="I8" s="60"/>
      <c r="J8" s="60"/>
      <c r="K8" s="60"/>
      <c r="L8" s="60"/>
      <c r="M8" s="376"/>
      <c r="N8" s="376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1"/>
    </row>
    <row r="9" spans="2:63" ht="20.100000000000001" customHeight="1" x14ac:dyDescent="0.15">
      <c r="B9" s="619" t="s">
        <v>324</v>
      </c>
      <c r="C9" s="620"/>
      <c r="D9" s="348"/>
      <c r="E9" s="349"/>
      <c r="F9" s="349"/>
      <c r="G9" s="348"/>
      <c r="H9" s="349"/>
      <c r="I9" s="349"/>
      <c r="J9" s="348"/>
      <c r="K9" s="349"/>
      <c r="L9" s="349"/>
      <c r="M9" s="348"/>
      <c r="N9" s="349">
        <f>1+0.5*5</f>
        <v>3.5</v>
      </c>
      <c r="O9" s="349">
        <f>2*0.5*10</f>
        <v>10</v>
      </c>
      <c r="P9" s="348">
        <f>0.5*5</f>
        <v>2.5</v>
      </c>
      <c r="Q9" s="349"/>
      <c r="R9" s="349"/>
      <c r="S9" s="348"/>
      <c r="T9" s="349"/>
      <c r="U9" s="349"/>
      <c r="V9" s="348"/>
      <c r="W9" s="349"/>
      <c r="X9" s="349"/>
      <c r="Y9" s="348"/>
      <c r="Z9" s="349"/>
      <c r="AA9" s="349"/>
      <c r="AB9" s="348"/>
      <c r="AC9" s="349"/>
      <c r="AD9" s="349"/>
      <c r="AE9" s="348"/>
      <c r="AF9" s="349"/>
      <c r="AG9" s="349"/>
      <c r="AH9" s="348"/>
      <c r="AI9" s="349"/>
      <c r="AJ9" s="349"/>
      <c r="AK9" s="348"/>
      <c r="AL9" s="349"/>
      <c r="AM9" s="349"/>
      <c r="AN9" s="379">
        <f>SUM(D9:AM9)</f>
        <v>16</v>
      </c>
    </row>
    <row r="10" spans="2:63" ht="20.100000000000001" customHeight="1" x14ac:dyDescent="0.15">
      <c r="B10" s="632" t="s">
        <v>377</v>
      </c>
      <c r="C10" s="633"/>
      <c r="D10" s="348"/>
      <c r="E10" s="349"/>
      <c r="F10" s="349"/>
      <c r="G10" s="348"/>
      <c r="H10" s="349"/>
      <c r="I10" s="349"/>
      <c r="J10" s="348"/>
      <c r="K10" s="349"/>
      <c r="L10" s="349"/>
      <c r="M10" s="348"/>
      <c r="N10" s="349">
        <v>1</v>
      </c>
      <c r="O10" s="349">
        <v>1</v>
      </c>
      <c r="P10" s="348"/>
      <c r="Q10" s="349"/>
      <c r="R10" s="349"/>
      <c r="S10" s="348"/>
      <c r="T10" s="349"/>
      <c r="U10" s="349"/>
      <c r="V10" s="348"/>
      <c r="W10" s="349"/>
      <c r="X10" s="349"/>
      <c r="Y10" s="348"/>
      <c r="Z10" s="349"/>
      <c r="AA10" s="349"/>
      <c r="AB10" s="348"/>
      <c r="AC10" s="349"/>
      <c r="AD10" s="349"/>
      <c r="AE10" s="348"/>
      <c r="AF10" s="349"/>
      <c r="AG10" s="349"/>
      <c r="AH10" s="348"/>
      <c r="AI10" s="349"/>
      <c r="AJ10" s="349"/>
      <c r="AK10" s="348"/>
      <c r="AL10" s="349"/>
      <c r="AM10" s="349"/>
      <c r="AN10" s="64">
        <f>SUM(D10:AM10)</f>
        <v>2</v>
      </c>
    </row>
    <row r="11" spans="2:63" ht="20.100000000000001" customHeight="1" x14ac:dyDescent="0.15">
      <c r="B11" s="632" t="s">
        <v>258</v>
      </c>
      <c r="C11" s="633"/>
      <c r="D11" s="348"/>
      <c r="E11" s="349"/>
      <c r="F11" s="349"/>
      <c r="G11" s="348"/>
      <c r="H11" s="349"/>
      <c r="I11" s="349"/>
      <c r="J11" s="348"/>
      <c r="K11" s="349"/>
      <c r="L11" s="349"/>
      <c r="M11" s="348"/>
      <c r="N11" s="349">
        <v>1</v>
      </c>
      <c r="O11" s="349">
        <v>1</v>
      </c>
      <c r="P11" s="348"/>
      <c r="Q11" s="349"/>
      <c r="R11" s="349"/>
      <c r="S11" s="348"/>
      <c r="T11" s="349"/>
      <c r="U11" s="349"/>
      <c r="V11" s="348"/>
      <c r="W11" s="349"/>
      <c r="X11" s="349"/>
      <c r="Y11" s="348"/>
      <c r="Z11" s="349"/>
      <c r="AA11" s="349"/>
      <c r="AB11" s="348"/>
      <c r="AC11" s="349"/>
      <c r="AD11" s="349"/>
      <c r="AE11" s="348"/>
      <c r="AF11" s="349"/>
      <c r="AG11" s="349"/>
      <c r="AH11" s="348"/>
      <c r="AI11" s="349"/>
      <c r="AJ11" s="349"/>
      <c r="AK11" s="348"/>
      <c r="AL11" s="349"/>
      <c r="AM11" s="349"/>
      <c r="AN11" s="64">
        <f t="shared" ref="AN11:AN35" si="0">SUM(D11:AM11)</f>
        <v>2</v>
      </c>
    </row>
    <row r="12" spans="2:63" ht="20.100000000000001" customHeight="1" x14ac:dyDescent="0.15">
      <c r="B12" s="632" t="s">
        <v>259</v>
      </c>
      <c r="C12" s="633"/>
      <c r="D12" s="348"/>
      <c r="E12" s="349"/>
      <c r="F12" s="349"/>
      <c r="G12" s="348"/>
      <c r="H12" s="349"/>
      <c r="I12" s="349"/>
      <c r="J12" s="348"/>
      <c r="K12" s="349"/>
      <c r="L12" s="349"/>
      <c r="M12" s="348"/>
      <c r="N12" s="349"/>
      <c r="O12" s="349">
        <v>2</v>
      </c>
      <c r="P12" s="348"/>
      <c r="Q12" s="349"/>
      <c r="R12" s="349"/>
      <c r="S12" s="348"/>
      <c r="T12" s="349"/>
      <c r="U12" s="349"/>
      <c r="V12" s="348"/>
      <c r="W12" s="349"/>
      <c r="X12" s="349"/>
      <c r="Y12" s="348"/>
      <c r="Z12" s="349"/>
      <c r="AA12" s="349"/>
      <c r="AB12" s="348"/>
      <c r="AC12" s="349"/>
      <c r="AD12" s="349"/>
      <c r="AE12" s="348"/>
      <c r="AF12" s="349"/>
      <c r="AG12" s="349"/>
      <c r="AH12" s="348"/>
      <c r="AI12" s="349"/>
      <c r="AJ12" s="349"/>
      <c r="AK12" s="348"/>
      <c r="AL12" s="349"/>
      <c r="AM12" s="349"/>
      <c r="AN12" s="64">
        <f t="shared" si="0"/>
        <v>2</v>
      </c>
    </row>
    <row r="13" spans="2:63" ht="20.100000000000001" customHeight="1" x14ac:dyDescent="0.15">
      <c r="B13" s="632" t="s">
        <v>260</v>
      </c>
      <c r="C13" s="633"/>
      <c r="D13" s="348"/>
      <c r="E13" s="349"/>
      <c r="F13" s="349"/>
      <c r="G13" s="348"/>
      <c r="H13" s="349"/>
      <c r="I13" s="349"/>
      <c r="J13" s="348"/>
      <c r="K13" s="349"/>
      <c r="L13" s="349"/>
      <c r="M13" s="348"/>
      <c r="N13" s="349"/>
      <c r="O13" s="349"/>
      <c r="P13" s="348">
        <v>2</v>
      </c>
      <c r="Q13" s="349"/>
      <c r="R13" s="349"/>
      <c r="S13" s="348"/>
      <c r="T13" s="349"/>
      <c r="U13" s="349"/>
      <c r="V13" s="348"/>
      <c r="W13" s="349"/>
      <c r="X13" s="349"/>
      <c r="Y13" s="348"/>
      <c r="Z13" s="349"/>
      <c r="AA13" s="349"/>
      <c r="AB13" s="348"/>
      <c r="AC13" s="349"/>
      <c r="AD13" s="349"/>
      <c r="AE13" s="348"/>
      <c r="AF13" s="349"/>
      <c r="AG13" s="349"/>
      <c r="AH13" s="348"/>
      <c r="AI13" s="349"/>
      <c r="AJ13" s="349"/>
      <c r="AK13" s="348"/>
      <c r="AL13" s="349"/>
      <c r="AM13" s="349"/>
      <c r="AN13" s="64">
        <f t="shared" si="0"/>
        <v>2</v>
      </c>
    </row>
    <row r="14" spans="2:63" ht="20.100000000000001" customHeight="1" x14ac:dyDescent="0.15">
      <c r="B14" s="632" t="s">
        <v>261</v>
      </c>
      <c r="C14" s="633"/>
      <c r="D14" s="348"/>
      <c r="E14" s="349"/>
      <c r="F14" s="349"/>
      <c r="G14" s="348"/>
      <c r="H14" s="349"/>
      <c r="I14" s="349"/>
      <c r="J14" s="348"/>
      <c r="K14" s="349"/>
      <c r="L14" s="349"/>
      <c r="M14" s="348"/>
      <c r="N14" s="349"/>
      <c r="O14" s="349"/>
      <c r="P14" s="348"/>
      <c r="Q14" s="349"/>
      <c r="R14" s="349"/>
      <c r="S14" s="348"/>
      <c r="T14" s="349">
        <v>1</v>
      </c>
      <c r="U14" s="349">
        <v>1</v>
      </c>
      <c r="V14" s="348"/>
      <c r="W14" s="349"/>
      <c r="X14" s="349"/>
      <c r="Y14" s="348"/>
      <c r="Z14" s="349"/>
      <c r="AA14" s="349"/>
      <c r="AB14" s="348"/>
      <c r="AC14" s="349"/>
      <c r="AD14" s="349"/>
      <c r="AE14" s="348"/>
      <c r="AF14" s="349"/>
      <c r="AG14" s="349"/>
      <c r="AH14" s="348"/>
      <c r="AI14" s="349"/>
      <c r="AJ14" s="349"/>
      <c r="AK14" s="348"/>
      <c r="AL14" s="349"/>
      <c r="AM14" s="349"/>
      <c r="AN14" s="64">
        <f t="shared" si="0"/>
        <v>2</v>
      </c>
    </row>
    <row r="15" spans="2:63" ht="20.100000000000001" customHeight="1" x14ac:dyDescent="0.15">
      <c r="B15" s="632" t="s">
        <v>262</v>
      </c>
      <c r="C15" s="633"/>
      <c r="D15" s="348"/>
      <c r="E15" s="349"/>
      <c r="F15" s="349"/>
      <c r="G15" s="348"/>
      <c r="H15" s="349"/>
      <c r="I15" s="349"/>
      <c r="J15" s="348"/>
      <c r="K15" s="349"/>
      <c r="L15" s="349"/>
      <c r="M15" s="348"/>
      <c r="N15" s="349"/>
      <c r="O15" s="349"/>
      <c r="P15" s="348"/>
      <c r="Q15" s="349"/>
      <c r="R15" s="349"/>
      <c r="S15" s="348">
        <v>1</v>
      </c>
      <c r="T15" s="349">
        <v>1</v>
      </c>
      <c r="U15" s="349">
        <v>1</v>
      </c>
      <c r="V15" s="348">
        <v>1</v>
      </c>
      <c r="W15" s="349"/>
      <c r="X15" s="349"/>
      <c r="Y15" s="348"/>
      <c r="Z15" s="349"/>
      <c r="AA15" s="349"/>
      <c r="AB15" s="348"/>
      <c r="AC15" s="349"/>
      <c r="AD15" s="349"/>
      <c r="AE15" s="348"/>
      <c r="AF15" s="349"/>
      <c r="AG15" s="349"/>
      <c r="AH15" s="348"/>
      <c r="AI15" s="349"/>
      <c r="AJ15" s="349"/>
      <c r="AK15" s="348"/>
      <c r="AL15" s="349"/>
      <c r="AM15" s="349"/>
      <c r="AN15" s="64">
        <f t="shared" si="0"/>
        <v>4</v>
      </c>
    </row>
    <row r="16" spans="2:63" ht="20.100000000000001" customHeight="1" x14ac:dyDescent="0.15">
      <c r="B16" s="632" t="s">
        <v>297</v>
      </c>
      <c r="C16" s="633"/>
      <c r="D16" s="350"/>
      <c r="E16" s="349"/>
      <c r="F16" s="349"/>
      <c r="G16" s="350"/>
      <c r="H16" s="349"/>
      <c r="I16" s="349"/>
      <c r="J16" s="350"/>
      <c r="K16" s="349"/>
      <c r="L16" s="349"/>
      <c r="M16" s="350"/>
      <c r="N16" s="349"/>
      <c r="O16" s="349"/>
      <c r="P16" s="350"/>
      <c r="Q16" s="349">
        <v>1</v>
      </c>
      <c r="R16" s="349"/>
      <c r="S16" s="350"/>
      <c r="T16" s="349"/>
      <c r="U16" s="349"/>
      <c r="V16" s="350"/>
      <c r="W16" s="349"/>
      <c r="X16" s="349"/>
      <c r="Y16" s="350"/>
      <c r="Z16" s="349"/>
      <c r="AA16" s="349"/>
      <c r="AB16" s="350"/>
      <c r="AC16" s="349"/>
      <c r="AD16" s="349"/>
      <c r="AE16" s="350"/>
      <c r="AF16" s="349"/>
      <c r="AG16" s="349"/>
      <c r="AH16" s="350"/>
      <c r="AI16" s="349"/>
      <c r="AJ16" s="349"/>
      <c r="AK16" s="350"/>
      <c r="AL16" s="349"/>
      <c r="AM16" s="349"/>
      <c r="AN16" s="64">
        <f t="shared" si="0"/>
        <v>1</v>
      </c>
    </row>
    <row r="17" spans="2:40" ht="20.100000000000001" customHeight="1" x14ac:dyDescent="0.15">
      <c r="B17" s="632" t="s">
        <v>263</v>
      </c>
      <c r="C17" s="633"/>
      <c r="D17" s="348"/>
      <c r="E17" s="349"/>
      <c r="F17" s="349"/>
      <c r="G17" s="348"/>
      <c r="H17" s="349"/>
      <c r="I17" s="349"/>
      <c r="J17" s="348"/>
      <c r="K17" s="349"/>
      <c r="L17" s="349"/>
      <c r="M17" s="348"/>
      <c r="N17" s="349"/>
      <c r="O17" s="349"/>
      <c r="P17" s="348"/>
      <c r="Q17" s="349"/>
      <c r="R17" s="349"/>
      <c r="S17" s="348"/>
      <c r="T17" s="349">
        <v>2</v>
      </c>
      <c r="U17" s="349"/>
      <c r="V17" s="348"/>
      <c r="W17" s="349">
        <v>2</v>
      </c>
      <c r="X17" s="349"/>
      <c r="Y17" s="348"/>
      <c r="Z17" s="349"/>
      <c r="AA17" s="349"/>
      <c r="AB17" s="348"/>
      <c r="AC17" s="349"/>
      <c r="AD17" s="349"/>
      <c r="AE17" s="348"/>
      <c r="AF17" s="349"/>
      <c r="AG17" s="349"/>
      <c r="AH17" s="348"/>
      <c r="AI17" s="349"/>
      <c r="AJ17" s="349"/>
      <c r="AK17" s="348"/>
      <c r="AL17" s="349"/>
      <c r="AM17" s="349"/>
      <c r="AN17" s="64">
        <f t="shared" si="0"/>
        <v>4</v>
      </c>
    </row>
    <row r="18" spans="2:40" ht="20.100000000000001" customHeight="1" x14ac:dyDescent="0.15">
      <c r="B18" s="632" t="s">
        <v>346</v>
      </c>
      <c r="C18" s="633"/>
      <c r="D18" s="348"/>
      <c r="E18" s="349"/>
      <c r="F18" s="349"/>
      <c r="G18" s="348"/>
      <c r="H18" s="349"/>
      <c r="I18" s="349"/>
      <c r="J18" s="348"/>
      <c r="K18" s="349"/>
      <c r="L18" s="349"/>
      <c r="M18" s="348"/>
      <c r="N18" s="349"/>
      <c r="O18" s="349"/>
      <c r="P18" s="348"/>
      <c r="Q18" s="349">
        <v>1</v>
      </c>
      <c r="R18" s="349">
        <v>2</v>
      </c>
      <c r="S18" s="348">
        <v>2</v>
      </c>
      <c r="T18" s="349">
        <v>2</v>
      </c>
      <c r="U18" s="349">
        <v>2</v>
      </c>
      <c r="V18" s="348">
        <v>2</v>
      </c>
      <c r="W18" s="349"/>
      <c r="X18" s="349"/>
      <c r="Y18" s="348"/>
      <c r="Z18" s="349"/>
      <c r="AA18" s="349"/>
      <c r="AB18" s="348"/>
      <c r="AC18" s="349"/>
      <c r="AD18" s="349"/>
      <c r="AE18" s="348"/>
      <c r="AF18" s="349"/>
      <c r="AG18" s="349"/>
      <c r="AH18" s="348"/>
      <c r="AI18" s="349"/>
      <c r="AJ18" s="349"/>
      <c r="AK18" s="348"/>
      <c r="AL18" s="349"/>
      <c r="AM18" s="349"/>
      <c r="AN18" s="64">
        <f t="shared" si="0"/>
        <v>11</v>
      </c>
    </row>
    <row r="19" spans="2:40" ht="20.100000000000001" customHeight="1" x14ac:dyDescent="0.15">
      <c r="B19" s="632" t="s">
        <v>264</v>
      </c>
      <c r="C19" s="633"/>
      <c r="D19" s="348"/>
      <c r="E19" s="349"/>
      <c r="F19" s="349"/>
      <c r="G19" s="348"/>
      <c r="H19" s="349"/>
      <c r="I19" s="349"/>
      <c r="J19" s="348"/>
      <c r="K19" s="349"/>
      <c r="L19" s="349"/>
      <c r="M19" s="348"/>
      <c r="N19" s="349"/>
      <c r="O19" s="349"/>
      <c r="P19" s="348"/>
      <c r="Q19" s="349"/>
      <c r="R19" s="349"/>
      <c r="S19" s="348"/>
      <c r="T19" s="349">
        <v>10</v>
      </c>
      <c r="U19" s="349">
        <v>10</v>
      </c>
      <c r="V19" s="348"/>
      <c r="W19" s="349"/>
      <c r="X19" s="349"/>
      <c r="Y19" s="348"/>
      <c r="Z19" s="349"/>
      <c r="AA19" s="349"/>
      <c r="AB19" s="348"/>
      <c r="AC19" s="349"/>
      <c r="AD19" s="349"/>
      <c r="AE19" s="348"/>
      <c r="AF19" s="349"/>
      <c r="AG19" s="349"/>
      <c r="AH19" s="348"/>
      <c r="AI19" s="349"/>
      <c r="AJ19" s="349"/>
      <c r="AK19" s="348"/>
      <c r="AL19" s="349"/>
      <c r="AM19" s="349"/>
      <c r="AN19" s="64">
        <f t="shared" si="0"/>
        <v>20</v>
      </c>
    </row>
    <row r="20" spans="2:40" ht="20.100000000000001" customHeight="1" x14ac:dyDescent="0.15">
      <c r="B20" s="632" t="s">
        <v>265</v>
      </c>
      <c r="C20" s="633"/>
      <c r="D20" s="348"/>
      <c r="E20" s="349"/>
      <c r="F20" s="349"/>
      <c r="G20" s="348"/>
      <c r="H20" s="349"/>
      <c r="I20" s="349"/>
      <c r="J20" s="348"/>
      <c r="K20" s="349"/>
      <c r="L20" s="349"/>
      <c r="M20" s="348"/>
      <c r="N20" s="349"/>
      <c r="O20" s="349"/>
      <c r="P20" s="348"/>
      <c r="Q20" s="349"/>
      <c r="R20" s="349"/>
      <c r="S20" s="348"/>
      <c r="T20" s="349"/>
      <c r="U20" s="349">
        <v>3</v>
      </c>
      <c r="V20" s="348">
        <v>3</v>
      </c>
      <c r="W20" s="349"/>
      <c r="X20" s="349"/>
      <c r="Y20" s="348"/>
      <c r="Z20" s="349"/>
      <c r="AA20" s="349"/>
      <c r="AB20" s="348"/>
      <c r="AC20" s="349"/>
      <c r="AD20" s="349"/>
      <c r="AE20" s="348"/>
      <c r="AF20" s="349"/>
      <c r="AG20" s="349"/>
      <c r="AH20" s="348"/>
      <c r="AI20" s="349"/>
      <c r="AJ20" s="349"/>
      <c r="AK20" s="348"/>
      <c r="AL20" s="349"/>
      <c r="AM20" s="349"/>
      <c r="AN20" s="64">
        <f t="shared" si="0"/>
        <v>6</v>
      </c>
    </row>
    <row r="21" spans="2:40" ht="20.100000000000001" customHeight="1" x14ac:dyDescent="0.15">
      <c r="B21" s="632" t="s">
        <v>266</v>
      </c>
      <c r="C21" s="633"/>
      <c r="D21" s="348"/>
      <c r="E21" s="349"/>
      <c r="F21" s="349"/>
      <c r="G21" s="348"/>
      <c r="H21" s="349"/>
      <c r="I21" s="349"/>
      <c r="J21" s="348"/>
      <c r="K21" s="349"/>
      <c r="L21" s="349"/>
      <c r="M21" s="348"/>
      <c r="N21" s="349"/>
      <c r="O21" s="349"/>
      <c r="P21" s="348"/>
      <c r="Q21" s="349"/>
      <c r="R21" s="349"/>
      <c r="S21" s="348"/>
      <c r="T21" s="349"/>
      <c r="U21" s="349"/>
      <c r="V21" s="348"/>
      <c r="W21" s="349"/>
      <c r="X21" s="349">
        <v>3</v>
      </c>
      <c r="Y21" s="348">
        <v>3</v>
      </c>
      <c r="Z21" s="349">
        <v>3</v>
      </c>
      <c r="AA21" s="349"/>
      <c r="AB21" s="348"/>
      <c r="AC21" s="349"/>
      <c r="AD21" s="349"/>
      <c r="AE21" s="348"/>
      <c r="AF21" s="349"/>
      <c r="AG21" s="349"/>
      <c r="AH21" s="348"/>
      <c r="AI21" s="349"/>
      <c r="AJ21" s="349"/>
      <c r="AK21" s="348"/>
      <c r="AL21" s="349"/>
      <c r="AM21" s="349"/>
      <c r="AN21" s="64">
        <f t="shared" si="0"/>
        <v>9</v>
      </c>
    </row>
    <row r="22" spans="2:40" ht="20.100000000000001" customHeight="1" x14ac:dyDescent="0.15">
      <c r="B22" s="632" t="s">
        <v>425</v>
      </c>
      <c r="C22" s="633"/>
      <c r="D22" s="348"/>
      <c r="E22" s="349"/>
      <c r="F22" s="349"/>
      <c r="G22" s="348"/>
      <c r="H22" s="349"/>
      <c r="I22" s="349"/>
      <c r="J22" s="348"/>
      <c r="K22" s="349"/>
      <c r="L22" s="349"/>
      <c r="M22" s="348"/>
      <c r="N22" s="349"/>
      <c r="O22" s="349"/>
      <c r="P22" s="348"/>
      <c r="Q22" s="349"/>
      <c r="R22" s="349"/>
      <c r="S22" s="348"/>
      <c r="T22" s="349"/>
      <c r="U22" s="349"/>
      <c r="V22" s="348"/>
      <c r="W22" s="349"/>
      <c r="X22" s="349"/>
      <c r="Y22" s="348">
        <v>6</v>
      </c>
      <c r="Z22" s="349">
        <v>6</v>
      </c>
      <c r="AA22" s="349">
        <v>6</v>
      </c>
      <c r="AB22" s="348"/>
      <c r="AC22" s="349"/>
      <c r="AD22" s="349"/>
      <c r="AE22" s="348"/>
      <c r="AF22" s="349"/>
      <c r="AG22" s="349"/>
      <c r="AH22" s="348"/>
      <c r="AI22" s="349"/>
      <c r="AJ22" s="349"/>
      <c r="AK22" s="348"/>
      <c r="AL22" s="349"/>
      <c r="AM22" s="349"/>
      <c r="AN22" s="64">
        <f t="shared" si="0"/>
        <v>18</v>
      </c>
    </row>
    <row r="23" spans="2:40" ht="20.100000000000001" customHeight="1" x14ac:dyDescent="0.15">
      <c r="B23" s="632" t="s">
        <v>267</v>
      </c>
      <c r="C23" s="633"/>
      <c r="D23" s="348"/>
      <c r="E23" s="349"/>
      <c r="F23" s="349"/>
      <c r="G23" s="348"/>
      <c r="H23" s="349"/>
      <c r="I23" s="349"/>
      <c r="J23" s="348"/>
      <c r="K23" s="349"/>
      <c r="L23" s="349"/>
      <c r="M23" s="348"/>
      <c r="N23" s="349"/>
      <c r="O23" s="349"/>
      <c r="P23" s="348"/>
      <c r="Q23" s="349"/>
      <c r="R23" s="349"/>
      <c r="S23" s="348"/>
      <c r="T23" s="349"/>
      <c r="U23" s="349"/>
      <c r="V23" s="348"/>
      <c r="W23" s="349"/>
      <c r="X23" s="349"/>
      <c r="Y23" s="348"/>
      <c r="Z23" s="349"/>
      <c r="AA23" s="349"/>
      <c r="AB23" s="348">
        <v>5</v>
      </c>
      <c r="AC23" s="349"/>
      <c r="AD23" s="349"/>
      <c r="AE23" s="348"/>
      <c r="AF23" s="349"/>
      <c r="AG23" s="349"/>
      <c r="AH23" s="348"/>
      <c r="AI23" s="349"/>
      <c r="AJ23" s="349"/>
      <c r="AK23" s="348"/>
      <c r="AL23" s="349"/>
      <c r="AM23" s="349"/>
      <c r="AN23" s="64">
        <f t="shared" si="0"/>
        <v>5</v>
      </c>
    </row>
    <row r="24" spans="2:40" ht="20.100000000000001" customHeight="1" x14ac:dyDescent="0.15">
      <c r="B24" s="630"/>
      <c r="C24" s="631"/>
      <c r="D24" s="62"/>
      <c r="E24" s="63"/>
      <c r="F24" s="63"/>
      <c r="G24" s="62"/>
      <c r="H24" s="63"/>
      <c r="I24" s="63"/>
      <c r="J24" s="62"/>
      <c r="K24" s="63"/>
      <c r="L24" s="63"/>
      <c r="M24" s="62"/>
      <c r="N24" s="63"/>
      <c r="O24" s="63"/>
      <c r="P24" s="62"/>
      <c r="Q24" s="63"/>
      <c r="R24" s="63"/>
      <c r="S24" s="62"/>
      <c r="T24" s="63"/>
      <c r="U24" s="63"/>
      <c r="V24" s="62"/>
      <c r="W24" s="63"/>
      <c r="X24" s="63"/>
      <c r="Y24" s="62"/>
      <c r="Z24" s="63"/>
      <c r="AA24" s="63"/>
      <c r="AB24" s="62"/>
      <c r="AC24" s="63"/>
      <c r="AD24" s="63"/>
      <c r="AE24" s="62"/>
      <c r="AF24" s="63"/>
      <c r="AG24" s="63"/>
      <c r="AH24" s="62"/>
      <c r="AI24" s="63"/>
      <c r="AJ24" s="63"/>
      <c r="AK24" s="62"/>
      <c r="AL24" s="63"/>
      <c r="AM24" s="63"/>
      <c r="AN24" s="64">
        <f t="shared" si="0"/>
        <v>0</v>
      </c>
    </row>
    <row r="25" spans="2:40" ht="20.100000000000001" customHeight="1" x14ac:dyDescent="0.15">
      <c r="B25" s="630"/>
      <c r="C25" s="631"/>
      <c r="D25" s="62"/>
      <c r="E25" s="63"/>
      <c r="F25" s="63"/>
      <c r="G25" s="62"/>
      <c r="H25" s="63"/>
      <c r="I25" s="63"/>
      <c r="J25" s="62"/>
      <c r="K25" s="63"/>
      <c r="L25" s="63"/>
      <c r="M25" s="62"/>
      <c r="N25" s="63"/>
      <c r="O25" s="63"/>
      <c r="P25" s="62"/>
      <c r="Q25" s="63"/>
      <c r="R25" s="63"/>
      <c r="S25" s="62"/>
      <c r="T25" s="63"/>
      <c r="U25" s="63"/>
      <c r="V25" s="62"/>
      <c r="W25" s="63"/>
      <c r="X25" s="63"/>
      <c r="Y25" s="62"/>
      <c r="Z25" s="63"/>
      <c r="AA25" s="63"/>
      <c r="AB25" s="62"/>
      <c r="AC25" s="63"/>
      <c r="AD25" s="63"/>
      <c r="AE25" s="62"/>
      <c r="AF25" s="63"/>
      <c r="AG25" s="63"/>
      <c r="AH25" s="62"/>
      <c r="AI25" s="63"/>
      <c r="AJ25" s="63"/>
      <c r="AK25" s="62"/>
      <c r="AL25" s="63"/>
      <c r="AM25" s="63"/>
      <c r="AN25" s="64">
        <f t="shared" si="0"/>
        <v>0</v>
      </c>
    </row>
    <row r="26" spans="2:40" ht="20.100000000000001" customHeight="1" x14ac:dyDescent="0.15">
      <c r="B26" s="630"/>
      <c r="C26" s="631"/>
      <c r="D26" s="62"/>
      <c r="E26" s="63"/>
      <c r="F26" s="63"/>
      <c r="G26" s="62"/>
      <c r="H26" s="63"/>
      <c r="I26" s="63"/>
      <c r="J26" s="62"/>
      <c r="K26" s="63"/>
      <c r="L26" s="63"/>
      <c r="M26" s="62"/>
      <c r="N26" s="63"/>
      <c r="O26" s="63"/>
      <c r="P26" s="62"/>
      <c r="Q26" s="63"/>
      <c r="R26" s="63"/>
      <c r="S26" s="62"/>
      <c r="T26" s="63"/>
      <c r="U26" s="63"/>
      <c r="V26" s="62"/>
      <c r="W26" s="63"/>
      <c r="X26" s="63"/>
      <c r="Y26" s="62"/>
      <c r="Z26" s="63"/>
      <c r="AA26" s="63"/>
      <c r="AB26" s="62"/>
      <c r="AC26" s="63"/>
      <c r="AD26" s="63"/>
      <c r="AE26" s="62"/>
      <c r="AF26" s="63"/>
      <c r="AG26" s="63"/>
      <c r="AH26" s="62"/>
      <c r="AI26" s="63"/>
      <c r="AJ26" s="63"/>
      <c r="AK26" s="62"/>
      <c r="AL26" s="63"/>
      <c r="AM26" s="63"/>
      <c r="AN26" s="64">
        <f t="shared" si="0"/>
        <v>0</v>
      </c>
    </row>
    <row r="27" spans="2:40" ht="20.100000000000001" customHeight="1" x14ac:dyDescent="0.15">
      <c r="B27" s="630"/>
      <c r="C27" s="631"/>
      <c r="D27" s="62"/>
      <c r="E27" s="63"/>
      <c r="F27" s="63"/>
      <c r="G27" s="62"/>
      <c r="H27" s="63"/>
      <c r="I27" s="63"/>
      <c r="J27" s="62"/>
      <c r="K27" s="63"/>
      <c r="L27" s="63"/>
      <c r="M27" s="62"/>
      <c r="N27" s="63"/>
      <c r="O27" s="63"/>
      <c r="P27" s="62"/>
      <c r="Q27" s="63"/>
      <c r="R27" s="63"/>
      <c r="S27" s="62"/>
      <c r="T27" s="63"/>
      <c r="U27" s="63"/>
      <c r="V27" s="62"/>
      <c r="W27" s="63"/>
      <c r="X27" s="63"/>
      <c r="Y27" s="62"/>
      <c r="Z27" s="63"/>
      <c r="AA27" s="63"/>
      <c r="AB27" s="62"/>
      <c r="AC27" s="63"/>
      <c r="AD27" s="63"/>
      <c r="AE27" s="62"/>
      <c r="AF27" s="63"/>
      <c r="AG27" s="63"/>
      <c r="AH27" s="62"/>
      <c r="AI27" s="63"/>
      <c r="AJ27" s="63"/>
      <c r="AK27" s="62"/>
      <c r="AL27" s="63"/>
      <c r="AM27" s="63"/>
      <c r="AN27" s="64">
        <f t="shared" si="0"/>
        <v>0</v>
      </c>
    </row>
    <row r="28" spans="2:40" ht="20.100000000000001" customHeight="1" x14ac:dyDescent="0.15">
      <c r="B28" s="630"/>
      <c r="C28" s="631"/>
      <c r="D28" s="62"/>
      <c r="E28" s="63"/>
      <c r="F28" s="63"/>
      <c r="G28" s="62"/>
      <c r="H28" s="63"/>
      <c r="I28" s="63"/>
      <c r="J28" s="62"/>
      <c r="K28" s="63"/>
      <c r="L28" s="63"/>
      <c r="M28" s="62"/>
      <c r="N28" s="63"/>
      <c r="O28" s="63"/>
      <c r="P28" s="62"/>
      <c r="Q28" s="63"/>
      <c r="R28" s="63"/>
      <c r="S28" s="62"/>
      <c r="T28" s="63"/>
      <c r="U28" s="63"/>
      <c r="V28" s="62"/>
      <c r="W28" s="63"/>
      <c r="X28" s="63"/>
      <c r="Y28" s="62"/>
      <c r="Z28" s="63"/>
      <c r="AA28" s="63"/>
      <c r="AB28" s="62"/>
      <c r="AC28" s="63"/>
      <c r="AD28" s="63"/>
      <c r="AE28" s="62"/>
      <c r="AF28" s="63"/>
      <c r="AG28" s="63"/>
      <c r="AH28" s="62"/>
      <c r="AI28" s="63"/>
      <c r="AJ28" s="63"/>
      <c r="AK28" s="62"/>
      <c r="AL28" s="63"/>
      <c r="AM28" s="63"/>
      <c r="AN28" s="64">
        <f t="shared" si="0"/>
        <v>0</v>
      </c>
    </row>
    <row r="29" spans="2:40" ht="20.100000000000001" customHeight="1" x14ac:dyDescent="0.15">
      <c r="B29" s="630"/>
      <c r="C29" s="631"/>
      <c r="D29" s="62"/>
      <c r="E29" s="63"/>
      <c r="F29" s="63"/>
      <c r="G29" s="62"/>
      <c r="H29" s="63"/>
      <c r="I29" s="63"/>
      <c r="J29" s="62"/>
      <c r="K29" s="63"/>
      <c r="L29" s="63"/>
      <c r="M29" s="62"/>
      <c r="N29" s="63"/>
      <c r="O29" s="63"/>
      <c r="P29" s="62"/>
      <c r="Q29" s="63"/>
      <c r="R29" s="63"/>
      <c r="S29" s="62"/>
      <c r="T29" s="63"/>
      <c r="U29" s="63"/>
      <c r="V29" s="62"/>
      <c r="W29" s="63"/>
      <c r="X29" s="63"/>
      <c r="Y29" s="62"/>
      <c r="Z29" s="63"/>
      <c r="AA29" s="63"/>
      <c r="AB29" s="62"/>
      <c r="AC29" s="63"/>
      <c r="AD29" s="63"/>
      <c r="AE29" s="62"/>
      <c r="AF29" s="63"/>
      <c r="AG29" s="63"/>
      <c r="AH29" s="62"/>
      <c r="AI29" s="63"/>
      <c r="AJ29" s="63"/>
      <c r="AK29" s="62"/>
      <c r="AL29" s="63"/>
      <c r="AM29" s="63"/>
      <c r="AN29" s="64">
        <f t="shared" si="0"/>
        <v>0</v>
      </c>
    </row>
    <row r="30" spans="2:40" ht="20.100000000000001" customHeight="1" x14ac:dyDescent="0.15">
      <c r="B30" s="630"/>
      <c r="C30" s="631"/>
      <c r="D30" s="62"/>
      <c r="E30" s="63"/>
      <c r="F30" s="63"/>
      <c r="G30" s="62"/>
      <c r="H30" s="63"/>
      <c r="I30" s="63"/>
      <c r="J30" s="62"/>
      <c r="K30" s="63"/>
      <c r="L30" s="63"/>
      <c r="M30" s="62"/>
      <c r="N30" s="63"/>
      <c r="O30" s="63"/>
      <c r="P30" s="62"/>
      <c r="Q30" s="63"/>
      <c r="R30" s="63"/>
      <c r="S30" s="62"/>
      <c r="T30" s="63"/>
      <c r="U30" s="63"/>
      <c r="V30" s="62"/>
      <c r="W30" s="63"/>
      <c r="X30" s="63"/>
      <c r="Y30" s="62"/>
      <c r="Z30" s="63"/>
      <c r="AA30" s="63"/>
      <c r="AB30" s="62"/>
      <c r="AC30" s="63"/>
      <c r="AD30" s="63"/>
      <c r="AE30" s="62"/>
      <c r="AF30" s="63"/>
      <c r="AG30" s="63"/>
      <c r="AH30" s="62"/>
      <c r="AI30" s="63"/>
      <c r="AJ30" s="63"/>
      <c r="AK30" s="62"/>
      <c r="AL30" s="63"/>
      <c r="AM30" s="63"/>
      <c r="AN30" s="64">
        <f t="shared" si="0"/>
        <v>0</v>
      </c>
    </row>
    <row r="31" spans="2:40" ht="20.100000000000001" customHeight="1" x14ac:dyDescent="0.15">
      <c r="B31" s="630"/>
      <c r="C31" s="631"/>
      <c r="D31" s="62"/>
      <c r="E31" s="63"/>
      <c r="F31" s="63"/>
      <c r="G31" s="62"/>
      <c r="H31" s="63"/>
      <c r="I31" s="63"/>
      <c r="J31" s="62"/>
      <c r="K31" s="63"/>
      <c r="L31" s="63"/>
      <c r="M31" s="62"/>
      <c r="N31" s="63"/>
      <c r="O31" s="63"/>
      <c r="P31" s="62"/>
      <c r="Q31" s="63"/>
      <c r="R31" s="63"/>
      <c r="S31" s="62"/>
      <c r="T31" s="63"/>
      <c r="U31" s="63"/>
      <c r="V31" s="62"/>
      <c r="W31" s="63"/>
      <c r="X31" s="63"/>
      <c r="Y31" s="62"/>
      <c r="Z31" s="63"/>
      <c r="AA31" s="63"/>
      <c r="AB31" s="62"/>
      <c r="AC31" s="63"/>
      <c r="AD31" s="63"/>
      <c r="AE31" s="62"/>
      <c r="AF31" s="63"/>
      <c r="AG31" s="63"/>
      <c r="AH31" s="62"/>
      <c r="AI31" s="63"/>
      <c r="AJ31" s="63"/>
      <c r="AK31" s="62"/>
      <c r="AL31" s="63"/>
      <c r="AM31" s="63"/>
      <c r="AN31" s="64">
        <f t="shared" si="0"/>
        <v>0</v>
      </c>
    </row>
    <row r="32" spans="2:40" ht="20.100000000000001" customHeight="1" x14ac:dyDescent="0.15">
      <c r="B32" s="630"/>
      <c r="C32" s="631"/>
      <c r="D32" s="62"/>
      <c r="E32" s="63"/>
      <c r="F32" s="63"/>
      <c r="G32" s="62"/>
      <c r="H32" s="63"/>
      <c r="I32" s="63"/>
      <c r="J32" s="62"/>
      <c r="K32" s="63"/>
      <c r="L32" s="63"/>
      <c r="M32" s="62"/>
      <c r="N32" s="63"/>
      <c r="O32" s="63"/>
      <c r="P32" s="62"/>
      <c r="Q32" s="63"/>
      <c r="R32" s="63"/>
      <c r="S32" s="62"/>
      <c r="T32" s="63"/>
      <c r="U32" s="63"/>
      <c r="V32" s="62"/>
      <c r="W32" s="63"/>
      <c r="X32" s="63"/>
      <c r="Y32" s="62"/>
      <c r="Z32" s="63"/>
      <c r="AA32" s="63"/>
      <c r="AB32" s="62"/>
      <c r="AC32" s="63"/>
      <c r="AD32" s="63"/>
      <c r="AE32" s="62"/>
      <c r="AF32" s="63"/>
      <c r="AG32" s="63"/>
      <c r="AH32" s="62"/>
      <c r="AI32" s="63"/>
      <c r="AJ32" s="63"/>
      <c r="AK32" s="62"/>
      <c r="AL32" s="63"/>
      <c r="AM32" s="63"/>
      <c r="AN32" s="64">
        <f t="shared" si="0"/>
        <v>0</v>
      </c>
    </row>
    <row r="33" spans="2:40" ht="20.100000000000001" customHeight="1" x14ac:dyDescent="0.15">
      <c r="B33" s="630"/>
      <c r="C33" s="631"/>
      <c r="D33" s="62"/>
      <c r="E33" s="63"/>
      <c r="F33" s="63"/>
      <c r="G33" s="62"/>
      <c r="H33" s="63"/>
      <c r="I33" s="63"/>
      <c r="J33" s="62"/>
      <c r="K33" s="63"/>
      <c r="L33" s="63"/>
      <c r="M33" s="62"/>
      <c r="N33" s="63"/>
      <c r="O33" s="63"/>
      <c r="P33" s="62"/>
      <c r="Q33" s="63"/>
      <c r="R33" s="63"/>
      <c r="S33" s="62"/>
      <c r="T33" s="63"/>
      <c r="U33" s="63"/>
      <c r="V33" s="62"/>
      <c r="W33" s="63"/>
      <c r="X33" s="63"/>
      <c r="Y33" s="62"/>
      <c r="Z33" s="63"/>
      <c r="AA33" s="63"/>
      <c r="AB33" s="62"/>
      <c r="AC33" s="63"/>
      <c r="AD33" s="63"/>
      <c r="AE33" s="62"/>
      <c r="AF33" s="63"/>
      <c r="AG33" s="63"/>
      <c r="AH33" s="62"/>
      <c r="AI33" s="63"/>
      <c r="AJ33" s="63"/>
      <c r="AK33" s="62"/>
      <c r="AL33" s="63"/>
      <c r="AM33" s="63"/>
      <c r="AN33" s="64">
        <f t="shared" si="0"/>
        <v>0</v>
      </c>
    </row>
    <row r="34" spans="2:40" ht="20.100000000000001" customHeight="1" x14ac:dyDescent="0.15">
      <c r="B34" s="630"/>
      <c r="C34" s="631"/>
      <c r="D34" s="62"/>
      <c r="E34" s="63"/>
      <c r="F34" s="63"/>
      <c r="G34" s="62"/>
      <c r="H34" s="63"/>
      <c r="I34" s="63"/>
      <c r="J34" s="62"/>
      <c r="K34" s="63"/>
      <c r="L34" s="63"/>
      <c r="M34" s="62"/>
      <c r="N34" s="63"/>
      <c r="O34" s="63"/>
      <c r="P34" s="62"/>
      <c r="Q34" s="63"/>
      <c r="R34" s="63"/>
      <c r="S34" s="62"/>
      <c r="T34" s="63"/>
      <c r="U34" s="63"/>
      <c r="V34" s="62"/>
      <c r="W34" s="63"/>
      <c r="X34" s="63"/>
      <c r="Y34" s="62"/>
      <c r="Z34" s="63"/>
      <c r="AA34" s="63"/>
      <c r="AB34" s="62"/>
      <c r="AC34" s="63"/>
      <c r="AD34" s="63"/>
      <c r="AE34" s="62"/>
      <c r="AF34" s="63"/>
      <c r="AG34" s="63"/>
      <c r="AH34" s="62"/>
      <c r="AI34" s="63"/>
      <c r="AJ34" s="63"/>
      <c r="AK34" s="62"/>
      <c r="AL34" s="63"/>
      <c r="AM34" s="63"/>
      <c r="AN34" s="64">
        <f t="shared" si="0"/>
        <v>0</v>
      </c>
    </row>
    <row r="35" spans="2:40" ht="20.100000000000001" customHeight="1" x14ac:dyDescent="0.15">
      <c r="B35" s="630"/>
      <c r="C35" s="631"/>
      <c r="D35" s="62"/>
      <c r="E35" s="63"/>
      <c r="F35" s="63"/>
      <c r="G35" s="62"/>
      <c r="H35" s="63"/>
      <c r="I35" s="63"/>
      <c r="J35" s="62"/>
      <c r="K35" s="63"/>
      <c r="L35" s="63"/>
      <c r="M35" s="62"/>
      <c r="N35" s="63"/>
      <c r="O35" s="63"/>
      <c r="P35" s="62"/>
      <c r="Q35" s="63"/>
      <c r="R35" s="63"/>
      <c r="S35" s="62"/>
      <c r="T35" s="63"/>
      <c r="U35" s="63"/>
      <c r="V35" s="62"/>
      <c r="W35" s="63"/>
      <c r="X35" s="63"/>
      <c r="Y35" s="62"/>
      <c r="Z35" s="63"/>
      <c r="AA35" s="63"/>
      <c r="AB35" s="62"/>
      <c r="AC35" s="63"/>
      <c r="AD35" s="63"/>
      <c r="AE35" s="62"/>
      <c r="AF35" s="63"/>
      <c r="AG35" s="63"/>
      <c r="AH35" s="62"/>
      <c r="AI35" s="63"/>
      <c r="AJ35" s="63"/>
      <c r="AK35" s="62"/>
      <c r="AL35" s="63"/>
      <c r="AM35" s="63"/>
      <c r="AN35" s="64">
        <f t="shared" si="0"/>
        <v>0</v>
      </c>
    </row>
    <row r="36" spans="2:40" ht="20.100000000000001" customHeight="1" x14ac:dyDescent="0.15">
      <c r="B36" s="638" t="s">
        <v>99</v>
      </c>
      <c r="C36" s="639"/>
      <c r="D36" s="62">
        <f>SUM(D9:D35)</f>
        <v>0</v>
      </c>
      <c r="E36" s="65">
        <f t="shared" ref="E36:AM36" si="1">SUM(E9:E35)</f>
        <v>0</v>
      </c>
      <c r="F36" s="359">
        <f t="shared" si="1"/>
        <v>0</v>
      </c>
      <c r="G36" s="62">
        <f t="shared" si="1"/>
        <v>0</v>
      </c>
      <c r="H36" s="65">
        <f t="shared" si="1"/>
        <v>0</v>
      </c>
      <c r="I36" s="359">
        <f t="shared" si="1"/>
        <v>0</v>
      </c>
      <c r="J36" s="62">
        <f t="shared" si="1"/>
        <v>0</v>
      </c>
      <c r="K36" s="65">
        <f t="shared" si="1"/>
        <v>0</v>
      </c>
      <c r="L36" s="359">
        <f t="shared" si="1"/>
        <v>0</v>
      </c>
      <c r="M36" s="62">
        <f t="shared" si="1"/>
        <v>0</v>
      </c>
      <c r="N36" s="65">
        <f t="shared" si="1"/>
        <v>5.5</v>
      </c>
      <c r="O36" s="359">
        <f t="shared" si="1"/>
        <v>14</v>
      </c>
      <c r="P36" s="62">
        <f t="shared" si="1"/>
        <v>4.5</v>
      </c>
      <c r="Q36" s="65">
        <f t="shared" si="1"/>
        <v>2</v>
      </c>
      <c r="R36" s="359">
        <f t="shared" si="1"/>
        <v>2</v>
      </c>
      <c r="S36" s="62">
        <f t="shared" si="1"/>
        <v>3</v>
      </c>
      <c r="T36" s="65">
        <f t="shared" si="1"/>
        <v>16</v>
      </c>
      <c r="U36" s="359">
        <f t="shared" si="1"/>
        <v>17</v>
      </c>
      <c r="V36" s="62">
        <f t="shared" si="1"/>
        <v>6</v>
      </c>
      <c r="W36" s="65">
        <f t="shared" si="1"/>
        <v>2</v>
      </c>
      <c r="X36" s="359">
        <f t="shared" si="1"/>
        <v>3</v>
      </c>
      <c r="Y36" s="62">
        <f t="shared" si="1"/>
        <v>9</v>
      </c>
      <c r="Z36" s="65">
        <f t="shared" si="1"/>
        <v>9</v>
      </c>
      <c r="AA36" s="359">
        <f t="shared" si="1"/>
        <v>6</v>
      </c>
      <c r="AB36" s="62">
        <f t="shared" si="1"/>
        <v>5</v>
      </c>
      <c r="AC36" s="65">
        <f t="shared" si="1"/>
        <v>0</v>
      </c>
      <c r="AD36" s="359">
        <f t="shared" si="1"/>
        <v>0</v>
      </c>
      <c r="AE36" s="62">
        <f t="shared" si="1"/>
        <v>0</v>
      </c>
      <c r="AF36" s="65">
        <f t="shared" si="1"/>
        <v>0</v>
      </c>
      <c r="AG36" s="359">
        <f t="shared" si="1"/>
        <v>0</v>
      </c>
      <c r="AH36" s="62">
        <f t="shared" si="1"/>
        <v>0</v>
      </c>
      <c r="AI36" s="65">
        <f t="shared" si="1"/>
        <v>0</v>
      </c>
      <c r="AJ36" s="359">
        <f t="shared" si="1"/>
        <v>0</v>
      </c>
      <c r="AK36" s="62">
        <f t="shared" si="1"/>
        <v>0</v>
      </c>
      <c r="AL36" s="65">
        <f t="shared" si="1"/>
        <v>0</v>
      </c>
      <c r="AM36" s="359">
        <f t="shared" si="1"/>
        <v>0</v>
      </c>
      <c r="AN36" s="64">
        <f>SUM(D36:AM36)</f>
        <v>104</v>
      </c>
    </row>
    <row r="37" spans="2:40" ht="20.100000000000001" customHeight="1" thickBot="1" x14ac:dyDescent="0.2">
      <c r="B37" s="648" t="s">
        <v>100</v>
      </c>
      <c r="C37" s="649"/>
      <c r="D37" s="67"/>
      <c r="E37" s="68">
        <f>SUM(D36:F36)</f>
        <v>0</v>
      </c>
      <c r="F37" s="68"/>
      <c r="G37" s="67"/>
      <c r="H37" s="68">
        <f>SUM(G36:I36)</f>
        <v>0</v>
      </c>
      <c r="I37" s="68"/>
      <c r="J37" s="67"/>
      <c r="K37" s="68">
        <f>SUM(J36:L36)</f>
        <v>0</v>
      </c>
      <c r="L37" s="68"/>
      <c r="M37" s="67"/>
      <c r="N37" s="68">
        <f>SUM(M36:O36)</f>
        <v>19.5</v>
      </c>
      <c r="O37" s="68"/>
      <c r="P37" s="67"/>
      <c r="Q37" s="68">
        <f>SUM(P36:R36)</f>
        <v>8.5</v>
      </c>
      <c r="R37" s="68"/>
      <c r="S37" s="67"/>
      <c r="T37" s="68">
        <f>SUM(S36:U36)</f>
        <v>36</v>
      </c>
      <c r="U37" s="68"/>
      <c r="V37" s="67"/>
      <c r="W37" s="68">
        <f>SUM(V36:X36)</f>
        <v>11</v>
      </c>
      <c r="X37" s="68"/>
      <c r="Y37" s="67"/>
      <c r="Z37" s="68">
        <f>SUM(Y36:AA36)</f>
        <v>24</v>
      </c>
      <c r="AA37" s="68"/>
      <c r="AB37" s="67"/>
      <c r="AC37" s="68">
        <f>SUM(AB36:AD36)</f>
        <v>5</v>
      </c>
      <c r="AD37" s="68"/>
      <c r="AE37" s="67"/>
      <c r="AF37" s="68">
        <f>SUM(AE36:AG36)</f>
        <v>0</v>
      </c>
      <c r="AG37" s="68"/>
      <c r="AH37" s="67"/>
      <c r="AI37" s="68">
        <f>SUM(AH36:AJ36)</f>
        <v>0</v>
      </c>
      <c r="AJ37" s="68"/>
      <c r="AK37" s="67"/>
      <c r="AL37" s="68">
        <f>SUM(AK36:AM36)</f>
        <v>0</v>
      </c>
      <c r="AM37" s="68"/>
      <c r="AN37" s="69">
        <f>SUM(AN9:AN35)</f>
        <v>104</v>
      </c>
    </row>
    <row r="38" spans="2:40" ht="9.9499999999999993" customHeight="1" x14ac:dyDescent="0.15"/>
    <row r="39" spans="2:40" ht="24.95" customHeight="1" x14ac:dyDescent="0.15">
      <c r="B39" s="2" t="s">
        <v>197</v>
      </c>
      <c r="T39" s="353"/>
      <c r="U39" s="354"/>
    </row>
    <row r="40" spans="2:40" ht="9.9499999999999993" customHeight="1" thickBot="1" x14ac:dyDescent="0.2"/>
    <row r="41" spans="2:40" ht="20.100000000000001" customHeight="1" thickBot="1" x14ac:dyDescent="0.2">
      <c r="B41" s="1" t="s">
        <v>194</v>
      </c>
      <c r="C41" s="275">
        <v>110</v>
      </c>
      <c r="D41" s="1" t="s">
        <v>195</v>
      </c>
    </row>
    <row r="42" spans="2:40" ht="9.9499999999999993" customHeight="1" thickBot="1" x14ac:dyDescent="0.2"/>
    <row r="43" spans="2:40" ht="20.100000000000001" customHeight="1" x14ac:dyDescent="0.15">
      <c r="B43" s="621" t="s">
        <v>97</v>
      </c>
      <c r="C43" s="622"/>
      <c r="D43" s="625">
        <v>1</v>
      </c>
      <c r="E43" s="626"/>
      <c r="F43" s="627"/>
      <c r="G43" s="625">
        <v>2</v>
      </c>
      <c r="H43" s="626"/>
      <c r="I43" s="627"/>
      <c r="J43" s="625">
        <v>3</v>
      </c>
      <c r="K43" s="626"/>
      <c r="L43" s="627"/>
      <c r="M43" s="625">
        <v>4</v>
      </c>
      <c r="N43" s="626"/>
      <c r="O43" s="627"/>
      <c r="P43" s="625">
        <v>5</v>
      </c>
      <c r="Q43" s="626"/>
      <c r="R43" s="627"/>
      <c r="S43" s="625">
        <v>6</v>
      </c>
      <c r="T43" s="626"/>
      <c r="U43" s="627"/>
      <c r="V43" s="625">
        <v>7</v>
      </c>
      <c r="W43" s="626"/>
      <c r="X43" s="627"/>
      <c r="Y43" s="625">
        <v>8</v>
      </c>
      <c r="Z43" s="626"/>
      <c r="AA43" s="627"/>
      <c r="AB43" s="625">
        <v>9</v>
      </c>
      <c r="AC43" s="626"/>
      <c r="AD43" s="627"/>
      <c r="AE43" s="625">
        <v>10</v>
      </c>
      <c r="AF43" s="626"/>
      <c r="AG43" s="627"/>
      <c r="AH43" s="625">
        <v>11</v>
      </c>
      <c r="AI43" s="626"/>
      <c r="AJ43" s="627"/>
      <c r="AK43" s="625">
        <v>12</v>
      </c>
      <c r="AL43" s="626"/>
      <c r="AM43" s="627"/>
      <c r="AN43" s="628" t="s">
        <v>30</v>
      </c>
    </row>
    <row r="44" spans="2:40" ht="20.100000000000001" customHeight="1" x14ac:dyDescent="0.15">
      <c r="B44" s="623"/>
      <c r="C44" s="624"/>
      <c r="D44" s="53" t="s">
        <v>31</v>
      </c>
      <c r="E44" s="54" t="s">
        <v>32</v>
      </c>
      <c r="F44" s="55" t="s">
        <v>33</v>
      </c>
      <c r="G44" s="53" t="s">
        <v>31</v>
      </c>
      <c r="H44" s="55" t="s">
        <v>32</v>
      </c>
      <c r="I44" s="55" t="s">
        <v>33</v>
      </c>
      <c r="J44" s="53" t="s">
        <v>31</v>
      </c>
      <c r="K44" s="55" t="s">
        <v>32</v>
      </c>
      <c r="L44" s="55" t="s">
        <v>33</v>
      </c>
      <c r="M44" s="53" t="s">
        <v>31</v>
      </c>
      <c r="N44" s="55" t="s">
        <v>32</v>
      </c>
      <c r="O44" s="55" t="s">
        <v>33</v>
      </c>
      <c r="P44" s="53" t="s">
        <v>31</v>
      </c>
      <c r="Q44" s="55" t="s">
        <v>32</v>
      </c>
      <c r="R44" s="55" t="s">
        <v>33</v>
      </c>
      <c r="S44" s="53" t="s">
        <v>31</v>
      </c>
      <c r="T44" s="56" t="s">
        <v>32</v>
      </c>
      <c r="U44" s="56" t="s">
        <v>33</v>
      </c>
      <c r="V44" s="53" t="s">
        <v>31</v>
      </c>
      <c r="W44" s="55" t="s">
        <v>32</v>
      </c>
      <c r="X44" s="55" t="s">
        <v>33</v>
      </c>
      <c r="Y44" s="53" t="s">
        <v>31</v>
      </c>
      <c r="Z44" s="55" t="s">
        <v>32</v>
      </c>
      <c r="AA44" s="55" t="s">
        <v>33</v>
      </c>
      <c r="AB44" s="53" t="s">
        <v>31</v>
      </c>
      <c r="AC44" s="55" t="s">
        <v>32</v>
      </c>
      <c r="AD44" s="55" t="s">
        <v>33</v>
      </c>
      <c r="AE44" s="53" t="s">
        <v>31</v>
      </c>
      <c r="AF44" s="55" t="s">
        <v>32</v>
      </c>
      <c r="AG44" s="55" t="s">
        <v>33</v>
      </c>
      <c r="AH44" s="53" t="s">
        <v>31</v>
      </c>
      <c r="AI44" s="55" t="s">
        <v>32</v>
      </c>
      <c r="AJ44" s="55" t="s">
        <v>33</v>
      </c>
      <c r="AK44" s="53" t="s">
        <v>31</v>
      </c>
      <c r="AL44" s="55" t="s">
        <v>32</v>
      </c>
      <c r="AM44" s="55" t="s">
        <v>33</v>
      </c>
      <c r="AN44" s="629"/>
    </row>
    <row r="45" spans="2:40" ht="20.100000000000001" customHeight="1" x14ac:dyDescent="0.15">
      <c r="B45" s="642" t="s">
        <v>202</v>
      </c>
      <c r="C45" s="624"/>
      <c r="D45" s="62">
        <f t="shared" ref="D45:AM45" si="2">D36*$E$55/10</f>
        <v>0</v>
      </c>
      <c r="E45" s="65">
        <f t="shared" si="2"/>
        <v>0</v>
      </c>
      <c r="F45" s="66">
        <f t="shared" si="2"/>
        <v>0</v>
      </c>
      <c r="G45" s="62">
        <f t="shared" si="2"/>
        <v>0</v>
      </c>
      <c r="H45" s="65">
        <f t="shared" si="2"/>
        <v>0</v>
      </c>
      <c r="I45" s="66">
        <f t="shared" si="2"/>
        <v>0</v>
      </c>
      <c r="J45" s="62">
        <f t="shared" si="2"/>
        <v>0</v>
      </c>
      <c r="K45" s="65">
        <f t="shared" si="2"/>
        <v>0</v>
      </c>
      <c r="L45" s="66">
        <f t="shared" si="2"/>
        <v>0</v>
      </c>
      <c r="M45" s="62">
        <f t="shared" si="2"/>
        <v>0</v>
      </c>
      <c r="N45" s="65">
        <f t="shared" si="2"/>
        <v>62.279411764705891</v>
      </c>
      <c r="O45" s="66">
        <f t="shared" si="2"/>
        <v>158.52941176470591</v>
      </c>
      <c r="P45" s="62">
        <f t="shared" si="2"/>
        <v>50.955882352941181</v>
      </c>
      <c r="Q45" s="65">
        <f t="shared" si="2"/>
        <v>22.647058823529413</v>
      </c>
      <c r="R45" s="66">
        <f t="shared" si="2"/>
        <v>22.647058823529413</v>
      </c>
      <c r="S45" s="62">
        <f t="shared" si="2"/>
        <v>33.970588235294123</v>
      </c>
      <c r="T45" s="65">
        <f t="shared" si="2"/>
        <v>181.1764705882353</v>
      </c>
      <c r="U45" s="66">
        <f t="shared" si="2"/>
        <v>192.50000000000003</v>
      </c>
      <c r="V45" s="62">
        <f t="shared" si="2"/>
        <v>67.941176470588246</v>
      </c>
      <c r="W45" s="65">
        <f t="shared" si="2"/>
        <v>22.647058823529413</v>
      </c>
      <c r="X45" s="66">
        <f t="shared" si="2"/>
        <v>33.970588235294123</v>
      </c>
      <c r="Y45" s="62">
        <f t="shared" si="2"/>
        <v>101.91176470588236</v>
      </c>
      <c r="Z45" s="65">
        <f t="shared" si="2"/>
        <v>101.91176470588236</v>
      </c>
      <c r="AA45" s="66">
        <f t="shared" si="2"/>
        <v>67.941176470588246</v>
      </c>
      <c r="AB45" s="62">
        <f t="shared" si="2"/>
        <v>56.617647058823536</v>
      </c>
      <c r="AC45" s="65">
        <f t="shared" si="2"/>
        <v>0</v>
      </c>
      <c r="AD45" s="66">
        <f t="shared" si="2"/>
        <v>0</v>
      </c>
      <c r="AE45" s="62">
        <f t="shared" si="2"/>
        <v>0</v>
      </c>
      <c r="AF45" s="65">
        <f t="shared" si="2"/>
        <v>0</v>
      </c>
      <c r="AG45" s="66">
        <f t="shared" si="2"/>
        <v>0</v>
      </c>
      <c r="AH45" s="62">
        <f t="shared" si="2"/>
        <v>0</v>
      </c>
      <c r="AI45" s="65">
        <f t="shared" si="2"/>
        <v>0</v>
      </c>
      <c r="AJ45" s="66">
        <f t="shared" si="2"/>
        <v>0</v>
      </c>
      <c r="AK45" s="62">
        <f t="shared" si="2"/>
        <v>0</v>
      </c>
      <c r="AL45" s="65">
        <f t="shared" si="2"/>
        <v>0</v>
      </c>
      <c r="AM45" s="66">
        <f t="shared" si="2"/>
        <v>0</v>
      </c>
      <c r="AN45" s="64">
        <f t="shared" ref="AN45:AN49" si="3">SUM(D45:AM45)</f>
        <v>1177.6470588235297</v>
      </c>
    </row>
    <row r="46" spans="2:40" ht="20.100000000000001" customHeight="1" thickBot="1" x14ac:dyDescent="0.2">
      <c r="B46" s="634" t="s">
        <v>100</v>
      </c>
      <c r="C46" s="635"/>
      <c r="D46" s="278"/>
      <c r="E46" s="274">
        <f>SUM(D45:F45)</f>
        <v>0</v>
      </c>
      <c r="F46" s="274"/>
      <c r="G46" s="278"/>
      <c r="H46" s="274">
        <f>SUM(G45:I45)</f>
        <v>0</v>
      </c>
      <c r="I46" s="274"/>
      <c r="J46" s="278"/>
      <c r="K46" s="274">
        <f>SUM(J45:L45)</f>
        <v>0</v>
      </c>
      <c r="L46" s="274"/>
      <c r="M46" s="278"/>
      <c r="N46" s="274">
        <f>SUM(M45:O45)</f>
        <v>220.8088235294118</v>
      </c>
      <c r="O46" s="274"/>
      <c r="P46" s="278"/>
      <c r="Q46" s="274">
        <f>SUM(P45:R45)</f>
        <v>96.25</v>
      </c>
      <c r="R46" s="274"/>
      <c r="S46" s="278"/>
      <c r="T46" s="274">
        <f>SUM(S45:U45)</f>
        <v>407.64705882352945</v>
      </c>
      <c r="U46" s="274"/>
      <c r="V46" s="278"/>
      <c r="W46" s="274">
        <f>SUM(V45:X45)</f>
        <v>124.55882352941177</v>
      </c>
      <c r="X46" s="274"/>
      <c r="Y46" s="278"/>
      <c r="Z46" s="274">
        <f>SUM(Y45:AA45)</f>
        <v>271.76470588235298</v>
      </c>
      <c r="AA46" s="274"/>
      <c r="AB46" s="278"/>
      <c r="AC46" s="274">
        <f>SUM(AB45:AD45)</f>
        <v>56.617647058823536</v>
      </c>
      <c r="AD46" s="274"/>
      <c r="AE46" s="278"/>
      <c r="AF46" s="274">
        <f>SUM(AE45:AG45)</f>
        <v>0</v>
      </c>
      <c r="AG46" s="274"/>
      <c r="AH46" s="278"/>
      <c r="AI46" s="274">
        <f>SUM(AH45:AJ45)</f>
        <v>0</v>
      </c>
      <c r="AJ46" s="274"/>
      <c r="AK46" s="278"/>
      <c r="AL46" s="274">
        <f>SUM(AK45:AM45)</f>
        <v>0</v>
      </c>
      <c r="AM46" s="274"/>
      <c r="AN46" s="279">
        <f t="shared" si="3"/>
        <v>1177.6470588235293</v>
      </c>
    </row>
    <row r="47" spans="2:40" ht="20.100000000000001" customHeight="1" thickTop="1" x14ac:dyDescent="0.15">
      <c r="B47" s="643" t="s">
        <v>200</v>
      </c>
      <c r="C47" s="280" t="s">
        <v>198</v>
      </c>
      <c r="D47" s="281"/>
      <c r="E47" s="282"/>
      <c r="F47" s="282"/>
      <c r="G47" s="281"/>
      <c r="H47" s="282"/>
      <c r="I47" s="282"/>
      <c r="J47" s="281"/>
      <c r="K47" s="282"/>
      <c r="L47" s="282"/>
      <c r="M47" s="281"/>
      <c r="N47" s="282">
        <f>N45/2.5*1</f>
        <v>24.911764705882355</v>
      </c>
      <c r="O47" s="363">
        <f t="shared" ref="O47:AB47" si="4">O45/2.5*1</f>
        <v>63.411764705882362</v>
      </c>
      <c r="P47" s="364">
        <f t="shared" si="4"/>
        <v>20.382352941176471</v>
      </c>
      <c r="Q47" s="282">
        <f t="shared" si="4"/>
        <v>9.0588235294117645</v>
      </c>
      <c r="R47" s="363">
        <f t="shared" si="4"/>
        <v>9.0588235294117645</v>
      </c>
      <c r="S47" s="364">
        <f t="shared" si="4"/>
        <v>13.588235294117649</v>
      </c>
      <c r="T47" s="282">
        <f t="shared" si="4"/>
        <v>72.470588235294116</v>
      </c>
      <c r="U47" s="363">
        <f t="shared" si="4"/>
        <v>77.000000000000014</v>
      </c>
      <c r="V47" s="364">
        <f t="shared" si="4"/>
        <v>27.176470588235297</v>
      </c>
      <c r="W47" s="282">
        <f t="shared" si="4"/>
        <v>9.0588235294117645</v>
      </c>
      <c r="X47" s="363">
        <f t="shared" si="4"/>
        <v>13.588235294117649</v>
      </c>
      <c r="Y47" s="364">
        <f t="shared" si="4"/>
        <v>40.764705882352942</v>
      </c>
      <c r="Z47" s="282">
        <f t="shared" si="4"/>
        <v>40.764705882352942</v>
      </c>
      <c r="AA47" s="363">
        <f t="shared" si="4"/>
        <v>27.176470588235297</v>
      </c>
      <c r="AB47" s="364">
        <f t="shared" si="4"/>
        <v>22.647058823529413</v>
      </c>
      <c r="AC47" s="397"/>
      <c r="AD47" s="282"/>
      <c r="AE47" s="281"/>
      <c r="AF47" s="282"/>
      <c r="AG47" s="282"/>
      <c r="AH47" s="281"/>
      <c r="AI47" s="282"/>
      <c r="AJ47" s="282"/>
      <c r="AK47" s="281"/>
      <c r="AL47" s="282"/>
      <c r="AM47" s="282"/>
      <c r="AN47" s="283">
        <f t="shared" si="3"/>
        <v>471.05882352941177</v>
      </c>
    </row>
    <row r="48" spans="2:40" ht="20.100000000000001" customHeight="1" x14ac:dyDescent="0.15">
      <c r="B48" s="644"/>
      <c r="C48" s="276" t="s">
        <v>199</v>
      </c>
      <c r="D48" s="284"/>
      <c r="E48" s="63"/>
      <c r="F48" s="63"/>
      <c r="G48" s="284"/>
      <c r="H48" s="63"/>
      <c r="I48" s="63"/>
      <c r="J48" s="284"/>
      <c r="K48" s="63"/>
      <c r="L48" s="63"/>
      <c r="M48" s="284"/>
      <c r="N48" s="65">
        <f>N45/2.5*1</f>
        <v>24.911764705882355</v>
      </c>
      <c r="O48" s="361">
        <f t="shared" ref="O48:AB48" si="5">O45/2.5*1</f>
        <v>63.411764705882362</v>
      </c>
      <c r="P48" s="358">
        <f t="shared" si="5"/>
        <v>20.382352941176471</v>
      </c>
      <c r="Q48" s="65">
        <f t="shared" si="5"/>
        <v>9.0588235294117645</v>
      </c>
      <c r="R48" s="361">
        <f t="shared" si="5"/>
        <v>9.0588235294117645</v>
      </c>
      <c r="S48" s="358">
        <f t="shared" si="5"/>
        <v>13.588235294117649</v>
      </c>
      <c r="T48" s="65">
        <f t="shared" si="5"/>
        <v>72.470588235294116</v>
      </c>
      <c r="U48" s="361">
        <f t="shared" si="5"/>
        <v>77.000000000000014</v>
      </c>
      <c r="V48" s="358">
        <f t="shared" si="5"/>
        <v>27.176470588235297</v>
      </c>
      <c r="W48" s="65">
        <f t="shared" si="5"/>
        <v>9.0588235294117645</v>
      </c>
      <c r="X48" s="361">
        <f t="shared" si="5"/>
        <v>13.588235294117649</v>
      </c>
      <c r="Y48" s="358">
        <f t="shared" si="5"/>
        <v>40.764705882352942</v>
      </c>
      <c r="Z48" s="65">
        <f t="shared" si="5"/>
        <v>40.764705882352942</v>
      </c>
      <c r="AA48" s="361">
        <f t="shared" si="5"/>
        <v>27.176470588235297</v>
      </c>
      <c r="AB48" s="396">
        <f t="shared" si="5"/>
        <v>22.647058823529413</v>
      </c>
      <c r="AC48" s="65"/>
      <c r="AD48" s="63"/>
      <c r="AE48" s="284"/>
      <c r="AF48" s="63"/>
      <c r="AG48" s="63"/>
      <c r="AH48" s="284"/>
      <c r="AI48" s="63"/>
      <c r="AJ48" s="63"/>
      <c r="AK48" s="284"/>
      <c r="AL48" s="63"/>
      <c r="AM48" s="63"/>
      <c r="AN48" s="64">
        <f t="shared" si="3"/>
        <v>471.05882352941177</v>
      </c>
    </row>
    <row r="49" spans="2:40" ht="20.100000000000001" customHeight="1" x14ac:dyDescent="0.15">
      <c r="B49" s="644"/>
      <c r="C49" s="276" t="s">
        <v>205</v>
      </c>
      <c r="D49" s="284"/>
      <c r="E49" s="63"/>
      <c r="F49" s="63"/>
      <c r="G49" s="284"/>
      <c r="H49" s="63"/>
      <c r="I49" s="63"/>
      <c r="J49" s="284"/>
      <c r="K49" s="63"/>
      <c r="L49" s="63"/>
      <c r="M49" s="284"/>
      <c r="N49" s="63">
        <f>N45/2.5*0.5</f>
        <v>12.455882352941178</v>
      </c>
      <c r="O49" s="362">
        <f t="shared" ref="O49:AB49" si="6">O45/2.5*0.5</f>
        <v>31.705882352941181</v>
      </c>
      <c r="P49" s="359">
        <f t="shared" si="6"/>
        <v>10.191176470588236</v>
      </c>
      <c r="Q49" s="63">
        <f t="shared" si="6"/>
        <v>4.5294117647058822</v>
      </c>
      <c r="R49" s="362">
        <f t="shared" si="6"/>
        <v>4.5294117647058822</v>
      </c>
      <c r="S49" s="359">
        <f t="shared" si="6"/>
        <v>6.7941176470588243</v>
      </c>
      <c r="T49" s="63">
        <f t="shared" si="6"/>
        <v>36.235294117647058</v>
      </c>
      <c r="U49" s="362">
        <f t="shared" si="6"/>
        <v>38.500000000000007</v>
      </c>
      <c r="V49" s="359">
        <f t="shared" si="6"/>
        <v>13.588235294117649</v>
      </c>
      <c r="W49" s="63">
        <f t="shared" si="6"/>
        <v>4.5294117647058822</v>
      </c>
      <c r="X49" s="362">
        <f t="shared" si="6"/>
        <v>6.7941176470588243</v>
      </c>
      <c r="Y49" s="359">
        <f t="shared" si="6"/>
        <v>20.382352941176471</v>
      </c>
      <c r="Z49" s="63">
        <f t="shared" si="6"/>
        <v>20.382352941176471</v>
      </c>
      <c r="AA49" s="362">
        <f t="shared" si="6"/>
        <v>13.588235294117649</v>
      </c>
      <c r="AB49" s="359">
        <f t="shared" si="6"/>
        <v>11.323529411764707</v>
      </c>
      <c r="AC49" s="398"/>
      <c r="AD49" s="63"/>
      <c r="AE49" s="284"/>
      <c r="AF49" s="63"/>
      <c r="AG49" s="63"/>
      <c r="AH49" s="284"/>
      <c r="AI49" s="63"/>
      <c r="AJ49" s="63"/>
      <c r="AK49" s="284"/>
      <c r="AL49" s="63"/>
      <c r="AM49" s="63"/>
      <c r="AN49" s="64">
        <f t="shared" si="3"/>
        <v>235.52941176470588</v>
      </c>
    </row>
    <row r="50" spans="2:40" ht="20.100000000000001" customHeight="1" x14ac:dyDescent="0.15">
      <c r="B50" s="644"/>
      <c r="C50" s="277"/>
      <c r="D50" s="284"/>
      <c r="E50" s="63"/>
      <c r="F50" s="63"/>
      <c r="G50" s="284"/>
      <c r="H50" s="63"/>
      <c r="I50" s="63"/>
      <c r="J50" s="284"/>
      <c r="K50" s="63"/>
      <c r="L50" s="63"/>
      <c r="M50" s="284"/>
      <c r="N50" s="63"/>
      <c r="O50" s="362"/>
      <c r="P50" s="359"/>
      <c r="Q50" s="63"/>
      <c r="R50" s="362"/>
      <c r="S50" s="359"/>
      <c r="T50" s="63"/>
      <c r="U50" s="362"/>
      <c r="V50" s="359"/>
      <c r="W50" s="63"/>
      <c r="X50" s="362"/>
      <c r="Y50" s="359"/>
      <c r="Z50" s="63"/>
      <c r="AA50" s="362"/>
      <c r="AB50" s="359"/>
      <c r="AC50" s="398"/>
      <c r="AD50" s="63"/>
      <c r="AE50" s="284"/>
      <c r="AF50" s="63"/>
      <c r="AG50" s="63"/>
      <c r="AH50" s="284"/>
      <c r="AI50" s="63"/>
      <c r="AJ50" s="63"/>
      <c r="AK50" s="284"/>
      <c r="AL50" s="63"/>
      <c r="AM50" s="63"/>
      <c r="AN50" s="64">
        <f t="shared" ref="AN50:AN52" si="7">SUM(D50:AM50)</f>
        <v>0</v>
      </c>
    </row>
    <row r="51" spans="2:40" ht="20.100000000000001" customHeight="1" thickBot="1" x14ac:dyDescent="0.2">
      <c r="B51" s="645"/>
      <c r="C51" s="291" t="s">
        <v>203</v>
      </c>
      <c r="D51" s="285">
        <f>SUM(D47:D50)</f>
        <v>0</v>
      </c>
      <c r="E51" s="286">
        <f t="shared" ref="E51:AM51" si="8">SUM(E47:E50)</f>
        <v>0</v>
      </c>
      <c r="F51" s="286">
        <f t="shared" si="8"/>
        <v>0</v>
      </c>
      <c r="G51" s="285">
        <f t="shared" si="8"/>
        <v>0</v>
      </c>
      <c r="H51" s="286">
        <f t="shared" si="8"/>
        <v>0</v>
      </c>
      <c r="I51" s="286">
        <f t="shared" si="8"/>
        <v>0</v>
      </c>
      <c r="J51" s="285">
        <f t="shared" si="8"/>
        <v>0</v>
      </c>
      <c r="K51" s="286">
        <f t="shared" si="8"/>
        <v>0</v>
      </c>
      <c r="L51" s="286">
        <f t="shared" si="8"/>
        <v>0</v>
      </c>
      <c r="M51" s="285">
        <f t="shared" si="8"/>
        <v>0</v>
      </c>
      <c r="N51" s="286">
        <f>SUM(N47:N50)</f>
        <v>62.279411764705884</v>
      </c>
      <c r="O51" s="367">
        <f t="shared" ref="O51:AB51" si="9">SUM(O47:O50)</f>
        <v>158.52941176470591</v>
      </c>
      <c r="P51" s="360">
        <f t="shared" si="9"/>
        <v>50.955882352941174</v>
      </c>
      <c r="Q51" s="286">
        <f t="shared" si="9"/>
        <v>22.647058823529413</v>
      </c>
      <c r="R51" s="367">
        <f t="shared" si="9"/>
        <v>22.647058823529413</v>
      </c>
      <c r="S51" s="360">
        <f t="shared" si="9"/>
        <v>33.970588235294123</v>
      </c>
      <c r="T51" s="286">
        <f t="shared" si="9"/>
        <v>181.1764705882353</v>
      </c>
      <c r="U51" s="367">
        <f>SUM(U47:U50)</f>
        <v>192.50000000000003</v>
      </c>
      <c r="V51" s="360">
        <f t="shared" si="9"/>
        <v>67.941176470588246</v>
      </c>
      <c r="W51" s="286">
        <f t="shared" si="9"/>
        <v>22.647058823529413</v>
      </c>
      <c r="X51" s="367">
        <f t="shared" si="9"/>
        <v>33.970588235294123</v>
      </c>
      <c r="Y51" s="360">
        <f t="shared" si="9"/>
        <v>101.91176470588235</v>
      </c>
      <c r="Z51" s="286">
        <f t="shared" si="9"/>
        <v>101.91176470588235</v>
      </c>
      <c r="AA51" s="367">
        <f t="shared" si="9"/>
        <v>67.941176470588246</v>
      </c>
      <c r="AB51" s="360">
        <f t="shared" si="9"/>
        <v>56.617647058823536</v>
      </c>
      <c r="AC51" s="399"/>
      <c r="AD51" s="286">
        <f t="shared" si="8"/>
        <v>0</v>
      </c>
      <c r="AE51" s="285">
        <f t="shared" si="8"/>
        <v>0</v>
      </c>
      <c r="AF51" s="286">
        <f t="shared" si="8"/>
        <v>0</v>
      </c>
      <c r="AG51" s="286">
        <f t="shared" si="8"/>
        <v>0</v>
      </c>
      <c r="AH51" s="285">
        <f t="shared" si="8"/>
        <v>0</v>
      </c>
      <c r="AI51" s="286">
        <f t="shared" si="8"/>
        <v>0</v>
      </c>
      <c r="AJ51" s="286">
        <f t="shared" si="8"/>
        <v>0</v>
      </c>
      <c r="AK51" s="285">
        <f t="shared" si="8"/>
        <v>0</v>
      </c>
      <c r="AL51" s="286">
        <f t="shared" si="8"/>
        <v>0</v>
      </c>
      <c r="AM51" s="286">
        <f t="shared" si="8"/>
        <v>0</v>
      </c>
      <c r="AN51" s="287">
        <f t="shared" si="7"/>
        <v>1177.6470588235297</v>
      </c>
    </row>
    <row r="52" spans="2:40" ht="20.100000000000001" customHeight="1" thickTop="1" x14ac:dyDescent="0.15">
      <c r="B52" s="646" t="s">
        <v>204</v>
      </c>
      <c r="C52" s="647"/>
      <c r="D52" s="292">
        <f>D51-D45</f>
        <v>0</v>
      </c>
      <c r="E52" s="293">
        <f t="shared" ref="E52:AM52" si="10">E51-E45</f>
        <v>0</v>
      </c>
      <c r="F52" s="293">
        <f t="shared" si="10"/>
        <v>0</v>
      </c>
      <c r="G52" s="292">
        <f t="shared" si="10"/>
        <v>0</v>
      </c>
      <c r="H52" s="293">
        <f t="shared" si="10"/>
        <v>0</v>
      </c>
      <c r="I52" s="293">
        <f t="shared" si="10"/>
        <v>0</v>
      </c>
      <c r="J52" s="292">
        <f t="shared" si="10"/>
        <v>0</v>
      </c>
      <c r="K52" s="293">
        <f t="shared" si="10"/>
        <v>0</v>
      </c>
      <c r="L52" s="293">
        <f t="shared" si="10"/>
        <v>0</v>
      </c>
      <c r="M52" s="292">
        <f t="shared" si="10"/>
        <v>0</v>
      </c>
      <c r="N52" s="293">
        <f>N51-N45</f>
        <v>0</v>
      </c>
      <c r="O52" s="368">
        <f t="shared" ref="O52:AB52" si="11">O51-O45</f>
        <v>0</v>
      </c>
      <c r="P52" s="365">
        <f t="shared" si="11"/>
        <v>0</v>
      </c>
      <c r="Q52" s="293">
        <f t="shared" si="11"/>
        <v>0</v>
      </c>
      <c r="R52" s="368">
        <f t="shared" si="11"/>
        <v>0</v>
      </c>
      <c r="S52" s="365">
        <f t="shared" si="11"/>
        <v>0</v>
      </c>
      <c r="T52" s="293">
        <f t="shared" si="11"/>
        <v>0</v>
      </c>
      <c r="U52" s="368">
        <f t="shared" si="11"/>
        <v>0</v>
      </c>
      <c r="V52" s="365">
        <f t="shared" si="11"/>
        <v>0</v>
      </c>
      <c r="W52" s="293">
        <f t="shared" si="11"/>
        <v>0</v>
      </c>
      <c r="X52" s="368">
        <f t="shared" si="11"/>
        <v>0</v>
      </c>
      <c r="Y52" s="365">
        <f t="shared" si="11"/>
        <v>0</v>
      </c>
      <c r="Z52" s="293">
        <f t="shared" si="11"/>
        <v>0</v>
      </c>
      <c r="AA52" s="368">
        <f t="shared" si="11"/>
        <v>0</v>
      </c>
      <c r="AB52" s="365">
        <f t="shared" si="11"/>
        <v>0</v>
      </c>
      <c r="AC52" s="293"/>
      <c r="AD52" s="293">
        <f t="shared" si="10"/>
        <v>0</v>
      </c>
      <c r="AE52" s="292">
        <f t="shared" si="10"/>
        <v>0</v>
      </c>
      <c r="AF52" s="293">
        <f t="shared" si="10"/>
        <v>0</v>
      </c>
      <c r="AG52" s="293">
        <f t="shared" si="10"/>
        <v>0</v>
      </c>
      <c r="AH52" s="292">
        <f t="shared" si="10"/>
        <v>0</v>
      </c>
      <c r="AI52" s="294">
        <f t="shared" si="10"/>
        <v>0</v>
      </c>
      <c r="AJ52" s="293">
        <f t="shared" si="10"/>
        <v>0</v>
      </c>
      <c r="AK52" s="292">
        <f t="shared" si="10"/>
        <v>0</v>
      </c>
      <c r="AL52" s="293">
        <f t="shared" si="10"/>
        <v>0</v>
      </c>
      <c r="AM52" s="293">
        <f t="shared" si="10"/>
        <v>0</v>
      </c>
      <c r="AN52" s="283">
        <f t="shared" si="7"/>
        <v>0</v>
      </c>
    </row>
    <row r="53" spans="2:40" ht="20.100000000000001" customHeight="1" thickBot="1" x14ac:dyDescent="0.2">
      <c r="B53" s="640" t="s">
        <v>201</v>
      </c>
      <c r="C53" s="641"/>
      <c r="D53" s="288"/>
      <c r="E53" s="289"/>
      <c r="F53" s="289"/>
      <c r="G53" s="288"/>
      <c r="H53" s="289"/>
      <c r="I53" s="289"/>
      <c r="J53" s="288"/>
      <c r="K53" s="289"/>
      <c r="L53" s="289"/>
      <c r="M53" s="288"/>
      <c r="N53" s="289"/>
      <c r="O53" s="369"/>
      <c r="P53" s="366"/>
      <c r="Q53" s="289"/>
      <c r="R53" s="369"/>
      <c r="S53" s="366"/>
      <c r="T53" s="289"/>
      <c r="U53" s="369"/>
      <c r="V53" s="366"/>
      <c r="W53" s="289"/>
      <c r="X53" s="369"/>
      <c r="Y53" s="366"/>
      <c r="Z53" s="289"/>
      <c r="AA53" s="369"/>
      <c r="AB53" s="366"/>
      <c r="AC53" s="289"/>
      <c r="AD53" s="289"/>
      <c r="AE53" s="288"/>
      <c r="AF53" s="289"/>
      <c r="AG53" s="289"/>
      <c r="AH53" s="288"/>
      <c r="AI53" s="289"/>
      <c r="AJ53" s="289"/>
      <c r="AK53" s="288"/>
      <c r="AL53" s="289"/>
      <c r="AM53" s="289"/>
      <c r="AN53" s="290"/>
    </row>
    <row r="55" spans="2:40" x14ac:dyDescent="0.15">
      <c r="E55" s="357">
        <f>2.5*10.5*22/3/U36*10</f>
        <v>113.23529411764707</v>
      </c>
    </row>
  </sheetData>
  <mergeCells count="63">
    <mergeCell ref="B52:C52"/>
    <mergeCell ref="B37:C37"/>
    <mergeCell ref="B43:C44"/>
    <mergeCell ref="B25:C25"/>
    <mergeCell ref="B26:C26"/>
    <mergeCell ref="B27:C27"/>
    <mergeCell ref="B28:C28"/>
    <mergeCell ref="B29:C29"/>
    <mergeCell ref="B53:C53"/>
    <mergeCell ref="AK43:AM43"/>
    <mergeCell ref="AN43:AN44"/>
    <mergeCell ref="B45:C45"/>
    <mergeCell ref="B46:C46"/>
    <mergeCell ref="B47:B51"/>
    <mergeCell ref="V43:X43"/>
    <mergeCell ref="Y43:AA43"/>
    <mergeCell ref="AB43:AD43"/>
    <mergeCell ref="AE43:AG43"/>
    <mergeCell ref="AH43:AJ43"/>
    <mergeCell ref="G43:I43"/>
    <mergeCell ref="J43:L43"/>
    <mergeCell ref="M43:O43"/>
    <mergeCell ref="P43:R43"/>
    <mergeCell ref="S43:U43"/>
    <mergeCell ref="D43:F43"/>
    <mergeCell ref="B34:C34"/>
    <mergeCell ref="B35:C35"/>
    <mergeCell ref="B36:C36"/>
    <mergeCell ref="B30:C30"/>
    <mergeCell ref="B31:C31"/>
    <mergeCell ref="B32:C32"/>
    <mergeCell ref="B33:C33"/>
    <mergeCell ref="B24:C24"/>
    <mergeCell ref="B15:C15"/>
    <mergeCell ref="B6:C8"/>
    <mergeCell ref="B10:C10"/>
    <mergeCell ref="B11:C11"/>
    <mergeCell ref="B12:C12"/>
    <mergeCell ref="B13:C13"/>
    <mergeCell ref="B16:C16"/>
    <mergeCell ref="B14:C14"/>
    <mergeCell ref="B17:C17"/>
    <mergeCell ref="B18:C18"/>
    <mergeCell ref="B19:C19"/>
    <mergeCell ref="B20:C20"/>
    <mergeCell ref="B21:C21"/>
    <mergeCell ref="B22:C22"/>
    <mergeCell ref="B23:C23"/>
    <mergeCell ref="M4:O4"/>
    <mergeCell ref="P4:R4"/>
    <mergeCell ref="AK4:AM4"/>
    <mergeCell ref="AN4:AN5"/>
    <mergeCell ref="S4:U4"/>
    <mergeCell ref="V4:X4"/>
    <mergeCell ref="Y4:AA4"/>
    <mergeCell ref="AB4:AD4"/>
    <mergeCell ref="AE4:AG4"/>
    <mergeCell ref="AH4:AJ4"/>
    <mergeCell ref="B9:C9"/>
    <mergeCell ref="B4:C5"/>
    <mergeCell ref="D4:F4"/>
    <mergeCell ref="G4:I4"/>
    <mergeCell ref="J4:L4"/>
  </mergeCells>
  <phoneticPr fontId="4"/>
  <pageMargins left="0.78740157480314965" right="0.78740157480314965" top="0.78740157480314965" bottom="0.78740157480314965" header="0.39370078740157483" footer="0.39370078740157483"/>
  <pageSetup paperSize="9" scale="50" orientation="landscape" r:id="rId1"/>
  <headerFooter alignWithMargins="0"/>
  <rowBreaks count="1" manualBreakCount="1">
    <brk id="46" max="39" man="1"/>
  </rowBreaks>
  <colBreaks count="1" manualBreakCount="1">
    <brk id="13" max="5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7"/>
  <sheetViews>
    <sheetView view="pageBreakPreview" topLeftCell="C1" zoomScale="80" zoomScaleNormal="75" zoomScaleSheetLayoutView="80" workbookViewId="0">
      <selection activeCell="N13" sqref="N13"/>
    </sheetView>
  </sheetViews>
  <sheetFormatPr defaultRowHeight="13.5" x14ac:dyDescent="0.15"/>
  <cols>
    <col min="1" max="1" width="1.625" style="31" customWidth="1"/>
    <col min="2" max="2" width="5" style="31" customWidth="1"/>
    <col min="3" max="3" width="22.5" style="31" bestFit="1" customWidth="1"/>
    <col min="4" max="4" width="30" style="31" bestFit="1" customWidth="1"/>
    <col min="5" max="6" width="6" style="31" bestFit="1" customWidth="1"/>
    <col min="7" max="7" width="17.625" style="31" customWidth="1"/>
    <col min="8" max="8" width="10.625" style="31" customWidth="1"/>
    <col min="9" max="9" width="17.625" style="31" customWidth="1"/>
    <col min="10" max="10" width="10.625" style="31" customWidth="1"/>
    <col min="11" max="11" width="15.125" style="32" bestFit="1" customWidth="1"/>
    <col min="12" max="12" width="17.625" style="31" customWidth="1"/>
    <col min="13" max="13" width="10.625" style="31" customWidth="1"/>
    <col min="14" max="14" width="17.625" style="31" customWidth="1"/>
    <col min="15" max="15" width="10.625" style="31" customWidth="1"/>
    <col min="16" max="16" width="19.75" style="31" bestFit="1" customWidth="1"/>
    <col min="17" max="16384" width="9" style="31"/>
  </cols>
  <sheetData>
    <row r="1" spans="2:16" ht="9.9499999999999993" customHeight="1" x14ac:dyDescent="0.15"/>
    <row r="2" spans="2:16" ht="24.95" customHeight="1" thickBot="1" x14ac:dyDescent="0.2">
      <c r="B2" s="5" t="s">
        <v>219</v>
      </c>
      <c r="C2" s="5"/>
      <c r="D2" s="5"/>
      <c r="E2" s="33"/>
      <c r="F2" s="655"/>
      <c r="G2" s="656"/>
      <c r="H2" s="298" t="s">
        <v>192</v>
      </c>
      <c r="I2" s="271" t="s">
        <v>309</v>
      </c>
      <c r="J2" s="271"/>
      <c r="K2" s="298" t="s">
        <v>193</v>
      </c>
      <c r="L2" s="71" t="s">
        <v>371</v>
      </c>
      <c r="M2" s="34"/>
      <c r="P2" s="296"/>
    </row>
    <row r="3" spans="2:16" ht="20.100000000000001" customHeight="1" x14ac:dyDescent="0.15">
      <c r="B3" s="657" t="s">
        <v>71</v>
      </c>
      <c r="C3" s="650" t="s">
        <v>34</v>
      </c>
      <c r="D3" s="650" t="s">
        <v>101</v>
      </c>
      <c r="E3" s="659" t="s">
        <v>35</v>
      </c>
      <c r="F3" s="660"/>
      <c r="G3" s="297" t="s">
        <v>36</v>
      </c>
      <c r="H3" s="297" t="s">
        <v>103</v>
      </c>
      <c r="I3" s="297" t="s">
        <v>102</v>
      </c>
      <c r="J3" s="650" t="s">
        <v>77</v>
      </c>
      <c r="K3" s="35" t="s">
        <v>220</v>
      </c>
      <c r="L3" s="297" t="s">
        <v>37</v>
      </c>
      <c r="M3" s="297" t="s">
        <v>104</v>
      </c>
      <c r="N3" s="297" t="s">
        <v>38</v>
      </c>
      <c r="O3" s="297" t="s">
        <v>39</v>
      </c>
      <c r="P3" s="338" t="s">
        <v>40</v>
      </c>
    </row>
    <row r="4" spans="2:16" ht="20.100000000000001" customHeight="1" x14ac:dyDescent="0.15">
      <c r="B4" s="658"/>
      <c r="C4" s="651"/>
      <c r="D4" s="651"/>
      <c r="E4" s="7" t="s">
        <v>78</v>
      </c>
      <c r="F4" s="7" t="s">
        <v>7</v>
      </c>
      <c r="G4" s="8" t="s">
        <v>221</v>
      </c>
      <c r="H4" s="8" t="s">
        <v>222</v>
      </c>
      <c r="I4" s="8" t="s">
        <v>106</v>
      </c>
      <c r="J4" s="651"/>
      <c r="K4" s="9" t="s">
        <v>223</v>
      </c>
      <c r="L4" s="8" t="s">
        <v>322</v>
      </c>
      <c r="M4" s="8" t="s">
        <v>224</v>
      </c>
      <c r="N4" s="8" t="s">
        <v>323</v>
      </c>
      <c r="O4" s="8" t="s">
        <v>225</v>
      </c>
      <c r="P4" s="339" t="s">
        <v>393</v>
      </c>
    </row>
    <row r="5" spans="2:16" ht="20.100000000000001" customHeight="1" x14ac:dyDescent="0.15">
      <c r="B5" s="652" t="s">
        <v>147</v>
      </c>
      <c r="C5" s="299" t="s">
        <v>210</v>
      </c>
      <c r="D5" s="10" t="s">
        <v>313</v>
      </c>
      <c r="E5" s="299">
        <v>30</v>
      </c>
      <c r="F5" s="36" t="s">
        <v>211</v>
      </c>
      <c r="G5" s="299">
        <f>43200*E5</f>
        <v>1296000</v>
      </c>
      <c r="H5" s="300">
        <v>0</v>
      </c>
      <c r="I5" s="299">
        <f>G5*(1-H5)</f>
        <v>1296000</v>
      </c>
      <c r="J5" s="302" t="s">
        <v>375</v>
      </c>
      <c r="K5" s="301">
        <f>10/110</f>
        <v>9.0909090909090912E-2</v>
      </c>
      <c r="L5" s="30">
        <f>I5*K5</f>
        <v>117818.18181818182</v>
      </c>
      <c r="M5" s="39">
        <v>0</v>
      </c>
      <c r="N5" s="30">
        <f t="shared" ref="N5:N7" si="0">L5*M5/100</f>
        <v>0</v>
      </c>
      <c r="O5" s="30">
        <v>24</v>
      </c>
      <c r="P5" s="147">
        <f>IF(O5="","",(L5-N5)/O5)</f>
        <v>4909.090909090909</v>
      </c>
    </row>
    <row r="6" spans="2:16" ht="20.100000000000001" customHeight="1" x14ac:dyDescent="0.15">
      <c r="B6" s="653"/>
      <c r="C6" s="299" t="s">
        <v>212</v>
      </c>
      <c r="D6" s="299" t="s">
        <v>213</v>
      </c>
      <c r="E6" s="299">
        <v>100</v>
      </c>
      <c r="F6" s="36" t="s">
        <v>211</v>
      </c>
      <c r="G6" s="299">
        <f>43200*E6</f>
        <v>4320000</v>
      </c>
      <c r="H6" s="300">
        <v>0</v>
      </c>
      <c r="I6" s="299">
        <f t="shared" ref="I6:I7" si="1">G6*(1-H6)</f>
        <v>4320000</v>
      </c>
      <c r="J6" s="426" t="s">
        <v>374</v>
      </c>
      <c r="K6" s="301">
        <f>10/3000</f>
        <v>3.3333333333333335E-3</v>
      </c>
      <c r="L6" s="30">
        <f>I6*K6</f>
        <v>14400.000000000002</v>
      </c>
      <c r="M6" s="39">
        <v>0</v>
      </c>
      <c r="N6" s="30">
        <f t="shared" si="0"/>
        <v>0</v>
      </c>
      <c r="O6" s="30">
        <v>24</v>
      </c>
      <c r="P6" s="147">
        <f t="shared" ref="P6:P11" si="2">IF(O6="","",(L6-N6)/O6)</f>
        <v>600.00000000000011</v>
      </c>
    </row>
    <row r="7" spans="2:16" ht="20.100000000000001" customHeight="1" x14ac:dyDescent="0.15">
      <c r="B7" s="653"/>
      <c r="C7" s="299" t="s">
        <v>353</v>
      </c>
      <c r="D7" s="10" t="s">
        <v>355</v>
      </c>
      <c r="E7" s="299">
        <v>34</v>
      </c>
      <c r="F7" s="36" t="s">
        <v>211</v>
      </c>
      <c r="G7" s="299">
        <v>85000</v>
      </c>
      <c r="H7" s="300">
        <v>0</v>
      </c>
      <c r="I7" s="299">
        <f t="shared" si="1"/>
        <v>85000</v>
      </c>
      <c r="J7" s="302" t="s">
        <v>376</v>
      </c>
      <c r="K7" s="301">
        <f>10/110</f>
        <v>9.0909090909090912E-2</v>
      </c>
      <c r="L7" s="30">
        <f>I7*K7</f>
        <v>7727.2727272727279</v>
      </c>
      <c r="M7" s="39">
        <v>0</v>
      </c>
      <c r="N7" s="30">
        <f t="shared" si="0"/>
        <v>0</v>
      </c>
      <c r="O7" s="30">
        <v>10</v>
      </c>
      <c r="P7" s="147">
        <f t="shared" si="2"/>
        <v>772.72727272727275</v>
      </c>
    </row>
    <row r="8" spans="2:16" ht="20.100000000000001" customHeight="1" x14ac:dyDescent="0.15">
      <c r="B8" s="653"/>
      <c r="C8" s="299"/>
      <c r="D8" s="299"/>
      <c r="E8" s="302"/>
      <c r="F8" s="36"/>
      <c r="G8" s="299"/>
      <c r="H8" s="300"/>
      <c r="I8" s="299"/>
      <c r="J8" s="299"/>
      <c r="K8" s="301"/>
      <c r="L8" s="30"/>
      <c r="M8" s="39"/>
      <c r="N8" s="30"/>
      <c r="O8" s="30"/>
      <c r="P8" s="147" t="str">
        <f t="shared" si="2"/>
        <v/>
      </c>
    </row>
    <row r="9" spans="2:16" ht="20.100000000000001" customHeight="1" x14ac:dyDescent="0.15">
      <c r="B9" s="653"/>
      <c r="C9" s="299"/>
      <c r="D9" s="299"/>
      <c r="E9" s="302"/>
      <c r="F9" s="36"/>
      <c r="G9" s="299"/>
      <c r="H9" s="300"/>
      <c r="I9" s="299"/>
      <c r="J9" s="299"/>
      <c r="K9" s="301"/>
      <c r="L9" s="30"/>
      <c r="M9" s="39"/>
      <c r="N9" s="30"/>
      <c r="O9" s="30"/>
      <c r="P9" s="147" t="str">
        <f t="shared" ref="P9:P10" si="3">IF(O9="","",(L9-N9)/O9)</f>
        <v/>
      </c>
    </row>
    <row r="10" spans="2:16" ht="20.100000000000001" customHeight="1" x14ac:dyDescent="0.15">
      <c r="B10" s="653"/>
      <c r="C10" s="299"/>
      <c r="D10" s="299"/>
      <c r="E10" s="302"/>
      <c r="F10" s="36"/>
      <c r="G10" s="299"/>
      <c r="H10" s="300"/>
      <c r="I10" s="299"/>
      <c r="J10" s="299"/>
      <c r="K10" s="301"/>
      <c r="L10" s="30"/>
      <c r="M10" s="39"/>
      <c r="N10" s="30"/>
      <c r="O10" s="30"/>
      <c r="P10" s="147" t="str">
        <f t="shared" si="3"/>
        <v/>
      </c>
    </row>
    <row r="11" spans="2:16" ht="20.100000000000001" customHeight="1" x14ac:dyDescent="0.15">
      <c r="B11" s="653"/>
      <c r="C11" s="30"/>
      <c r="D11" s="30"/>
      <c r="E11" s="30"/>
      <c r="F11" s="37"/>
      <c r="G11" s="30"/>
      <c r="H11" s="39"/>
      <c r="I11" s="30"/>
      <c r="J11" s="30"/>
      <c r="K11" s="38"/>
      <c r="L11" s="30"/>
      <c r="M11" s="39"/>
      <c r="N11" s="30"/>
      <c r="O11" s="30"/>
      <c r="P11" s="147" t="str">
        <f t="shared" si="2"/>
        <v/>
      </c>
    </row>
    <row r="12" spans="2:16" ht="20.100000000000001" customHeight="1" x14ac:dyDescent="0.15">
      <c r="B12" s="654"/>
      <c r="C12" s="40" t="s">
        <v>41</v>
      </c>
      <c r="D12" s="41"/>
      <c r="E12" s="41"/>
      <c r="F12" s="42"/>
      <c r="G12" s="41">
        <f>SUM(G5:G11)</f>
        <v>5701000</v>
      </c>
      <c r="H12" s="41"/>
      <c r="I12" s="41">
        <f>SUM(I5:I11)</f>
        <v>5701000</v>
      </c>
      <c r="J12" s="41"/>
      <c r="K12" s="43"/>
      <c r="L12" s="41">
        <f>SUM(L5:L11)</f>
        <v>139945.45454545456</v>
      </c>
      <c r="M12" s="41"/>
      <c r="N12" s="41"/>
      <c r="O12" s="41"/>
      <c r="P12" s="340">
        <f>SUM(P5:P11)</f>
        <v>6281.818181818182</v>
      </c>
    </row>
    <row r="13" spans="2:16" ht="20.100000000000001" customHeight="1" x14ac:dyDescent="0.15">
      <c r="B13" s="652" t="s">
        <v>148</v>
      </c>
      <c r="C13" s="299" t="s">
        <v>43</v>
      </c>
      <c r="D13" s="299" t="s">
        <v>214</v>
      </c>
      <c r="E13" s="299">
        <v>1</v>
      </c>
      <c r="F13" s="36" t="s">
        <v>44</v>
      </c>
      <c r="G13" s="299">
        <v>2500000</v>
      </c>
      <c r="H13" s="300">
        <v>0</v>
      </c>
      <c r="I13" s="299">
        <f>G13*(1-H13)</f>
        <v>2500000</v>
      </c>
      <c r="J13" s="426" t="s">
        <v>374</v>
      </c>
      <c r="K13" s="301">
        <f>10/3000</f>
        <v>3.3333333333333335E-3</v>
      </c>
      <c r="L13" s="299">
        <f>I13*K13</f>
        <v>8333.3333333333339</v>
      </c>
      <c r="M13" s="44">
        <v>0</v>
      </c>
      <c r="N13" s="30">
        <f>L13*M13</f>
        <v>0</v>
      </c>
      <c r="O13" s="45">
        <v>7</v>
      </c>
      <c r="P13" s="147">
        <f>IF(O13="","",(L13-N13)/O13)</f>
        <v>1190.4761904761906</v>
      </c>
    </row>
    <row r="14" spans="2:16" ht="20.100000000000001" customHeight="1" x14ac:dyDescent="0.15">
      <c r="B14" s="653"/>
      <c r="C14" s="299" t="s">
        <v>215</v>
      </c>
      <c r="D14" s="299" t="s">
        <v>216</v>
      </c>
      <c r="E14" s="299">
        <v>1</v>
      </c>
      <c r="F14" s="36" t="s">
        <v>44</v>
      </c>
      <c r="G14" s="299">
        <v>300000</v>
      </c>
      <c r="H14" s="300">
        <v>0</v>
      </c>
      <c r="I14" s="299">
        <f>G14*(1-H14)</f>
        <v>300000</v>
      </c>
      <c r="J14" s="302" t="s">
        <v>376</v>
      </c>
      <c r="K14" s="301">
        <f>10/110</f>
        <v>9.0909090909090912E-2</v>
      </c>
      <c r="L14" s="299">
        <f t="shared" ref="L14:L18" si="4">I14*K14</f>
        <v>27272.727272727272</v>
      </c>
      <c r="M14" s="44">
        <v>0</v>
      </c>
      <c r="N14" s="30">
        <f t="shared" ref="N14:N18" si="5">L14*M14</f>
        <v>0</v>
      </c>
      <c r="O14" s="45">
        <v>7</v>
      </c>
      <c r="P14" s="147">
        <f t="shared" ref="P14:P29" si="6">IF(O14="","",(L14-N14)/O14)</f>
        <v>3896.1038961038962</v>
      </c>
    </row>
    <row r="15" spans="2:16" ht="20.100000000000001" customHeight="1" x14ac:dyDescent="0.15">
      <c r="B15" s="653"/>
      <c r="C15" s="299" t="s">
        <v>217</v>
      </c>
      <c r="D15" s="299" t="s">
        <v>218</v>
      </c>
      <c r="E15" s="299">
        <v>1</v>
      </c>
      <c r="F15" s="36" t="s">
        <v>44</v>
      </c>
      <c r="G15" s="299">
        <v>920000</v>
      </c>
      <c r="H15" s="300">
        <v>0</v>
      </c>
      <c r="I15" s="299">
        <f t="shared" ref="I15:I16" si="7">G15*(1-H15)</f>
        <v>920000</v>
      </c>
      <c r="J15" s="426" t="s">
        <v>374</v>
      </c>
      <c r="K15" s="301">
        <f>10/3000</f>
        <v>3.3333333333333335E-3</v>
      </c>
      <c r="L15" s="299">
        <f t="shared" si="4"/>
        <v>3066.666666666667</v>
      </c>
      <c r="M15" s="44">
        <v>0</v>
      </c>
      <c r="N15" s="30">
        <f t="shared" ref="N15:N16" si="8">L15*M15</f>
        <v>0</v>
      </c>
      <c r="O15" s="30">
        <v>4</v>
      </c>
      <c r="P15" s="147">
        <f t="shared" ref="P15:P16" si="9">IF(O15="","",(L15-N15)/O15)</f>
        <v>766.66666666666674</v>
      </c>
    </row>
    <row r="16" spans="2:16" ht="20.100000000000001" customHeight="1" x14ac:dyDescent="0.15">
      <c r="B16" s="653"/>
      <c r="C16" s="10" t="s">
        <v>301</v>
      </c>
      <c r="D16" s="10"/>
      <c r="E16" s="299">
        <v>1</v>
      </c>
      <c r="F16" s="36" t="s">
        <v>232</v>
      </c>
      <c r="G16" s="299">
        <v>250000</v>
      </c>
      <c r="H16" s="300">
        <v>0</v>
      </c>
      <c r="I16" s="299">
        <f t="shared" si="7"/>
        <v>250000</v>
      </c>
      <c r="J16" s="302" t="s">
        <v>376</v>
      </c>
      <c r="K16" s="301">
        <f>10/110</f>
        <v>9.0909090909090912E-2</v>
      </c>
      <c r="L16" s="299">
        <f t="shared" si="4"/>
        <v>22727.272727272728</v>
      </c>
      <c r="M16" s="44">
        <v>0</v>
      </c>
      <c r="N16" s="30">
        <f t="shared" si="8"/>
        <v>0</v>
      </c>
      <c r="O16" s="30">
        <v>7</v>
      </c>
      <c r="P16" s="147">
        <f t="shared" si="9"/>
        <v>3246.7532467532469</v>
      </c>
    </row>
    <row r="17" spans="2:16" ht="20.100000000000001" customHeight="1" x14ac:dyDescent="0.15">
      <c r="B17" s="653"/>
      <c r="C17" s="10" t="s">
        <v>310</v>
      </c>
      <c r="D17" s="10" t="s">
        <v>312</v>
      </c>
      <c r="E17" s="299">
        <v>1</v>
      </c>
      <c r="F17" s="36" t="s">
        <v>311</v>
      </c>
      <c r="G17" s="299">
        <v>470000</v>
      </c>
      <c r="H17" s="300">
        <v>0</v>
      </c>
      <c r="I17" s="299">
        <f>G17*(1-H17)</f>
        <v>470000</v>
      </c>
      <c r="J17" s="302" t="s">
        <v>376</v>
      </c>
      <c r="K17" s="301">
        <f>10/110</f>
        <v>9.0909090909090912E-2</v>
      </c>
      <c r="L17" s="299">
        <f t="shared" si="4"/>
        <v>42727.272727272728</v>
      </c>
      <c r="M17" s="39">
        <v>0</v>
      </c>
      <c r="N17" s="30">
        <f t="shared" si="5"/>
        <v>0</v>
      </c>
      <c r="O17" s="30">
        <v>7</v>
      </c>
      <c r="P17" s="147">
        <f t="shared" si="6"/>
        <v>6103.8961038961043</v>
      </c>
    </row>
    <row r="18" spans="2:16" ht="20.100000000000001" customHeight="1" x14ac:dyDescent="0.15">
      <c r="B18" s="653"/>
      <c r="C18" s="378" t="s">
        <v>333</v>
      </c>
      <c r="D18" s="378"/>
      <c r="E18" s="427">
        <v>1</v>
      </c>
      <c r="F18" s="428" t="s">
        <v>332</v>
      </c>
      <c r="G18" s="427">
        <v>165000</v>
      </c>
      <c r="H18" s="429">
        <v>0</v>
      </c>
      <c r="I18" s="427">
        <f>G18*(1-H18)</f>
        <v>165000</v>
      </c>
      <c r="J18" s="426" t="s">
        <v>374</v>
      </c>
      <c r="K18" s="430">
        <f>10/3000</f>
        <v>3.3333333333333335E-3</v>
      </c>
      <c r="L18" s="299">
        <f t="shared" si="4"/>
        <v>550</v>
      </c>
      <c r="M18" s="44">
        <v>0</v>
      </c>
      <c r="N18" s="45">
        <f t="shared" si="5"/>
        <v>0</v>
      </c>
      <c r="O18" s="45">
        <v>7</v>
      </c>
      <c r="P18" s="431">
        <f t="shared" si="6"/>
        <v>78.571428571428569</v>
      </c>
    </row>
    <row r="19" spans="2:16" ht="20.100000000000001" customHeight="1" x14ac:dyDescent="0.15">
      <c r="B19" s="653"/>
      <c r="C19" s="299"/>
      <c r="D19" s="299"/>
      <c r="E19" s="299"/>
      <c r="F19" s="36"/>
      <c r="G19" s="299"/>
      <c r="H19" s="300"/>
      <c r="I19" s="299"/>
      <c r="J19" s="299"/>
      <c r="K19" s="301"/>
      <c r="L19" s="299"/>
      <c r="M19" s="39"/>
      <c r="N19" s="30"/>
      <c r="O19" s="30"/>
      <c r="P19" s="147" t="str">
        <f t="shared" si="6"/>
        <v/>
      </c>
    </row>
    <row r="20" spans="2:16" ht="20.100000000000001" customHeight="1" x14ac:dyDescent="0.15">
      <c r="B20" s="653"/>
      <c r="C20" s="299"/>
      <c r="D20" s="299"/>
      <c r="E20" s="299"/>
      <c r="F20" s="36"/>
      <c r="G20" s="299"/>
      <c r="H20" s="300"/>
      <c r="I20" s="299"/>
      <c r="J20" s="299"/>
      <c r="K20" s="301"/>
      <c r="L20" s="299"/>
      <c r="M20" s="39"/>
      <c r="N20" s="30"/>
      <c r="O20" s="30"/>
      <c r="P20" s="147" t="str">
        <f t="shared" si="6"/>
        <v/>
      </c>
    </row>
    <row r="21" spans="2:16" ht="20.100000000000001" customHeight="1" x14ac:dyDescent="0.15">
      <c r="B21" s="653"/>
      <c r="C21" s="299"/>
      <c r="D21" s="299"/>
      <c r="E21" s="299"/>
      <c r="F21" s="36"/>
      <c r="G21" s="299"/>
      <c r="H21" s="300"/>
      <c r="I21" s="299"/>
      <c r="J21" s="299"/>
      <c r="K21" s="301"/>
      <c r="L21" s="299"/>
      <c r="M21" s="39"/>
      <c r="N21" s="30"/>
      <c r="O21" s="30"/>
      <c r="P21" s="147" t="str">
        <f t="shared" si="6"/>
        <v/>
      </c>
    </row>
    <row r="22" spans="2:16" ht="20.100000000000001" customHeight="1" x14ac:dyDescent="0.15">
      <c r="B22" s="653"/>
      <c r="C22" s="299"/>
      <c r="D22" s="299"/>
      <c r="E22" s="299"/>
      <c r="F22" s="36"/>
      <c r="G22" s="299"/>
      <c r="H22" s="300"/>
      <c r="I22" s="299"/>
      <c r="J22" s="299"/>
      <c r="K22" s="301"/>
      <c r="L22" s="299"/>
      <c r="M22" s="39"/>
      <c r="N22" s="30"/>
      <c r="O22" s="30"/>
      <c r="P22" s="147" t="str">
        <f t="shared" si="6"/>
        <v/>
      </c>
    </row>
    <row r="23" spans="2:16" ht="20.100000000000001" customHeight="1" x14ac:dyDescent="0.15">
      <c r="B23" s="653"/>
      <c r="C23" s="299"/>
      <c r="D23" s="299"/>
      <c r="E23" s="299"/>
      <c r="F23" s="36"/>
      <c r="G23" s="299"/>
      <c r="H23" s="300"/>
      <c r="I23" s="299"/>
      <c r="J23" s="299"/>
      <c r="K23" s="301"/>
      <c r="L23" s="299"/>
      <c r="M23" s="39"/>
      <c r="N23" s="30"/>
      <c r="O23" s="30"/>
      <c r="P23" s="147" t="str">
        <f t="shared" si="6"/>
        <v/>
      </c>
    </row>
    <row r="24" spans="2:16" ht="20.100000000000001" customHeight="1" x14ac:dyDescent="0.15">
      <c r="B24" s="653"/>
      <c r="C24" s="299"/>
      <c r="D24" s="299"/>
      <c r="E24" s="299"/>
      <c r="F24" s="36"/>
      <c r="G24" s="299"/>
      <c r="H24" s="300"/>
      <c r="I24" s="299"/>
      <c r="J24" s="299"/>
      <c r="K24" s="301"/>
      <c r="L24" s="299"/>
      <c r="M24" s="39"/>
      <c r="N24" s="30"/>
      <c r="O24" s="30"/>
      <c r="P24" s="147" t="str">
        <f t="shared" si="6"/>
        <v/>
      </c>
    </row>
    <row r="25" spans="2:16" ht="20.100000000000001" customHeight="1" x14ac:dyDescent="0.15">
      <c r="B25" s="653"/>
      <c r="C25" s="299"/>
      <c r="D25" s="299"/>
      <c r="E25" s="299"/>
      <c r="F25" s="36"/>
      <c r="G25" s="299"/>
      <c r="H25" s="300"/>
      <c r="I25" s="299"/>
      <c r="J25" s="299"/>
      <c r="K25" s="301"/>
      <c r="L25" s="299"/>
      <c r="M25" s="39"/>
      <c r="N25" s="30"/>
      <c r="O25" s="30"/>
      <c r="P25" s="147" t="str">
        <f t="shared" si="6"/>
        <v/>
      </c>
    </row>
    <row r="26" spans="2:16" ht="20.100000000000001" customHeight="1" x14ac:dyDescent="0.15">
      <c r="B26" s="653"/>
      <c r="C26" s="299"/>
      <c r="D26" s="299"/>
      <c r="E26" s="299"/>
      <c r="F26" s="36"/>
      <c r="G26" s="299"/>
      <c r="H26" s="300"/>
      <c r="I26" s="299"/>
      <c r="J26" s="299"/>
      <c r="K26" s="301"/>
      <c r="L26" s="299"/>
      <c r="M26" s="39"/>
      <c r="N26" s="30"/>
      <c r="O26" s="30"/>
      <c r="P26" s="147" t="str">
        <f t="shared" ref="P26:P27" si="10">IF(O26="","",(L26-N26)/O26)</f>
        <v/>
      </c>
    </row>
    <row r="27" spans="2:16" ht="20.100000000000001" customHeight="1" x14ac:dyDescent="0.15">
      <c r="B27" s="653"/>
      <c r="C27" s="299"/>
      <c r="D27" s="299"/>
      <c r="E27" s="299"/>
      <c r="F27" s="36"/>
      <c r="G27" s="299"/>
      <c r="H27" s="300"/>
      <c r="I27" s="299"/>
      <c r="J27" s="299"/>
      <c r="K27" s="301"/>
      <c r="L27" s="299"/>
      <c r="M27" s="39"/>
      <c r="N27" s="30"/>
      <c r="O27" s="30"/>
      <c r="P27" s="147" t="str">
        <f t="shared" si="10"/>
        <v/>
      </c>
    </row>
    <row r="28" spans="2:16" ht="20.100000000000001" customHeight="1" x14ac:dyDescent="0.15">
      <c r="B28" s="653"/>
      <c r="C28" s="299"/>
      <c r="D28" s="299"/>
      <c r="E28" s="299"/>
      <c r="F28" s="36"/>
      <c r="G28" s="299"/>
      <c r="H28" s="300"/>
      <c r="I28" s="299"/>
      <c r="J28" s="299"/>
      <c r="K28" s="301"/>
      <c r="L28" s="299"/>
      <c r="M28" s="39"/>
      <c r="N28" s="30"/>
      <c r="O28" s="30"/>
      <c r="P28" s="147" t="str">
        <f t="shared" si="6"/>
        <v/>
      </c>
    </row>
    <row r="29" spans="2:16" ht="20.100000000000001" customHeight="1" x14ac:dyDescent="0.15">
      <c r="B29" s="653"/>
      <c r="C29" s="299"/>
      <c r="D29" s="299"/>
      <c r="E29" s="299"/>
      <c r="F29" s="36"/>
      <c r="G29" s="299"/>
      <c r="H29" s="300"/>
      <c r="I29" s="299"/>
      <c r="J29" s="299"/>
      <c r="K29" s="301"/>
      <c r="L29" s="299"/>
      <c r="M29" s="39"/>
      <c r="N29" s="30"/>
      <c r="O29" s="30"/>
      <c r="P29" s="147" t="str">
        <f t="shared" si="6"/>
        <v/>
      </c>
    </row>
    <row r="30" spans="2:16" ht="20.100000000000001" customHeight="1" x14ac:dyDescent="0.15">
      <c r="B30" s="654"/>
      <c r="C30" s="303" t="s">
        <v>42</v>
      </c>
      <c r="D30" s="303"/>
      <c r="E30" s="303"/>
      <c r="F30" s="304"/>
      <c r="G30" s="303">
        <f>SUM(G13:G28)</f>
        <v>4605000</v>
      </c>
      <c r="H30" s="303"/>
      <c r="I30" s="303">
        <f>SUM(I13:I28)</f>
        <v>4605000</v>
      </c>
      <c r="J30" s="303"/>
      <c r="K30" s="305"/>
      <c r="L30" s="303">
        <f>SUM(L13:L28)</f>
        <v>104677.27272727274</v>
      </c>
      <c r="M30" s="41"/>
      <c r="N30" s="41"/>
      <c r="O30" s="41"/>
      <c r="P30" s="340">
        <f>SUM(P13:P28)</f>
        <v>15282.467532467534</v>
      </c>
    </row>
    <row r="31" spans="2:16" ht="20.100000000000001" customHeight="1" x14ac:dyDescent="0.15">
      <c r="B31" s="652" t="s">
        <v>105</v>
      </c>
      <c r="C31" s="299"/>
      <c r="D31" s="299"/>
      <c r="E31" s="299"/>
      <c r="F31" s="299"/>
      <c r="G31" s="299"/>
      <c r="H31" s="306"/>
      <c r="I31" s="299"/>
      <c r="J31" s="299"/>
      <c r="K31" s="301"/>
      <c r="L31" s="299"/>
      <c r="M31" s="46"/>
      <c r="N31" s="30"/>
      <c r="O31" s="30"/>
      <c r="P31" s="147" t="str">
        <f>IF(O31="","",(L31-N31)/O31)</f>
        <v/>
      </c>
    </row>
    <row r="32" spans="2:16" ht="20.100000000000001" customHeight="1" x14ac:dyDescent="0.15">
      <c r="B32" s="653"/>
      <c r="C32" s="299"/>
      <c r="D32" s="299"/>
      <c r="E32" s="299"/>
      <c r="F32" s="299"/>
      <c r="G32" s="299"/>
      <c r="H32" s="306"/>
      <c r="I32" s="299"/>
      <c r="J32" s="299"/>
      <c r="K32" s="301"/>
      <c r="L32" s="299"/>
      <c r="M32" s="46"/>
      <c r="N32" s="30"/>
      <c r="O32" s="30"/>
      <c r="P32" s="147" t="str">
        <f>IF(O32="","",(L32-N32)/O32)</f>
        <v/>
      </c>
    </row>
    <row r="33" spans="2:16" ht="20.100000000000001" customHeight="1" x14ac:dyDescent="0.15">
      <c r="B33" s="653"/>
      <c r="C33" s="30"/>
      <c r="D33" s="30"/>
      <c r="E33" s="30"/>
      <c r="F33" s="30"/>
      <c r="G33" s="30"/>
      <c r="H33" s="46"/>
      <c r="I33" s="30"/>
      <c r="J33" s="30"/>
      <c r="K33" s="38"/>
      <c r="L33" s="30"/>
      <c r="M33" s="46"/>
      <c r="N33" s="30"/>
      <c r="O33" s="30"/>
      <c r="P33" s="147" t="str">
        <f>IF(O33="","",(L33-N33)/O33)</f>
        <v/>
      </c>
    </row>
    <row r="34" spans="2:16" ht="20.100000000000001" customHeight="1" x14ac:dyDescent="0.15">
      <c r="B34" s="653"/>
      <c r="C34" s="30"/>
      <c r="D34" s="30"/>
      <c r="E34" s="30"/>
      <c r="F34" s="30"/>
      <c r="G34" s="30"/>
      <c r="H34" s="46"/>
      <c r="I34" s="30"/>
      <c r="J34" s="30"/>
      <c r="K34" s="38"/>
      <c r="L34" s="30"/>
      <c r="M34" s="46"/>
      <c r="N34" s="30"/>
      <c r="O34" s="30"/>
      <c r="P34" s="147" t="str">
        <f>IF(O34="","",(L34-N34)/O34)</f>
        <v/>
      </c>
    </row>
    <row r="35" spans="2:16" ht="20.100000000000001" customHeight="1" x14ac:dyDescent="0.15">
      <c r="B35" s="654"/>
      <c r="C35" s="47" t="s">
        <v>42</v>
      </c>
      <c r="D35" s="41"/>
      <c r="E35" s="41"/>
      <c r="F35" s="42"/>
      <c r="G35" s="41">
        <f>SUM(G31:G34)</f>
        <v>0</v>
      </c>
      <c r="H35" s="41"/>
      <c r="I35" s="41">
        <f>SUM(I31:I34)</f>
        <v>0</v>
      </c>
      <c r="J35" s="41"/>
      <c r="K35" s="43"/>
      <c r="L35" s="41">
        <f>SUM(L31:L34)</f>
        <v>0</v>
      </c>
      <c r="M35" s="41"/>
      <c r="N35" s="41"/>
      <c r="O35" s="41"/>
      <c r="P35" s="340">
        <f>SUM(P31:P34)</f>
        <v>0</v>
      </c>
    </row>
    <row r="36" spans="2:16" ht="20.100000000000001" customHeight="1" thickBot="1" x14ac:dyDescent="0.2">
      <c r="B36" s="48"/>
      <c r="C36" s="49" t="s">
        <v>226</v>
      </c>
      <c r="D36" s="50"/>
      <c r="E36" s="50"/>
      <c r="F36" s="51"/>
      <c r="G36" s="50">
        <f>G12+G30+G35</f>
        <v>10306000</v>
      </c>
      <c r="H36" s="50"/>
      <c r="I36" s="50">
        <f>I12+I30+I35</f>
        <v>10306000</v>
      </c>
      <c r="J36" s="50"/>
      <c r="K36" s="52"/>
      <c r="L36" s="50">
        <f>L12+L30+L35</f>
        <v>244622.72727272729</v>
      </c>
      <c r="M36" s="50"/>
      <c r="N36" s="50"/>
      <c r="O36" s="50"/>
      <c r="P36" s="341">
        <f>P12+P30+P35</f>
        <v>21564.285714285717</v>
      </c>
    </row>
    <row r="37" spans="2:16" ht="11.25" customHeight="1" x14ac:dyDescent="0.15"/>
  </sheetData>
  <mergeCells count="9">
    <mergeCell ref="J3:J4"/>
    <mergeCell ref="B31:B35"/>
    <mergeCell ref="B13:B30"/>
    <mergeCell ref="B5:B12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"/>
  <sheetViews>
    <sheetView zoomScale="75" zoomScaleNormal="75" zoomScaleSheetLayoutView="80" workbookViewId="0">
      <selection activeCell="AA27" sqref="AA27"/>
    </sheetView>
  </sheetViews>
  <sheetFormatPr defaultColWidth="10.875" defaultRowHeight="13.5" x14ac:dyDescent="0.15"/>
  <cols>
    <col min="1" max="1" width="1.625" style="107" customWidth="1"/>
    <col min="2" max="2" width="5.875" style="107" customWidth="1"/>
    <col min="3" max="3" width="10.625" style="107" customWidth="1"/>
    <col min="4" max="4" width="12.375" style="107" customWidth="1"/>
    <col min="5" max="5" width="14.625" style="107" customWidth="1"/>
    <col min="6" max="7" width="15.875" style="107" customWidth="1"/>
    <col min="8" max="8" width="10.875" style="107"/>
    <col min="9" max="9" width="11.375" style="107" bestFit="1" customWidth="1"/>
    <col min="10" max="10" width="13.375" style="107" customWidth="1"/>
    <col min="11" max="11" width="7.125" style="107" customWidth="1"/>
    <col min="12" max="12" width="15.375" style="107" customWidth="1"/>
    <col min="13" max="13" width="9.375" style="107" bestFit="1" customWidth="1"/>
    <col min="14" max="14" width="10.875" style="107"/>
    <col min="15" max="15" width="7.25" style="107" customWidth="1"/>
    <col min="16" max="16" width="9.625" style="107" customWidth="1"/>
    <col min="17" max="17" width="10.875" style="107" customWidth="1"/>
    <col min="18" max="18" width="7.5" style="107" customWidth="1"/>
    <col min="19" max="19" width="3.75" style="107" customWidth="1"/>
    <col min="20" max="20" width="10.875" style="107"/>
    <col min="21" max="24" width="0" style="107" hidden="1" customWidth="1"/>
    <col min="25" max="16384" width="10.875" style="107"/>
  </cols>
  <sheetData>
    <row r="1" spans="2:24" s="108" customFormat="1" ht="9.9499999999999993" customHeight="1" x14ac:dyDescent="0.15"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2:24" s="108" customFormat="1" ht="24.95" customHeight="1" thickBot="1" x14ac:dyDescent="0.2">
      <c r="B2" s="3" t="s">
        <v>270</v>
      </c>
      <c r="H2" s="109" t="s">
        <v>192</v>
      </c>
      <c r="I2" s="3" t="s">
        <v>268</v>
      </c>
      <c r="K2" s="109" t="s">
        <v>193</v>
      </c>
      <c r="L2" s="3" t="s">
        <v>269</v>
      </c>
      <c r="N2" s="107"/>
      <c r="O2" s="107"/>
      <c r="Q2" s="4"/>
      <c r="R2" s="4"/>
    </row>
    <row r="3" spans="2:24" s="108" customFormat="1" ht="18" customHeight="1" x14ac:dyDescent="0.15">
      <c r="B3" s="692" t="s">
        <v>17</v>
      </c>
      <c r="C3" s="693"/>
      <c r="D3" s="693"/>
      <c r="E3" s="694"/>
      <c r="F3" s="139" t="s">
        <v>18</v>
      </c>
      <c r="G3" s="111"/>
      <c r="H3" s="112" t="s">
        <v>19</v>
      </c>
      <c r="I3" s="110"/>
      <c r="J3" s="110"/>
      <c r="K3" s="695" t="s">
        <v>162</v>
      </c>
      <c r="L3" s="696"/>
      <c r="M3" s="696"/>
      <c r="N3" s="696"/>
      <c r="O3" s="696"/>
      <c r="P3" s="696"/>
      <c r="Q3" s="696"/>
      <c r="R3" s="696"/>
      <c r="S3" s="697"/>
      <c r="U3" s="437" t="s">
        <v>271</v>
      </c>
      <c r="V3" s="437"/>
      <c r="W3" s="437"/>
      <c r="X3" s="437"/>
    </row>
    <row r="4" spans="2:24" s="108" customFormat="1" ht="18" customHeight="1" x14ac:dyDescent="0.15">
      <c r="B4" s="690" t="s">
        <v>20</v>
      </c>
      <c r="C4" s="691"/>
      <c r="D4" s="202" t="s">
        <v>157</v>
      </c>
      <c r="E4" s="214"/>
      <c r="F4" s="209">
        <f>R11*1.08</f>
        <v>313200</v>
      </c>
      <c r="G4" s="664" t="s">
        <v>388</v>
      </c>
      <c r="H4" s="665"/>
      <c r="I4" s="665"/>
      <c r="J4" s="666"/>
      <c r="K4" s="308" t="s">
        <v>227</v>
      </c>
      <c r="L4" s="309" t="s">
        <v>228</v>
      </c>
      <c r="M4" s="208" t="s">
        <v>21</v>
      </c>
      <c r="N4" s="208" t="s">
        <v>20</v>
      </c>
      <c r="O4" s="309" t="s">
        <v>227</v>
      </c>
      <c r="P4" s="309" t="s">
        <v>229</v>
      </c>
      <c r="Q4" s="208" t="s">
        <v>21</v>
      </c>
      <c r="R4" s="708" t="s">
        <v>20</v>
      </c>
      <c r="S4" s="709"/>
      <c r="U4" s="438"/>
      <c r="V4" s="438" t="s">
        <v>272</v>
      </c>
      <c r="W4" s="438" t="s">
        <v>273</v>
      </c>
      <c r="X4" s="438" t="s">
        <v>274</v>
      </c>
    </row>
    <row r="5" spans="2:24" s="108" customFormat="1" ht="18" customHeight="1" x14ac:dyDescent="0.15">
      <c r="B5" s="690"/>
      <c r="C5" s="691"/>
      <c r="D5" s="202" t="s">
        <v>72</v>
      </c>
      <c r="E5" s="214"/>
      <c r="F5" s="209">
        <v>0</v>
      </c>
      <c r="G5" s="180"/>
      <c r="H5" s="215"/>
      <c r="I5" s="215"/>
      <c r="J5" s="215"/>
      <c r="K5" s="307">
        <v>8</v>
      </c>
      <c r="L5" s="209">
        <v>2000</v>
      </c>
      <c r="M5" s="209">
        <v>145</v>
      </c>
      <c r="N5" s="209">
        <f>L5*M5</f>
        <v>290000</v>
      </c>
      <c r="O5" s="209"/>
      <c r="P5" s="209"/>
      <c r="Q5" s="209"/>
      <c r="R5" s="698"/>
      <c r="S5" s="669"/>
      <c r="U5" s="438" t="s">
        <v>275</v>
      </c>
      <c r="V5" s="437">
        <v>146</v>
      </c>
      <c r="W5" s="437">
        <v>153</v>
      </c>
      <c r="X5" s="437">
        <v>127</v>
      </c>
    </row>
    <row r="6" spans="2:24" s="108" customFormat="1" ht="18" customHeight="1" x14ac:dyDescent="0.15">
      <c r="B6" s="678" t="s">
        <v>160</v>
      </c>
      <c r="C6" s="681" t="s">
        <v>252</v>
      </c>
      <c r="D6" s="209" t="s">
        <v>46</v>
      </c>
      <c r="E6" s="216"/>
      <c r="F6" s="209">
        <f>+P13</f>
        <v>6897</v>
      </c>
      <c r="G6" s="180" t="s">
        <v>149</v>
      </c>
      <c r="H6" s="215"/>
      <c r="I6" s="215"/>
      <c r="J6" s="215"/>
      <c r="K6" s="213"/>
      <c r="L6" s="372"/>
      <c r="M6" s="209"/>
      <c r="N6" s="209"/>
      <c r="O6" s="209"/>
      <c r="P6" s="209"/>
      <c r="Q6" s="209"/>
      <c r="R6" s="698"/>
      <c r="S6" s="669"/>
      <c r="U6" s="438" t="s">
        <v>276</v>
      </c>
      <c r="V6" s="437">
        <v>128</v>
      </c>
      <c r="W6" s="437">
        <v>99</v>
      </c>
      <c r="X6" s="437">
        <v>96</v>
      </c>
    </row>
    <row r="7" spans="2:24" s="108" customFormat="1" ht="18" customHeight="1" x14ac:dyDescent="0.15">
      <c r="B7" s="679"/>
      <c r="C7" s="682"/>
      <c r="D7" s="209" t="s">
        <v>47</v>
      </c>
      <c r="E7" s="216"/>
      <c r="F7" s="209">
        <f>P22</f>
        <v>42462.400000000001</v>
      </c>
      <c r="G7" s="661" t="s">
        <v>421</v>
      </c>
      <c r="H7" s="662"/>
      <c r="I7" s="662"/>
      <c r="J7" s="663"/>
      <c r="K7" s="211"/>
      <c r="L7" s="212"/>
      <c r="M7" s="209"/>
      <c r="N7" s="209"/>
      <c r="O7" s="209"/>
      <c r="P7" s="209"/>
      <c r="Q7" s="209"/>
      <c r="R7" s="698"/>
      <c r="S7" s="669"/>
      <c r="U7" s="438" t="s">
        <v>277</v>
      </c>
      <c r="V7" s="437">
        <v>187</v>
      </c>
      <c r="W7" s="437">
        <v>168</v>
      </c>
      <c r="X7" s="437">
        <v>129</v>
      </c>
    </row>
    <row r="8" spans="2:24" s="108" customFormat="1" ht="18" customHeight="1" x14ac:dyDescent="0.15">
      <c r="B8" s="679"/>
      <c r="C8" s="682"/>
      <c r="D8" s="209" t="s">
        <v>48</v>
      </c>
      <c r="E8" s="216"/>
      <c r="F8" s="209">
        <f>P28</f>
        <v>16265.163789473685</v>
      </c>
      <c r="G8" s="661" t="s">
        <v>422</v>
      </c>
      <c r="H8" s="662"/>
      <c r="I8" s="662"/>
      <c r="J8" s="663"/>
      <c r="K8" s="210"/>
      <c r="L8" s="209"/>
      <c r="M8" s="209"/>
      <c r="N8" s="209"/>
      <c r="O8" s="209"/>
      <c r="P8" s="209"/>
      <c r="Q8" s="209"/>
      <c r="R8" s="698"/>
      <c r="S8" s="669"/>
      <c r="U8" s="438" t="s">
        <v>278</v>
      </c>
      <c r="V8" s="437">
        <v>197</v>
      </c>
      <c r="W8" s="437">
        <v>138</v>
      </c>
      <c r="X8" s="437">
        <v>111</v>
      </c>
    </row>
    <row r="9" spans="2:24" s="108" customFormat="1" ht="18" customHeight="1" x14ac:dyDescent="0.15">
      <c r="B9" s="679"/>
      <c r="C9" s="682"/>
      <c r="D9" s="209" t="s">
        <v>73</v>
      </c>
      <c r="E9" s="216"/>
      <c r="F9" s="209">
        <f>P37</f>
        <v>14689.534545454546</v>
      </c>
      <c r="G9" s="661" t="s">
        <v>423</v>
      </c>
      <c r="H9" s="662"/>
      <c r="I9" s="662"/>
      <c r="J9" s="663"/>
      <c r="K9" s="210"/>
      <c r="L9" s="209"/>
      <c r="M9" s="209"/>
      <c r="N9" s="209"/>
      <c r="O9" s="209"/>
      <c r="P9" s="209"/>
      <c r="Q9" s="209"/>
      <c r="R9" s="698"/>
      <c r="S9" s="669"/>
      <c r="U9" s="438" t="s">
        <v>279</v>
      </c>
      <c r="V9" s="437">
        <v>128</v>
      </c>
      <c r="W9" s="437">
        <v>162</v>
      </c>
      <c r="X9" s="437">
        <v>136</v>
      </c>
    </row>
    <row r="10" spans="2:24" s="108" customFormat="1" ht="18" customHeight="1" x14ac:dyDescent="0.15">
      <c r="B10" s="679"/>
      <c r="C10" s="682"/>
      <c r="D10" s="209" t="s">
        <v>49</v>
      </c>
      <c r="E10" s="216"/>
      <c r="F10" s="209">
        <f>'８　かぼちゃ算出基礎'!V20</f>
        <v>18441.724064980161</v>
      </c>
      <c r="G10" s="667"/>
      <c r="H10" s="668"/>
      <c r="I10" s="668"/>
      <c r="J10" s="669"/>
      <c r="K10" s="210"/>
      <c r="L10" s="209"/>
      <c r="M10" s="209"/>
      <c r="N10" s="209">
        <f t="shared" ref="N10:N11" si="0">L10*M10</f>
        <v>0</v>
      </c>
      <c r="O10" s="209"/>
      <c r="P10" s="209"/>
      <c r="Q10" s="209"/>
      <c r="R10" s="698"/>
      <c r="S10" s="669"/>
      <c r="U10" s="438" t="s">
        <v>280</v>
      </c>
      <c r="V10" s="437">
        <f>(V5+V6+V7+V8+V9)/5</f>
        <v>157.19999999999999</v>
      </c>
      <c r="W10" s="437">
        <f t="shared" ref="W10:X10" si="1">(W5+W6+W7+W8+W9)/5</f>
        <v>144</v>
      </c>
      <c r="X10" s="437">
        <f t="shared" si="1"/>
        <v>119.8</v>
      </c>
    </row>
    <row r="11" spans="2:24" s="108" customFormat="1" ht="18" customHeight="1" thickBot="1" x14ac:dyDescent="0.2">
      <c r="B11" s="679"/>
      <c r="C11" s="682"/>
      <c r="D11" s="209" t="s">
        <v>4</v>
      </c>
      <c r="E11" s="216"/>
      <c r="F11" s="209">
        <f>'８　かぼちゃ算出基礎'!V34</f>
        <v>1974.5454545454545</v>
      </c>
      <c r="G11" s="667"/>
      <c r="H11" s="668"/>
      <c r="I11" s="668"/>
      <c r="J11" s="669"/>
      <c r="K11" s="129"/>
      <c r="L11" s="114"/>
      <c r="M11" s="114"/>
      <c r="N11" s="113">
        <f t="shared" si="0"/>
        <v>0</v>
      </c>
      <c r="O11" s="115" t="s">
        <v>22</v>
      </c>
      <c r="P11" s="116">
        <f>SUM(L5:L11,P5:Q10)</f>
        <v>2000</v>
      </c>
      <c r="Q11" s="117">
        <f>R11/P11</f>
        <v>145</v>
      </c>
      <c r="R11" s="722">
        <f>SUM(N5:N11,R5:S10)</f>
        <v>290000</v>
      </c>
      <c r="S11" s="723"/>
    </row>
    <row r="12" spans="2:24" s="108" customFormat="1" ht="18" customHeight="1" thickTop="1" x14ac:dyDescent="0.15">
      <c r="B12" s="679"/>
      <c r="C12" s="682"/>
      <c r="D12" s="209" t="s">
        <v>5</v>
      </c>
      <c r="E12" s="216"/>
      <c r="F12" s="209">
        <v>0</v>
      </c>
      <c r="G12" s="182"/>
      <c r="H12" s="191"/>
      <c r="I12" s="191"/>
      <c r="J12" s="218"/>
      <c r="K12" s="713" t="s">
        <v>161</v>
      </c>
      <c r="L12" s="204" t="s">
        <v>121</v>
      </c>
      <c r="M12" s="205" t="s">
        <v>7</v>
      </c>
      <c r="N12" s="310" t="s">
        <v>233</v>
      </c>
      <c r="O12" s="206" t="s">
        <v>21</v>
      </c>
      <c r="P12" s="206" t="s">
        <v>24</v>
      </c>
      <c r="Q12" s="724" t="s">
        <v>25</v>
      </c>
      <c r="R12" s="725"/>
      <c r="S12" s="726"/>
    </row>
    <row r="13" spans="2:24" s="108" customFormat="1" ht="18" customHeight="1" x14ac:dyDescent="0.15">
      <c r="B13" s="679"/>
      <c r="C13" s="682"/>
      <c r="D13" s="687" t="s">
        <v>50</v>
      </c>
      <c r="E13" s="219" t="s">
        <v>147</v>
      </c>
      <c r="F13" s="209">
        <f>'６　固定資本装備と減価償却費'!L12*'７　かぼちゃ部門収支'!H13</f>
        <v>1399.4545454545457</v>
      </c>
      <c r="G13" s="446" t="s">
        <v>150</v>
      </c>
      <c r="H13" s="447">
        <v>0.01</v>
      </c>
      <c r="I13" s="670" t="s">
        <v>152</v>
      </c>
      <c r="J13" s="671"/>
      <c r="K13" s="714"/>
      <c r="L13" s="377" t="s">
        <v>326</v>
      </c>
      <c r="M13" s="203" t="s">
        <v>327</v>
      </c>
      <c r="N13" s="142">
        <f>285*1.1</f>
        <v>313.5</v>
      </c>
      <c r="O13" s="142">
        <v>22</v>
      </c>
      <c r="P13" s="142">
        <f>N13*O13</f>
        <v>6897</v>
      </c>
      <c r="Q13" s="727" t="s">
        <v>325</v>
      </c>
      <c r="R13" s="711"/>
      <c r="S13" s="712"/>
    </row>
    <row r="14" spans="2:24" s="108" customFormat="1" ht="18" customHeight="1" x14ac:dyDescent="0.15">
      <c r="B14" s="679"/>
      <c r="C14" s="682"/>
      <c r="D14" s="688"/>
      <c r="E14" s="219" t="s">
        <v>148</v>
      </c>
      <c r="F14" s="209">
        <f>'６　固定資本装備と減価償却費'!L30*'７　かぼちゃ部門収支'!H14</f>
        <v>5233.8636363636369</v>
      </c>
      <c r="G14" s="446" t="s">
        <v>150</v>
      </c>
      <c r="H14" s="447">
        <v>0.05</v>
      </c>
      <c r="I14" s="670" t="s">
        <v>152</v>
      </c>
      <c r="J14" s="671"/>
      <c r="K14" s="714"/>
      <c r="L14" s="207"/>
      <c r="M14" s="203"/>
      <c r="N14" s="142"/>
      <c r="O14" s="142"/>
      <c r="P14" s="142">
        <f>N14*O14</f>
        <v>0</v>
      </c>
      <c r="Q14" s="710"/>
      <c r="R14" s="711"/>
      <c r="S14" s="712"/>
    </row>
    <row r="15" spans="2:24" s="108" customFormat="1" ht="18" customHeight="1" thickBot="1" x14ac:dyDescent="0.2">
      <c r="B15" s="679"/>
      <c r="C15" s="682"/>
      <c r="D15" s="687" t="s">
        <v>74</v>
      </c>
      <c r="E15" s="219" t="s">
        <v>147</v>
      </c>
      <c r="F15" s="209">
        <f>'６　固定資本装備と減価償却費'!P12</f>
        <v>6281.818181818182</v>
      </c>
      <c r="G15" s="182" t="s">
        <v>152</v>
      </c>
      <c r="H15" s="191"/>
      <c r="I15" s="191"/>
      <c r="J15" s="218"/>
      <c r="K15" s="714"/>
      <c r="L15" s="121" t="s">
        <v>26</v>
      </c>
      <c r="M15" s="120"/>
      <c r="N15" s="121"/>
      <c r="O15" s="121"/>
      <c r="P15" s="121">
        <f>SUM(P13:P14)</f>
        <v>6897</v>
      </c>
      <c r="Q15" s="716"/>
      <c r="R15" s="717"/>
      <c r="S15" s="718"/>
    </row>
    <row r="16" spans="2:24" s="108" customFormat="1" ht="18" customHeight="1" thickTop="1" x14ac:dyDescent="0.15">
      <c r="B16" s="679"/>
      <c r="C16" s="682"/>
      <c r="D16" s="689"/>
      <c r="E16" s="219" t="s">
        <v>148</v>
      </c>
      <c r="F16" s="209">
        <f>'６　固定資本装備と減価償却費'!P30</f>
        <v>15282.467532467534</v>
      </c>
      <c r="G16" s="182" t="s">
        <v>152</v>
      </c>
      <c r="H16" s="191"/>
      <c r="I16" s="191"/>
      <c r="J16" s="218"/>
      <c r="K16" s="714"/>
      <c r="L16" s="198" t="s">
        <v>122</v>
      </c>
      <c r="M16" s="199"/>
      <c r="N16" s="311" t="s">
        <v>233</v>
      </c>
      <c r="O16" s="200" t="s">
        <v>21</v>
      </c>
      <c r="P16" s="201" t="s">
        <v>24</v>
      </c>
      <c r="Q16" s="702" t="s">
        <v>25</v>
      </c>
      <c r="R16" s="703"/>
      <c r="S16" s="704"/>
    </row>
    <row r="17" spans="1:19" s="108" customFormat="1" ht="18" customHeight="1" x14ac:dyDescent="0.15">
      <c r="B17" s="679"/>
      <c r="C17" s="682"/>
      <c r="D17" s="688"/>
      <c r="E17" s="209" t="s">
        <v>51</v>
      </c>
      <c r="F17" s="209">
        <f>'６　固定資本装備と減価償却費'!P35</f>
        <v>0</v>
      </c>
      <c r="G17" s="182" t="s">
        <v>152</v>
      </c>
      <c r="H17" s="191"/>
      <c r="I17" s="191"/>
      <c r="J17" s="218"/>
      <c r="K17" s="714"/>
      <c r="L17" s="202" t="s">
        <v>128</v>
      </c>
      <c r="M17" s="203"/>
      <c r="N17" s="182" t="s">
        <v>302</v>
      </c>
      <c r="O17" s="193"/>
      <c r="P17" s="193">
        <f>'８　かぼちゃ算出基礎'!G7</f>
        <v>13000</v>
      </c>
      <c r="Q17" s="699"/>
      <c r="R17" s="700"/>
      <c r="S17" s="701"/>
    </row>
    <row r="18" spans="1:19" s="108" customFormat="1" ht="18" customHeight="1" x14ac:dyDescent="0.15">
      <c r="A18" s="107"/>
      <c r="B18" s="679"/>
      <c r="C18" s="682"/>
      <c r="D18" s="209" t="s">
        <v>52</v>
      </c>
      <c r="E18" s="216"/>
      <c r="F18" s="209">
        <v>0</v>
      </c>
      <c r="G18" s="182"/>
      <c r="H18" s="191"/>
      <c r="I18" s="435" t="s">
        <v>387</v>
      </c>
      <c r="J18" s="218"/>
      <c r="K18" s="714"/>
      <c r="L18" s="202" t="s">
        <v>126</v>
      </c>
      <c r="M18" s="203"/>
      <c r="N18" s="182" t="s">
        <v>302</v>
      </c>
      <c r="O18" s="193"/>
      <c r="P18" s="193">
        <f>'８　かぼちゃ算出基礎'!G11</f>
        <v>10152</v>
      </c>
      <c r="Q18" s="699"/>
      <c r="R18" s="700"/>
      <c r="S18" s="701"/>
    </row>
    <row r="19" spans="1:19" s="108" customFormat="1" ht="18" customHeight="1" x14ac:dyDescent="0.15">
      <c r="A19" s="107"/>
      <c r="B19" s="679"/>
      <c r="C19" s="682"/>
      <c r="D19" s="209" t="s">
        <v>125</v>
      </c>
      <c r="E19" s="216"/>
      <c r="F19" s="209">
        <f>SUM(F6:F18)/99</f>
        <v>1302.3027449551287</v>
      </c>
      <c r="G19" s="220" t="s">
        <v>163</v>
      </c>
      <c r="H19" s="230">
        <v>0.01</v>
      </c>
      <c r="I19" s="122"/>
      <c r="J19" s="6"/>
      <c r="K19" s="714"/>
      <c r="L19" s="182" t="s">
        <v>127</v>
      </c>
      <c r="M19" s="191"/>
      <c r="N19" s="182" t="s">
        <v>303</v>
      </c>
      <c r="O19" s="193"/>
      <c r="P19" s="193">
        <f>'８　かぼちゃ算出基礎'!G16</f>
        <v>19310.400000000001</v>
      </c>
      <c r="Q19" s="699"/>
      <c r="R19" s="700"/>
      <c r="S19" s="701"/>
    </row>
    <row r="20" spans="1:19" s="108" customFormat="1" ht="18" customHeight="1" x14ac:dyDescent="0.15">
      <c r="A20" s="107"/>
      <c r="B20" s="679"/>
      <c r="C20" s="683"/>
      <c r="D20" s="676" t="s">
        <v>156</v>
      </c>
      <c r="E20" s="677"/>
      <c r="F20" s="140">
        <f>SUM(F6:F19)</f>
        <v>130230.27449551286</v>
      </c>
      <c r="G20" s="188"/>
      <c r="H20" s="122"/>
      <c r="I20" s="122"/>
      <c r="J20" s="125"/>
      <c r="K20" s="714"/>
      <c r="L20" s="193"/>
      <c r="M20" s="191"/>
      <c r="N20" s="193"/>
      <c r="O20" s="193"/>
      <c r="P20" s="193"/>
      <c r="Q20" s="699"/>
      <c r="R20" s="700"/>
      <c r="S20" s="701"/>
    </row>
    <row r="21" spans="1:19" s="108" customFormat="1" ht="18" customHeight="1" x14ac:dyDescent="0.15">
      <c r="A21" s="107"/>
      <c r="B21" s="679"/>
      <c r="C21" s="684" t="s">
        <v>151</v>
      </c>
      <c r="D21" s="672" t="s">
        <v>53</v>
      </c>
      <c r="E21" s="20" t="s">
        <v>1</v>
      </c>
      <c r="F21" s="113">
        <f>(100+1+15)*P11/10</f>
        <v>23200</v>
      </c>
      <c r="G21" s="202" t="s">
        <v>394</v>
      </c>
      <c r="H21" s="191"/>
      <c r="I21" s="355"/>
      <c r="J21" s="218"/>
      <c r="K21" s="714"/>
      <c r="L21" s="182"/>
      <c r="M21" s="191"/>
      <c r="N21" s="182"/>
      <c r="O21" s="193"/>
      <c r="P21" s="193"/>
      <c r="Q21" s="699"/>
      <c r="R21" s="700"/>
      <c r="S21" s="701"/>
    </row>
    <row r="22" spans="1:19" s="108" customFormat="1" ht="18" customHeight="1" thickBot="1" x14ac:dyDescent="0.2">
      <c r="A22" s="107"/>
      <c r="B22" s="679"/>
      <c r="C22" s="685"/>
      <c r="D22" s="610"/>
      <c r="E22" s="20" t="s">
        <v>2</v>
      </c>
      <c r="F22" s="141">
        <f>101*P11/10</f>
        <v>20200</v>
      </c>
      <c r="G22" s="202"/>
      <c r="H22" s="221"/>
      <c r="I22" s="221"/>
      <c r="J22" s="222"/>
      <c r="K22" s="714"/>
      <c r="L22" s="121" t="s">
        <v>26</v>
      </c>
      <c r="M22" s="120"/>
      <c r="N22" s="121"/>
      <c r="O22" s="121"/>
      <c r="P22" s="121">
        <f>SUM(P17:P21)</f>
        <v>42462.400000000001</v>
      </c>
      <c r="Q22" s="716"/>
      <c r="R22" s="717"/>
      <c r="S22" s="718"/>
    </row>
    <row r="23" spans="1:19" s="108" customFormat="1" ht="18" customHeight="1" thickTop="1" x14ac:dyDescent="0.15">
      <c r="A23" s="107"/>
      <c r="B23" s="679"/>
      <c r="C23" s="685"/>
      <c r="D23" s="673"/>
      <c r="E23" s="20" t="s">
        <v>6</v>
      </c>
      <c r="F23" s="356">
        <f>R11*0.115</f>
        <v>33350</v>
      </c>
      <c r="G23" s="436" t="s">
        <v>307</v>
      </c>
      <c r="H23" s="123"/>
      <c r="I23" s="221"/>
      <c r="J23" s="217"/>
      <c r="K23" s="714"/>
      <c r="L23" s="182" t="s">
        <v>123</v>
      </c>
      <c r="M23" s="191"/>
      <c r="N23" s="192" t="s">
        <v>23</v>
      </c>
      <c r="O23" s="192" t="s">
        <v>21</v>
      </c>
      <c r="P23" s="192" t="s">
        <v>24</v>
      </c>
      <c r="Q23" s="702" t="s">
        <v>25</v>
      </c>
      <c r="R23" s="703"/>
      <c r="S23" s="704"/>
    </row>
    <row r="24" spans="1:19" s="108" customFormat="1" ht="18" customHeight="1" x14ac:dyDescent="0.15">
      <c r="A24" s="107"/>
      <c r="B24" s="679"/>
      <c r="C24" s="685"/>
      <c r="D24" s="20" t="s">
        <v>235</v>
      </c>
      <c r="E24" s="27"/>
      <c r="F24" s="141">
        <v>0</v>
      </c>
      <c r="G24" s="202"/>
      <c r="H24" s="224"/>
      <c r="I24" s="225"/>
      <c r="J24" s="223"/>
      <c r="K24" s="714"/>
      <c r="L24" s="193" t="s">
        <v>27</v>
      </c>
      <c r="M24" s="191"/>
      <c r="N24" s="182" t="s">
        <v>304</v>
      </c>
      <c r="O24" s="193"/>
      <c r="P24" s="193">
        <f>'８　かぼちゃ算出基礎'!G38</f>
        <v>9011.6280000000006</v>
      </c>
      <c r="Q24" s="699"/>
      <c r="R24" s="700"/>
      <c r="S24" s="701"/>
    </row>
    <row r="25" spans="1:19" s="108" customFormat="1" ht="18" customHeight="1" x14ac:dyDescent="0.15">
      <c r="A25" s="107"/>
      <c r="B25" s="679"/>
      <c r="C25" s="685"/>
      <c r="D25" s="20" t="s">
        <v>75</v>
      </c>
      <c r="E25" s="27"/>
      <c r="F25" s="141">
        <v>0</v>
      </c>
      <c r="G25" s="202"/>
      <c r="H25" s="226"/>
      <c r="I25" s="227"/>
      <c r="J25" s="228"/>
      <c r="K25" s="714"/>
      <c r="L25" s="193" t="s">
        <v>28</v>
      </c>
      <c r="M25" s="191"/>
      <c r="N25" s="182" t="s">
        <v>305</v>
      </c>
      <c r="O25" s="193"/>
      <c r="P25" s="193">
        <f>'８　かぼちゃ算出基礎'!G49</f>
        <v>7253.5357894736844</v>
      </c>
      <c r="Q25" s="699"/>
      <c r="R25" s="700"/>
      <c r="S25" s="701"/>
    </row>
    <row r="26" spans="1:19" s="108" customFormat="1" ht="18" customHeight="1" x14ac:dyDescent="0.15">
      <c r="A26" s="107"/>
      <c r="B26" s="679"/>
      <c r="C26" s="685"/>
      <c r="D26" s="20" t="s">
        <v>96</v>
      </c>
      <c r="E26" s="21"/>
      <c r="F26" s="141">
        <f>'８　かぼちゃ算出基礎'!V57</f>
        <v>135.33333333333334</v>
      </c>
      <c r="G26" s="661"/>
      <c r="H26" s="662"/>
      <c r="I26" s="662"/>
      <c r="J26" s="663"/>
      <c r="K26" s="714"/>
      <c r="L26" s="193"/>
      <c r="M26" s="191"/>
      <c r="N26" s="182"/>
      <c r="O26" s="193"/>
      <c r="P26" s="193"/>
      <c r="Q26" s="699"/>
      <c r="R26" s="700"/>
      <c r="S26" s="701"/>
    </row>
    <row r="27" spans="1:19" s="108" customFormat="1" ht="18" customHeight="1" x14ac:dyDescent="0.15">
      <c r="A27" s="107"/>
      <c r="B27" s="679"/>
      <c r="C27" s="685"/>
      <c r="D27" s="28" t="s">
        <v>76</v>
      </c>
      <c r="E27" s="29"/>
      <c r="F27" s="229">
        <v>0</v>
      </c>
      <c r="G27" s="182"/>
      <c r="H27" s="226"/>
      <c r="I27" s="227"/>
      <c r="J27" s="223"/>
      <c r="K27" s="714"/>
      <c r="L27" s="193"/>
      <c r="M27" s="191"/>
      <c r="N27" s="182"/>
      <c r="O27" s="193"/>
      <c r="P27" s="193"/>
      <c r="Q27" s="699"/>
      <c r="R27" s="700"/>
      <c r="S27" s="701"/>
    </row>
    <row r="28" spans="1:19" s="108" customFormat="1" ht="18" customHeight="1" thickBot="1" x14ac:dyDescent="0.2">
      <c r="A28" s="107"/>
      <c r="B28" s="679"/>
      <c r="C28" s="685"/>
      <c r="D28" s="20" t="s">
        <v>54</v>
      </c>
      <c r="E28" s="21"/>
      <c r="F28" s="141">
        <f>'８　かぼちゃ算出基礎'!N57+F4*0.3*0.08</f>
        <v>11269.454545454546</v>
      </c>
      <c r="G28" s="661"/>
      <c r="H28" s="662"/>
      <c r="I28" s="662"/>
      <c r="J28" s="663"/>
      <c r="K28" s="714"/>
      <c r="L28" s="121" t="s">
        <v>26</v>
      </c>
      <c r="M28" s="120"/>
      <c r="N28" s="121"/>
      <c r="O28" s="121"/>
      <c r="P28" s="121">
        <f>SUM(P24:P27)</f>
        <v>16265.163789473685</v>
      </c>
      <c r="Q28" s="716"/>
      <c r="R28" s="717"/>
      <c r="S28" s="718"/>
    </row>
    <row r="29" spans="1:19" s="108" customFormat="1" ht="18" customHeight="1" thickTop="1" x14ac:dyDescent="0.15">
      <c r="A29" s="107"/>
      <c r="B29" s="679"/>
      <c r="C29" s="685"/>
      <c r="D29" s="20" t="s">
        <v>236</v>
      </c>
      <c r="E29" s="27"/>
      <c r="F29" s="141">
        <f>SUM(F21:F28)/99</f>
        <v>890.45240281603913</v>
      </c>
      <c r="G29" s="331" t="s">
        <v>253</v>
      </c>
      <c r="H29" s="230">
        <v>0.01</v>
      </c>
      <c r="I29" s="190"/>
      <c r="J29" s="189"/>
      <c r="K29" s="714"/>
      <c r="L29" s="182" t="s">
        <v>124</v>
      </c>
      <c r="M29" s="191"/>
      <c r="N29" s="192" t="s">
        <v>23</v>
      </c>
      <c r="O29" s="192" t="s">
        <v>21</v>
      </c>
      <c r="P29" s="192" t="s">
        <v>24</v>
      </c>
      <c r="Q29" s="702" t="s">
        <v>25</v>
      </c>
      <c r="R29" s="703"/>
      <c r="S29" s="704"/>
    </row>
    <row r="30" spans="1:19" s="108" customFormat="1" ht="18" customHeight="1" thickBot="1" x14ac:dyDescent="0.2">
      <c r="A30" s="107"/>
      <c r="B30" s="680"/>
      <c r="C30" s="686"/>
      <c r="D30" s="674" t="s">
        <v>155</v>
      </c>
      <c r="E30" s="675"/>
      <c r="F30" s="183">
        <f>SUM(F21:F29)</f>
        <v>89045.24028160391</v>
      </c>
      <c r="G30" s="184"/>
      <c r="H30" s="185"/>
      <c r="I30" s="186"/>
      <c r="J30" s="187"/>
      <c r="K30" s="714"/>
      <c r="L30" s="193" t="s">
        <v>116</v>
      </c>
      <c r="M30" s="194"/>
      <c r="N30" s="182" t="s">
        <v>306</v>
      </c>
      <c r="O30" s="195">
        <f>'８　かぼちゃ算出基礎'!M6</f>
        <v>84.7</v>
      </c>
      <c r="P30" s="193">
        <f>'８　かぼちゃ算出基礎'!N10</f>
        <v>677.6</v>
      </c>
      <c r="Q30" s="705"/>
      <c r="R30" s="706"/>
      <c r="S30" s="707"/>
    </row>
    <row r="31" spans="1:19" s="108" customFormat="1" ht="18" customHeight="1" x14ac:dyDescent="0.15">
      <c r="A31" s="107"/>
      <c r="B31" s="131"/>
      <c r="C31" s="127"/>
      <c r="D31" s="127"/>
      <c r="E31" s="127"/>
      <c r="F31" s="127"/>
      <c r="G31" s="127"/>
      <c r="H31" s="127"/>
      <c r="I31" s="127"/>
      <c r="J31" s="127"/>
      <c r="K31" s="714"/>
      <c r="L31" s="193" t="s">
        <v>117</v>
      </c>
      <c r="M31" s="194"/>
      <c r="N31" s="193" t="s">
        <v>338</v>
      </c>
      <c r="O31" s="195">
        <f>'８　かぼちゃ算出基礎'!M11</f>
        <v>158.4</v>
      </c>
      <c r="P31" s="193">
        <f>'８　かぼちゃ算出基礎'!N15</f>
        <v>10296</v>
      </c>
      <c r="Q31" s="705"/>
      <c r="R31" s="706"/>
      <c r="S31" s="707"/>
    </row>
    <row r="32" spans="1:19" s="108" customFormat="1" ht="18" customHeight="1" x14ac:dyDescent="0.15">
      <c r="A32" s="107"/>
      <c r="B32" s="119"/>
      <c r="C32" s="135"/>
      <c r="D32" s="119"/>
      <c r="E32" s="119"/>
      <c r="F32" s="133"/>
      <c r="G32" s="133"/>
      <c r="H32" s="134"/>
      <c r="I32" s="127"/>
      <c r="J32" s="127"/>
      <c r="K32" s="714"/>
      <c r="L32" s="193" t="s">
        <v>119</v>
      </c>
      <c r="M32" s="191"/>
      <c r="N32" s="195"/>
      <c r="O32" s="195"/>
      <c r="P32" s="193">
        <f>SUM(P30:P31)*R32</f>
        <v>3292.08</v>
      </c>
      <c r="Q32" s="196" t="s">
        <v>118</v>
      </c>
      <c r="R32" s="197">
        <v>0.3</v>
      </c>
      <c r="S32" s="124"/>
    </row>
    <row r="33" spans="1:23" ht="18" customHeight="1" x14ac:dyDescent="0.15">
      <c r="K33" s="714"/>
      <c r="L33" s="193" t="s">
        <v>120</v>
      </c>
      <c r="M33" s="194"/>
      <c r="N33" s="182" t="s">
        <v>306</v>
      </c>
      <c r="O33" s="195">
        <f>'８　かぼちゃ算出基礎'!M16</f>
        <v>168.4</v>
      </c>
      <c r="P33" s="193">
        <f>'８　かぼちゃ算出基礎'!N19</f>
        <v>336.8</v>
      </c>
      <c r="Q33" s="699"/>
      <c r="R33" s="700"/>
      <c r="S33" s="701"/>
      <c r="U33" s="108"/>
    </row>
    <row r="34" spans="1:23" ht="18" customHeight="1" x14ac:dyDescent="0.15">
      <c r="K34" s="714"/>
      <c r="L34" s="182" t="s">
        <v>334</v>
      </c>
      <c r="M34" s="191"/>
      <c r="N34" s="182" t="s">
        <v>335</v>
      </c>
      <c r="O34" s="195">
        <f>'８　かぼちゃ算出基礎'!M28</f>
        <v>14</v>
      </c>
      <c r="P34" s="193">
        <f>'８　かぼちゃ算出基礎'!N31</f>
        <v>87.054545454545448</v>
      </c>
      <c r="Q34" s="699"/>
      <c r="R34" s="700"/>
      <c r="S34" s="701"/>
    </row>
    <row r="35" spans="1:23" ht="18" customHeight="1" x14ac:dyDescent="0.15">
      <c r="K35" s="714"/>
      <c r="L35" s="193"/>
      <c r="M35" s="194"/>
      <c r="N35" s="182"/>
      <c r="O35" s="195"/>
      <c r="P35" s="193"/>
      <c r="Q35" s="314"/>
      <c r="R35" s="315"/>
      <c r="S35" s="316"/>
    </row>
    <row r="36" spans="1:23" ht="18" customHeight="1" x14ac:dyDescent="0.15">
      <c r="K36" s="714"/>
      <c r="N36" s="380"/>
      <c r="O36" s="380"/>
      <c r="P36" s="380"/>
      <c r="Q36" s="699"/>
      <c r="R36" s="700"/>
      <c r="S36" s="701"/>
    </row>
    <row r="37" spans="1:23" ht="18" customHeight="1" thickBot="1" x14ac:dyDescent="0.2">
      <c r="K37" s="715"/>
      <c r="L37" s="381" t="s">
        <v>26</v>
      </c>
      <c r="M37" s="382"/>
      <c r="N37" s="381"/>
      <c r="O37" s="381"/>
      <c r="P37" s="383">
        <f>SUM(P30:P36)</f>
        <v>14689.534545454546</v>
      </c>
      <c r="Q37" s="719"/>
      <c r="R37" s="720"/>
      <c r="S37" s="721"/>
    </row>
    <row r="38" spans="1:23" s="126" customFormat="1" ht="18" customHeight="1" x14ac:dyDescent="0.15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U38" s="107"/>
    </row>
    <row r="39" spans="1:23" s="126" customFormat="1" ht="18" customHeight="1" x14ac:dyDescent="0.15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T39" s="127"/>
    </row>
    <row r="40" spans="1:23" s="126" customFormat="1" ht="18" customHeight="1" x14ac:dyDescent="0.15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T40" s="108"/>
      <c r="V40" s="108"/>
      <c r="W40" s="108"/>
    </row>
    <row r="41" spans="1:23" s="126" customFormat="1" ht="18" customHeight="1" x14ac:dyDescent="0.1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T41" s="128"/>
      <c r="U41" s="108"/>
      <c r="V41" s="130"/>
      <c r="W41" s="128"/>
    </row>
    <row r="42" spans="1:23" s="126" customFormat="1" ht="18" customHeight="1" x14ac:dyDescent="0.15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T42" s="108"/>
      <c r="U42" s="129"/>
      <c r="V42" s="108"/>
      <c r="W42" s="108"/>
    </row>
    <row r="43" spans="1:23" s="126" customFormat="1" ht="18" customHeight="1" x14ac:dyDescent="0.15">
      <c r="B43" s="107"/>
      <c r="C43" s="107"/>
      <c r="D43" s="107"/>
      <c r="E43" s="107"/>
      <c r="F43" s="107"/>
      <c r="G43" s="107"/>
      <c r="H43" s="107"/>
      <c r="I43" s="107"/>
      <c r="J43" s="107"/>
      <c r="T43" s="109"/>
      <c r="U43" s="108"/>
      <c r="V43" s="108"/>
      <c r="W43" s="128"/>
    </row>
    <row r="44" spans="1:23" s="126" customFormat="1" ht="18" customHeight="1" x14ac:dyDescent="0.15">
      <c r="B44" s="107"/>
      <c r="C44" s="107"/>
      <c r="D44" s="107"/>
      <c r="E44" s="107"/>
      <c r="F44" s="107"/>
      <c r="G44" s="107"/>
      <c r="H44" s="107"/>
      <c r="I44" s="107"/>
      <c r="J44" s="107"/>
      <c r="T44" s="109"/>
      <c r="U44" s="127"/>
      <c r="V44" s="108"/>
      <c r="W44" s="128"/>
    </row>
    <row r="45" spans="1:23" s="126" customFormat="1" ht="18" customHeight="1" x14ac:dyDescent="0.15">
      <c r="B45" s="107"/>
      <c r="C45" s="107"/>
      <c r="D45" s="107"/>
      <c r="E45" s="107"/>
      <c r="F45" s="107"/>
      <c r="G45" s="107"/>
      <c r="H45" s="107"/>
      <c r="I45" s="107"/>
      <c r="J45" s="107"/>
      <c r="T45" s="108"/>
      <c r="U45" s="127"/>
      <c r="V45" s="129"/>
      <c r="W45" s="108"/>
    </row>
    <row r="46" spans="1:23" s="126" customFormat="1" x14ac:dyDescent="0.15">
      <c r="B46" s="107"/>
      <c r="C46" s="107"/>
      <c r="D46" s="107"/>
      <c r="E46" s="107"/>
      <c r="F46" s="107"/>
      <c r="G46" s="107"/>
      <c r="H46" s="107"/>
      <c r="I46" s="107"/>
      <c r="J46" s="107"/>
      <c r="T46" s="109"/>
      <c r="U46" s="108"/>
      <c r="V46" s="108"/>
      <c r="W46" s="128"/>
    </row>
    <row r="47" spans="1:23" s="126" customFormat="1" x14ac:dyDescent="0.15">
      <c r="B47" s="107"/>
      <c r="C47" s="107"/>
      <c r="D47" s="107"/>
      <c r="E47" s="107"/>
      <c r="F47" s="107"/>
      <c r="G47" s="107"/>
      <c r="H47" s="107"/>
      <c r="I47" s="107"/>
      <c r="J47" s="107"/>
      <c r="T47" s="109"/>
      <c r="U47" s="108"/>
      <c r="V47" s="108"/>
      <c r="W47" s="128"/>
    </row>
    <row r="48" spans="1:23" s="126" customFormat="1" x14ac:dyDescent="0.15">
      <c r="B48" s="107"/>
      <c r="C48" s="107"/>
      <c r="D48" s="107"/>
      <c r="E48" s="107"/>
      <c r="F48" s="107"/>
      <c r="G48" s="107"/>
      <c r="H48" s="107"/>
      <c r="I48" s="107"/>
      <c r="J48" s="107"/>
      <c r="T48" s="109"/>
      <c r="U48" s="108"/>
      <c r="V48" s="108"/>
      <c r="W48" s="128"/>
    </row>
    <row r="49" spans="2:23" s="126" customFormat="1" x14ac:dyDescent="0.15">
      <c r="B49" s="107"/>
      <c r="C49" s="107"/>
      <c r="D49" s="107"/>
      <c r="E49" s="107"/>
      <c r="F49" s="107"/>
      <c r="G49" s="107"/>
      <c r="H49" s="107"/>
      <c r="I49" s="107"/>
      <c r="J49" s="107"/>
      <c r="T49" s="109"/>
      <c r="U49" s="108"/>
      <c r="V49" s="108"/>
      <c r="W49" s="128"/>
    </row>
    <row r="50" spans="2:23" s="126" customFormat="1" x14ac:dyDescent="0.15">
      <c r="B50" s="107"/>
      <c r="C50" s="107"/>
      <c r="D50" s="107"/>
      <c r="E50" s="107"/>
      <c r="F50" s="107"/>
      <c r="G50" s="107"/>
      <c r="H50" s="107"/>
      <c r="I50" s="107"/>
      <c r="J50" s="107"/>
      <c r="T50" s="109"/>
      <c r="U50" s="108"/>
      <c r="V50" s="109"/>
      <c r="W50" s="108"/>
    </row>
    <row r="51" spans="2:23" s="126" customFormat="1" ht="13.5" customHeight="1" x14ac:dyDescent="0.15">
      <c r="B51" s="107"/>
      <c r="C51" s="107"/>
      <c r="D51" s="107"/>
      <c r="E51" s="107"/>
      <c r="F51" s="107"/>
      <c r="G51" s="107"/>
      <c r="H51" s="107"/>
      <c r="I51" s="107"/>
      <c r="J51" s="107"/>
      <c r="T51" s="108"/>
      <c r="U51" s="109"/>
      <c r="V51" s="108"/>
      <c r="W51" s="129"/>
    </row>
    <row r="52" spans="2:23" s="126" customFormat="1" x14ac:dyDescent="0.15">
      <c r="B52" s="107"/>
      <c r="C52" s="107"/>
      <c r="D52" s="107"/>
      <c r="E52" s="107"/>
      <c r="F52" s="107"/>
      <c r="G52" s="107"/>
      <c r="H52" s="107"/>
      <c r="I52" s="107"/>
      <c r="J52" s="107"/>
      <c r="T52" s="128"/>
      <c r="U52" s="108"/>
      <c r="V52" s="129"/>
      <c r="W52" s="128"/>
    </row>
    <row r="53" spans="2:23" s="126" customFormat="1" x14ac:dyDescent="0.15">
      <c r="B53" s="107"/>
      <c r="C53" s="107"/>
      <c r="D53" s="107"/>
      <c r="E53" s="107"/>
      <c r="F53" s="107"/>
      <c r="G53" s="107"/>
      <c r="H53" s="107"/>
      <c r="I53" s="107"/>
      <c r="J53" s="107"/>
      <c r="T53" s="108"/>
      <c r="U53" s="108"/>
      <c r="V53" s="108"/>
      <c r="W53" s="108"/>
    </row>
    <row r="54" spans="2:23" s="126" customFormat="1" ht="13.5" customHeight="1" x14ac:dyDescent="0.15">
      <c r="B54" s="107"/>
      <c r="C54" s="107"/>
      <c r="D54" s="107"/>
      <c r="E54" s="107"/>
      <c r="F54" s="107"/>
      <c r="G54" s="107"/>
      <c r="H54" s="107"/>
      <c r="I54" s="107"/>
      <c r="J54" s="107"/>
      <c r="T54" s="109"/>
      <c r="U54" s="108"/>
      <c r="V54" s="109"/>
      <c r="W54" s="128"/>
    </row>
    <row r="55" spans="2:23" s="126" customFormat="1" x14ac:dyDescent="0.15">
      <c r="B55" s="107"/>
      <c r="C55" s="107"/>
      <c r="D55" s="107"/>
      <c r="E55" s="107"/>
      <c r="F55" s="107"/>
      <c r="G55" s="107"/>
      <c r="H55" s="107"/>
      <c r="I55" s="107"/>
      <c r="J55" s="107"/>
      <c r="T55" s="136"/>
      <c r="U55" s="108"/>
      <c r="V55" s="108"/>
      <c r="W55" s="128"/>
    </row>
    <row r="56" spans="2:23" s="126" customFormat="1" x14ac:dyDescent="0.15"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8"/>
      <c r="U56" s="108"/>
      <c r="V56" s="108"/>
      <c r="W56" s="108"/>
    </row>
    <row r="57" spans="2:23" s="126" customFormat="1" x14ac:dyDescent="0.15"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27"/>
      <c r="U57" s="109"/>
      <c r="V57" s="127"/>
      <c r="W57" s="127"/>
    </row>
    <row r="58" spans="2:23" s="126" customFormat="1" x14ac:dyDescent="0.15"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27"/>
      <c r="U58" s="127"/>
    </row>
    <row r="59" spans="2:23" s="126" customFormat="1" x14ac:dyDescent="0.15"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27"/>
    </row>
    <row r="60" spans="2:23" s="126" customFormat="1" x14ac:dyDescent="0.15"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27"/>
    </row>
    <row r="61" spans="2:23" s="126" customFormat="1" x14ac:dyDescent="0.15"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</row>
    <row r="62" spans="2:23" s="126" customFormat="1" x14ac:dyDescent="0.15"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</row>
    <row r="63" spans="2:23" s="126" customFormat="1" ht="13.5" customHeight="1" x14ac:dyDescent="0.15"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</row>
    <row r="64" spans="2:23" s="126" customFormat="1" ht="13.5" customHeight="1" x14ac:dyDescent="0.15"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</row>
    <row r="65" spans="2:19" s="126" customFormat="1" x14ac:dyDescent="0.15"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</row>
    <row r="66" spans="2:19" s="126" customFormat="1" x14ac:dyDescent="0.15"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</row>
    <row r="67" spans="2:19" s="126" customFormat="1" x14ac:dyDescent="0.15"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</row>
    <row r="68" spans="2:19" s="126" customFormat="1" ht="13.5" customHeight="1" x14ac:dyDescent="0.15"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</row>
    <row r="69" spans="2:19" s="126" customFormat="1" x14ac:dyDescent="0.15"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</row>
    <row r="70" spans="2:19" s="126" customFormat="1" x14ac:dyDescent="0.15"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</row>
    <row r="71" spans="2:19" s="126" customFormat="1" x14ac:dyDescent="0.15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</row>
    <row r="72" spans="2:19" s="126" customFormat="1" x14ac:dyDescent="0.15"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</row>
    <row r="73" spans="2:19" s="126" customFormat="1" x14ac:dyDescent="0.15"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</row>
    <row r="74" spans="2:19" s="126" customFormat="1" ht="13.5" customHeight="1" x14ac:dyDescent="0.15"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</row>
    <row r="75" spans="2:19" s="126" customFormat="1" x14ac:dyDescent="0.15"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</row>
    <row r="76" spans="2:19" s="126" customFormat="1" x14ac:dyDescent="0.15"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</row>
    <row r="77" spans="2:19" s="126" customFormat="1" x14ac:dyDescent="0.15"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</row>
    <row r="78" spans="2:19" s="126" customFormat="1" x14ac:dyDescent="0.15"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</row>
    <row r="79" spans="2:19" s="126" customFormat="1" x14ac:dyDescent="0.15"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</row>
    <row r="80" spans="2:19" s="126" customFormat="1" x14ac:dyDescent="0.15"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</row>
    <row r="81" spans="1:21" s="126" customFormat="1" x14ac:dyDescent="0.15"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</row>
    <row r="82" spans="1:21" s="126" customFormat="1" x14ac:dyDescent="0.15"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</row>
    <row r="83" spans="1:21" s="126" customFormat="1" x14ac:dyDescent="0.15"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</row>
    <row r="84" spans="1:21" s="126" customFormat="1" x14ac:dyDescent="0.15"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</row>
    <row r="85" spans="1:21" s="126" customFormat="1" x14ac:dyDescent="0.15"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</row>
    <row r="86" spans="1:21" s="126" customFormat="1" ht="13.5" customHeight="1" x14ac:dyDescent="0.15"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</row>
    <row r="87" spans="1:21" s="126" customFormat="1" x14ac:dyDescent="0.15"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</row>
    <row r="88" spans="1:21" s="126" customFormat="1" x14ac:dyDescent="0.15"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</row>
    <row r="89" spans="1:21" s="126" customFormat="1" ht="13.5" customHeight="1" x14ac:dyDescent="0.15"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</row>
    <row r="90" spans="1:21" s="126" customFormat="1" x14ac:dyDescent="0.15"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</row>
    <row r="91" spans="1:21" s="126" customFormat="1" x14ac:dyDescent="0.15"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</row>
    <row r="92" spans="1:21" s="126" customFormat="1" x14ac:dyDescent="0.15"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</row>
    <row r="93" spans="1:21" s="126" customFormat="1" x14ac:dyDescent="0.15"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</row>
    <row r="94" spans="1:21" s="126" customFormat="1" x14ac:dyDescent="0.15"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</row>
    <row r="95" spans="1:21" x14ac:dyDescent="0.15">
      <c r="A95" s="126"/>
      <c r="U95" s="126"/>
    </row>
    <row r="96" spans="1:21" x14ac:dyDescent="0.15">
      <c r="A96" s="126"/>
    </row>
    <row r="97" spans="1:1" x14ac:dyDescent="0.15">
      <c r="A97" s="126"/>
    </row>
    <row r="98" spans="1:1" x14ac:dyDescent="0.15">
      <c r="A98" s="126"/>
    </row>
    <row r="99" spans="1:1" x14ac:dyDescent="0.15">
      <c r="A99" s="126"/>
    </row>
  </sheetData>
  <mergeCells count="54">
    <mergeCell ref="K12:K37"/>
    <mergeCell ref="G11:J11"/>
    <mergeCell ref="Q33:S33"/>
    <mergeCell ref="Q34:S34"/>
    <mergeCell ref="Q22:S22"/>
    <mergeCell ref="Q23:S23"/>
    <mergeCell ref="Q24:S24"/>
    <mergeCell ref="Q25:S25"/>
    <mergeCell ref="Q37:S37"/>
    <mergeCell ref="Q27:S27"/>
    <mergeCell ref="Q28:S28"/>
    <mergeCell ref="Q29:S29"/>
    <mergeCell ref="Q15:S15"/>
    <mergeCell ref="R11:S11"/>
    <mergeCell ref="Q12:S12"/>
    <mergeCell ref="Q13:S13"/>
    <mergeCell ref="R8:S8"/>
    <mergeCell ref="R9:S9"/>
    <mergeCell ref="R4:S4"/>
    <mergeCell ref="R5:S5"/>
    <mergeCell ref="Q14:S14"/>
    <mergeCell ref="R10:S10"/>
    <mergeCell ref="Q36:S36"/>
    <mergeCell ref="Q20:S20"/>
    <mergeCell ref="Q21:S21"/>
    <mergeCell ref="Q26:S26"/>
    <mergeCell ref="Q16:S16"/>
    <mergeCell ref="Q17:S17"/>
    <mergeCell ref="Q18:S18"/>
    <mergeCell ref="Q30:S30"/>
    <mergeCell ref="Q31:S31"/>
    <mergeCell ref="Q19:S19"/>
    <mergeCell ref="B4:C5"/>
    <mergeCell ref="B3:E3"/>
    <mergeCell ref="K3:S3"/>
    <mergeCell ref="R6:S6"/>
    <mergeCell ref="R7:S7"/>
    <mergeCell ref="G7:J7"/>
    <mergeCell ref="D21:D23"/>
    <mergeCell ref="D30:E30"/>
    <mergeCell ref="D20:E20"/>
    <mergeCell ref="B6:B30"/>
    <mergeCell ref="C6:C20"/>
    <mergeCell ref="C21:C30"/>
    <mergeCell ref="D13:D14"/>
    <mergeCell ref="D15:D17"/>
    <mergeCell ref="G8:J8"/>
    <mergeCell ref="G9:J9"/>
    <mergeCell ref="G4:J4"/>
    <mergeCell ref="G26:J26"/>
    <mergeCell ref="G28:J28"/>
    <mergeCell ref="G10:J10"/>
    <mergeCell ref="I13:J13"/>
    <mergeCell ref="I14:J14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V191"/>
  <sheetViews>
    <sheetView showZeros="0" zoomScale="75" zoomScaleNormal="75" zoomScaleSheetLayoutView="80" workbookViewId="0"/>
  </sheetViews>
  <sheetFormatPr defaultRowHeight="13.5" x14ac:dyDescent="0.15"/>
  <cols>
    <col min="1" max="1" width="1.625" style="31" customWidth="1"/>
    <col min="2" max="2" width="3.625" style="31" customWidth="1"/>
    <col min="3" max="3" width="15.625" style="31" customWidth="1"/>
    <col min="4" max="7" width="8.625" style="31" customWidth="1"/>
    <col min="8" max="8" width="1.625" style="171" customWidth="1"/>
    <col min="9" max="9" width="3.625" style="31" customWidth="1"/>
    <col min="10" max="10" width="15.625" style="31" customWidth="1"/>
    <col min="11" max="14" width="8.625" style="31" customWidth="1"/>
    <col min="15" max="15" width="3.5" style="31" customWidth="1"/>
    <col min="16" max="16" width="15.625" style="137" customWidth="1"/>
    <col min="17" max="17" width="8.625" style="31" customWidth="1"/>
    <col min="18" max="18" width="8.625" style="32" customWidth="1"/>
    <col min="19" max="21" width="8.625" style="31" customWidth="1"/>
    <col min="22" max="22" width="10.625" style="32" customWidth="1"/>
    <col min="23" max="245" width="9" style="31"/>
    <col min="246" max="246" width="1.375" style="31" customWidth="1"/>
    <col min="247" max="247" width="3.5" style="31" customWidth="1"/>
    <col min="248" max="248" width="22.125" style="31" customWidth="1"/>
    <col min="249" max="249" width="9.75" style="31" customWidth="1"/>
    <col min="250" max="250" width="7.375" style="31" customWidth="1"/>
    <col min="251" max="251" width="9" style="31"/>
    <col min="252" max="252" width="9.25" style="31" customWidth="1"/>
    <col min="253" max="253" width="3.5" style="31" customWidth="1"/>
    <col min="254" max="255" width="12.625" style="31" customWidth="1"/>
    <col min="256" max="256" width="9" style="31"/>
    <col min="257" max="257" width="7.75" style="31" customWidth="1"/>
    <col min="258" max="258" width="13.125" style="31" customWidth="1"/>
    <col min="259" max="259" width="6.125" style="31" customWidth="1"/>
    <col min="260" max="260" width="9.75" style="31" customWidth="1"/>
    <col min="261" max="261" width="1.375" style="31" customWidth="1"/>
    <col min="262" max="501" width="9" style="31"/>
    <col min="502" max="502" width="1.375" style="31" customWidth="1"/>
    <col min="503" max="503" width="3.5" style="31" customWidth="1"/>
    <col min="504" max="504" width="22.125" style="31" customWidth="1"/>
    <col min="505" max="505" width="9.75" style="31" customWidth="1"/>
    <col min="506" max="506" width="7.375" style="31" customWidth="1"/>
    <col min="507" max="507" width="9" style="31"/>
    <col min="508" max="508" width="9.25" style="31" customWidth="1"/>
    <col min="509" max="509" width="3.5" style="31" customWidth="1"/>
    <col min="510" max="511" width="12.625" style="31" customWidth="1"/>
    <col min="512" max="512" width="9" style="31"/>
    <col min="513" max="513" width="7.75" style="31" customWidth="1"/>
    <col min="514" max="514" width="13.125" style="31" customWidth="1"/>
    <col min="515" max="515" width="6.125" style="31" customWidth="1"/>
    <col min="516" max="516" width="9.75" style="31" customWidth="1"/>
    <col min="517" max="517" width="1.375" style="31" customWidth="1"/>
    <col min="518" max="757" width="9" style="31"/>
    <col min="758" max="758" width="1.375" style="31" customWidth="1"/>
    <col min="759" max="759" width="3.5" style="31" customWidth="1"/>
    <col min="760" max="760" width="22.125" style="31" customWidth="1"/>
    <col min="761" max="761" width="9.75" style="31" customWidth="1"/>
    <col min="762" max="762" width="7.375" style="31" customWidth="1"/>
    <col min="763" max="763" width="9" style="31"/>
    <col min="764" max="764" width="9.25" style="31" customWidth="1"/>
    <col min="765" max="765" width="3.5" style="31" customWidth="1"/>
    <col min="766" max="767" width="12.625" style="31" customWidth="1"/>
    <col min="768" max="768" width="9" style="31"/>
    <col min="769" max="769" width="7.75" style="31" customWidth="1"/>
    <col min="770" max="770" width="13.125" style="31" customWidth="1"/>
    <col min="771" max="771" width="6.125" style="31" customWidth="1"/>
    <col min="772" max="772" width="9.75" style="31" customWidth="1"/>
    <col min="773" max="773" width="1.375" style="31" customWidth="1"/>
    <col min="774" max="1013" width="9" style="31"/>
    <col min="1014" max="1014" width="1.375" style="31" customWidth="1"/>
    <col min="1015" max="1015" width="3.5" style="31" customWidth="1"/>
    <col min="1016" max="1016" width="22.125" style="31" customWidth="1"/>
    <col min="1017" max="1017" width="9.75" style="31" customWidth="1"/>
    <col min="1018" max="1018" width="7.375" style="31" customWidth="1"/>
    <col min="1019" max="1019" width="9" style="31"/>
    <col min="1020" max="1020" width="9.25" style="31" customWidth="1"/>
    <col min="1021" max="1021" width="3.5" style="31" customWidth="1"/>
    <col min="1022" max="1023" width="12.625" style="31" customWidth="1"/>
    <col min="1024" max="1024" width="9" style="31"/>
    <col min="1025" max="1025" width="7.75" style="31" customWidth="1"/>
    <col min="1026" max="1026" width="13.125" style="31" customWidth="1"/>
    <col min="1027" max="1027" width="6.125" style="31" customWidth="1"/>
    <col min="1028" max="1028" width="9.75" style="31" customWidth="1"/>
    <col min="1029" max="1029" width="1.375" style="31" customWidth="1"/>
    <col min="1030" max="1269" width="9" style="31"/>
    <col min="1270" max="1270" width="1.375" style="31" customWidth="1"/>
    <col min="1271" max="1271" width="3.5" style="31" customWidth="1"/>
    <col min="1272" max="1272" width="22.125" style="31" customWidth="1"/>
    <col min="1273" max="1273" width="9.75" style="31" customWidth="1"/>
    <col min="1274" max="1274" width="7.375" style="31" customWidth="1"/>
    <col min="1275" max="1275" width="9" style="31"/>
    <col min="1276" max="1276" width="9.25" style="31" customWidth="1"/>
    <col min="1277" max="1277" width="3.5" style="31" customWidth="1"/>
    <col min="1278" max="1279" width="12.625" style="31" customWidth="1"/>
    <col min="1280" max="1280" width="9" style="31"/>
    <col min="1281" max="1281" width="7.75" style="31" customWidth="1"/>
    <col min="1282" max="1282" width="13.125" style="31" customWidth="1"/>
    <col min="1283" max="1283" width="6.125" style="31" customWidth="1"/>
    <col min="1284" max="1284" width="9.75" style="31" customWidth="1"/>
    <col min="1285" max="1285" width="1.375" style="31" customWidth="1"/>
    <col min="1286" max="1525" width="9" style="31"/>
    <col min="1526" max="1526" width="1.375" style="31" customWidth="1"/>
    <col min="1527" max="1527" width="3.5" style="31" customWidth="1"/>
    <col min="1528" max="1528" width="22.125" style="31" customWidth="1"/>
    <col min="1529" max="1529" width="9.75" style="31" customWidth="1"/>
    <col min="1530" max="1530" width="7.375" style="31" customWidth="1"/>
    <col min="1531" max="1531" width="9" style="31"/>
    <col min="1532" max="1532" width="9.25" style="31" customWidth="1"/>
    <col min="1533" max="1533" width="3.5" style="31" customWidth="1"/>
    <col min="1534" max="1535" width="12.625" style="31" customWidth="1"/>
    <col min="1536" max="1536" width="9" style="31"/>
    <col min="1537" max="1537" width="7.75" style="31" customWidth="1"/>
    <col min="1538" max="1538" width="13.125" style="31" customWidth="1"/>
    <col min="1539" max="1539" width="6.125" style="31" customWidth="1"/>
    <col min="1540" max="1540" width="9.75" style="31" customWidth="1"/>
    <col min="1541" max="1541" width="1.375" style="31" customWidth="1"/>
    <col min="1542" max="1781" width="9" style="31"/>
    <col min="1782" max="1782" width="1.375" style="31" customWidth="1"/>
    <col min="1783" max="1783" width="3.5" style="31" customWidth="1"/>
    <col min="1784" max="1784" width="22.125" style="31" customWidth="1"/>
    <col min="1785" max="1785" width="9.75" style="31" customWidth="1"/>
    <col min="1786" max="1786" width="7.375" style="31" customWidth="1"/>
    <col min="1787" max="1787" width="9" style="31"/>
    <col min="1788" max="1788" width="9.25" style="31" customWidth="1"/>
    <col min="1789" max="1789" width="3.5" style="31" customWidth="1"/>
    <col min="1790" max="1791" width="12.625" style="31" customWidth="1"/>
    <col min="1792" max="1792" width="9" style="31"/>
    <col min="1793" max="1793" width="7.75" style="31" customWidth="1"/>
    <col min="1794" max="1794" width="13.125" style="31" customWidth="1"/>
    <col min="1795" max="1795" width="6.125" style="31" customWidth="1"/>
    <col min="1796" max="1796" width="9.75" style="31" customWidth="1"/>
    <col min="1797" max="1797" width="1.375" style="31" customWidth="1"/>
    <col min="1798" max="2037" width="9" style="31"/>
    <col min="2038" max="2038" width="1.375" style="31" customWidth="1"/>
    <col min="2039" max="2039" width="3.5" style="31" customWidth="1"/>
    <col min="2040" max="2040" width="22.125" style="31" customWidth="1"/>
    <col min="2041" max="2041" width="9.75" style="31" customWidth="1"/>
    <col min="2042" max="2042" width="7.375" style="31" customWidth="1"/>
    <col min="2043" max="2043" width="9" style="31"/>
    <col min="2044" max="2044" width="9.25" style="31" customWidth="1"/>
    <col min="2045" max="2045" width="3.5" style="31" customWidth="1"/>
    <col min="2046" max="2047" width="12.625" style="31" customWidth="1"/>
    <col min="2048" max="2048" width="9" style="31"/>
    <col min="2049" max="2049" width="7.75" style="31" customWidth="1"/>
    <col min="2050" max="2050" width="13.125" style="31" customWidth="1"/>
    <col min="2051" max="2051" width="6.125" style="31" customWidth="1"/>
    <col min="2052" max="2052" width="9.75" style="31" customWidth="1"/>
    <col min="2053" max="2053" width="1.375" style="31" customWidth="1"/>
    <col min="2054" max="2293" width="9" style="31"/>
    <col min="2294" max="2294" width="1.375" style="31" customWidth="1"/>
    <col min="2295" max="2295" width="3.5" style="31" customWidth="1"/>
    <col min="2296" max="2296" width="22.125" style="31" customWidth="1"/>
    <col min="2297" max="2297" width="9.75" style="31" customWidth="1"/>
    <col min="2298" max="2298" width="7.375" style="31" customWidth="1"/>
    <col min="2299" max="2299" width="9" style="31"/>
    <col min="2300" max="2300" width="9.25" style="31" customWidth="1"/>
    <col min="2301" max="2301" width="3.5" style="31" customWidth="1"/>
    <col min="2302" max="2303" width="12.625" style="31" customWidth="1"/>
    <col min="2304" max="2304" width="9" style="31"/>
    <col min="2305" max="2305" width="7.75" style="31" customWidth="1"/>
    <col min="2306" max="2306" width="13.125" style="31" customWidth="1"/>
    <col min="2307" max="2307" width="6.125" style="31" customWidth="1"/>
    <col min="2308" max="2308" width="9.75" style="31" customWidth="1"/>
    <col min="2309" max="2309" width="1.375" style="31" customWidth="1"/>
    <col min="2310" max="2549" width="9" style="31"/>
    <col min="2550" max="2550" width="1.375" style="31" customWidth="1"/>
    <col min="2551" max="2551" width="3.5" style="31" customWidth="1"/>
    <col min="2552" max="2552" width="22.125" style="31" customWidth="1"/>
    <col min="2553" max="2553" width="9.75" style="31" customWidth="1"/>
    <col min="2554" max="2554" width="7.375" style="31" customWidth="1"/>
    <col min="2555" max="2555" width="9" style="31"/>
    <col min="2556" max="2556" width="9.25" style="31" customWidth="1"/>
    <col min="2557" max="2557" width="3.5" style="31" customWidth="1"/>
    <col min="2558" max="2559" width="12.625" style="31" customWidth="1"/>
    <col min="2560" max="2560" width="9" style="31"/>
    <col min="2561" max="2561" width="7.75" style="31" customWidth="1"/>
    <col min="2562" max="2562" width="13.125" style="31" customWidth="1"/>
    <col min="2563" max="2563" width="6.125" style="31" customWidth="1"/>
    <col min="2564" max="2564" width="9.75" style="31" customWidth="1"/>
    <col min="2565" max="2565" width="1.375" style="31" customWidth="1"/>
    <col min="2566" max="2805" width="9" style="31"/>
    <col min="2806" max="2806" width="1.375" style="31" customWidth="1"/>
    <col min="2807" max="2807" width="3.5" style="31" customWidth="1"/>
    <col min="2808" max="2808" width="22.125" style="31" customWidth="1"/>
    <col min="2809" max="2809" width="9.75" style="31" customWidth="1"/>
    <col min="2810" max="2810" width="7.375" style="31" customWidth="1"/>
    <col min="2811" max="2811" width="9" style="31"/>
    <col min="2812" max="2812" width="9.25" style="31" customWidth="1"/>
    <col min="2813" max="2813" width="3.5" style="31" customWidth="1"/>
    <col min="2814" max="2815" width="12.625" style="31" customWidth="1"/>
    <col min="2816" max="2816" width="9" style="31"/>
    <col min="2817" max="2817" width="7.75" style="31" customWidth="1"/>
    <col min="2818" max="2818" width="13.125" style="31" customWidth="1"/>
    <col min="2819" max="2819" width="6.125" style="31" customWidth="1"/>
    <col min="2820" max="2820" width="9.75" style="31" customWidth="1"/>
    <col min="2821" max="2821" width="1.375" style="31" customWidth="1"/>
    <col min="2822" max="3061" width="9" style="31"/>
    <col min="3062" max="3062" width="1.375" style="31" customWidth="1"/>
    <col min="3063" max="3063" width="3.5" style="31" customWidth="1"/>
    <col min="3064" max="3064" width="22.125" style="31" customWidth="1"/>
    <col min="3065" max="3065" width="9.75" style="31" customWidth="1"/>
    <col min="3066" max="3066" width="7.375" style="31" customWidth="1"/>
    <col min="3067" max="3067" width="9" style="31"/>
    <col min="3068" max="3068" width="9.25" style="31" customWidth="1"/>
    <col min="3069" max="3069" width="3.5" style="31" customWidth="1"/>
    <col min="3070" max="3071" width="12.625" style="31" customWidth="1"/>
    <col min="3072" max="3072" width="9" style="31"/>
    <col min="3073" max="3073" width="7.75" style="31" customWidth="1"/>
    <col min="3074" max="3074" width="13.125" style="31" customWidth="1"/>
    <col min="3075" max="3075" width="6.125" style="31" customWidth="1"/>
    <col min="3076" max="3076" width="9.75" style="31" customWidth="1"/>
    <col min="3077" max="3077" width="1.375" style="31" customWidth="1"/>
    <col min="3078" max="3317" width="9" style="31"/>
    <col min="3318" max="3318" width="1.375" style="31" customWidth="1"/>
    <col min="3319" max="3319" width="3.5" style="31" customWidth="1"/>
    <col min="3320" max="3320" width="22.125" style="31" customWidth="1"/>
    <col min="3321" max="3321" width="9.75" style="31" customWidth="1"/>
    <col min="3322" max="3322" width="7.375" style="31" customWidth="1"/>
    <col min="3323" max="3323" width="9" style="31"/>
    <col min="3324" max="3324" width="9.25" style="31" customWidth="1"/>
    <col min="3325" max="3325" width="3.5" style="31" customWidth="1"/>
    <col min="3326" max="3327" width="12.625" style="31" customWidth="1"/>
    <col min="3328" max="3328" width="9" style="31"/>
    <col min="3329" max="3329" width="7.75" style="31" customWidth="1"/>
    <col min="3330" max="3330" width="13.125" style="31" customWidth="1"/>
    <col min="3331" max="3331" width="6.125" style="31" customWidth="1"/>
    <col min="3332" max="3332" width="9.75" style="31" customWidth="1"/>
    <col min="3333" max="3333" width="1.375" style="31" customWidth="1"/>
    <col min="3334" max="3573" width="9" style="31"/>
    <col min="3574" max="3574" width="1.375" style="31" customWidth="1"/>
    <col min="3575" max="3575" width="3.5" style="31" customWidth="1"/>
    <col min="3576" max="3576" width="22.125" style="31" customWidth="1"/>
    <col min="3577" max="3577" width="9.75" style="31" customWidth="1"/>
    <col min="3578" max="3578" width="7.375" style="31" customWidth="1"/>
    <col min="3579" max="3579" width="9" style="31"/>
    <col min="3580" max="3580" width="9.25" style="31" customWidth="1"/>
    <col min="3581" max="3581" width="3.5" style="31" customWidth="1"/>
    <col min="3582" max="3583" width="12.625" style="31" customWidth="1"/>
    <col min="3584" max="3584" width="9" style="31"/>
    <col min="3585" max="3585" width="7.75" style="31" customWidth="1"/>
    <col min="3586" max="3586" width="13.125" style="31" customWidth="1"/>
    <col min="3587" max="3587" width="6.125" style="31" customWidth="1"/>
    <col min="3588" max="3588" width="9.75" style="31" customWidth="1"/>
    <col min="3589" max="3589" width="1.375" style="31" customWidth="1"/>
    <col min="3590" max="3829" width="9" style="31"/>
    <col min="3830" max="3830" width="1.375" style="31" customWidth="1"/>
    <col min="3831" max="3831" width="3.5" style="31" customWidth="1"/>
    <col min="3832" max="3832" width="22.125" style="31" customWidth="1"/>
    <col min="3833" max="3833" width="9.75" style="31" customWidth="1"/>
    <col min="3834" max="3834" width="7.375" style="31" customWidth="1"/>
    <col min="3835" max="3835" width="9" style="31"/>
    <col min="3836" max="3836" width="9.25" style="31" customWidth="1"/>
    <col min="3837" max="3837" width="3.5" style="31" customWidth="1"/>
    <col min="3838" max="3839" width="12.625" style="31" customWidth="1"/>
    <col min="3840" max="3840" width="9" style="31"/>
    <col min="3841" max="3841" width="7.75" style="31" customWidth="1"/>
    <col min="3842" max="3842" width="13.125" style="31" customWidth="1"/>
    <col min="3843" max="3843" width="6.125" style="31" customWidth="1"/>
    <col min="3844" max="3844" width="9.75" style="31" customWidth="1"/>
    <col min="3845" max="3845" width="1.375" style="31" customWidth="1"/>
    <col min="3846" max="4085" width="9" style="31"/>
    <col min="4086" max="4086" width="1.375" style="31" customWidth="1"/>
    <col min="4087" max="4087" width="3.5" style="31" customWidth="1"/>
    <col min="4088" max="4088" width="22.125" style="31" customWidth="1"/>
    <col min="4089" max="4089" width="9.75" style="31" customWidth="1"/>
    <col min="4090" max="4090" width="7.375" style="31" customWidth="1"/>
    <col min="4091" max="4091" width="9" style="31"/>
    <col min="4092" max="4092" width="9.25" style="31" customWidth="1"/>
    <col min="4093" max="4093" width="3.5" style="31" customWidth="1"/>
    <col min="4094" max="4095" width="12.625" style="31" customWidth="1"/>
    <col min="4096" max="4096" width="9" style="31"/>
    <col min="4097" max="4097" width="7.75" style="31" customWidth="1"/>
    <col min="4098" max="4098" width="13.125" style="31" customWidth="1"/>
    <col min="4099" max="4099" width="6.125" style="31" customWidth="1"/>
    <col min="4100" max="4100" width="9.75" style="31" customWidth="1"/>
    <col min="4101" max="4101" width="1.375" style="31" customWidth="1"/>
    <col min="4102" max="4341" width="9" style="31"/>
    <col min="4342" max="4342" width="1.375" style="31" customWidth="1"/>
    <col min="4343" max="4343" width="3.5" style="31" customWidth="1"/>
    <col min="4344" max="4344" width="22.125" style="31" customWidth="1"/>
    <col min="4345" max="4345" width="9.75" style="31" customWidth="1"/>
    <col min="4346" max="4346" width="7.375" style="31" customWidth="1"/>
    <col min="4347" max="4347" width="9" style="31"/>
    <col min="4348" max="4348" width="9.25" style="31" customWidth="1"/>
    <col min="4349" max="4349" width="3.5" style="31" customWidth="1"/>
    <col min="4350" max="4351" width="12.625" style="31" customWidth="1"/>
    <col min="4352" max="4352" width="9" style="31"/>
    <col min="4353" max="4353" width="7.75" style="31" customWidth="1"/>
    <col min="4354" max="4354" width="13.125" style="31" customWidth="1"/>
    <col min="4355" max="4355" width="6.125" style="31" customWidth="1"/>
    <col min="4356" max="4356" width="9.75" style="31" customWidth="1"/>
    <col min="4357" max="4357" width="1.375" style="31" customWidth="1"/>
    <col min="4358" max="4597" width="9" style="31"/>
    <col min="4598" max="4598" width="1.375" style="31" customWidth="1"/>
    <col min="4599" max="4599" width="3.5" style="31" customWidth="1"/>
    <col min="4600" max="4600" width="22.125" style="31" customWidth="1"/>
    <col min="4601" max="4601" width="9.75" style="31" customWidth="1"/>
    <col min="4602" max="4602" width="7.375" style="31" customWidth="1"/>
    <col min="4603" max="4603" width="9" style="31"/>
    <col min="4604" max="4604" width="9.25" style="31" customWidth="1"/>
    <col min="4605" max="4605" width="3.5" style="31" customWidth="1"/>
    <col min="4606" max="4607" width="12.625" style="31" customWidth="1"/>
    <col min="4608" max="4608" width="9" style="31"/>
    <col min="4609" max="4609" width="7.75" style="31" customWidth="1"/>
    <col min="4610" max="4610" width="13.125" style="31" customWidth="1"/>
    <col min="4611" max="4611" width="6.125" style="31" customWidth="1"/>
    <col min="4612" max="4612" width="9.75" style="31" customWidth="1"/>
    <col min="4613" max="4613" width="1.375" style="31" customWidth="1"/>
    <col min="4614" max="4853" width="9" style="31"/>
    <col min="4854" max="4854" width="1.375" style="31" customWidth="1"/>
    <col min="4855" max="4855" width="3.5" style="31" customWidth="1"/>
    <col min="4856" max="4856" width="22.125" style="31" customWidth="1"/>
    <col min="4857" max="4857" width="9.75" style="31" customWidth="1"/>
    <col min="4858" max="4858" width="7.375" style="31" customWidth="1"/>
    <col min="4859" max="4859" width="9" style="31"/>
    <col min="4860" max="4860" width="9.25" style="31" customWidth="1"/>
    <col min="4861" max="4861" width="3.5" style="31" customWidth="1"/>
    <col min="4862" max="4863" width="12.625" style="31" customWidth="1"/>
    <col min="4864" max="4864" width="9" style="31"/>
    <col min="4865" max="4865" width="7.75" style="31" customWidth="1"/>
    <col min="4866" max="4866" width="13.125" style="31" customWidth="1"/>
    <col min="4867" max="4867" width="6.125" style="31" customWidth="1"/>
    <col min="4868" max="4868" width="9.75" style="31" customWidth="1"/>
    <col min="4869" max="4869" width="1.375" style="31" customWidth="1"/>
    <col min="4870" max="5109" width="9" style="31"/>
    <col min="5110" max="5110" width="1.375" style="31" customWidth="1"/>
    <col min="5111" max="5111" width="3.5" style="31" customWidth="1"/>
    <col min="5112" max="5112" width="22.125" style="31" customWidth="1"/>
    <col min="5113" max="5113" width="9.75" style="31" customWidth="1"/>
    <col min="5114" max="5114" width="7.375" style="31" customWidth="1"/>
    <col min="5115" max="5115" width="9" style="31"/>
    <col min="5116" max="5116" width="9.25" style="31" customWidth="1"/>
    <col min="5117" max="5117" width="3.5" style="31" customWidth="1"/>
    <col min="5118" max="5119" width="12.625" style="31" customWidth="1"/>
    <col min="5120" max="5120" width="9" style="31"/>
    <col min="5121" max="5121" width="7.75" style="31" customWidth="1"/>
    <col min="5122" max="5122" width="13.125" style="31" customWidth="1"/>
    <col min="5123" max="5123" width="6.125" style="31" customWidth="1"/>
    <col min="5124" max="5124" width="9.75" style="31" customWidth="1"/>
    <col min="5125" max="5125" width="1.375" style="31" customWidth="1"/>
    <col min="5126" max="5365" width="9" style="31"/>
    <col min="5366" max="5366" width="1.375" style="31" customWidth="1"/>
    <col min="5367" max="5367" width="3.5" style="31" customWidth="1"/>
    <col min="5368" max="5368" width="22.125" style="31" customWidth="1"/>
    <col min="5369" max="5369" width="9.75" style="31" customWidth="1"/>
    <col min="5370" max="5370" width="7.375" style="31" customWidth="1"/>
    <col min="5371" max="5371" width="9" style="31"/>
    <col min="5372" max="5372" width="9.25" style="31" customWidth="1"/>
    <col min="5373" max="5373" width="3.5" style="31" customWidth="1"/>
    <col min="5374" max="5375" width="12.625" style="31" customWidth="1"/>
    <col min="5376" max="5376" width="9" style="31"/>
    <col min="5377" max="5377" width="7.75" style="31" customWidth="1"/>
    <col min="5378" max="5378" width="13.125" style="31" customWidth="1"/>
    <col min="5379" max="5379" width="6.125" style="31" customWidth="1"/>
    <col min="5380" max="5380" width="9.75" style="31" customWidth="1"/>
    <col min="5381" max="5381" width="1.375" style="31" customWidth="1"/>
    <col min="5382" max="5621" width="9" style="31"/>
    <col min="5622" max="5622" width="1.375" style="31" customWidth="1"/>
    <col min="5623" max="5623" width="3.5" style="31" customWidth="1"/>
    <col min="5624" max="5624" width="22.125" style="31" customWidth="1"/>
    <col min="5625" max="5625" width="9.75" style="31" customWidth="1"/>
    <col min="5626" max="5626" width="7.375" style="31" customWidth="1"/>
    <col min="5627" max="5627" width="9" style="31"/>
    <col min="5628" max="5628" width="9.25" style="31" customWidth="1"/>
    <col min="5629" max="5629" width="3.5" style="31" customWidth="1"/>
    <col min="5630" max="5631" width="12.625" style="31" customWidth="1"/>
    <col min="5632" max="5632" width="9" style="31"/>
    <col min="5633" max="5633" width="7.75" style="31" customWidth="1"/>
    <col min="5634" max="5634" width="13.125" style="31" customWidth="1"/>
    <col min="5635" max="5635" width="6.125" style="31" customWidth="1"/>
    <col min="5636" max="5636" width="9.75" style="31" customWidth="1"/>
    <col min="5637" max="5637" width="1.375" style="31" customWidth="1"/>
    <col min="5638" max="5877" width="9" style="31"/>
    <col min="5878" max="5878" width="1.375" style="31" customWidth="1"/>
    <col min="5879" max="5879" width="3.5" style="31" customWidth="1"/>
    <col min="5880" max="5880" width="22.125" style="31" customWidth="1"/>
    <col min="5881" max="5881" width="9.75" style="31" customWidth="1"/>
    <col min="5882" max="5882" width="7.375" style="31" customWidth="1"/>
    <col min="5883" max="5883" width="9" style="31"/>
    <col min="5884" max="5884" width="9.25" style="31" customWidth="1"/>
    <col min="5885" max="5885" width="3.5" style="31" customWidth="1"/>
    <col min="5886" max="5887" width="12.625" style="31" customWidth="1"/>
    <col min="5888" max="5888" width="9" style="31"/>
    <col min="5889" max="5889" width="7.75" style="31" customWidth="1"/>
    <col min="5890" max="5890" width="13.125" style="31" customWidth="1"/>
    <col min="5891" max="5891" width="6.125" style="31" customWidth="1"/>
    <col min="5892" max="5892" width="9.75" style="31" customWidth="1"/>
    <col min="5893" max="5893" width="1.375" style="31" customWidth="1"/>
    <col min="5894" max="6133" width="9" style="31"/>
    <col min="6134" max="6134" width="1.375" style="31" customWidth="1"/>
    <col min="6135" max="6135" width="3.5" style="31" customWidth="1"/>
    <col min="6136" max="6136" width="22.125" style="31" customWidth="1"/>
    <col min="6137" max="6137" width="9.75" style="31" customWidth="1"/>
    <col min="6138" max="6138" width="7.375" style="31" customWidth="1"/>
    <col min="6139" max="6139" width="9" style="31"/>
    <col min="6140" max="6140" width="9.25" style="31" customWidth="1"/>
    <col min="6141" max="6141" width="3.5" style="31" customWidth="1"/>
    <col min="6142" max="6143" width="12.625" style="31" customWidth="1"/>
    <col min="6144" max="6144" width="9" style="31"/>
    <col min="6145" max="6145" width="7.75" style="31" customWidth="1"/>
    <col min="6146" max="6146" width="13.125" style="31" customWidth="1"/>
    <col min="6147" max="6147" width="6.125" style="31" customWidth="1"/>
    <col min="6148" max="6148" width="9.75" style="31" customWidth="1"/>
    <col min="6149" max="6149" width="1.375" style="31" customWidth="1"/>
    <col min="6150" max="6389" width="9" style="31"/>
    <col min="6390" max="6390" width="1.375" style="31" customWidth="1"/>
    <col min="6391" max="6391" width="3.5" style="31" customWidth="1"/>
    <col min="6392" max="6392" width="22.125" style="31" customWidth="1"/>
    <col min="6393" max="6393" width="9.75" style="31" customWidth="1"/>
    <col min="6394" max="6394" width="7.375" style="31" customWidth="1"/>
    <col min="6395" max="6395" width="9" style="31"/>
    <col min="6396" max="6396" width="9.25" style="31" customWidth="1"/>
    <col min="6397" max="6397" width="3.5" style="31" customWidth="1"/>
    <col min="6398" max="6399" width="12.625" style="31" customWidth="1"/>
    <col min="6400" max="6400" width="9" style="31"/>
    <col min="6401" max="6401" width="7.75" style="31" customWidth="1"/>
    <col min="6402" max="6402" width="13.125" style="31" customWidth="1"/>
    <col min="6403" max="6403" width="6.125" style="31" customWidth="1"/>
    <col min="6404" max="6404" width="9.75" style="31" customWidth="1"/>
    <col min="6405" max="6405" width="1.375" style="31" customWidth="1"/>
    <col min="6406" max="6645" width="9" style="31"/>
    <col min="6646" max="6646" width="1.375" style="31" customWidth="1"/>
    <col min="6647" max="6647" width="3.5" style="31" customWidth="1"/>
    <col min="6648" max="6648" width="22.125" style="31" customWidth="1"/>
    <col min="6649" max="6649" width="9.75" style="31" customWidth="1"/>
    <col min="6650" max="6650" width="7.375" style="31" customWidth="1"/>
    <col min="6651" max="6651" width="9" style="31"/>
    <col min="6652" max="6652" width="9.25" style="31" customWidth="1"/>
    <col min="6653" max="6653" width="3.5" style="31" customWidth="1"/>
    <col min="6654" max="6655" width="12.625" style="31" customWidth="1"/>
    <col min="6656" max="6656" width="9" style="31"/>
    <col min="6657" max="6657" width="7.75" style="31" customWidth="1"/>
    <col min="6658" max="6658" width="13.125" style="31" customWidth="1"/>
    <col min="6659" max="6659" width="6.125" style="31" customWidth="1"/>
    <col min="6660" max="6660" width="9.75" style="31" customWidth="1"/>
    <col min="6661" max="6661" width="1.375" style="31" customWidth="1"/>
    <col min="6662" max="6901" width="9" style="31"/>
    <col min="6902" max="6902" width="1.375" style="31" customWidth="1"/>
    <col min="6903" max="6903" width="3.5" style="31" customWidth="1"/>
    <col min="6904" max="6904" width="22.125" style="31" customWidth="1"/>
    <col min="6905" max="6905" width="9.75" style="31" customWidth="1"/>
    <col min="6906" max="6906" width="7.375" style="31" customWidth="1"/>
    <col min="6907" max="6907" width="9" style="31"/>
    <col min="6908" max="6908" width="9.25" style="31" customWidth="1"/>
    <col min="6909" max="6909" width="3.5" style="31" customWidth="1"/>
    <col min="6910" max="6911" width="12.625" style="31" customWidth="1"/>
    <col min="6912" max="6912" width="9" style="31"/>
    <col min="6913" max="6913" width="7.75" style="31" customWidth="1"/>
    <col min="6914" max="6914" width="13.125" style="31" customWidth="1"/>
    <col min="6915" max="6915" width="6.125" style="31" customWidth="1"/>
    <col min="6916" max="6916" width="9.75" style="31" customWidth="1"/>
    <col min="6917" max="6917" width="1.375" style="31" customWidth="1"/>
    <col min="6918" max="7157" width="9" style="31"/>
    <col min="7158" max="7158" width="1.375" style="31" customWidth="1"/>
    <col min="7159" max="7159" width="3.5" style="31" customWidth="1"/>
    <col min="7160" max="7160" width="22.125" style="31" customWidth="1"/>
    <col min="7161" max="7161" width="9.75" style="31" customWidth="1"/>
    <col min="7162" max="7162" width="7.375" style="31" customWidth="1"/>
    <col min="7163" max="7163" width="9" style="31"/>
    <col min="7164" max="7164" width="9.25" style="31" customWidth="1"/>
    <col min="7165" max="7165" width="3.5" style="31" customWidth="1"/>
    <col min="7166" max="7167" width="12.625" style="31" customWidth="1"/>
    <col min="7168" max="7168" width="9" style="31"/>
    <col min="7169" max="7169" width="7.75" style="31" customWidth="1"/>
    <col min="7170" max="7170" width="13.125" style="31" customWidth="1"/>
    <col min="7171" max="7171" width="6.125" style="31" customWidth="1"/>
    <col min="7172" max="7172" width="9.75" style="31" customWidth="1"/>
    <col min="7173" max="7173" width="1.375" style="31" customWidth="1"/>
    <col min="7174" max="7413" width="9" style="31"/>
    <col min="7414" max="7414" width="1.375" style="31" customWidth="1"/>
    <col min="7415" max="7415" width="3.5" style="31" customWidth="1"/>
    <col min="7416" max="7416" width="22.125" style="31" customWidth="1"/>
    <col min="7417" max="7417" width="9.75" style="31" customWidth="1"/>
    <col min="7418" max="7418" width="7.375" style="31" customWidth="1"/>
    <col min="7419" max="7419" width="9" style="31"/>
    <col min="7420" max="7420" width="9.25" style="31" customWidth="1"/>
    <col min="7421" max="7421" width="3.5" style="31" customWidth="1"/>
    <col min="7422" max="7423" width="12.625" style="31" customWidth="1"/>
    <col min="7424" max="7424" width="9" style="31"/>
    <col min="7425" max="7425" width="7.75" style="31" customWidth="1"/>
    <col min="7426" max="7426" width="13.125" style="31" customWidth="1"/>
    <col min="7427" max="7427" width="6.125" style="31" customWidth="1"/>
    <col min="7428" max="7428" width="9.75" style="31" customWidth="1"/>
    <col min="7429" max="7429" width="1.375" style="31" customWidth="1"/>
    <col min="7430" max="7669" width="9" style="31"/>
    <col min="7670" max="7670" width="1.375" style="31" customWidth="1"/>
    <col min="7671" max="7671" width="3.5" style="31" customWidth="1"/>
    <col min="7672" max="7672" width="22.125" style="31" customWidth="1"/>
    <col min="7673" max="7673" width="9.75" style="31" customWidth="1"/>
    <col min="7674" max="7674" width="7.375" style="31" customWidth="1"/>
    <col min="7675" max="7675" width="9" style="31"/>
    <col min="7676" max="7676" width="9.25" style="31" customWidth="1"/>
    <col min="7677" max="7677" width="3.5" style="31" customWidth="1"/>
    <col min="7678" max="7679" width="12.625" style="31" customWidth="1"/>
    <col min="7680" max="7680" width="9" style="31"/>
    <col min="7681" max="7681" width="7.75" style="31" customWidth="1"/>
    <col min="7682" max="7682" width="13.125" style="31" customWidth="1"/>
    <col min="7683" max="7683" width="6.125" style="31" customWidth="1"/>
    <col min="7684" max="7684" width="9.75" style="31" customWidth="1"/>
    <col min="7685" max="7685" width="1.375" style="31" customWidth="1"/>
    <col min="7686" max="7925" width="9" style="31"/>
    <col min="7926" max="7926" width="1.375" style="31" customWidth="1"/>
    <col min="7927" max="7927" width="3.5" style="31" customWidth="1"/>
    <col min="7928" max="7928" width="22.125" style="31" customWidth="1"/>
    <col min="7929" max="7929" width="9.75" style="31" customWidth="1"/>
    <col min="7930" max="7930" width="7.375" style="31" customWidth="1"/>
    <col min="7931" max="7931" width="9" style="31"/>
    <col min="7932" max="7932" width="9.25" style="31" customWidth="1"/>
    <col min="7933" max="7933" width="3.5" style="31" customWidth="1"/>
    <col min="7934" max="7935" width="12.625" style="31" customWidth="1"/>
    <col min="7936" max="7936" width="9" style="31"/>
    <col min="7937" max="7937" width="7.75" style="31" customWidth="1"/>
    <col min="7938" max="7938" width="13.125" style="31" customWidth="1"/>
    <col min="7939" max="7939" width="6.125" style="31" customWidth="1"/>
    <col min="7940" max="7940" width="9.75" style="31" customWidth="1"/>
    <col min="7941" max="7941" width="1.375" style="31" customWidth="1"/>
    <col min="7942" max="8181" width="9" style="31"/>
    <col min="8182" max="8182" width="1.375" style="31" customWidth="1"/>
    <col min="8183" max="8183" width="3.5" style="31" customWidth="1"/>
    <col min="8184" max="8184" width="22.125" style="31" customWidth="1"/>
    <col min="8185" max="8185" width="9.75" style="31" customWidth="1"/>
    <col min="8186" max="8186" width="7.375" style="31" customWidth="1"/>
    <col min="8187" max="8187" width="9" style="31"/>
    <col min="8188" max="8188" width="9.25" style="31" customWidth="1"/>
    <col min="8189" max="8189" width="3.5" style="31" customWidth="1"/>
    <col min="8190" max="8191" width="12.625" style="31" customWidth="1"/>
    <col min="8192" max="8192" width="9" style="31"/>
    <col min="8193" max="8193" width="7.75" style="31" customWidth="1"/>
    <col min="8194" max="8194" width="13.125" style="31" customWidth="1"/>
    <col min="8195" max="8195" width="6.125" style="31" customWidth="1"/>
    <col min="8196" max="8196" width="9.75" style="31" customWidth="1"/>
    <col min="8197" max="8197" width="1.375" style="31" customWidth="1"/>
    <col min="8198" max="8437" width="9" style="31"/>
    <col min="8438" max="8438" width="1.375" style="31" customWidth="1"/>
    <col min="8439" max="8439" width="3.5" style="31" customWidth="1"/>
    <col min="8440" max="8440" width="22.125" style="31" customWidth="1"/>
    <col min="8441" max="8441" width="9.75" style="31" customWidth="1"/>
    <col min="8442" max="8442" width="7.375" style="31" customWidth="1"/>
    <col min="8443" max="8443" width="9" style="31"/>
    <col min="8444" max="8444" width="9.25" style="31" customWidth="1"/>
    <col min="8445" max="8445" width="3.5" style="31" customWidth="1"/>
    <col min="8446" max="8447" width="12.625" style="31" customWidth="1"/>
    <col min="8448" max="8448" width="9" style="31"/>
    <col min="8449" max="8449" width="7.75" style="31" customWidth="1"/>
    <col min="8450" max="8450" width="13.125" style="31" customWidth="1"/>
    <col min="8451" max="8451" width="6.125" style="31" customWidth="1"/>
    <col min="8452" max="8452" width="9.75" style="31" customWidth="1"/>
    <col min="8453" max="8453" width="1.375" style="31" customWidth="1"/>
    <col min="8454" max="8693" width="9" style="31"/>
    <col min="8694" max="8694" width="1.375" style="31" customWidth="1"/>
    <col min="8695" max="8695" width="3.5" style="31" customWidth="1"/>
    <col min="8696" max="8696" width="22.125" style="31" customWidth="1"/>
    <col min="8697" max="8697" width="9.75" style="31" customWidth="1"/>
    <col min="8698" max="8698" width="7.375" style="31" customWidth="1"/>
    <col min="8699" max="8699" width="9" style="31"/>
    <col min="8700" max="8700" width="9.25" style="31" customWidth="1"/>
    <col min="8701" max="8701" width="3.5" style="31" customWidth="1"/>
    <col min="8702" max="8703" width="12.625" style="31" customWidth="1"/>
    <col min="8704" max="8704" width="9" style="31"/>
    <col min="8705" max="8705" width="7.75" style="31" customWidth="1"/>
    <col min="8706" max="8706" width="13.125" style="31" customWidth="1"/>
    <col min="8707" max="8707" width="6.125" style="31" customWidth="1"/>
    <col min="8708" max="8708" width="9.75" style="31" customWidth="1"/>
    <col min="8709" max="8709" width="1.375" style="31" customWidth="1"/>
    <col min="8710" max="8949" width="9" style="31"/>
    <col min="8950" max="8950" width="1.375" style="31" customWidth="1"/>
    <col min="8951" max="8951" width="3.5" style="31" customWidth="1"/>
    <col min="8952" max="8952" width="22.125" style="31" customWidth="1"/>
    <col min="8953" max="8953" width="9.75" style="31" customWidth="1"/>
    <col min="8954" max="8954" width="7.375" style="31" customWidth="1"/>
    <col min="8955" max="8955" width="9" style="31"/>
    <col min="8956" max="8956" width="9.25" style="31" customWidth="1"/>
    <col min="8957" max="8957" width="3.5" style="31" customWidth="1"/>
    <col min="8958" max="8959" width="12.625" style="31" customWidth="1"/>
    <col min="8960" max="8960" width="9" style="31"/>
    <col min="8961" max="8961" width="7.75" style="31" customWidth="1"/>
    <col min="8962" max="8962" width="13.125" style="31" customWidth="1"/>
    <col min="8963" max="8963" width="6.125" style="31" customWidth="1"/>
    <col min="8964" max="8964" width="9.75" style="31" customWidth="1"/>
    <col min="8965" max="8965" width="1.375" style="31" customWidth="1"/>
    <col min="8966" max="9205" width="9" style="31"/>
    <col min="9206" max="9206" width="1.375" style="31" customWidth="1"/>
    <col min="9207" max="9207" width="3.5" style="31" customWidth="1"/>
    <col min="9208" max="9208" width="22.125" style="31" customWidth="1"/>
    <col min="9209" max="9209" width="9.75" style="31" customWidth="1"/>
    <col min="9210" max="9210" width="7.375" style="31" customWidth="1"/>
    <col min="9211" max="9211" width="9" style="31"/>
    <col min="9212" max="9212" width="9.25" style="31" customWidth="1"/>
    <col min="9213" max="9213" width="3.5" style="31" customWidth="1"/>
    <col min="9214" max="9215" width="12.625" style="31" customWidth="1"/>
    <col min="9216" max="9216" width="9" style="31"/>
    <col min="9217" max="9217" width="7.75" style="31" customWidth="1"/>
    <col min="9218" max="9218" width="13.125" style="31" customWidth="1"/>
    <col min="9219" max="9219" width="6.125" style="31" customWidth="1"/>
    <col min="9220" max="9220" width="9.75" style="31" customWidth="1"/>
    <col min="9221" max="9221" width="1.375" style="31" customWidth="1"/>
    <col min="9222" max="9461" width="9" style="31"/>
    <col min="9462" max="9462" width="1.375" style="31" customWidth="1"/>
    <col min="9463" max="9463" width="3.5" style="31" customWidth="1"/>
    <col min="9464" max="9464" width="22.125" style="31" customWidth="1"/>
    <col min="9465" max="9465" width="9.75" style="31" customWidth="1"/>
    <col min="9466" max="9466" width="7.375" style="31" customWidth="1"/>
    <col min="9467" max="9467" width="9" style="31"/>
    <col min="9468" max="9468" width="9.25" style="31" customWidth="1"/>
    <col min="9469" max="9469" width="3.5" style="31" customWidth="1"/>
    <col min="9470" max="9471" width="12.625" style="31" customWidth="1"/>
    <col min="9472" max="9472" width="9" style="31"/>
    <col min="9473" max="9473" width="7.75" style="31" customWidth="1"/>
    <col min="9474" max="9474" width="13.125" style="31" customWidth="1"/>
    <col min="9475" max="9475" width="6.125" style="31" customWidth="1"/>
    <col min="9476" max="9476" width="9.75" style="31" customWidth="1"/>
    <col min="9477" max="9477" width="1.375" style="31" customWidth="1"/>
    <col min="9478" max="9717" width="9" style="31"/>
    <col min="9718" max="9718" width="1.375" style="31" customWidth="1"/>
    <col min="9719" max="9719" width="3.5" style="31" customWidth="1"/>
    <col min="9720" max="9720" width="22.125" style="31" customWidth="1"/>
    <col min="9721" max="9721" width="9.75" style="31" customWidth="1"/>
    <col min="9722" max="9722" width="7.375" style="31" customWidth="1"/>
    <col min="9723" max="9723" width="9" style="31"/>
    <col min="9724" max="9724" width="9.25" style="31" customWidth="1"/>
    <col min="9725" max="9725" width="3.5" style="31" customWidth="1"/>
    <col min="9726" max="9727" width="12.625" style="31" customWidth="1"/>
    <col min="9728" max="9728" width="9" style="31"/>
    <col min="9729" max="9729" width="7.75" style="31" customWidth="1"/>
    <col min="9730" max="9730" width="13.125" style="31" customWidth="1"/>
    <col min="9731" max="9731" width="6.125" style="31" customWidth="1"/>
    <col min="9732" max="9732" width="9.75" style="31" customWidth="1"/>
    <col min="9733" max="9733" width="1.375" style="31" customWidth="1"/>
    <col min="9734" max="9973" width="9" style="31"/>
    <col min="9974" max="9974" width="1.375" style="31" customWidth="1"/>
    <col min="9975" max="9975" width="3.5" style="31" customWidth="1"/>
    <col min="9976" max="9976" width="22.125" style="31" customWidth="1"/>
    <col min="9977" max="9977" width="9.75" style="31" customWidth="1"/>
    <col min="9978" max="9978" width="7.375" style="31" customWidth="1"/>
    <col min="9979" max="9979" width="9" style="31"/>
    <col min="9980" max="9980" width="9.25" style="31" customWidth="1"/>
    <col min="9981" max="9981" width="3.5" style="31" customWidth="1"/>
    <col min="9982" max="9983" width="12.625" style="31" customWidth="1"/>
    <col min="9984" max="9984" width="9" style="31"/>
    <col min="9985" max="9985" width="7.75" style="31" customWidth="1"/>
    <col min="9986" max="9986" width="13.125" style="31" customWidth="1"/>
    <col min="9987" max="9987" width="6.125" style="31" customWidth="1"/>
    <col min="9988" max="9988" width="9.75" style="31" customWidth="1"/>
    <col min="9989" max="9989" width="1.375" style="31" customWidth="1"/>
    <col min="9990" max="10229" width="9" style="31"/>
    <col min="10230" max="10230" width="1.375" style="31" customWidth="1"/>
    <col min="10231" max="10231" width="3.5" style="31" customWidth="1"/>
    <col min="10232" max="10232" width="22.125" style="31" customWidth="1"/>
    <col min="10233" max="10233" width="9.75" style="31" customWidth="1"/>
    <col min="10234" max="10234" width="7.375" style="31" customWidth="1"/>
    <col min="10235" max="10235" width="9" style="31"/>
    <col min="10236" max="10236" width="9.25" style="31" customWidth="1"/>
    <col min="10237" max="10237" width="3.5" style="31" customWidth="1"/>
    <col min="10238" max="10239" width="12.625" style="31" customWidth="1"/>
    <col min="10240" max="10240" width="9" style="31"/>
    <col min="10241" max="10241" width="7.75" style="31" customWidth="1"/>
    <col min="10242" max="10242" width="13.125" style="31" customWidth="1"/>
    <col min="10243" max="10243" width="6.125" style="31" customWidth="1"/>
    <col min="10244" max="10244" width="9.75" style="31" customWidth="1"/>
    <col min="10245" max="10245" width="1.375" style="31" customWidth="1"/>
    <col min="10246" max="10485" width="9" style="31"/>
    <col min="10486" max="10486" width="1.375" style="31" customWidth="1"/>
    <col min="10487" max="10487" width="3.5" style="31" customWidth="1"/>
    <col min="10488" max="10488" width="22.125" style="31" customWidth="1"/>
    <col min="10489" max="10489" width="9.75" style="31" customWidth="1"/>
    <col min="10490" max="10490" width="7.375" style="31" customWidth="1"/>
    <col min="10491" max="10491" width="9" style="31"/>
    <col min="10492" max="10492" width="9.25" style="31" customWidth="1"/>
    <col min="10493" max="10493" width="3.5" style="31" customWidth="1"/>
    <col min="10494" max="10495" width="12.625" style="31" customWidth="1"/>
    <col min="10496" max="10496" width="9" style="31"/>
    <col min="10497" max="10497" width="7.75" style="31" customWidth="1"/>
    <col min="10498" max="10498" width="13.125" style="31" customWidth="1"/>
    <col min="10499" max="10499" width="6.125" style="31" customWidth="1"/>
    <col min="10500" max="10500" width="9.75" style="31" customWidth="1"/>
    <col min="10501" max="10501" width="1.375" style="31" customWidth="1"/>
    <col min="10502" max="10741" width="9" style="31"/>
    <col min="10742" max="10742" width="1.375" style="31" customWidth="1"/>
    <col min="10743" max="10743" width="3.5" style="31" customWidth="1"/>
    <col min="10744" max="10744" width="22.125" style="31" customWidth="1"/>
    <col min="10745" max="10745" width="9.75" style="31" customWidth="1"/>
    <col min="10746" max="10746" width="7.375" style="31" customWidth="1"/>
    <col min="10747" max="10747" width="9" style="31"/>
    <col min="10748" max="10748" width="9.25" style="31" customWidth="1"/>
    <col min="10749" max="10749" width="3.5" style="31" customWidth="1"/>
    <col min="10750" max="10751" width="12.625" style="31" customWidth="1"/>
    <col min="10752" max="10752" width="9" style="31"/>
    <col min="10753" max="10753" width="7.75" style="31" customWidth="1"/>
    <col min="10754" max="10754" width="13.125" style="31" customWidth="1"/>
    <col min="10755" max="10755" width="6.125" style="31" customWidth="1"/>
    <col min="10756" max="10756" width="9.75" style="31" customWidth="1"/>
    <col min="10757" max="10757" width="1.375" style="31" customWidth="1"/>
    <col min="10758" max="10997" width="9" style="31"/>
    <col min="10998" max="10998" width="1.375" style="31" customWidth="1"/>
    <col min="10999" max="10999" width="3.5" style="31" customWidth="1"/>
    <col min="11000" max="11000" width="22.125" style="31" customWidth="1"/>
    <col min="11001" max="11001" width="9.75" style="31" customWidth="1"/>
    <col min="11002" max="11002" width="7.375" style="31" customWidth="1"/>
    <col min="11003" max="11003" width="9" style="31"/>
    <col min="11004" max="11004" width="9.25" style="31" customWidth="1"/>
    <col min="11005" max="11005" width="3.5" style="31" customWidth="1"/>
    <col min="11006" max="11007" width="12.625" style="31" customWidth="1"/>
    <col min="11008" max="11008" width="9" style="31"/>
    <col min="11009" max="11009" width="7.75" style="31" customWidth="1"/>
    <col min="11010" max="11010" width="13.125" style="31" customWidth="1"/>
    <col min="11011" max="11011" width="6.125" style="31" customWidth="1"/>
    <col min="11012" max="11012" width="9.75" style="31" customWidth="1"/>
    <col min="11013" max="11013" width="1.375" style="31" customWidth="1"/>
    <col min="11014" max="11253" width="9" style="31"/>
    <col min="11254" max="11254" width="1.375" style="31" customWidth="1"/>
    <col min="11255" max="11255" width="3.5" style="31" customWidth="1"/>
    <col min="11256" max="11256" width="22.125" style="31" customWidth="1"/>
    <col min="11257" max="11257" width="9.75" style="31" customWidth="1"/>
    <col min="11258" max="11258" width="7.375" style="31" customWidth="1"/>
    <col min="11259" max="11259" width="9" style="31"/>
    <col min="11260" max="11260" width="9.25" style="31" customWidth="1"/>
    <col min="11261" max="11261" width="3.5" style="31" customWidth="1"/>
    <col min="11262" max="11263" width="12.625" style="31" customWidth="1"/>
    <col min="11264" max="11264" width="9" style="31"/>
    <col min="11265" max="11265" width="7.75" style="31" customWidth="1"/>
    <col min="11266" max="11266" width="13.125" style="31" customWidth="1"/>
    <col min="11267" max="11267" width="6.125" style="31" customWidth="1"/>
    <col min="11268" max="11268" width="9.75" style="31" customWidth="1"/>
    <col min="11269" max="11269" width="1.375" style="31" customWidth="1"/>
    <col min="11270" max="11509" width="9" style="31"/>
    <col min="11510" max="11510" width="1.375" style="31" customWidth="1"/>
    <col min="11511" max="11511" width="3.5" style="31" customWidth="1"/>
    <col min="11512" max="11512" width="22.125" style="31" customWidth="1"/>
    <col min="11513" max="11513" width="9.75" style="31" customWidth="1"/>
    <col min="11514" max="11514" width="7.375" style="31" customWidth="1"/>
    <col min="11515" max="11515" width="9" style="31"/>
    <col min="11516" max="11516" width="9.25" style="31" customWidth="1"/>
    <col min="11517" max="11517" width="3.5" style="31" customWidth="1"/>
    <col min="11518" max="11519" width="12.625" style="31" customWidth="1"/>
    <col min="11520" max="11520" width="9" style="31"/>
    <col min="11521" max="11521" width="7.75" style="31" customWidth="1"/>
    <col min="11522" max="11522" width="13.125" style="31" customWidth="1"/>
    <col min="11523" max="11523" width="6.125" style="31" customWidth="1"/>
    <col min="11524" max="11524" width="9.75" style="31" customWidth="1"/>
    <col min="11525" max="11525" width="1.375" style="31" customWidth="1"/>
    <col min="11526" max="11765" width="9" style="31"/>
    <col min="11766" max="11766" width="1.375" style="31" customWidth="1"/>
    <col min="11767" max="11767" width="3.5" style="31" customWidth="1"/>
    <col min="11768" max="11768" width="22.125" style="31" customWidth="1"/>
    <col min="11769" max="11769" width="9.75" style="31" customWidth="1"/>
    <col min="11770" max="11770" width="7.375" style="31" customWidth="1"/>
    <col min="11771" max="11771" width="9" style="31"/>
    <col min="11772" max="11772" width="9.25" style="31" customWidth="1"/>
    <col min="11773" max="11773" width="3.5" style="31" customWidth="1"/>
    <col min="11774" max="11775" width="12.625" style="31" customWidth="1"/>
    <col min="11776" max="11776" width="9" style="31"/>
    <col min="11777" max="11777" width="7.75" style="31" customWidth="1"/>
    <col min="11778" max="11778" width="13.125" style="31" customWidth="1"/>
    <col min="11779" max="11779" width="6.125" style="31" customWidth="1"/>
    <col min="11780" max="11780" width="9.75" style="31" customWidth="1"/>
    <col min="11781" max="11781" width="1.375" style="31" customWidth="1"/>
    <col min="11782" max="12021" width="9" style="31"/>
    <col min="12022" max="12022" width="1.375" style="31" customWidth="1"/>
    <col min="12023" max="12023" width="3.5" style="31" customWidth="1"/>
    <col min="12024" max="12024" width="22.125" style="31" customWidth="1"/>
    <col min="12025" max="12025" width="9.75" style="31" customWidth="1"/>
    <col min="12026" max="12026" width="7.375" style="31" customWidth="1"/>
    <col min="12027" max="12027" width="9" style="31"/>
    <col min="12028" max="12028" width="9.25" style="31" customWidth="1"/>
    <col min="12029" max="12029" width="3.5" style="31" customWidth="1"/>
    <col min="12030" max="12031" width="12.625" style="31" customWidth="1"/>
    <col min="12032" max="12032" width="9" style="31"/>
    <col min="12033" max="12033" width="7.75" style="31" customWidth="1"/>
    <col min="12034" max="12034" width="13.125" style="31" customWidth="1"/>
    <col min="12035" max="12035" width="6.125" style="31" customWidth="1"/>
    <col min="12036" max="12036" width="9.75" style="31" customWidth="1"/>
    <col min="12037" max="12037" width="1.375" style="31" customWidth="1"/>
    <col min="12038" max="12277" width="9" style="31"/>
    <col min="12278" max="12278" width="1.375" style="31" customWidth="1"/>
    <col min="12279" max="12279" width="3.5" style="31" customWidth="1"/>
    <col min="12280" max="12280" width="22.125" style="31" customWidth="1"/>
    <col min="12281" max="12281" width="9.75" style="31" customWidth="1"/>
    <col min="12282" max="12282" width="7.375" style="31" customWidth="1"/>
    <col min="12283" max="12283" width="9" style="31"/>
    <col min="12284" max="12284" width="9.25" style="31" customWidth="1"/>
    <col min="12285" max="12285" width="3.5" style="31" customWidth="1"/>
    <col min="12286" max="12287" width="12.625" style="31" customWidth="1"/>
    <col min="12288" max="12288" width="9" style="31"/>
    <col min="12289" max="12289" width="7.75" style="31" customWidth="1"/>
    <col min="12290" max="12290" width="13.125" style="31" customWidth="1"/>
    <col min="12291" max="12291" width="6.125" style="31" customWidth="1"/>
    <col min="12292" max="12292" width="9.75" style="31" customWidth="1"/>
    <col min="12293" max="12293" width="1.375" style="31" customWidth="1"/>
    <col min="12294" max="12533" width="9" style="31"/>
    <col min="12534" max="12534" width="1.375" style="31" customWidth="1"/>
    <col min="12535" max="12535" width="3.5" style="31" customWidth="1"/>
    <col min="12536" max="12536" width="22.125" style="31" customWidth="1"/>
    <col min="12537" max="12537" width="9.75" style="31" customWidth="1"/>
    <col min="12538" max="12538" width="7.375" style="31" customWidth="1"/>
    <col min="12539" max="12539" width="9" style="31"/>
    <col min="12540" max="12540" width="9.25" style="31" customWidth="1"/>
    <col min="12541" max="12541" width="3.5" style="31" customWidth="1"/>
    <col min="12542" max="12543" width="12.625" style="31" customWidth="1"/>
    <col min="12544" max="12544" width="9" style="31"/>
    <col min="12545" max="12545" width="7.75" style="31" customWidth="1"/>
    <col min="12546" max="12546" width="13.125" style="31" customWidth="1"/>
    <col min="12547" max="12547" width="6.125" style="31" customWidth="1"/>
    <col min="12548" max="12548" width="9.75" style="31" customWidth="1"/>
    <col min="12549" max="12549" width="1.375" style="31" customWidth="1"/>
    <col min="12550" max="12789" width="9" style="31"/>
    <col min="12790" max="12790" width="1.375" style="31" customWidth="1"/>
    <col min="12791" max="12791" width="3.5" style="31" customWidth="1"/>
    <col min="12792" max="12792" width="22.125" style="31" customWidth="1"/>
    <col min="12793" max="12793" width="9.75" style="31" customWidth="1"/>
    <col min="12794" max="12794" width="7.375" style="31" customWidth="1"/>
    <col min="12795" max="12795" width="9" style="31"/>
    <col min="12796" max="12796" width="9.25" style="31" customWidth="1"/>
    <col min="12797" max="12797" width="3.5" style="31" customWidth="1"/>
    <col min="12798" max="12799" width="12.625" style="31" customWidth="1"/>
    <col min="12800" max="12800" width="9" style="31"/>
    <col min="12801" max="12801" width="7.75" style="31" customWidth="1"/>
    <col min="12802" max="12802" width="13.125" style="31" customWidth="1"/>
    <col min="12803" max="12803" width="6.125" style="31" customWidth="1"/>
    <col min="12804" max="12804" width="9.75" style="31" customWidth="1"/>
    <col min="12805" max="12805" width="1.375" style="31" customWidth="1"/>
    <col min="12806" max="13045" width="9" style="31"/>
    <col min="13046" max="13046" width="1.375" style="31" customWidth="1"/>
    <col min="13047" max="13047" width="3.5" style="31" customWidth="1"/>
    <col min="13048" max="13048" width="22.125" style="31" customWidth="1"/>
    <col min="13049" max="13049" width="9.75" style="31" customWidth="1"/>
    <col min="13050" max="13050" width="7.375" style="31" customWidth="1"/>
    <col min="13051" max="13051" width="9" style="31"/>
    <col min="13052" max="13052" width="9.25" style="31" customWidth="1"/>
    <col min="13053" max="13053" width="3.5" style="31" customWidth="1"/>
    <col min="13054" max="13055" width="12.625" style="31" customWidth="1"/>
    <col min="13056" max="13056" width="9" style="31"/>
    <col min="13057" max="13057" width="7.75" style="31" customWidth="1"/>
    <col min="13058" max="13058" width="13.125" style="31" customWidth="1"/>
    <col min="13059" max="13059" width="6.125" style="31" customWidth="1"/>
    <col min="13060" max="13060" width="9.75" style="31" customWidth="1"/>
    <col min="13061" max="13061" width="1.375" style="31" customWidth="1"/>
    <col min="13062" max="13301" width="9" style="31"/>
    <col min="13302" max="13302" width="1.375" style="31" customWidth="1"/>
    <col min="13303" max="13303" width="3.5" style="31" customWidth="1"/>
    <col min="13304" max="13304" width="22.125" style="31" customWidth="1"/>
    <col min="13305" max="13305" width="9.75" style="31" customWidth="1"/>
    <col min="13306" max="13306" width="7.375" style="31" customWidth="1"/>
    <col min="13307" max="13307" width="9" style="31"/>
    <col min="13308" max="13308" width="9.25" style="31" customWidth="1"/>
    <col min="13309" max="13309" width="3.5" style="31" customWidth="1"/>
    <col min="13310" max="13311" width="12.625" style="31" customWidth="1"/>
    <col min="13312" max="13312" width="9" style="31"/>
    <col min="13313" max="13313" width="7.75" style="31" customWidth="1"/>
    <col min="13314" max="13314" width="13.125" style="31" customWidth="1"/>
    <col min="13315" max="13315" width="6.125" style="31" customWidth="1"/>
    <col min="13316" max="13316" width="9.75" style="31" customWidth="1"/>
    <col min="13317" max="13317" width="1.375" style="31" customWidth="1"/>
    <col min="13318" max="13557" width="9" style="31"/>
    <col min="13558" max="13558" width="1.375" style="31" customWidth="1"/>
    <col min="13559" max="13559" width="3.5" style="31" customWidth="1"/>
    <col min="13560" max="13560" width="22.125" style="31" customWidth="1"/>
    <col min="13561" max="13561" width="9.75" style="31" customWidth="1"/>
    <col min="13562" max="13562" width="7.375" style="31" customWidth="1"/>
    <col min="13563" max="13563" width="9" style="31"/>
    <col min="13564" max="13564" width="9.25" style="31" customWidth="1"/>
    <col min="13565" max="13565" width="3.5" style="31" customWidth="1"/>
    <col min="13566" max="13567" width="12.625" style="31" customWidth="1"/>
    <col min="13568" max="13568" width="9" style="31"/>
    <col min="13569" max="13569" width="7.75" style="31" customWidth="1"/>
    <col min="13570" max="13570" width="13.125" style="31" customWidth="1"/>
    <col min="13571" max="13571" width="6.125" style="31" customWidth="1"/>
    <col min="13572" max="13572" width="9.75" style="31" customWidth="1"/>
    <col min="13573" max="13573" width="1.375" style="31" customWidth="1"/>
    <col min="13574" max="13813" width="9" style="31"/>
    <col min="13814" max="13814" width="1.375" style="31" customWidth="1"/>
    <col min="13815" max="13815" width="3.5" style="31" customWidth="1"/>
    <col min="13816" max="13816" width="22.125" style="31" customWidth="1"/>
    <col min="13817" max="13817" width="9.75" style="31" customWidth="1"/>
    <col min="13818" max="13818" width="7.375" style="31" customWidth="1"/>
    <col min="13819" max="13819" width="9" style="31"/>
    <col min="13820" max="13820" width="9.25" style="31" customWidth="1"/>
    <col min="13821" max="13821" width="3.5" style="31" customWidth="1"/>
    <col min="13822" max="13823" width="12.625" style="31" customWidth="1"/>
    <col min="13824" max="13824" width="9" style="31"/>
    <col min="13825" max="13825" width="7.75" style="31" customWidth="1"/>
    <col min="13826" max="13826" width="13.125" style="31" customWidth="1"/>
    <col min="13827" max="13827" width="6.125" style="31" customWidth="1"/>
    <col min="13828" max="13828" width="9.75" style="31" customWidth="1"/>
    <col min="13829" max="13829" width="1.375" style="31" customWidth="1"/>
    <col min="13830" max="14069" width="9" style="31"/>
    <col min="14070" max="14070" width="1.375" style="31" customWidth="1"/>
    <col min="14071" max="14071" width="3.5" style="31" customWidth="1"/>
    <col min="14072" max="14072" width="22.125" style="31" customWidth="1"/>
    <col min="14073" max="14073" width="9.75" style="31" customWidth="1"/>
    <col min="14074" max="14074" width="7.375" style="31" customWidth="1"/>
    <col min="14075" max="14075" width="9" style="31"/>
    <col min="14076" max="14076" width="9.25" style="31" customWidth="1"/>
    <col min="14077" max="14077" width="3.5" style="31" customWidth="1"/>
    <col min="14078" max="14079" width="12.625" style="31" customWidth="1"/>
    <col min="14080" max="14080" width="9" style="31"/>
    <col min="14081" max="14081" width="7.75" style="31" customWidth="1"/>
    <col min="14082" max="14082" width="13.125" style="31" customWidth="1"/>
    <col min="14083" max="14083" width="6.125" style="31" customWidth="1"/>
    <col min="14084" max="14084" width="9.75" style="31" customWidth="1"/>
    <col min="14085" max="14085" width="1.375" style="31" customWidth="1"/>
    <col min="14086" max="14325" width="9" style="31"/>
    <col min="14326" max="14326" width="1.375" style="31" customWidth="1"/>
    <col min="14327" max="14327" width="3.5" style="31" customWidth="1"/>
    <col min="14328" max="14328" width="22.125" style="31" customWidth="1"/>
    <col min="14329" max="14329" width="9.75" style="31" customWidth="1"/>
    <col min="14330" max="14330" width="7.375" style="31" customWidth="1"/>
    <col min="14331" max="14331" width="9" style="31"/>
    <col min="14332" max="14332" width="9.25" style="31" customWidth="1"/>
    <col min="14333" max="14333" width="3.5" style="31" customWidth="1"/>
    <col min="14334" max="14335" width="12.625" style="31" customWidth="1"/>
    <col min="14336" max="14336" width="9" style="31"/>
    <col min="14337" max="14337" width="7.75" style="31" customWidth="1"/>
    <col min="14338" max="14338" width="13.125" style="31" customWidth="1"/>
    <col min="14339" max="14339" width="6.125" style="31" customWidth="1"/>
    <col min="14340" max="14340" width="9.75" style="31" customWidth="1"/>
    <col min="14341" max="14341" width="1.375" style="31" customWidth="1"/>
    <col min="14342" max="14581" width="9" style="31"/>
    <col min="14582" max="14582" width="1.375" style="31" customWidth="1"/>
    <col min="14583" max="14583" width="3.5" style="31" customWidth="1"/>
    <col min="14584" max="14584" width="22.125" style="31" customWidth="1"/>
    <col min="14585" max="14585" width="9.75" style="31" customWidth="1"/>
    <col min="14586" max="14586" width="7.375" style="31" customWidth="1"/>
    <col min="14587" max="14587" width="9" style="31"/>
    <col min="14588" max="14588" width="9.25" style="31" customWidth="1"/>
    <col min="14589" max="14589" width="3.5" style="31" customWidth="1"/>
    <col min="14590" max="14591" width="12.625" style="31" customWidth="1"/>
    <col min="14592" max="14592" width="9" style="31"/>
    <col min="14593" max="14593" width="7.75" style="31" customWidth="1"/>
    <col min="14594" max="14594" width="13.125" style="31" customWidth="1"/>
    <col min="14595" max="14595" width="6.125" style="31" customWidth="1"/>
    <col min="14596" max="14596" width="9.75" style="31" customWidth="1"/>
    <col min="14597" max="14597" width="1.375" style="31" customWidth="1"/>
    <col min="14598" max="14837" width="9" style="31"/>
    <col min="14838" max="14838" width="1.375" style="31" customWidth="1"/>
    <col min="14839" max="14839" width="3.5" style="31" customWidth="1"/>
    <col min="14840" max="14840" width="22.125" style="31" customWidth="1"/>
    <col min="14841" max="14841" width="9.75" style="31" customWidth="1"/>
    <col min="14842" max="14842" width="7.375" style="31" customWidth="1"/>
    <col min="14843" max="14843" width="9" style="31"/>
    <col min="14844" max="14844" width="9.25" style="31" customWidth="1"/>
    <col min="14845" max="14845" width="3.5" style="31" customWidth="1"/>
    <col min="14846" max="14847" width="12.625" style="31" customWidth="1"/>
    <col min="14848" max="14848" width="9" style="31"/>
    <col min="14849" max="14849" width="7.75" style="31" customWidth="1"/>
    <col min="14850" max="14850" width="13.125" style="31" customWidth="1"/>
    <col min="14851" max="14851" width="6.125" style="31" customWidth="1"/>
    <col min="14852" max="14852" width="9.75" style="31" customWidth="1"/>
    <col min="14853" max="14853" width="1.375" style="31" customWidth="1"/>
    <col min="14854" max="15093" width="9" style="31"/>
    <col min="15094" max="15094" width="1.375" style="31" customWidth="1"/>
    <col min="15095" max="15095" width="3.5" style="31" customWidth="1"/>
    <col min="15096" max="15096" width="22.125" style="31" customWidth="1"/>
    <col min="15097" max="15097" width="9.75" style="31" customWidth="1"/>
    <col min="15098" max="15098" width="7.375" style="31" customWidth="1"/>
    <col min="15099" max="15099" width="9" style="31"/>
    <col min="15100" max="15100" width="9.25" style="31" customWidth="1"/>
    <col min="15101" max="15101" width="3.5" style="31" customWidth="1"/>
    <col min="15102" max="15103" width="12.625" style="31" customWidth="1"/>
    <col min="15104" max="15104" width="9" style="31"/>
    <col min="15105" max="15105" width="7.75" style="31" customWidth="1"/>
    <col min="15106" max="15106" width="13.125" style="31" customWidth="1"/>
    <col min="15107" max="15107" width="6.125" style="31" customWidth="1"/>
    <col min="15108" max="15108" width="9.75" style="31" customWidth="1"/>
    <col min="15109" max="15109" width="1.375" style="31" customWidth="1"/>
    <col min="15110" max="15349" width="9" style="31"/>
    <col min="15350" max="15350" width="1.375" style="31" customWidth="1"/>
    <col min="15351" max="15351" width="3.5" style="31" customWidth="1"/>
    <col min="15352" max="15352" width="22.125" style="31" customWidth="1"/>
    <col min="15353" max="15353" width="9.75" style="31" customWidth="1"/>
    <col min="15354" max="15354" width="7.375" style="31" customWidth="1"/>
    <col min="15355" max="15355" width="9" style="31"/>
    <col min="15356" max="15356" width="9.25" style="31" customWidth="1"/>
    <col min="15357" max="15357" width="3.5" style="31" customWidth="1"/>
    <col min="15358" max="15359" width="12.625" style="31" customWidth="1"/>
    <col min="15360" max="15360" width="9" style="31"/>
    <col min="15361" max="15361" width="7.75" style="31" customWidth="1"/>
    <col min="15362" max="15362" width="13.125" style="31" customWidth="1"/>
    <col min="15363" max="15363" width="6.125" style="31" customWidth="1"/>
    <col min="15364" max="15364" width="9.75" style="31" customWidth="1"/>
    <col min="15365" max="15365" width="1.375" style="31" customWidth="1"/>
    <col min="15366" max="15605" width="9" style="31"/>
    <col min="15606" max="15606" width="1.375" style="31" customWidth="1"/>
    <col min="15607" max="15607" width="3.5" style="31" customWidth="1"/>
    <col min="15608" max="15608" width="22.125" style="31" customWidth="1"/>
    <col min="15609" max="15609" width="9.75" style="31" customWidth="1"/>
    <col min="15610" max="15610" width="7.375" style="31" customWidth="1"/>
    <col min="15611" max="15611" width="9" style="31"/>
    <col min="15612" max="15612" width="9.25" style="31" customWidth="1"/>
    <col min="15613" max="15613" width="3.5" style="31" customWidth="1"/>
    <col min="15614" max="15615" width="12.625" style="31" customWidth="1"/>
    <col min="15616" max="15616" width="9" style="31"/>
    <col min="15617" max="15617" width="7.75" style="31" customWidth="1"/>
    <col min="15618" max="15618" width="13.125" style="31" customWidth="1"/>
    <col min="15619" max="15619" width="6.125" style="31" customWidth="1"/>
    <col min="15620" max="15620" width="9.75" style="31" customWidth="1"/>
    <col min="15621" max="15621" width="1.375" style="31" customWidth="1"/>
    <col min="15622" max="15861" width="9" style="31"/>
    <col min="15862" max="15862" width="1.375" style="31" customWidth="1"/>
    <col min="15863" max="15863" width="3.5" style="31" customWidth="1"/>
    <col min="15864" max="15864" width="22.125" style="31" customWidth="1"/>
    <col min="15865" max="15865" width="9.75" style="31" customWidth="1"/>
    <col min="15866" max="15866" width="7.375" style="31" customWidth="1"/>
    <col min="15867" max="15867" width="9" style="31"/>
    <col min="15868" max="15868" width="9.25" style="31" customWidth="1"/>
    <col min="15869" max="15869" width="3.5" style="31" customWidth="1"/>
    <col min="15870" max="15871" width="12.625" style="31" customWidth="1"/>
    <col min="15872" max="15872" width="9" style="31"/>
    <col min="15873" max="15873" width="7.75" style="31" customWidth="1"/>
    <col min="15874" max="15874" width="13.125" style="31" customWidth="1"/>
    <col min="15875" max="15875" width="6.125" style="31" customWidth="1"/>
    <col min="15876" max="15876" width="9.75" style="31" customWidth="1"/>
    <col min="15877" max="15877" width="1.375" style="31" customWidth="1"/>
    <col min="15878" max="16117" width="9" style="31"/>
    <col min="16118" max="16118" width="1.375" style="31" customWidth="1"/>
    <col min="16119" max="16119" width="3.5" style="31" customWidth="1"/>
    <col min="16120" max="16120" width="22.125" style="31" customWidth="1"/>
    <col min="16121" max="16121" width="9.75" style="31" customWidth="1"/>
    <col min="16122" max="16122" width="7.375" style="31" customWidth="1"/>
    <col min="16123" max="16123" width="9" style="31"/>
    <col min="16124" max="16124" width="9.25" style="31" customWidth="1"/>
    <col min="16125" max="16125" width="3.5" style="31" customWidth="1"/>
    <col min="16126" max="16127" width="12.625" style="31" customWidth="1"/>
    <col min="16128" max="16128" width="9" style="31"/>
    <col min="16129" max="16129" width="7.75" style="31" customWidth="1"/>
    <col min="16130" max="16130" width="13.125" style="31" customWidth="1"/>
    <col min="16131" max="16131" width="6.125" style="31" customWidth="1"/>
    <col min="16132" max="16132" width="9.75" style="31" customWidth="1"/>
    <col min="16133" max="16133" width="1.375" style="31" customWidth="1"/>
    <col min="16134" max="16384" width="9" style="31"/>
  </cols>
  <sheetData>
    <row r="1" spans="2:22" ht="9.9499999999999993" customHeight="1" x14ac:dyDescent="0.15"/>
    <row r="2" spans="2:22" ht="24.95" customHeight="1" x14ac:dyDescent="0.15">
      <c r="B2" s="31" t="s">
        <v>281</v>
      </c>
      <c r="C2" s="33"/>
      <c r="D2" s="5"/>
      <c r="E2" s="5"/>
      <c r="F2" s="33"/>
      <c r="G2" s="108"/>
      <c r="H2" s="118"/>
      <c r="I2" s="108"/>
      <c r="J2" s="108"/>
      <c r="K2" s="108"/>
      <c r="L2" s="108"/>
      <c r="M2" s="108"/>
      <c r="N2" s="108"/>
      <c r="O2" s="5"/>
    </row>
    <row r="3" spans="2:22" ht="15" customHeight="1" thickBot="1" x14ac:dyDescent="0.2">
      <c r="B3" s="31" t="s">
        <v>158</v>
      </c>
      <c r="I3" s="5" t="s">
        <v>159</v>
      </c>
      <c r="P3" s="171" t="s">
        <v>178</v>
      </c>
    </row>
    <row r="4" spans="2:22" ht="15" customHeight="1" x14ac:dyDescent="0.15">
      <c r="B4" s="248" t="s">
        <v>71</v>
      </c>
      <c r="C4" s="157" t="s">
        <v>134</v>
      </c>
      <c r="D4" s="157" t="s">
        <v>108</v>
      </c>
      <c r="E4" s="157" t="s">
        <v>109</v>
      </c>
      <c r="F4" s="157" t="s">
        <v>21</v>
      </c>
      <c r="G4" s="145" t="s">
        <v>110</v>
      </c>
      <c r="H4" s="158"/>
      <c r="I4" s="763" t="s">
        <v>71</v>
      </c>
      <c r="J4" s="759" t="s">
        <v>137</v>
      </c>
      <c r="K4" s="163" t="s">
        <v>300</v>
      </c>
      <c r="L4" s="163" t="s">
        <v>111</v>
      </c>
      <c r="M4" s="759" t="s">
        <v>21</v>
      </c>
      <c r="N4" s="761" t="s">
        <v>110</v>
      </c>
      <c r="O4" s="181"/>
      <c r="P4" s="249" t="s">
        <v>140</v>
      </c>
      <c r="Q4" s="250" t="s">
        <v>141</v>
      </c>
      <c r="R4" s="250" t="s">
        <v>142</v>
      </c>
      <c r="S4" s="250" t="s">
        <v>143</v>
      </c>
      <c r="T4" s="765" t="s">
        <v>144</v>
      </c>
      <c r="U4" s="694"/>
      <c r="V4" s="251" t="s">
        <v>145</v>
      </c>
    </row>
    <row r="5" spans="2:22" ht="15" customHeight="1" x14ac:dyDescent="0.15">
      <c r="B5" s="652" t="s">
        <v>128</v>
      </c>
      <c r="C5" s="30" t="s">
        <v>431</v>
      </c>
      <c r="D5" s="30">
        <v>2</v>
      </c>
      <c r="E5" s="37" t="s">
        <v>132</v>
      </c>
      <c r="F5" s="30">
        <v>6500</v>
      </c>
      <c r="G5" s="146">
        <f t="shared" ref="G5:G6" si="0">D5*F5</f>
        <v>13000</v>
      </c>
      <c r="H5" s="159"/>
      <c r="I5" s="764"/>
      <c r="J5" s="760"/>
      <c r="K5" s="165" t="s">
        <v>112</v>
      </c>
      <c r="L5" s="434" t="s">
        <v>299</v>
      </c>
      <c r="M5" s="760"/>
      <c r="N5" s="762"/>
      <c r="O5" s="181"/>
      <c r="P5" s="252" t="s">
        <v>284</v>
      </c>
      <c r="Q5" s="143">
        <v>228</v>
      </c>
      <c r="R5" s="179" t="s">
        <v>285</v>
      </c>
      <c r="S5" s="347">
        <f>2588/100</f>
        <v>25.88</v>
      </c>
      <c r="T5" s="756">
        <v>1</v>
      </c>
      <c r="U5" s="757"/>
      <c r="V5" s="174">
        <f>Q5*S5/T5</f>
        <v>5900.6399999999994</v>
      </c>
    </row>
    <row r="6" spans="2:22" ht="15" customHeight="1" x14ac:dyDescent="0.15">
      <c r="B6" s="653"/>
      <c r="C6" s="30"/>
      <c r="D6" s="30"/>
      <c r="E6" s="37"/>
      <c r="F6" s="30"/>
      <c r="G6" s="147">
        <f t="shared" si="0"/>
        <v>0</v>
      </c>
      <c r="H6" s="159"/>
      <c r="I6" s="768" t="s">
        <v>136</v>
      </c>
      <c r="J6" s="30" t="s">
        <v>396</v>
      </c>
      <c r="K6" s="166">
        <v>2</v>
      </c>
      <c r="L6" s="352">
        <v>4</v>
      </c>
      <c r="M6" s="166">
        <v>84.7</v>
      </c>
      <c r="N6" s="147">
        <f>K6*L6*M6</f>
        <v>677.6</v>
      </c>
      <c r="O6" s="181"/>
      <c r="P6" s="252" t="s">
        <v>286</v>
      </c>
      <c r="Q6" s="143">
        <f>'７　かぼちゃ部門収支'!N13/1.1*2*2</f>
        <v>1140</v>
      </c>
      <c r="R6" s="179" t="s">
        <v>182</v>
      </c>
      <c r="S6" s="143">
        <v>18</v>
      </c>
      <c r="T6" s="756">
        <v>3</v>
      </c>
      <c r="U6" s="757"/>
      <c r="V6" s="174">
        <f>Q6*S6/T6</f>
        <v>6840</v>
      </c>
    </row>
    <row r="7" spans="2:22" ht="15" customHeight="1" thickBot="1" x14ac:dyDescent="0.2">
      <c r="B7" s="755"/>
      <c r="C7" s="148" t="s">
        <v>113</v>
      </c>
      <c r="D7" s="148"/>
      <c r="E7" s="148"/>
      <c r="F7" s="148"/>
      <c r="G7" s="149">
        <f>SUM(G5:G6)</f>
        <v>13000</v>
      </c>
      <c r="H7" s="159"/>
      <c r="I7" s="653"/>
      <c r="J7" s="30"/>
      <c r="K7" s="166"/>
      <c r="L7" s="352"/>
      <c r="M7" s="166"/>
      <c r="N7" s="147">
        <f t="shared" ref="N7:N9" si="1">K7*L7*M7</f>
        <v>0</v>
      </c>
      <c r="O7" s="181"/>
      <c r="P7" s="385" t="s">
        <v>328</v>
      </c>
      <c r="Q7" s="386">
        <f>'７　かぼちゃ部門収支'!N13/128</f>
        <v>2.44921875</v>
      </c>
      <c r="R7" s="387" t="s">
        <v>329</v>
      </c>
      <c r="S7" s="212">
        <v>191</v>
      </c>
      <c r="T7" s="766">
        <v>5</v>
      </c>
      <c r="U7" s="767"/>
      <c r="V7" s="384">
        <f t="shared" ref="V7:V10" si="2">Q7*S7/T7</f>
        <v>93.560156250000006</v>
      </c>
    </row>
    <row r="8" spans="2:22" ht="15" customHeight="1" thickTop="1" x14ac:dyDescent="0.15">
      <c r="B8" s="753" t="s">
        <v>126</v>
      </c>
      <c r="C8" s="351" t="s">
        <v>426</v>
      </c>
      <c r="D8" s="30">
        <v>10</v>
      </c>
      <c r="E8" s="37" t="s">
        <v>282</v>
      </c>
      <c r="F8" s="30">
        <f>940*1.08</f>
        <v>1015.2</v>
      </c>
      <c r="G8" s="147">
        <f>D8*F8</f>
        <v>10152</v>
      </c>
      <c r="H8" s="159"/>
      <c r="I8" s="653"/>
      <c r="J8" s="30"/>
      <c r="K8" s="166"/>
      <c r="L8" s="166"/>
      <c r="M8" s="166"/>
      <c r="N8" s="147">
        <f t="shared" si="1"/>
        <v>0</v>
      </c>
      <c r="O8" s="181"/>
      <c r="P8" s="385" t="s">
        <v>331</v>
      </c>
      <c r="Q8" s="212">
        <f>'７　かぼちゃ部門収支'!N13</f>
        <v>313.5</v>
      </c>
      <c r="R8" s="387" t="s">
        <v>330</v>
      </c>
      <c r="S8" s="212">
        <v>4</v>
      </c>
      <c r="T8" s="766">
        <v>1</v>
      </c>
      <c r="U8" s="767"/>
      <c r="V8" s="384">
        <f t="shared" si="2"/>
        <v>1254</v>
      </c>
    </row>
    <row r="9" spans="2:22" ht="15" customHeight="1" x14ac:dyDescent="0.15">
      <c r="B9" s="653"/>
      <c r="C9" s="30"/>
      <c r="D9" s="30"/>
      <c r="E9" s="37"/>
      <c r="F9" s="30"/>
      <c r="G9" s="147"/>
      <c r="H9" s="159"/>
      <c r="I9" s="653"/>
      <c r="J9" s="30"/>
      <c r="K9" s="166"/>
      <c r="L9" s="166"/>
      <c r="M9" s="166"/>
      <c r="N9" s="147">
        <f t="shared" si="1"/>
        <v>0</v>
      </c>
      <c r="O9" s="181"/>
      <c r="P9" s="385" t="s">
        <v>336</v>
      </c>
      <c r="Q9" s="388">
        <f>Q8/70</f>
        <v>4.4785714285714286</v>
      </c>
      <c r="R9" s="387" t="s">
        <v>337</v>
      </c>
      <c r="S9" s="212">
        <v>864</v>
      </c>
      <c r="T9" s="766">
        <v>1</v>
      </c>
      <c r="U9" s="767"/>
      <c r="V9" s="384">
        <f t="shared" si="2"/>
        <v>3869.4857142857145</v>
      </c>
    </row>
    <row r="10" spans="2:22" ht="15" customHeight="1" thickBot="1" x14ac:dyDescent="0.2">
      <c r="B10" s="653"/>
      <c r="C10" s="30"/>
      <c r="D10" s="30"/>
      <c r="E10" s="37"/>
      <c r="F10" s="30"/>
      <c r="G10" s="147"/>
      <c r="H10" s="159"/>
      <c r="I10" s="755"/>
      <c r="J10" s="253" t="s">
        <v>183</v>
      </c>
      <c r="K10" s="167">
        <f t="shared" ref="K10:L10" si="3">SUM(K6:K9)</f>
        <v>2</v>
      </c>
      <c r="L10" s="167">
        <f t="shared" si="3"/>
        <v>4</v>
      </c>
      <c r="M10" s="167"/>
      <c r="N10" s="162">
        <f>SUM(N6:N9)</f>
        <v>677.6</v>
      </c>
      <c r="O10" s="181"/>
      <c r="P10" s="385" t="s">
        <v>339</v>
      </c>
      <c r="Q10" s="347">
        <f>Q7/13.5</f>
        <v>0.1814236111111111</v>
      </c>
      <c r="R10" s="179" t="s">
        <v>340</v>
      </c>
      <c r="S10" s="143">
        <v>2668</v>
      </c>
      <c r="T10" s="756">
        <v>1</v>
      </c>
      <c r="U10" s="757"/>
      <c r="V10" s="174">
        <f t="shared" si="2"/>
        <v>484.0381944444444</v>
      </c>
    </row>
    <row r="11" spans="2:22" ht="15" customHeight="1" thickTop="1" thickBot="1" x14ac:dyDescent="0.2">
      <c r="B11" s="755"/>
      <c r="C11" s="150" t="s">
        <v>114</v>
      </c>
      <c r="D11" s="151"/>
      <c r="E11" s="151"/>
      <c r="F11" s="151"/>
      <c r="G11" s="152">
        <f>SUM(G8:G10)</f>
        <v>10152</v>
      </c>
      <c r="H11" s="159"/>
      <c r="I11" s="753" t="s">
        <v>184</v>
      </c>
      <c r="J11" s="30" t="s">
        <v>397</v>
      </c>
      <c r="K11" s="352">
        <v>20</v>
      </c>
      <c r="L11" s="352">
        <v>2</v>
      </c>
      <c r="M11" s="166">
        <v>158.4</v>
      </c>
      <c r="N11" s="147">
        <f>K11*L11*M11</f>
        <v>6336</v>
      </c>
      <c r="O11" s="181"/>
      <c r="P11" s="252"/>
      <c r="Q11" s="143"/>
      <c r="R11" s="419"/>
      <c r="S11" s="143"/>
      <c r="T11" s="756"/>
      <c r="U11" s="757"/>
      <c r="V11" s="174"/>
    </row>
    <row r="12" spans="2:22" ht="15" customHeight="1" thickTop="1" x14ac:dyDescent="0.15">
      <c r="B12" s="753" t="s">
        <v>127</v>
      </c>
      <c r="C12" s="30" t="s">
        <v>427</v>
      </c>
      <c r="D12" s="30">
        <v>4</v>
      </c>
      <c r="E12" s="37" t="s">
        <v>283</v>
      </c>
      <c r="F12" s="30">
        <f>2760*1.08</f>
        <v>2980.8</v>
      </c>
      <c r="G12" s="147">
        <f>D12*F12</f>
        <v>11923.2</v>
      </c>
      <c r="H12" s="159"/>
      <c r="I12" s="653"/>
      <c r="J12" s="30" t="s">
        <v>398</v>
      </c>
      <c r="K12" s="352">
        <v>4</v>
      </c>
      <c r="L12" s="352">
        <v>1</v>
      </c>
      <c r="M12" s="166">
        <v>158.4</v>
      </c>
      <c r="N12" s="147">
        <f t="shared" ref="N12:N14" si="4">K12*L12*M12</f>
        <v>633.6</v>
      </c>
      <c r="O12" s="181"/>
      <c r="P12" s="252"/>
      <c r="Q12" s="143"/>
      <c r="R12" s="419"/>
      <c r="S12" s="143"/>
      <c r="T12" s="756"/>
      <c r="U12" s="757"/>
      <c r="V12" s="174"/>
    </row>
    <row r="13" spans="2:22" ht="15" customHeight="1" x14ac:dyDescent="0.15">
      <c r="B13" s="653"/>
      <c r="C13" s="30" t="s">
        <v>428</v>
      </c>
      <c r="D13" s="30">
        <v>3</v>
      </c>
      <c r="E13" s="37" t="s">
        <v>283</v>
      </c>
      <c r="F13" s="30">
        <f>2280*1.08</f>
        <v>2462.4</v>
      </c>
      <c r="G13" s="147">
        <f>D13*F13</f>
        <v>7387.2000000000007</v>
      </c>
      <c r="H13" s="159"/>
      <c r="I13" s="653"/>
      <c r="J13" s="30" t="s">
        <v>399</v>
      </c>
      <c r="K13" s="352">
        <v>1</v>
      </c>
      <c r="L13" s="352">
        <v>1</v>
      </c>
      <c r="M13" s="166">
        <v>158.4</v>
      </c>
      <c r="N13" s="147">
        <f t="shared" si="4"/>
        <v>158.4</v>
      </c>
      <c r="O13" s="181"/>
      <c r="P13" s="252"/>
      <c r="Q13" s="143"/>
      <c r="R13" s="419"/>
      <c r="S13" s="143"/>
      <c r="T13" s="756"/>
      <c r="U13" s="757"/>
      <c r="V13" s="174"/>
    </row>
    <row r="14" spans="2:22" ht="15" customHeight="1" x14ac:dyDescent="0.15">
      <c r="B14" s="653"/>
      <c r="C14" s="30"/>
      <c r="D14" s="30"/>
      <c r="E14" s="37"/>
      <c r="F14" s="30"/>
      <c r="G14" s="147">
        <f>D14*F14</f>
        <v>0</v>
      </c>
      <c r="H14" s="159"/>
      <c r="I14" s="653"/>
      <c r="J14" s="30" t="s">
        <v>400</v>
      </c>
      <c r="K14" s="352">
        <v>20</v>
      </c>
      <c r="L14" s="352">
        <v>1</v>
      </c>
      <c r="M14" s="166">
        <v>158.4</v>
      </c>
      <c r="N14" s="147">
        <f t="shared" si="4"/>
        <v>3168</v>
      </c>
      <c r="O14" s="181"/>
      <c r="P14" s="252"/>
      <c r="Q14" s="143"/>
      <c r="R14" s="419"/>
      <c r="S14" s="143"/>
      <c r="T14" s="756"/>
      <c r="U14" s="757"/>
      <c r="V14" s="174"/>
    </row>
    <row r="15" spans="2:22" ht="15" customHeight="1" thickBot="1" x14ac:dyDescent="0.2">
      <c r="B15" s="653"/>
      <c r="C15" s="30"/>
      <c r="D15" s="30"/>
      <c r="E15" s="30"/>
      <c r="F15" s="30"/>
      <c r="G15" s="147">
        <f t="shared" ref="G15" si="5">D15*F15</f>
        <v>0</v>
      </c>
      <c r="H15" s="159"/>
      <c r="I15" s="755"/>
      <c r="J15" s="253" t="s">
        <v>183</v>
      </c>
      <c r="K15" s="167">
        <f t="shared" ref="K15" si="6">SUM(K11:K14)</f>
        <v>45</v>
      </c>
      <c r="L15" s="167">
        <f t="shared" ref="L15" si="7">SUM(L11:L14)</f>
        <v>5</v>
      </c>
      <c r="M15" s="167"/>
      <c r="N15" s="162">
        <f>SUM(N11:N14)</f>
        <v>10296</v>
      </c>
      <c r="O15" s="181"/>
      <c r="P15" s="252"/>
      <c r="Q15" s="143"/>
      <c r="R15" s="419"/>
      <c r="S15" s="143"/>
      <c r="T15" s="756"/>
      <c r="U15" s="757"/>
      <c r="V15" s="174"/>
    </row>
    <row r="16" spans="2:22" ht="15" customHeight="1" thickTop="1" thickBot="1" x14ac:dyDescent="0.2">
      <c r="B16" s="755"/>
      <c r="C16" s="150" t="s">
        <v>114</v>
      </c>
      <c r="D16" s="151"/>
      <c r="E16" s="151"/>
      <c r="F16" s="151"/>
      <c r="G16" s="152">
        <f>SUM(G12:G15)</f>
        <v>19310.400000000001</v>
      </c>
      <c r="H16" s="159"/>
      <c r="I16" s="753" t="s">
        <v>138</v>
      </c>
      <c r="J16" s="30" t="s">
        <v>395</v>
      </c>
      <c r="K16" s="166">
        <v>4</v>
      </c>
      <c r="L16" s="352">
        <v>0.5</v>
      </c>
      <c r="M16" s="166">
        <v>168.4</v>
      </c>
      <c r="N16" s="147">
        <f>K16*L16*M16</f>
        <v>336.8</v>
      </c>
      <c r="O16" s="181"/>
      <c r="P16" s="252"/>
      <c r="Q16" s="143"/>
      <c r="R16" s="419"/>
      <c r="S16" s="143"/>
      <c r="T16" s="756"/>
      <c r="U16" s="757"/>
      <c r="V16" s="174"/>
    </row>
    <row r="17" spans="2:22" ht="15" customHeight="1" thickTop="1" x14ac:dyDescent="0.15">
      <c r="B17" s="753" t="s">
        <v>129</v>
      </c>
      <c r="C17" s="30"/>
      <c r="D17" s="30"/>
      <c r="E17" s="37"/>
      <c r="F17" s="30"/>
      <c r="G17" s="147">
        <f t="shared" ref="G17" si="8">D17*F17</f>
        <v>0</v>
      </c>
      <c r="H17" s="159"/>
      <c r="I17" s="653"/>
      <c r="J17" s="30"/>
      <c r="K17" s="166"/>
      <c r="L17" s="166"/>
      <c r="M17" s="166"/>
      <c r="N17" s="147">
        <f t="shared" ref="N17:N18" si="9">K17*L17*M17</f>
        <v>0</v>
      </c>
      <c r="O17" s="181"/>
      <c r="P17" s="252"/>
      <c r="Q17" s="143"/>
      <c r="R17" s="419"/>
      <c r="S17" s="143"/>
      <c r="T17" s="756"/>
      <c r="U17" s="757"/>
      <c r="V17" s="174"/>
    </row>
    <row r="18" spans="2:22" ht="15" customHeight="1" x14ac:dyDescent="0.15">
      <c r="B18" s="653"/>
      <c r="C18" s="30"/>
      <c r="D18" s="30"/>
      <c r="E18" s="37"/>
      <c r="F18" s="30"/>
      <c r="G18" s="147">
        <f>D18*F18</f>
        <v>0</v>
      </c>
      <c r="H18" s="159"/>
      <c r="I18" s="653"/>
      <c r="J18" s="30"/>
      <c r="K18" s="166"/>
      <c r="L18" s="166"/>
      <c r="M18" s="166"/>
      <c r="N18" s="147">
        <f t="shared" si="9"/>
        <v>0</v>
      </c>
      <c r="O18" s="181"/>
      <c r="P18" s="252"/>
      <c r="Q18" s="143"/>
      <c r="R18" s="419"/>
      <c r="S18" s="143"/>
      <c r="T18" s="756"/>
      <c r="U18" s="757"/>
      <c r="V18" s="174"/>
    </row>
    <row r="19" spans="2:22" ht="15" customHeight="1" thickBot="1" x14ac:dyDescent="0.2">
      <c r="B19" s="653"/>
      <c r="C19" s="30"/>
      <c r="D19" s="30"/>
      <c r="E19" s="30"/>
      <c r="F19" s="30"/>
      <c r="G19" s="147">
        <f t="shared" ref="G19" si="10">D19*F19</f>
        <v>0</v>
      </c>
      <c r="H19" s="159"/>
      <c r="I19" s="755"/>
      <c r="J19" s="253" t="s">
        <v>185</v>
      </c>
      <c r="K19" s="167">
        <f>SUM(K16:K18)</f>
        <v>4</v>
      </c>
      <c r="L19" s="168">
        <f>SUM(L16:L18)</f>
        <v>0.5</v>
      </c>
      <c r="M19" s="169"/>
      <c r="N19" s="162">
        <f>SUM(N16:N18)</f>
        <v>336.8</v>
      </c>
      <c r="O19" s="181"/>
      <c r="P19" s="252"/>
      <c r="Q19" s="143"/>
      <c r="R19" s="419"/>
      <c r="S19" s="143"/>
      <c r="T19" s="756"/>
      <c r="U19" s="757"/>
      <c r="V19" s="174"/>
    </row>
    <row r="20" spans="2:22" ht="15" customHeight="1" thickTop="1" thickBot="1" x14ac:dyDescent="0.2">
      <c r="B20" s="755"/>
      <c r="C20" s="150" t="s">
        <v>114</v>
      </c>
      <c r="D20" s="151"/>
      <c r="E20" s="151"/>
      <c r="F20" s="151"/>
      <c r="G20" s="152">
        <f>SUM(G17:G19)</f>
        <v>0</v>
      </c>
      <c r="H20" s="159"/>
      <c r="I20" s="753" t="s">
        <v>139</v>
      </c>
      <c r="J20" s="30"/>
      <c r="K20" s="166"/>
      <c r="L20" s="166"/>
      <c r="M20" s="166"/>
      <c r="N20" s="147"/>
      <c r="O20" s="181"/>
      <c r="P20" s="175" t="s">
        <v>26</v>
      </c>
      <c r="Q20" s="176"/>
      <c r="R20" s="176"/>
      <c r="S20" s="176"/>
      <c r="T20" s="758"/>
      <c r="U20" s="748"/>
      <c r="V20" s="177">
        <f>SUM(V5:V19)</f>
        <v>18441.724064980161</v>
      </c>
    </row>
    <row r="21" spans="2:22" ht="15" customHeight="1" thickTop="1" x14ac:dyDescent="0.15">
      <c r="B21" s="753" t="s">
        <v>130</v>
      </c>
      <c r="C21" s="30"/>
      <c r="D21" s="30"/>
      <c r="E21" s="37"/>
      <c r="F21" s="30"/>
      <c r="G21" s="147"/>
      <c r="H21" s="159"/>
      <c r="I21" s="653"/>
      <c r="J21" s="30"/>
      <c r="K21" s="166"/>
      <c r="L21" s="166"/>
      <c r="M21" s="166"/>
      <c r="N21" s="147">
        <f t="shared" ref="N21:N22" si="11">K21*L21*M21</f>
        <v>0</v>
      </c>
      <c r="O21" s="181"/>
    </row>
    <row r="22" spans="2:22" ht="15" customHeight="1" thickBot="1" x14ac:dyDescent="0.2">
      <c r="B22" s="653"/>
      <c r="C22" s="30"/>
      <c r="D22" s="30"/>
      <c r="E22" s="37"/>
      <c r="F22" s="30"/>
      <c r="G22" s="147"/>
      <c r="H22" s="159"/>
      <c r="I22" s="653"/>
      <c r="J22" s="30"/>
      <c r="K22" s="166"/>
      <c r="L22" s="166"/>
      <c r="M22" s="166"/>
      <c r="N22" s="147">
        <f t="shared" si="11"/>
        <v>0</v>
      </c>
      <c r="O22" s="181"/>
      <c r="P22" s="171" t="s">
        <v>179</v>
      </c>
    </row>
    <row r="23" spans="2:22" ht="15" customHeight="1" thickBot="1" x14ac:dyDescent="0.2">
      <c r="B23" s="653"/>
      <c r="C23" s="30"/>
      <c r="D23" s="30"/>
      <c r="E23" s="37"/>
      <c r="F23" s="30"/>
      <c r="G23" s="147"/>
      <c r="H23" s="159"/>
      <c r="I23" s="755"/>
      <c r="J23" s="253" t="s">
        <v>185</v>
      </c>
      <c r="K23" s="167">
        <f>SUM(K20:K22)</f>
        <v>0</v>
      </c>
      <c r="L23" s="168">
        <f>SUM(L20:L22)</f>
        <v>0</v>
      </c>
      <c r="M23" s="169"/>
      <c r="N23" s="162">
        <f>SUM(N20:N22)</f>
        <v>0</v>
      </c>
      <c r="O23" s="181"/>
      <c r="P23" s="249" t="s">
        <v>146</v>
      </c>
      <c r="Q23" s="250" t="s">
        <v>141</v>
      </c>
      <c r="R23" s="250" t="s">
        <v>142</v>
      </c>
      <c r="S23" s="250" t="s">
        <v>186</v>
      </c>
      <c r="T23" s="250" t="s">
        <v>144</v>
      </c>
      <c r="U23" s="423" t="s">
        <v>230</v>
      </c>
      <c r="V23" s="251" t="s">
        <v>145</v>
      </c>
    </row>
    <row r="24" spans="2:22" ht="15" customHeight="1" thickTop="1" thickBot="1" x14ac:dyDescent="0.2">
      <c r="B24" s="754"/>
      <c r="C24" s="153" t="s">
        <v>115</v>
      </c>
      <c r="D24" s="154"/>
      <c r="E24" s="154"/>
      <c r="F24" s="161"/>
      <c r="G24" s="155">
        <f>SUM(G21:G23)</f>
        <v>0</v>
      </c>
      <c r="I24" s="753" t="s">
        <v>234</v>
      </c>
      <c r="J24" s="30"/>
      <c r="K24" s="166"/>
      <c r="L24" s="166"/>
      <c r="M24" s="166"/>
      <c r="N24" s="147"/>
      <c r="O24" s="181"/>
      <c r="P24" s="252" t="s">
        <v>287</v>
      </c>
      <c r="Q24" s="143">
        <v>2</v>
      </c>
      <c r="R24" s="419" t="s">
        <v>231</v>
      </c>
      <c r="S24" s="143">
        <v>4500</v>
      </c>
      <c r="T24" s="143">
        <v>2</v>
      </c>
      <c r="U24" s="144">
        <f>'５　かぼちゃ作業時間'!$C$41</f>
        <v>110</v>
      </c>
      <c r="V24" s="174">
        <f>Q24*S24/T24/U24*10</f>
        <v>409.09090909090907</v>
      </c>
    </row>
    <row r="25" spans="2:22" ht="15" customHeight="1" x14ac:dyDescent="0.15">
      <c r="H25" s="160"/>
      <c r="I25" s="653"/>
      <c r="J25" s="30"/>
      <c r="K25" s="166"/>
      <c r="L25" s="166"/>
      <c r="M25" s="166"/>
      <c r="N25" s="147">
        <f t="shared" ref="N25:N26" si="12">K25*L25*M25</f>
        <v>0</v>
      </c>
      <c r="O25" s="181"/>
      <c r="P25" s="252" t="s">
        <v>288</v>
      </c>
      <c r="Q25" s="212">
        <f>Q6/3/5</f>
        <v>76</v>
      </c>
      <c r="R25" s="419" t="s">
        <v>289</v>
      </c>
      <c r="S25" s="143">
        <v>950</v>
      </c>
      <c r="T25" s="143">
        <v>10</v>
      </c>
      <c r="U25" s="144">
        <f>'５　かぼちゃ作業時間'!$C$41</f>
        <v>110</v>
      </c>
      <c r="V25" s="174">
        <f t="shared" ref="V25:V26" si="13">Q25*S25/T25/U25*10</f>
        <v>656.36363636363637</v>
      </c>
    </row>
    <row r="26" spans="2:22" ht="15" customHeight="1" thickBot="1" x14ac:dyDescent="0.2">
      <c r="B26" s="5" t="s">
        <v>187</v>
      </c>
      <c r="C26" s="5"/>
      <c r="D26" s="33"/>
      <c r="E26" s="5"/>
      <c r="F26" s="33"/>
      <c r="G26" s="34"/>
      <c r="H26" s="158"/>
      <c r="I26" s="653"/>
      <c r="J26" s="30"/>
      <c r="K26" s="166"/>
      <c r="L26" s="166"/>
      <c r="M26" s="166"/>
      <c r="N26" s="147">
        <f t="shared" si="12"/>
        <v>0</v>
      </c>
      <c r="O26" s="181"/>
      <c r="P26" s="252" t="s">
        <v>382</v>
      </c>
      <c r="Q26" s="143">
        <v>2</v>
      </c>
      <c r="R26" s="419" t="s">
        <v>383</v>
      </c>
      <c r="S26" s="143">
        <v>35000</v>
      </c>
      <c r="T26" s="143">
        <v>7</v>
      </c>
      <c r="U26" s="144">
        <v>110</v>
      </c>
      <c r="V26" s="174">
        <f t="shared" si="13"/>
        <v>909.09090909090901</v>
      </c>
    </row>
    <row r="27" spans="2:22" ht="15" customHeight="1" thickBot="1" x14ac:dyDescent="0.2">
      <c r="B27" s="248" t="s">
        <v>71</v>
      </c>
      <c r="C27" s="157" t="s">
        <v>107</v>
      </c>
      <c r="D27" s="157" t="s">
        <v>108</v>
      </c>
      <c r="E27" s="157" t="s">
        <v>109</v>
      </c>
      <c r="F27" s="157" t="s">
        <v>21</v>
      </c>
      <c r="G27" s="145" t="s">
        <v>110</v>
      </c>
      <c r="H27" s="159"/>
      <c r="I27" s="755"/>
      <c r="J27" s="253" t="s">
        <v>183</v>
      </c>
      <c r="K27" s="167">
        <f>SUM(K24:K26)</f>
        <v>0</v>
      </c>
      <c r="L27" s="168">
        <f>SUM(L24:L26)</f>
        <v>0</v>
      </c>
      <c r="M27" s="169"/>
      <c r="N27" s="162">
        <f>SUM(N24:N26)</f>
        <v>0</v>
      </c>
      <c r="O27" s="181"/>
      <c r="P27" s="252"/>
      <c r="Q27" s="143"/>
      <c r="R27" s="419"/>
      <c r="S27" s="143"/>
      <c r="T27" s="143"/>
      <c r="U27" s="144"/>
      <c r="V27" s="174"/>
    </row>
    <row r="28" spans="2:22" ht="15" customHeight="1" thickTop="1" x14ac:dyDescent="0.15">
      <c r="B28" s="652" t="s">
        <v>27</v>
      </c>
      <c r="C28" s="30" t="s">
        <v>427</v>
      </c>
      <c r="D28" s="30">
        <f>750/500</f>
        <v>1.5</v>
      </c>
      <c r="E28" s="37" t="s">
        <v>283</v>
      </c>
      <c r="F28" s="30">
        <f>2067*1.08</f>
        <v>2232.36</v>
      </c>
      <c r="G28" s="146">
        <f t="shared" ref="G28:G37" si="14">D28*F28</f>
        <v>3348.54</v>
      </c>
      <c r="H28" s="159"/>
      <c r="I28" s="753" t="s">
        <v>135</v>
      </c>
      <c r="J28" s="45" t="s">
        <v>401</v>
      </c>
      <c r="K28" s="352"/>
      <c r="L28" s="352">
        <f>0.95*24*3</f>
        <v>68.399999999999991</v>
      </c>
      <c r="M28" s="352">
        <v>14</v>
      </c>
      <c r="N28" s="431">
        <f>L28*M28/'５　かぼちゃ作業時間'!C41*10</f>
        <v>87.054545454545448</v>
      </c>
      <c r="O28" s="181"/>
      <c r="P28" s="252"/>
      <c r="Q28" s="143"/>
      <c r="R28" s="419"/>
      <c r="S28" s="143"/>
      <c r="T28" s="143"/>
      <c r="U28" s="317"/>
      <c r="V28" s="174"/>
    </row>
    <row r="29" spans="2:22" ht="15" customHeight="1" x14ac:dyDescent="0.15">
      <c r="B29" s="653"/>
      <c r="C29" s="30" t="s">
        <v>428</v>
      </c>
      <c r="D29" s="62">
        <f>300/500</f>
        <v>0.6</v>
      </c>
      <c r="E29" s="37" t="s">
        <v>283</v>
      </c>
      <c r="F29" s="30">
        <f>2696*1.08</f>
        <v>2911.6800000000003</v>
      </c>
      <c r="G29" s="147">
        <f t="shared" si="14"/>
        <v>1747.008</v>
      </c>
      <c r="H29" s="159"/>
      <c r="I29" s="653"/>
      <c r="J29" s="30"/>
      <c r="K29" s="166"/>
      <c r="L29" s="166"/>
      <c r="M29" s="166"/>
      <c r="N29" s="147">
        <f t="shared" ref="N29:N30" si="15">K29*L29*M29</f>
        <v>0</v>
      </c>
      <c r="O29" s="32"/>
      <c r="P29" s="252"/>
      <c r="Q29" s="143"/>
      <c r="R29" s="419"/>
      <c r="S29" s="143"/>
      <c r="T29" s="143"/>
      <c r="U29" s="317"/>
      <c r="V29" s="174"/>
    </row>
    <row r="30" spans="2:22" ht="15" customHeight="1" x14ac:dyDescent="0.15">
      <c r="B30" s="653"/>
      <c r="C30" s="30" t="s">
        <v>429</v>
      </c>
      <c r="D30" s="62">
        <f>300/500</f>
        <v>0.6</v>
      </c>
      <c r="E30" s="37" t="s">
        <v>283</v>
      </c>
      <c r="F30" s="30">
        <f>3475*1.08</f>
        <v>3753.0000000000005</v>
      </c>
      <c r="G30" s="147">
        <f t="shared" si="14"/>
        <v>2251.8000000000002</v>
      </c>
      <c r="H30" s="159"/>
      <c r="I30" s="653"/>
      <c r="J30" s="30"/>
      <c r="K30" s="166"/>
      <c r="L30" s="166"/>
      <c r="M30" s="166"/>
      <c r="N30" s="147">
        <f t="shared" si="15"/>
        <v>0</v>
      </c>
      <c r="P30" s="252"/>
      <c r="Q30" s="143"/>
      <c r="R30" s="419"/>
      <c r="S30" s="143"/>
      <c r="T30" s="143"/>
      <c r="U30" s="144"/>
      <c r="V30" s="174"/>
    </row>
    <row r="31" spans="2:22" ht="15" customHeight="1" thickBot="1" x14ac:dyDescent="0.2">
      <c r="B31" s="653"/>
      <c r="C31" s="30" t="s">
        <v>430</v>
      </c>
      <c r="D31" s="62">
        <f>100/500</f>
        <v>0.2</v>
      </c>
      <c r="E31" s="37" t="s">
        <v>296</v>
      </c>
      <c r="F31" s="30">
        <f>7705*1.08</f>
        <v>8321.4000000000015</v>
      </c>
      <c r="G31" s="147">
        <f t="shared" si="14"/>
        <v>1664.2800000000004</v>
      </c>
      <c r="H31" s="159"/>
      <c r="I31" s="754"/>
      <c r="J31" s="254" t="s">
        <v>188</v>
      </c>
      <c r="K31" s="170">
        <f>SUM(K28:K30)</f>
        <v>0</v>
      </c>
      <c r="L31" s="172">
        <f>SUM(L28:L30)</f>
        <v>68.399999999999991</v>
      </c>
      <c r="M31" s="173"/>
      <c r="N31" s="164">
        <f>SUM(N28:N30)</f>
        <v>87.054545454545448</v>
      </c>
      <c r="P31" s="252"/>
      <c r="Q31" s="143"/>
      <c r="R31" s="419"/>
      <c r="S31" s="143"/>
      <c r="T31" s="143"/>
      <c r="U31" s="144"/>
      <c r="V31" s="174"/>
    </row>
    <row r="32" spans="2:22" ht="15" customHeight="1" x14ac:dyDescent="0.15">
      <c r="B32" s="653"/>
      <c r="C32" s="318"/>
      <c r="D32" s="318"/>
      <c r="E32" s="346"/>
      <c r="F32" s="318"/>
      <c r="G32" s="147">
        <f t="shared" si="14"/>
        <v>0</v>
      </c>
      <c r="H32" s="159"/>
      <c r="I32" s="138"/>
      <c r="J32" s="138"/>
      <c r="K32" s="138"/>
      <c r="L32" s="138"/>
      <c r="M32" s="138"/>
      <c r="N32" s="138"/>
      <c r="P32" s="252"/>
      <c r="Q32" s="143"/>
      <c r="R32" s="419"/>
      <c r="S32" s="143"/>
      <c r="T32" s="143"/>
      <c r="U32" s="144"/>
      <c r="V32" s="174"/>
    </row>
    <row r="33" spans="2:22" ht="15" customHeight="1" thickBot="1" x14ac:dyDescent="0.2">
      <c r="B33" s="653"/>
      <c r="C33" s="318"/>
      <c r="D33" s="318"/>
      <c r="E33" s="37"/>
      <c r="F33" s="318"/>
      <c r="G33" s="147">
        <f t="shared" si="14"/>
        <v>0</v>
      </c>
      <c r="H33" s="159"/>
      <c r="I33" s="132" t="s">
        <v>177</v>
      </c>
      <c r="J33" s="127"/>
      <c r="K33" s="127"/>
      <c r="L33" s="127"/>
      <c r="M33" s="127"/>
      <c r="P33" s="252"/>
      <c r="Q33" s="143"/>
      <c r="R33" s="419"/>
      <c r="S33" s="143"/>
      <c r="T33" s="143"/>
      <c r="U33" s="144"/>
      <c r="V33" s="174"/>
    </row>
    <row r="34" spans="2:22" ht="15" customHeight="1" thickBot="1" x14ac:dyDescent="0.2">
      <c r="B34" s="653"/>
      <c r="C34" s="30"/>
      <c r="D34" s="30"/>
      <c r="E34" s="37"/>
      <c r="F34" s="30"/>
      <c r="G34" s="147">
        <f t="shared" si="14"/>
        <v>0</v>
      </c>
      <c r="H34" s="159"/>
      <c r="I34" s="231" t="s">
        <v>165</v>
      </c>
      <c r="J34" s="232" t="s">
        <v>3</v>
      </c>
      <c r="K34" s="745" t="s">
        <v>166</v>
      </c>
      <c r="L34" s="746"/>
      <c r="M34" s="432" t="s">
        <v>230</v>
      </c>
      <c r="N34" s="255" t="s">
        <v>189</v>
      </c>
      <c r="P34" s="256" t="s">
        <v>170</v>
      </c>
      <c r="Q34" s="176"/>
      <c r="R34" s="176"/>
      <c r="S34" s="176"/>
      <c r="T34" s="176"/>
      <c r="U34" s="178"/>
      <c r="V34" s="177">
        <f>SUM(V24:V33)</f>
        <v>1974.5454545454545</v>
      </c>
    </row>
    <row r="35" spans="2:22" ht="15" customHeight="1" x14ac:dyDescent="0.15">
      <c r="B35" s="653"/>
      <c r="C35" s="30"/>
      <c r="D35" s="30"/>
      <c r="E35" s="37"/>
      <c r="F35" s="30"/>
      <c r="G35" s="147">
        <f t="shared" si="14"/>
        <v>0</v>
      </c>
      <c r="H35" s="159"/>
      <c r="I35" s="731" t="s">
        <v>0</v>
      </c>
      <c r="J35" s="156" t="s">
        <v>319</v>
      </c>
      <c r="K35" s="743">
        <f>'６　固定資本装備と減価償却費'!G5</f>
        <v>1296000</v>
      </c>
      <c r="L35" s="743"/>
      <c r="M35" s="422">
        <f>'５　かぼちゃ作業時間'!$C$41</f>
        <v>110</v>
      </c>
      <c r="N35" s="243">
        <f>+K35/M35*10*0.014*0.3</f>
        <v>494.83636363636361</v>
      </c>
    </row>
    <row r="36" spans="2:22" ht="15" customHeight="1" thickBot="1" x14ac:dyDescent="0.2">
      <c r="B36" s="653"/>
      <c r="C36" s="30"/>
      <c r="D36" s="30"/>
      <c r="E36" s="37"/>
      <c r="F36" s="30"/>
      <c r="G36" s="147">
        <f t="shared" si="14"/>
        <v>0</v>
      </c>
      <c r="H36" s="159"/>
      <c r="I36" s="749"/>
      <c r="J36" s="156" t="s">
        <v>320</v>
      </c>
      <c r="K36" s="743">
        <f>'６　固定資本装備と減価償却費'!G6</f>
        <v>4320000</v>
      </c>
      <c r="L36" s="743"/>
      <c r="M36" s="422">
        <f>'５　かぼちゃ作業時間'!$C$41</f>
        <v>110</v>
      </c>
      <c r="N36" s="243">
        <f>+K36/M36*10*0.014*0.3</f>
        <v>1649.4545454545453</v>
      </c>
      <c r="P36" s="132" t="s">
        <v>171</v>
      </c>
      <c r="Q36" s="127"/>
      <c r="R36" s="127"/>
      <c r="S36" s="127"/>
      <c r="T36" s="127"/>
    </row>
    <row r="37" spans="2:22" ht="15" customHeight="1" x14ac:dyDescent="0.15">
      <c r="B37" s="653"/>
      <c r="C37" s="30"/>
      <c r="D37" s="30"/>
      <c r="E37" s="37"/>
      <c r="F37" s="30"/>
      <c r="G37" s="147">
        <f t="shared" si="14"/>
        <v>0</v>
      </c>
      <c r="H37" s="159"/>
      <c r="I37" s="749"/>
      <c r="J37" s="156" t="s">
        <v>321</v>
      </c>
      <c r="K37" s="743">
        <f>1400*M37/10</f>
        <v>15400</v>
      </c>
      <c r="L37" s="743"/>
      <c r="M37" s="422">
        <f>'５　かぼちゃ作業時間'!$C$41</f>
        <v>110</v>
      </c>
      <c r="N37" s="243">
        <f>K37/M37*10</f>
        <v>1400</v>
      </c>
      <c r="O37" s="171"/>
      <c r="P37" s="231" t="s">
        <v>164</v>
      </c>
      <c r="Q37" s="728" t="s">
        <v>172</v>
      </c>
      <c r="R37" s="728"/>
      <c r="S37" s="420" t="s">
        <v>175</v>
      </c>
      <c r="T37" s="420" t="s">
        <v>174</v>
      </c>
      <c r="U37" s="433" t="s">
        <v>230</v>
      </c>
      <c r="V37" s="257" t="s">
        <v>189</v>
      </c>
    </row>
    <row r="38" spans="2:22" ht="15" customHeight="1" thickBot="1" x14ac:dyDescent="0.2">
      <c r="B38" s="755"/>
      <c r="C38" s="148" t="s">
        <v>113</v>
      </c>
      <c r="D38" s="148"/>
      <c r="E38" s="148"/>
      <c r="F38" s="148"/>
      <c r="G38" s="149">
        <f>SUM(G28:G37)</f>
        <v>9011.6280000000006</v>
      </c>
      <c r="H38" s="159"/>
      <c r="I38" s="749"/>
      <c r="J38" s="156"/>
      <c r="K38" s="743"/>
      <c r="L38" s="743"/>
      <c r="M38" s="422"/>
      <c r="N38" s="243"/>
      <c r="O38" s="171"/>
      <c r="P38" s="777" t="s">
        <v>173</v>
      </c>
      <c r="Q38" s="236"/>
      <c r="R38" s="261"/>
      <c r="S38" s="237"/>
      <c r="T38" s="262"/>
      <c r="U38" s="237"/>
      <c r="V38" s="243"/>
    </row>
    <row r="39" spans="2:22" ht="15" customHeight="1" thickTop="1" x14ac:dyDescent="0.15">
      <c r="B39" s="753" t="s">
        <v>131</v>
      </c>
      <c r="C39" s="30" t="s">
        <v>427</v>
      </c>
      <c r="D39" s="62">
        <f>500/950</f>
        <v>0.52631578947368418</v>
      </c>
      <c r="E39" s="37" t="s">
        <v>283</v>
      </c>
      <c r="F39" s="30">
        <f>3353*1.08</f>
        <v>3621.2400000000002</v>
      </c>
      <c r="G39" s="147">
        <f>D39*F39</f>
        <v>1905.9157894736843</v>
      </c>
      <c r="H39" s="159"/>
      <c r="I39" s="749"/>
      <c r="J39" s="156"/>
      <c r="K39" s="743"/>
      <c r="L39" s="743"/>
      <c r="M39" s="422"/>
      <c r="N39" s="243"/>
      <c r="O39" s="171"/>
      <c r="P39" s="775"/>
      <c r="Q39" s="236"/>
      <c r="R39" s="261"/>
      <c r="S39" s="237"/>
      <c r="T39" s="262"/>
      <c r="U39" s="237"/>
      <c r="V39" s="243"/>
    </row>
    <row r="40" spans="2:22" ht="15" customHeight="1" x14ac:dyDescent="0.15">
      <c r="B40" s="653"/>
      <c r="C40" s="30" t="s">
        <v>428</v>
      </c>
      <c r="D40" s="62">
        <f>9/3</f>
        <v>3</v>
      </c>
      <c r="E40" s="37" t="s">
        <v>283</v>
      </c>
      <c r="F40" s="30">
        <f>874*1.08</f>
        <v>943.92000000000007</v>
      </c>
      <c r="G40" s="147">
        <f>D40*F40</f>
        <v>2831.76</v>
      </c>
      <c r="H40" s="159"/>
      <c r="I40" s="749"/>
      <c r="J40" s="156"/>
      <c r="K40" s="743"/>
      <c r="L40" s="743"/>
      <c r="M40" s="422"/>
      <c r="N40" s="243"/>
      <c r="O40" s="171"/>
      <c r="P40" s="775"/>
      <c r="Q40" s="236"/>
      <c r="R40" s="261"/>
      <c r="S40" s="237"/>
      <c r="T40" s="262"/>
      <c r="U40" s="237"/>
      <c r="V40" s="243"/>
    </row>
    <row r="41" spans="2:22" ht="15" customHeight="1" x14ac:dyDescent="0.15">
      <c r="B41" s="653"/>
      <c r="C41" s="30" t="s">
        <v>429</v>
      </c>
      <c r="D41" s="62">
        <f>150/100</f>
        <v>1.5</v>
      </c>
      <c r="E41" s="37" t="s">
        <v>283</v>
      </c>
      <c r="F41" s="30">
        <f>1553*1.08</f>
        <v>1677.24</v>
      </c>
      <c r="G41" s="147">
        <f t="shared" ref="G41:G47" si="16">D41*F41</f>
        <v>2515.86</v>
      </c>
      <c r="H41" s="159"/>
      <c r="I41" s="749"/>
      <c r="J41" s="156"/>
      <c r="K41" s="743"/>
      <c r="L41" s="743"/>
      <c r="M41" s="422"/>
      <c r="N41" s="243"/>
      <c r="O41" s="171"/>
      <c r="P41" s="775"/>
      <c r="Q41" s="236"/>
      <c r="R41" s="261"/>
      <c r="S41" s="237"/>
      <c r="T41" s="262"/>
      <c r="U41" s="237"/>
      <c r="V41" s="243"/>
    </row>
    <row r="42" spans="2:22" ht="15" customHeight="1" thickBot="1" x14ac:dyDescent="0.2">
      <c r="B42" s="653"/>
      <c r="C42" s="318"/>
      <c r="D42" s="284"/>
      <c r="E42" s="346"/>
      <c r="F42" s="318"/>
      <c r="G42" s="147">
        <f t="shared" si="16"/>
        <v>0</v>
      </c>
      <c r="H42" s="159"/>
      <c r="I42" s="750"/>
      <c r="J42" s="233" t="s">
        <v>114</v>
      </c>
      <c r="K42" s="740"/>
      <c r="L42" s="741"/>
      <c r="M42" s="234"/>
      <c r="N42" s="240">
        <f>SUM(N35:N41)</f>
        <v>3544.2909090909088</v>
      </c>
      <c r="O42" s="171"/>
      <c r="P42" s="775"/>
      <c r="Q42" s="236"/>
      <c r="R42" s="261"/>
      <c r="S42" s="237"/>
      <c r="T42" s="262"/>
      <c r="U42" s="237"/>
      <c r="V42" s="243"/>
    </row>
    <row r="43" spans="2:22" ht="15" customHeight="1" thickTop="1" x14ac:dyDescent="0.15">
      <c r="B43" s="653"/>
      <c r="C43" s="318"/>
      <c r="D43" s="284"/>
      <c r="E43" s="346"/>
      <c r="F43" s="318"/>
      <c r="G43" s="147">
        <f t="shared" si="16"/>
        <v>0</v>
      </c>
      <c r="H43" s="159"/>
      <c r="I43" s="729" t="s">
        <v>167</v>
      </c>
      <c r="J43" s="422" t="s">
        <v>180</v>
      </c>
      <c r="K43" s="742">
        <v>4100</v>
      </c>
      <c r="L43" s="742"/>
      <c r="M43" s="421">
        <f>'５　かぼちゃ作業時間'!$C$41</f>
        <v>110</v>
      </c>
      <c r="N43" s="259">
        <f>+K43/M43*10/2</f>
        <v>186.36363636363637</v>
      </c>
      <c r="O43" s="171"/>
      <c r="P43" s="775"/>
      <c r="Q43" s="236"/>
      <c r="R43" s="261"/>
      <c r="S43" s="237"/>
      <c r="T43" s="262"/>
      <c r="U43" s="237"/>
      <c r="V43" s="243"/>
    </row>
    <row r="44" spans="2:22" ht="15" customHeight="1" thickBot="1" x14ac:dyDescent="0.2">
      <c r="B44" s="653"/>
      <c r="C44" s="30"/>
      <c r="D44" s="62"/>
      <c r="E44" s="37"/>
      <c r="F44" s="30"/>
      <c r="G44" s="147">
        <f t="shared" si="16"/>
        <v>0</v>
      </c>
      <c r="H44" s="159"/>
      <c r="I44" s="730"/>
      <c r="J44" s="236"/>
      <c r="K44" s="743"/>
      <c r="L44" s="743"/>
      <c r="M44" s="422"/>
      <c r="N44" s="243"/>
      <c r="O44" s="171"/>
      <c r="P44" s="778"/>
      <c r="Q44" s="244" t="s">
        <v>176</v>
      </c>
      <c r="R44" s="245"/>
      <c r="S44" s="245"/>
      <c r="T44" s="245"/>
      <c r="U44" s="245"/>
      <c r="V44" s="246">
        <f>SUM(V38:V43)</f>
        <v>0</v>
      </c>
    </row>
    <row r="45" spans="2:22" ht="15" customHeight="1" thickTop="1" x14ac:dyDescent="0.15">
      <c r="B45" s="653"/>
      <c r="C45" s="30"/>
      <c r="D45" s="30"/>
      <c r="E45" s="37"/>
      <c r="F45" s="30"/>
      <c r="G45" s="147">
        <f t="shared" si="16"/>
        <v>0</v>
      </c>
      <c r="H45" s="159"/>
      <c r="I45" s="730"/>
      <c r="J45" s="156"/>
      <c r="K45" s="743"/>
      <c r="L45" s="743"/>
      <c r="M45" s="422"/>
      <c r="N45" s="243"/>
      <c r="O45" s="171"/>
      <c r="P45" s="774" t="s">
        <v>181</v>
      </c>
      <c r="Q45" s="771" t="s">
        <v>190</v>
      </c>
      <c r="R45" s="263" t="s">
        <v>180</v>
      </c>
      <c r="S45" s="236">
        <v>15600</v>
      </c>
      <c r="T45" s="414">
        <f>'６　固定資本装備と減価償却費'!K15</f>
        <v>3.3333333333333335E-3</v>
      </c>
      <c r="U45" s="236">
        <f>'５　かぼちゃ作業時間'!$C$41</f>
        <v>110</v>
      </c>
      <c r="V45" s="243">
        <f>S45*T45</f>
        <v>52</v>
      </c>
    </row>
    <row r="46" spans="2:22" ht="15" customHeight="1" thickBot="1" x14ac:dyDescent="0.2">
      <c r="B46" s="653"/>
      <c r="C46" s="30"/>
      <c r="D46" s="30"/>
      <c r="E46" s="30"/>
      <c r="F46" s="30"/>
      <c r="G46" s="147">
        <f t="shared" si="16"/>
        <v>0</v>
      </c>
      <c r="H46" s="159"/>
      <c r="I46" s="744"/>
      <c r="J46" s="233" t="s">
        <v>114</v>
      </c>
      <c r="K46" s="740"/>
      <c r="L46" s="741"/>
      <c r="M46" s="234"/>
      <c r="N46" s="240">
        <f>SUM(N43:N45)</f>
        <v>186.36363636363637</v>
      </c>
      <c r="O46" s="171"/>
      <c r="P46" s="775"/>
      <c r="Q46" s="772"/>
      <c r="R46" s="263"/>
      <c r="S46" s="236"/>
      <c r="T46" s="414"/>
      <c r="U46" s="236"/>
      <c r="V46" s="243"/>
    </row>
    <row r="47" spans="2:22" ht="15" customHeight="1" thickTop="1" x14ac:dyDescent="0.15">
      <c r="B47" s="653"/>
      <c r="C47" s="30"/>
      <c r="D47" s="30"/>
      <c r="E47" s="30"/>
      <c r="F47" s="30"/>
      <c r="G47" s="147">
        <f t="shared" si="16"/>
        <v>0</v>
      </c>
      <c r="H47" s="159"/>
      <c r="I47" s="729" t="s">
        <v>168</v>
      </c>
      <c r="J47" s="235"/>
      <c r="K47" s="742"/>
      <c r="L47" s="742"/>
      <c r="M47" s="421"/>
      <c r="N47" s="258"/>
      <c r="O47" s="171"/>
      <c r="P47" s="775"/>
      <c r="Q47" s="772"/>
      <c r="R47" s="263"/>
      <c r="S47" s="236"/>
      <c r="T47" s="415"/>
      <c r="U47" s="156"/>
      <c r="V47" s="264"/>
    </row>
    <row r="48" spans="2:22" ht="15" customHeight="1" x14ac:dyDescent="0.15">
      <c r="B48" s="653"/>
      <c r="C48" s="30"/>
      <c r="D48" s="30"/>
      <c r="E48" s="30"/>
      <c r="F48" s="30"/>
      <c r="G48" s="147">
        <f t="shared" ref="G48:G52" si="17">D48*F48</f>
        <v>0</v>
      </c>
      <c r="H48" s="159"/>
      <c r="I48" s="730"/>
      <c r="J48" s="236"/>
      <c r="K48" s="743"/>
      <c r="L48" s="743"/>
      <c r="M48" s="422"/>
      <c r="N48" s="243"/>
      <c r="O48" s="171"/>
      <c r="P48" s="775"/>
      <c r="Q48" s="772"/>
      <c r="R48" s="371"/>
      <c r="S48" s="422"/>
      <c r="T48" s="416"/>
      <c r="U48" s="422"/>
      <c r="V48" s="371"/>
    </row>
    <row r="49" spans="2:22" ht="15" customHeight="1" thickBot="1" x14ac:dyDescent="0.2">
      <c r="B49" s="755"/>
      <c r="C49" s="150" t="s">
        <v>114</v>
      </c>
      <c r="D49" s="151"/>
      <c r="E49" s="151"/>
      <c r="F49" s="151"/>
      <c r="G49" s="152">
        <f>SUM(G39:G48)</f>
        <v>7253.5357894736844</v>
      </c>
      <c r="H49" s="159"/>
      <c r="I49" s="730"/>
      <c r="J49" s="156"/>
      <c r="K49" s="743"/>
      <c r="L49" s="743"/>
      <c r="M49" s="422"/>
      <c r="N49" s="243"/>
      <c r="O49" s="171"/>
      <c r="P49" s="775"/>
      <c r="Q49" s="773"/>
      <c r="R49" s="263"/>
      <c r="S49" s="236"/>
      <c r="T49" s="415"/>
      <c r="U49" s="156"/>
      <c r="V49" s="264"/>
    </row>
    <row r="50" spans="2:22" ht="15" customHeight="1" thickTop="1" thickBot="1" x14ac:dyDescent="0.2">
      <c r="B50" s="753" t="s">
        <v>29</v>
      </c>
      <c r="C50" s="30"/>
      <c r="D50" s="30"/>
      <c r="E50" s="37"/>
      <c r="F50" s="30"/>
      <c r="G50" s="147"/>
      <c r="H50" s="159"/>
      <c r="I50" s="744"/>
      <c r="J50" s="233" t="s">
        <v>114</v>
      </c>
      <c r="K50" s="740"/>
      <c r="L50" s="741"/>
      <c r="M50" s="234"/>
      <c r="N50" s="240">
        <f>SUM(N47:N49)</f>
        <v>0</v>
      </c>
      <c r="O50" s="171"/>
      <c r="P50" s="775"/>
      <c r="Q50" s="244" t="s">
        <v>176</v>
      </c>
      <c r="R50" s="245"/>
      <c r="S50" s="245"/>
      <c r="T50" s="417"/>
      <c r="U50" s="245"/>
      <c r="V50" s="246">
        <f>SUM(V45:V49)</f>
        <v>52</v>
      </c>
    </row>
    <row r="51" spans="2:22" ht="15" customHeight="1" thickTop="1" x14ac:dyDescent="0.15">
      <c r="B51" s="653"/>
      <c r="C51" s="30"/>
      <c r="D51" s="30"/>
      <c r="E51" s="30"/>
      <c r="F51" s="30"/>
      <c r="G51" s="147">
        <f t="shared" si="17"/>
        <v>0</v>
      </c>
      <c r="H51" s="159"/>
      <c r="I51" s="729" t="s">
        <v>169</v>
      </c>
      <c r="J51" s="235" t="s">
        <v>43</v>
      </c>
      <c r="K51" s="732">
        <v>1600</v>
      </c>
      <c r="L51" s="733"/>
      <c r="M51" s="373">
        <f>'５　かぼちゃ作業時間'!$C$41</f>
        <v>110</v>
      </c>
      <c r="N51" s="259">
        <f>K51*'６　固定資本装備と減価償却費'!K13</f>
        <v>5.3333333333333339</v>
      </c>
      <c r="O51" s="171"/>
      <c r="P51" s="775"/>
      <c r="Q51" s="771" t="s">
        <v>191</v>
      </c>
      <c r="R51" s="263" t="s">
        <v>180</v>
      </c>
      <c r="S51" s="236">
        <v>25000</v>
      </c>
      <c r="T51" s="414">
        <f>'６　固定資本装備と減価償却費'!K15</f>
        <v>3.3333333333333335E-3</v>
      </c>
      <c r="U51" s="236">
        <f>'５　かぼちゃ作業時間'!$C$41</f>
        <v>110</v>
      </c>
      <c r="V51" s="243">
        <f>S51*T51</f>
        <v>83.333333333333343</v>
      </c>
    </row>
    <row r="52" spans="2:22" ht="15" customHeight="1" x14ac:dyDescent="0.15">
      <c r="B52" s="653"/>
      <c r="C52" s="30"/>
      <c r="D52" s="30"/>
      <c r="E52" s="30"/>
      <c r="F52" s="30"/>
      <c r="G52" s="147">
        <f t="shared" si="17"/>
        <v>0</v>
      </c>
      <c r="H52" s="159"/>
      <c r="I52" s="730"/>
      <c r="J52" s="422" t="s">
        <v>180</v>
      </c>
      <c r="K52" s="736">
        <v>5000</v>
      </c>
      <c r="L52" s="737"/>
      <c r="M52" s="247">
        <f>'５　かぼちゃ作業時間'!$C$41</f>
        <v>110</v>
      </c>
      <c r="N52" s="243">
        <f>K52*'６　固定資本装備と減価償却費'!K15</f>
        <v>16.666666666666668</v>
      </c>
      <c r="O52" s="171"/>
      <c r="P52" s="775"/>
      <c r="Q52" s="772"/>
      <c r="R52" s="263"/>
      <c r="S52" s="236"/>
      <c r="T52" s="262"/>
      <c r="U52" s="236"/>
      <c r="V52" s="243"/>
    </row>
    <row r="53" spans="2:22" ht="14.25" thickBot="1" x14ac:dyDescent="0.2">
      <c r="B53" s="755"/>
      <c r="C53" s="150" t="s">
        <v>114</v>
      </c>
      <c r="D53" s="151"/>
      <c r="E53" s="151"/>
      <c r="F53" s="151"/>
      <c r="G53" s="152">
        <f>SUM(G50:G52)</f>
        <v>0</v>
      </c>
      <c r="I53" s="730"/>
      <c r="J53" s="236"/>
      <c r="K53" s="734"/>
      <c r="L53" s="735"/>
      <c r="M53" s="247"/>
      <c r="N53" s="243"/>
      <c r="O53" s="171"/>
      <c r="P53" s="775"/>
      <c r="Q53" s="772"/>
      <c r="R53" s="263"/>
      <c r="S53" s="236"/>
      <c r="T53" s="236"/>
      <c r="U53" s="156"/>
      <c r="V53" s="264"/>
    </row>
    <row r="54" spans="2:22" ht="14.25" thickTop="1" x14ac:dyDescent="0.15">
      <c r="B54" s="753" t="s">
        <v>133</v>
      </c>
      <c r="C54" s="30"/>
      <c r="D54" s="30"/>
      <c r="E54" s="37"/>
      <c r="F54" s="30"/>
      <c r="G54" s="147"/>
      <c r="I54" s="730"/>
      <c r="J54" s="236"/>
      <c r="K54" s="734"/>
      <c r="L54" s="735"/>
      <c r="M54" s="247"/>
      <c r="N54" s="243"/>
      <c r="O54" s="171"/>
      <c r="P54" s="775"/>
      <c r="Q54" s="772"/>
      <c r="R54" s="371"/>
      <c r="S54" s="422"/>
      <c r="T54" s="422"/>
      <c r="U54" s="422"/>
      <c r="V54" s="371"/>
    </row>
    <row r="55" spans="2:22" x14ac:dyDescent="0.15">
      <c r="B55" s="653"/>
      <c r="C55" s="30"/>
      <c r="D55" s="30"/>
      <c r="E55" s="37"/>
      <c r="F55" s="30"/>
      <c r="G55" s="147"/>
      <c r="I55" s="730"/>
      <c r="J55" s="236"/>
      <c r="K55" s="734"/>
      <c r="L55" s="735"/>
      <c r="M55" s="247"/>
      <c r="N55" s="260"/>
      <c r="O55" s="171"/>
      <c r="P55" s="775"/>
      <c r="Q55" s="773"/>
      <c r="R55" s="263"/>
      <c r="S55" s="236"/>
      <c r="T55" s="236"/>
      <c r="U55" s="156"/>
      <c r="V55" s="264"/>
    </row>
    <row r="56" spans="2:22" x14ac:dyDescent="0.15">
      <c r="B56" s="653"/>
      <c r="C56" s="30"/>
      <c r="D56" s="30"/>
      <c r="E56" s="37"/>
      <c r="F56" s="30"/>
      <c r="G56" s="147"/>
      <c r="I56" s="731"/>
      <c r="J56" s="238" t="s">
        <v>114</v>
      </c>
      <c r="K56" s="738"/>
      <c r="L56" s="739"/>
      <c r="M56" s="239"/>
      <c r="N56" s="241">
        <f>SUM(N51:N55)</f>
        <v>22</v>
      </c>
      <c r="O56" s="171"/>
      <c r="P56" s="776"/>
      <c r="Q56" s="267" t="s">
        <v>176</v>
      </c>
      <c r="R56" s="268"/>
      <c r="S56" s="268"/>
      <c r="T56" s="268"/>
      <c r="U56" s="268"/>
      <c r="V56" s="269">
        <f>SUM(V51:V55)</f>
        <v>83.333333333333343</v>
      </c>
    </row>
    <row r="57" spans="2:22" ht="14.25" thickBot="1" x14ac:dyDescent="0.2">
      <c r="B57" s="754"/>
      <c r="C57" s="153" t="s">
        <v>115</v>
      </c>
      <c r="D57" s="154"/>
      <c r="E57" s="154"/>
      <c r="F57" s="154"/>
      <c r="G57" s="155">
        <f>SUM(G54:G56)</f>
        <v>0</v>
      </c>
      <c r="I57" s="747" t="s">
        <v>170</v>
      </c>
      <c r="J57" s="748"/>
      <c r="K57" s="751"/>
      <c r="L57" s="752"/>
      <c r="M57" s="178"/>
      <c r="N57" s="242">
        <f>SUM(N42,N46,N50,N56)</f>
        <v>3752.6545454545453</v>
      </c>
      <c r="O57" s="171"/>
      <c r="P57" s="769" t="s">
        <v>170</v>
      </c>
      <c r="Q57" s="770"/>
      <c r="R57" s="265"/>
      <c r="S57" s="265"/>
      <c r="T57" s="265"/>
      <c r="U57" s="265"/>
      <c r="V57" s="266">
        <f>SUM(V44,V50,V56)</f>
        <v>135.33333333333334</v>
      </c>
    </row>
    <row r="58" spans="2:22" x14ac:dyDescent="0.15">
      <c r="O58" s="171"/>
      <c r="V58" s="31"/>
    </row>
    <row r="59" spans="2:22" x14ac:dyDescent="0.15">
      <c r="I59" s="171"/>
      <c r="J59" s="171"/>
      <c r="K59" s="171"/>
      <c r="L59" s="171"/>
      <c r="M59" s="171"/>
      <c r="N59" s="171"/>
      <c r="O59" s="171"/>
    </row>
    <row r="60" spans="2:22" x14ac:dyDescent="0.15">
      <c r="I60" s="171"/>
      <c r="J60" s="171"/>
      <c r="K60" s="171"/>
      <c r="L60" s="171"/>
      <c r="M60" s="171"/>
      <c r="N60" s="171"/>
      <c r="O60" s="171"/>
    </row>
    <row r="61" spans="2:22" x14ac:dyDescent="0.15">
      <c r="I61" s="171"/>
      <c r="J61" s="171"/>
      <c r="K61" s="171"/>
      <c r="L61" s="171"/>
      <c r="M61" s="171"/>
      <c r="N61" s="171"/>
      <c r="O61" s="171"/>
    </row>
    <row r="62" spans="2:22" x14ac:dyDescent="0.15">
      <c r="I62" s="171"/>
      <c r="J62" s="171"/>
      <c r="K62" s="171"/>
      <c r="L62" s="171"/>
      <c r="M62" s="171"/>
      <c r="N62" s="171"/>
      <c r="O62" s="171"/>
    </row>
    <row r="63" spans="2:22" x14ac:dyDescent="0.15">
      <c r="I63" s="171"/>
      <c r="J63" s="171"/>
      <c r="K63" s="171"/>
      <c r="L63" s="171"/>
      <c r="M63" s="171"/>
      <c r="N63" s="171"/>
      <c r="O63" s="171"/>
    </row>
    <row r="64" spans="2:22" x14ac:dyDescent="0.15">
      <c r="I64" s="171"/>
      <c r="J64" s="171"/>
      <c r="K64" s="171"/>
      <c r="L64" s="171"/>
      <c r="M64" s="171"/>
      <c r="N64" s="171"/>
      <c r="O64" s="171"/>
    </row>
    <row r="65" spans="9:15" x14ac:dyDescent="0.15">
      <c r="I65" s="171"/>
      <c r="J65" s="171"/>
      <c r="K65" s="171"/>
      <c r="L65" s="171"/>
      <c r="M65" s="171"/>
      <c r="N65" s="171"/>
      <c r="O65" s="171"/>
    </row>
    <row r="66" spans="9:15" x14ac:dyDescent="0.15">
      <c r="I66" s="171"/>
      <c r="J66" s="171"/>
      <c r="K66" s="171"/>
      <c r="L66" s="171"/>
      <c r="M66" s="171"/>
      <c r="N66" s="171"/>
      <c r="O66" s="171"/>
    </row>
    <row r="67" spans="9:15" x14ac:dyDescent="0.15">
      <c r="I67" s="171"/>
      <c r="J67" s="171"/>
      <c r="K67" s="171"/>
      <c r="L67" s="171"/>
      <c r="M67" s="171"/>
      <c r="N67" s="171"/>
      <c r="O67" s="171"/>
    </row>
    <row r="68" spans="9:15" x14ac:dyDescent="0.15">
      <c r="I68" s="171"/>
      <c r="J68" s="171"/>
      <c r="K68" s="171"/>
      <c r="L68" s="171"/>
      <c r="M68" s="171"/>
      <c r="N68" s="171"/>
      <c r="O68" s="171"/>
    </row>
    <row r="69" spans="9:15" x14ac:dyDescent="0.15">
      <c r="I69" s="171"/>
      <c r="J69" s="171"/>
      <c r="K69" s="171"/>
      <c r="L69" s="171"/>
      <c r="M69" s="171"/>
      <c r="N69" s="171"/>
      <c r="O69" s="171"/>
    </row>
    <row r="70" spans="9:15" x14ac:dyDescent="0.15">
      <c r="I70" s="171"/>
      <c r="J70" s="171"/>
      <c r="K70" s="171"/>
      <c r="L70" s="171"/>
      <c r="M70" s="171"/>
      <c r="N70" s="171"/>
      <c r="O70" s="171"/>
    </row>
    <row r="71" spans="9:15" x14ac:dyDescent="0.15">
      <c r="I71" s="171"/>
      <c r="J71" s="171"/>
      <c r="K71" s="171"/>
      <c r="L71" s="171"/>
      <c r="M71" s="171"/>
      <c r="N71" s="171"/>
      <c r="O71" s="171"/>
    </row>
    <row r="72" spans="9:15" x14ac:dyDescent="0.15">
      <c r="I72" s="171"/>
      <c r="J72" s="171"/>
      <c r="K72" s="171"/>
      <c r="L72" s="171"/>
      <c r="M72" s="171"/>
      <c r="N72" s="171"/>
      <c r="O72" s="171"/>
    </row>
    <row r="73" spans="9:15" x14ac:dyDescent="0.15">
      <c r="I73" s="171"/>
      <c r="J73" s="171"/>
      <c r="K73" s="171"/>
      <c r="L73" s="171"/>
      <c r="M73" s="171"/>
      <c r="N73" s="171"/>
      <c r="O73" s="171"/>
    </row>
    <row r="74" spans="9:15" x14ac:dyDescent="0.15">
      <c r="I74" s="171"/>
      <c r="J74" s="171"/>
      <c r="K74" s="171"/>
      <c r="L74" s="171"/>
      <c r="M74" s="171"/>
      <c r="N74" s="171"/>
      <c r="O74" s="171"/>
    </row>
    <row r="75" spans="9:15" x14ac:dyDescent="0.15">
      <c r="I75" s="171"/>
      <c r="J75" s="171"/>
      <c r="K75" s="171"/>
      <c r="L75" s="171"/>
      <c r="M75" s="171"/>
      <c r="N75" s="171"/>
      <c r="O75" s="171"/>
    </row>
    <row r="76" spans="9:15" x14ac:dyDescent="0.15">
      <c r="I76" s="171"/>
      <c r="J76" s="171"/>
      <c r="K76" s="171"/>
      <c r="L76" s="171"/>
      <c r="M76" s="171"/>
      <c r="N76" s="171"/>
      <c r="O76" s="171"/>
    </row>
    <row r="77" spans="9:15" x14ac:dyDescent="0.15">
      <c r="I77" s="171"/>
      <c r="J77" s="171"/>
      <c r="K77" s="171"/>
      <c r="L77" s="171"/>
      <c r="M77" s="171"/>
      <c r="N77" s="171"/>
      <c r="O77" s="171"/>
    </row>
    <row r="78" spans="9:15" x14ac:dyDescent="0.15">
      <c r="I78" s="171"/>
      <c r="J78" s="171"/>
      <c r="K78" s="171"/>
      <c r="L78" s="171"/>
      <c r="M78" s="171"/>
      <c r="N78" s="171"/>
      <c r="O78" s="171"/>
    </row>
    <row r="79" spans="9:15" x14ac:dyDescent="0.15">
      <c r="I79" s="171"/>
      <c r="J79" s="171"/>
      <c r="K79" s="171"/>
      <c r="L79" s="171"/>
      <c r="M79" s="171"/>
      <c r="N79" s="171"/>
      <c r="O79" s="171"/>
    </row>
    <row r="80" spans="9:15" x14ac:dyDescent="0.15">
      <c r="I80" s="171"/>
      <c r="J80" s="171"/>
      <c r="K80" s="171"/>
      <c r="L80" s="171"/>
      <c r="M80" s="171"/>
      <c r="N80" s="171"/>
      <c r="O80" s="171"/>
    </row>
    <row r="81" spans="2:15" x14ac:dyDescent="0.15">
      <c r="I81" s="171"/>
      <c r="J81" s="171"/>
      <c r="K81" s="171"/>
      <c r="L81" s="171"/>
      <c r="M81" s="171"/>
      <c r="N81" s="171"/>
      <c r="O81" s="171"/>
    </row>
    <row r="82" spans="2:15" x14ac:dyDescent="0.15">
      <c r="I82" s="171"/>
      <c r="J82" s="171"/>
      <c r="K82" s="171"/>
      <c r="L82" s="171"/>
      <c r="M82" s="171"/>
      <c r="N82" s="171"/>
      <c r="O82" s="171"/>
    </row>
    <row r="83" spans="2:15" x14ac:dyDescent="0.15">
      <c r="B83" s="158"/>
      <c r="C83" s="159"/>
      <c r="D83" s="159"/>
      <c r="E83" s="159"/>
      <c r="F83" s="159"/>
      <c r="I83" s="171"/>
      <c r="J83" s="171"/>
      <c r="K83" s="171"/>
      <c r="L83" s="171"/>
      <c r="M83" s="171"/>
      <c r="N83" s="171"/>
      <c r="O83" s="171"/>
    </row>
    <row r="84" spans="2:15" x14ac:dyDescent="0.15">
      <c r="B84" s="158"/>
      <c r="C84" s="159"/>
      <c r="D84" s="159"/>
      <c r="E84" s="159"/>
      <c r="F84" s="159"/>
      <c r="I84" s="171"/>
      <c r="J84" s="171"/>
      <c r="K84" s="171"/>
      <c r="L84" s="171"/>
      <c r="M84" s="171"/>
      <c r="N84" s="171"/>
      <c r="O84" s="171"/>
    </row>
    <row r="85" spans="2:15" x14ac:dyDescent="0.15">
      <c r="I85" s="171"/>
      <c r="J85" s="171"/>
      <c r="K85" s="171"/>
      <c r="L85" s="171"/>
      <c r="M85" s="171"/>
      <c r="N85" s="171"/>
      <c r="O85" s="171"/>
    </row>
    <row r="86" spans="2:15" x14ac:dyDescent="0.15">
      <c r="I86" s="171"/>
      <c r="J86" s="171"/>
      <c r="K86" s="171"/>
      <c r="L86" s="171"/>
      <c r="M86" s="171"/>
      <c r="N86" s="171"/>
      <c r="O86" s="171"/>
    </row>
    <row r="87" spans="2:15" x14ac:dyDescent="0.15">
      <c r="I87" s="171"/>
      <c r="J87" s="171"/>
      <c r="K87" s="171"/>
      <c r="L87" s="171"/>
      <c r="M87" s="171"/>
      <c r="N87" s="171"/>
      <c r="O87" s="171"/>
    </row>
    <row r="88" spans="2:15" x14ac:dyDescent="0.15">
      <c r="I88" s="171"/>
      <c r="J88" s="171"/>
      <c r="K88" s="171"/>
      <c r="L88" s="171"/>
      <c r="M88" s="171"/>
      <c r="N88" s="171"/>
      <c r="O88" s="171"/>
    </row>
    <row r="89" spans="2:15" x14ac:dyDescent="0.15">
      <c r="I89" s="171"/>
      <c r="J89" s="171"/>
      <c r="K89" s="171"/>
      <c r="L89" s="171"/>
      <c r="M89" s="171"/>
      <c r="N89" s="171"/>
      <c r="O89" s="171"/>
    </row>
    <row r="90" spans="2:15" x14ac:dyDescent="0.15">
      <c r="I90" s="171"/>
      <c r="J90" s="171"/>
      <c r="K90" s="171"/>
      <c r="L90" s="171"/>
      <c r="M90" s="171"/>
      <c r="N90" s="171"/>
      <c r="O90" s="171"/>
    </row>
    <row r="91" spans="2:15" x14ac:dyDescent="0.15">
      <c r="I91" s="171"/>
      <c r="J91" s="171"/>
      <c r="K91" s="171"/>
      <c r="L91" s="171"/>
      <c r="M91" s="171"/>
      <c r="N91" s="171"/>
      <c r="O91" s="171"/>
    </row>
    <row r="92" spans="2:15" x14ac:dyDescent="0.15">
      <c r="I92" s="171"/>
      <c r="J92" s="171"/>
      <c r="K92" s="171"/>
      <c r="L92" s="171"/>
      <c r="M92" s="171"/>
      <c r="N92" s="171"/>
      <c r="O92" s="171"/>
    </row>
    <row r="93" spans="2:15" x14ac:dyDescent="0.15">
      <c r="I93" s="171"/>
      <c r="J93" s="171"/>
      <c r="K93" s="171"/>
      <c r="L93" s="171"/>
      <c r="M93" s="171"/>
      <c r="N93" s="171"/>
      <c r="O93" s="171"/>
    </row>
    <row r="94" spans="2:15" x14ac:dyDescent="0.15">
      <c r="I94" s="171"/>
      <c r="J94" s="171"/>
      <c r="K94" s="171"/>
      <c r="L94" s="171"/>
      <c r="M94" s="171"/>
      <c r="N94" s="171"/>
      <c r="O94" s="171"/>
    </row>
    <row r="95" spans="2:15" x14ac:dyDescent="0.15">
      <c r="I95" s="171"/>
      <c r="J95" s="171"/>
      <c r="K95" s="171"/>
      <c r="L95" s="171"/>
      <c r="M95" s="171"/>
      <c r="N95" s="171"/>
      <c r="O95" s="171"/>
    </row>
    <row r="96" spans="2:15" x14ac:dyDescent="0.15">
      <c r="I96" s="171"/>
      <c r="J96" s="171"/>
      <c r="K96" s="171"/>
      <c r="L96" s="171"/>
      <c r="M96" s="171"/>
      <c r="N96" s="171"/>
      <c r="O96" s="171"/>
    </row>
    <row r="97" spans="9:15" x14ac:dyDescent="0.15">
      <c r="I97" s="171"/>
      <c r="J97" s="171"/>
      <c r="K97" s="171"/>
      <c r="L97" s="171"/>
      <c r="M97" s="171"/>
      <c r="N97" s="171"/>
      <c r="O97" s="171"/>
    </row>
    <row r="98" spans="9:15" x14ac:dyDescent="0.15">
      <c r="I98" s="171"/>
      <c r="J98" s="171"/>
      <c r="K98" s="171"/>
      <c r="L98" s="171"/>
      <c r="M98" s="171"/>
      <c r="N98" s="171"/>
      <c r="O98" s="171"/>
    </row>
    <row r="99" spans="9:15" x14ac:dyDescent="0.15">
      <c r="I99" s="171"/>
      <c r="J99" s="171"/>
      <c r="K99" s="171"/>
      <c r="L99" s="171"/>
      <c r="M99" s="171"/>
      <c r="N99" s="171"/>
      <c r="O99" s="171"/>
    </row>
    <row r="100" spans="9:15" x14ac:dyDescent="0.15">
      <c r="I100" s="171"/>
      <c r="J100" s="171"/>
      <c r="K100" s="171"/>
      <c r="L100" s="171"/>
      <c r="M100" s="171"/>
      <c r="N100" s="171"/>
      <c r="O100" s="171"/>
    </row>
    <row r="101" spans="9:15" x14ac:dyDescent="0.15">
      <c r="I101" s="171"/>
      <c r="J101" s="171"/>
      <c r="K101" s="171"/>
      <c r="L101" s="171"/>
      <c r="M101" s="171"/>
      <c r="N101" s="171"/>
      <c r="O101" s="171"/>
    </row>
    <row r="102" spans="9:15" x14ac:dyDescent="0.15">
      <c r="I102" s="171"/>
      <c r="J102" s="171"/>
      <c r="K102" s="171"/>
      <c r="L102" s="171"/>
      <c r="M102" s="171"/>
      <c r="N102" s="171"/>
      <c r="O102" s="171"/>
    </row>
    <row r="103" spans="9:15" x14ac:dyDescent="0.15">
      <c r="I103" s="171"/>
      <c r="J103" s="171"/>
      <c r="K103" s="171"/>
      <c r="L103" s="171"/>
      <c r="M103" s="171"/>
      <c r="N103" s="171"/>
      <c r="O103" s="171"/>
    </row>
    <row r="104" spans="9:15" x14ac:dyDescent="0.15">
      <c r="I104" s="171"/>
      <c r="J104" s="171"/>
      <c r="K104" s="171"/>
      <c r="L104" s="171"/>
      <c r="M104" s="171"/>
      <c r="N104" s="171"/>
      <c r="O104" s="171"/>
    </row>
    <row r="105" spans="9:15" x14ac:dyDescent="0.15">
      <c r="I105" s="171"/>
      <c r="J105" s="171"/>
      <c r="K105" s="171"/>
      <c r="L105" s="171"/>
      <c r="M105" s="171"/>
      <c r="N105" s="171"/>
      <c r="O105" s="171"/>
    </row>
    <row r="106" spans="9:15" x14ac:dyDescent="0.15">
      <c r="I106" s="171"/>
      <c r="J106" s="171"/>
      <c r="K106" s="171"/>
      <c r="L106" s="171"/>
      <c r="M106" s="171"/>
      <c r="N106" s="171"/>
      <c r="O106" s="171"/>
    </row>
    <row r="107" spans="9:15" x14ac:dyDescent="0.15">
      <c r="I107" s="171"/>
      <c r="J107" s="171"/>
      <c r="K107" s="171"/>
      <c r="L107" s="171"/>
      <c r="M107" s="171"/>
      <c r="N107" s="171"/>
      <c r="O107" s="171"/>
    </row>
    <row r="108" spans="9:15" x14ac:dyDescent="0.15">
      <c r="I108" s="171"/>
      <c r="J108" s="171"/>
      <c r="K108" s="171"/>
      <c r="L108" s="171"/>
      <c r="M108" s="171"/>
      <c r="N108" s="171"/>
      <c r="O108" s="171"/>
    </row>
    <row r="109" spans="9:15" x14ac:dyDescent="0.15">
      <c r="I109" s="171"/>
      <c r="J109" s="171"/>
      <c r="K109" s="171"/>
      <c r="L109" s="171"/>
      <c r="M109" s="171"/>
      <c r="N109" s="171"/>
      <c r="O109" s="171"/>
    </row>
    <row r="110" spans="9:15" x14ac:dyDescent="0.15">
      <c r="I110" s="171"/>
      <c r="J110" s="171"/>
      <c r="K110" s="171"/>
      <c r="L110" s="171"/>
      <c r="M110" s="171"/>
      <c r="N110" s="171"/>
      <c r="O110" s="171"/>
    </row>
    <row r="111" spans="9:15" x14ac:dyDescent="0.15">
      <c r="I111" s="171"/>
      <c r="J111" s="171"/>
      <c r="K111" s="171"/>
      <c r="L111" s="171"/>
      <c r="M111" s="171"/>
      <c r="N111" s="171"/>
      <c r="O111" s="171"/>
    </row>
    <row r="112" spans="9:15" x14ac:dyDescent="0.15">
      <c r="I112" s="171"/>
      <c r="J112" s="171"/>
      <c r="K112" s="171"/>
      <c r="L112" s="171"/>
      <c r="M112" s="171"/>
      <c r="N112" s="171"/>
      <c r="O112" s="171"/>
    </row>
    <row r="113" spans="9:15" x14ac:dyDescent="0.15">
      <c r="I113" s="171"/>
      <c r="J113" s="171"/>
      <c r="K113" s="171"/>
      <c r="L113" s="171"/>
      <c r="M113" s="171"/>
      <c r="N113" s="171"/>
      <c r="O113" s="171"/>
    </row>
    <row r="114" spans="9:15" x14ac:dyDescent="0.15">
      <c r="I114" s="171"/>
      <c r="J114" s="171"/>
      <c r="K114" s="171"/>
      <c r="L114" s="171"/>
      <c r="M114" s="171"/>
      <c r="N114" s="171"/>
      <c r="O114" s="171"/>
    </row>
    <row r="115" spans="9:15" x14ac:dyDescent="0.15">
      <c r="I115" s="171"/>
      <c r="J115" s="171"/>
      <c r="K115" s="171"/>
      <c r="L115" s="171"/>
      <c r="M115" s="171"/>
      <c r="N115" s="171"/>
      <c r="O115" s="171"/>
    </row>
    <row r="116" spans="9:15" x14ac:dyDescent="0.15">
      <c r="I116" s="171"/>
      <c r="J116" s="171"/>
      <c r="K116" s="171"/>
      <c r="L116" s="171"/>
      <c r="M116" s="171"/>
      <c r="N116" s="171"/>
      <c r="O116" s="171"/>
    </row>
    <row r="117" spans="9:15" x14ac:dyDescent="0.15">
      <c r="I117" s="171"/>
      <c r="J117" s="171"/>
      <c r="K117" s="171"/>
      <c r="L117" s="171"/>
      <c r="M117" s="171"/>
      <c r="N117" s="171"/>
      <c r="O117" s="171"/>
    </row>
    <row r="118" spans="9:15" x14ac:dyDescent="0.15">
      <c r="I118" s="171"/>
      <c r="J118" s="171"/>
      <c r="K118" s="171"/>
      <c r="L118" s="171"/>
      <c r="M118" s="171"/>
      <c r="N118" s="171"/>
      <c r="O118" s="171"/>
    </row>
    <row r="119" spans="9:15" x14ac:dyDescent="0.15">
      <c r="I119" s="171"/>
      <c r="J119" s="171"/>
      <c r="K119" s="171"/>
      <c r="L119" s="171"/>
      <c r="M119" s="171"/>
      <c r="N119" s="171"/>
      <c r="O119" s="171"/>
    </row>
    <row r="120" spans="9:15" x14ac:dyDescent="0.15">
      <c r="I120" s="171"/>
      <c r="J120" s="171"/>
      <c r="K120" s="171"/>
      <c r="L120" s="171"/>
      <c r="M120" s="171"/>
      <c r="N120" s="171"/>
      <c r="O120" s="171"/>
    </row>
    <row r="121" spans="9:15" x14ac:dyDescent="0.15">
      <c r="I121" s="171"/>
      <c r="J121" s="171"/>
      <c r="K121" s="171"/>
      <c r="L121" s="171"/>
      <c r="M121" s="171"/>
      <c r="N121" s="171"/>
      <c r="O121" s="171"/>
    </row>
    <row r="122" spans="9:15" x14ac:dyDescent="0.15">
      <c r="I122" s="171"/>
      <c r="J122" s="171"/>
      <c r="K122" s="171"/>
      <c r="L122" s="171"/>
      <c r="M122" s="171"/>
      <c r="N122" s="171"/>
      <c r="O122" s="171"/>
    </row>
    <row r="123" spans="9:15" x14ac:dyDescent="0.15">
      <c r="I123" s="171"/>
      <c r="J123" s="171"/>
      <c r="K123" s="171"/>
      <c r="L123" s="171"/>
      <c r="M123" s="171"/>
      <c r="N123" s="171"/>
      <c r="O123" s="171"/>
    </row>
    <row r="124" spans="9:15" x14ac:dyDescent="0.15">
      <c r="I124" s="171"/>
      <c r="J124" s="171"/>
      <c r="K124" s="171"/>
      <c r="L124" s="171"/>
      <c r="M124" s="171"/>
      <c r="N124" s="171"/>
      <c r="O124" s="171"/>
    </row>
    <row r="125" spans="9:15" x14ac:dyDescent="0.15">
      <c r="I125" s="171"/>
      <c r="J125" s="171"/>
      <c r="K125" s="171"/>
      <c r="L125" s="171"/>
      <c r="M125" s="171"/>
      <c r="N125" s="171"/>
      <c r="O125" s="171"/>
    </row>
    <row r="126" spans="9:15" x14ac:dyDescent="0.15">
      <c r="I126" s="171"/>
      <c r="J126" s="171"/>
      <c r="K126" s="171"/>
      <c r="L126" s="171"/>
      <c r="M126" s="171"/>
      <c r="N126" s="171"/>
      <c r="O126" s="171"/>
    </row>
    <row r="127" spans="9:15" x14ac:dyDescent="0.15">
      <c r="I127" s="171"/>
      <c r="J127" s="171"/>
      <c r="K127" s="171"/>
      <c r="L127" s="171"/>
      <c r="M127" s="171"/>
      <c r="N127" s="171"/>
      <c r="O127" s="171"/>
    </row>
    <row r="128" spans="9:15" x14ac:dyDescent="0.15">
      <c r="I128" s="171"/>
      <c r="J128" s="171"/>
      <c r="K128" s="171"/>
      <c r="L128" s="171"/>
      <c r="M128" s="171"/>
      <c r="N128" s="171"/>
      <c r="O128" s="171"/>
    </row>
    <row r="129" spans="9:15" x14ac:dyDescent="0.15">
      <c r="I129" s="171"/>
      <c r="J129" s="171"/>
      <c r="K129" s="171"/>
      <c r="L129" s="171"/>
      <c r="M129" s="171"/>
      <c r="N129" s="171"/>
      <c r="O129" s="171"/>
    </row>
    <row r="130" spans="9:15" x14ac:dyDescent="0.15">
      <c r="I130" s="171"/>
      <c r="J130" s="171"/>
      <c r="K130" s="171"/>
      <c r="L130" s="171"/>
      <c r="M130" s="171"/>
      <c r="N130" s="171"/>
      <c r="O130" s="171"/>
    </row>
    <row r="131" spans="9:15" x14ac:dyDescent="0.15">
      <c r="I131" s="171"/>
      <c r="J131" s="171"/>
      <c r="K131" s="171"/>
      <c r="L131" s="171"/>
      <c r="M131" s="171"/>
      <c r="N131" s="171"/>
      <c r="O131" s="171"/>
    </row>
    <row r="132" spans="9:15" x14ac:dyDescent="0.15">
      <c r="I132" s="171"/>
      <c r="J132" s="171"/>
      <c r="K132" s="171"/>
      <c r="L132" s="171"/>
      <c r="M132" s="171"/>
      <c r="N132" s="171"/>
      <c r="O132" s="171"/>
    </row>
    <row r="133" spans="9:15" x14ac:dyDescent="0.15">
      <c r="I133" s="171"/>
      <c r="J133" s="171"/>
      <c r="K133" s="171"/>
      <c r="L133" s="171"/>
      <c r="M133" s="171"/>
      <c r="N133" s="171"/>
      <c r="O133" s="171"/>
    </row>
    <row r="134" spans="9:15" x14ac:dyDescent="0.15">
      <c r="I134" s="171"/>
      <c r="J134" s="171"/>
      <c r="K134" s="171"/>
      <c r="L134" s="171"/>
      <c r="M134" s="171"/>
      <c r="N134" s="171"/>
      <c r="O134" s="171"/>
    </row>
    <row r="135" spans="9:15" x14ac:dyDescent="0.15">
      <c r="I135" s="171"/>
      <c r="J135" s="171"/>
      <c r="K135" s="171"/>
      <c r="L135" s="171"/>
      <c r="M135" s="171"/>
      <c r="N135" s="171"/>
      <c r="O135" s="171"/>
    </row>
    <row r="136" spans="9:15" x14ac:dyDescent="0.15">
      <c r="I136" s="171"/>
      <c r="J136" s="171"/>
      <c r="K136" s="171"/>
      <c r="L136" s="171"/>
      <c r="M136" s="171"/>
      <c r="N136" s="171"/>
      <c r="O136" s="171"/>
    </row>
    <row r="137" spans="9:15" x14ac:dyDescent="0.15">
      <c r="I137" s="171"/>
      <c r="J137" s="171"/>
      <c r="K137" s="171"/>
      <c r="L137" s="171"/>
      <c r="M137" s="171"/>
      <c r="N137" s="171"/>
      <c r="O137" s="171"/>
    </row>
    <row r="138" spans="9:15" x14ac:dyDescent="0.15">
      <c r="I138" s="171"/>
      <c r="J138" s="171"/>
      <c r="K138" s="171"/>
      <c r="L138" s="171"/>
      <c r="M138" s="171"/>
      <c r="N138" s="171"/>
      <c r="O138" s="171"/>
    </row>
    <row r="139" spans="9:15" x14ac:dyDescent="0.15">
      <c r="I139" s="171"/>
      <c r="J139" s="171"/>
      <c r="K139" s="171"/>
      <c r="L139" s="171"/>
      <c r="M139" s="171"/>
      <c r="N139" s="171"/>
    </row>
    <row r="140" spans="9:15" x14ac:dyDescent="0.15">
      <c r="I140" s="171"/>
      <c r="J140" s="171"/>
      <c r="K140" s="171"/>
      <c r="L140" s="171"/>
      <c r="M140" s="171"/>
      <c r="N140" s="171"/>
    </row>
    <row r="141" spans="9:15" x14ac:dyDescent="0.15">
      <c r="I141" s="171"/>
      <c r="J141" s="171"/>
      <c r="K141" s="171"/>
      <c r="L141" s="171"/>
      <c r="M141" s="171"/>
      <c r="N141" s="171"/>
    </row>
    <row r="142" spans="9:15" x14ac:dyDescent="0.15">
      <c r="I142" s="171"/>
      <c r="J142" s="171"/>
      <c r="K142" s="171"/>
      <c r="L142" s="171"/>
      <c r="M142" s="171"/>
      <c r="N142" s="171"/>
    </row>
    <row r="143" spans="9:15" x14ac:dyDescent="0.15">
      <c r="I143" s="171"/>
      <c r="J143" s="171"/>
      <c r="K143" s="171"/>
      <c r="L143" s="171"/>
      <c r="M143" s="171"/>
      <c r="N143" s="171"/>
    </row>
    <row r="144" spans="9:15" x14ac:dyDescent="0.15">
      <c r="I144" s="171"/>
      <c r="J144" s="171"/>
      <c r="K144" s="171"/>
      <c r="L144" s="171"/>
      <c r="M144" s="171"/>
      <c r="N144" s="171"/>
    </row>
    <row r="145" spans="9:14" x14ac:dyDescent="0.15">
      <c r="I145" s="171"/>
      <c r="J145" s="171"/>
      <c r="K145" s="171"/>
      <c r="L145" s="171"/>
      <c r="M145" s="171"/>
      <c r="N145" s="171"/>
    </row>
    <row r="146" spans="9:14" x14ac:dyDescent="0.15">
      <c r="I146" s="171"/>
      <c r="J146" s="171"/>
      <c r="K146" s="171"/>
      <c r="L146" s="171"/>
      <c r="M146" s="171"/>
      <c r="N146" s="171"/>
    </row>
    <row r="147" spans="9:14" x14ac:dyDescent="0.15">
      <c r="I147" s="171"/>
      <c r="J147" s="171"/>
      <c r="K147" s="171"/>
      <c r="L147" s="171"/>
      <c r="M147" s="171"/>
      <c r="N147" s="171"/>
    </row>
    <row r="148" spans="9:14" x14ac:dyDescent="0.15">
      <c r="I148" s="171"/>
      <c r="J148" s="171"/>
      <c r="K148" s="171"/>
      <c r="L148" s="171"/>
      <c r="M148" s="171"/>
      <c r="N148" s="171"/>
    </row>
    <row r="149" spans="9:14" x14ac:dyDescent="0.15">
      <c r="I149" s="171"/>
      <c r="J149" s="171"/>
      <c r="K149" s="171"/>
      <c r="L149" s="171"/>
      <c r="M149" s="171"/>
      <c r="N149" s="171"/>
    </row>
    <row r="150" spans="9:14" x14ac:dyDescent="0.15">
      <c r="I150" s="171"/>
      <c r="J150" s="171"/>
      <c r="K150" s="171"/>
      <c r="L150" s="171"/>
      <c r="M150" s="171"/>
      <c r="N150" s="171"/>
    </row>
    <row r="151" spans="9:14" x14ac:dyDescent="0.15">
      <c r="I151" s="171"/>
      <c r="J151" s="171"/>
      <c r="K151" s="171"/>
      <c r="L151" s="171"/>
      <c r="M151" s="171"/>
      <c r="N151" s="171"/>
    </row>
    <row r="152" spans="9:14" x14ac:dyDescent="0.15">
      <c r="I152" s="171"/>
      <c r="J152" s="171"/>
      <c r="K152" s="171"/>
      <c r="L152" s="171"/>
      <c r="M152" s="171"/>
      <c r="N152" s="171"/>
    </row>
    <row r="153" spans="9:14" x14ac:dyDescent="0.15">
      <c r="I153" s="171"/>
      <c r="J153" s="171"/>
      <c r="K153" s="171"/>
      <c r="L153" s="171"/>
      <c r="M153" s="171"/>
      <c r="N153" s="171"/>
    </row>
    <row r="154" spans="9:14" x14ac:dyDescent="0.15">
      <c r="I154" s="171"/>
      <c r="J154" s="171"/>
      <c r="K154" s="171"/>
      <c r="L154" s="171"/>
      <c r="M154" s="171"/>
      <c r="N154" s="171"/>
    </row>
    <row r="155" spans="9:14" x14ac:dyDescent="0.15">
      <c r="J155" s="171"/>
      <c r="K155" s="171"/>
      <c r="L155" s="171"/>
      <c r="M155" s="171"/>
      <c r="N155" s="171"/>
    </row>
    <row r="156" spans="9:14" x14ac:dyDescent="0.15">
      <c r="J156" s="171"/>
      <c r="K156" s="171"/>
      <c r="L156" s="171"/>
      <c r="M156" s="171"/>
      <c r="N156" s="171"/>
    </row>
    <row r="172" spans="15:15" x14ac:dyDescent="0.15">
      <c r="O172" s="171"/>
    </row>
    <row r="173" spans="15:15" x14ac:dyDescent="0.15">
      <c r="O173" s="171"/>
    </row>
    <row r="174" spans="15:15" x14ac:dyDescent="0.15">
      <c r="O174" s="171"/>
    </row>
    <row r="175" spans="15:15" x14ac:dyDescent="0.15">
      <c r="O175" s="171"/>
    </row>
    <row r="176" spans="15:15" x14ac:dyDescent="0.15">
      <c r="O176" s="171"/>
    </row>
    <row r="177" spans="15:15" x14ac:dyDescent="0.15">
      <c r="O177" s="171"/>
    </row>
    <row r="178" spans="15:15" x14ac:dyDescent="0.15">
      <c r="O178" s="171"/>
    </row>
    <row r="179" spans="15:15" x14ac:dyDescent="0.15">
      <c r="O179" s="171"/>
    </row>
    <row r="180" spans="15:15" x14ac:dyDescent="0.15">
      <c r="O180" s="171"/>
    </row>
    <row r="181" spans="15:15" x14ac:dyDescent="0.15">
      <c r="O181" s="171"/>
    </row>
    <row r="182" spans="15:15" x14ac:dyDescent="0.15">
      <c r="O182" s="171"/>
    </row>
    <row r="183" spans="15:15" x14ac:dyDescent="0.15">
      <c r="O183" s="171"/>
    </row>
    <row r="184" spans="15:15" x14ac:dyDescent="0.15">
      <c r="O184" s="171"/>
    </row>
    <row r="185" spans="15:15" x14ac:dyDescent="0.15">
      <c r="O185" s="171"/>
    </row>
    <row r="186" spans="15:15" x14ac:dyDescent="0.15">
      <c r="O186" s="171"/>
    </row>
    <row r="187" spans="15:15" x14ac:dyDescent="0.15">
      <c r="O187" s="171"/>
    </row>
    <row r="188" spans="15:15" x14ac:dyDescent="0.15">
      <c r="O188" s="171"/>
    </row>
    <row r="189" spans="15:15" x14ac:dyDescent="0.15">
      <c r="O189" s="171"/>
    </row>
    <row r="190" spans="15:15" x14ac:dyDescent="0.15">
      <c r="O190" s="171"/>
    </row>
    <row r="191" spans="15:15" x14ac:dyDescent="0.15">
      <c r="O191" s="171"/>
    </row>
  </sheetData>
  <mergeCells count="71">
    <mergeCell ref="P57:Q57"/>
    <mergeCell ref="Q45:Q49"/>
    <mergeCell ref="Q51:Q55"/>
    <mergeCell ref="P45:P56"/>
    <mergeCell ref="P38:P44"/>
    <mergeCell ref="T13:U13"/>
    <mergeCell ref="M4:M5"/>
    <mergeCell ref="N4:N5"/>
    <mergeCell ref="J4:J5"/>
    <mergeCell ref="I4:I5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I6:I10"/>
    <mergeCell ref="I11:I15"/>
    <mergeCell ref="I16:I19"/>
    <mergeCell ref="I20:I23"/>
    <mergeCell ref="I28:I31"/>
    <mergeCell ref="T14:U14"/>
    <mergeCell ref="T15:U15"/>
    <mergeCell ref="T18:U18"/>
    <mergeCell ref="T19:U19"/>
    <mergeCell ref="T20:U20"/>
    <mergeCell ref="T16:U16"/>
    <mergeCell ref="T17:U17"/>
    <mergeCell ref="I24:I27"/>
    <mergeCell ref="B54:B57"/>
    <mergeCell ref="B50:B53"/>
    <mergeCell ref="B5:B7"/>
    <mergeCell ref="B8:B11"/>
    <mergeCell ref="B12:B16"/>
    <mergeCell ref="B21:B24"/>
    <mergeCell ref="B17:B20"/>
    <mergeCell ref="B28:B38"/>
    <mergeCell ref="B39:B49"/>
    <mergeCell ref="I57:J57"/>
    <mergeCell ref="K41:L41"/>
    <mergeCell ref="K37:L37"/>
    <mergeCell ref="K38:L38"/>
    <mergeCell ref="I35:I42"/>
    <mergeCell ref="K42:L42"/>
    <mergeCell ref="K45:L45"/>
    <mergeCell ref="K46:L46"/>
    <mergeCell ref="K57:L57"/>
    <mergeCell ref="K54:L54"/>
    <mergeCell ref="K34:L34"/>
    <mergeCell ref="K35:L35"/>
    <mergeCell ref="K36:L36"/>
    <mergeCell ref="K39:L39"/>
    <mergeCell ref="K40:L40"/>
    <mergeCell ref="Q37:R37"/>
    <mergeCell ref="I51:I56"/>
    <mergeCell ref="K51:L51"/>
    <mergeCell ref="K53:L53"/>
    <mergeCell ref="K52:L52"/>
    <mergeCell ref="K55:L55"/>
    <mergeCell ref="K56:L56"/>
    <mergeCell ref="K50:L50"/>
    <mergeCell ref="K47:L47"/>
    <mergeCell ref="K48:L48"/>
    <mergeCell ref="K49:L49"/>
    <mergeCell ref="I43:I46"/>
    <mergeCell ref="I47:I50"/>
    <mergeCell ref="K43:L43"/>
    <mergeCell ref="K44:L44"/>
  </mergeCells>
  <phoneticPr fontId="4"/>
  <pageMargins left="0.78740157480314965" right="0.78740157480314965" top="0.78740157480314965" bottom="0.78740157480314965" header="0.39370078740157483" footer="0.39370078740157483"/>
  <pageSetup paperSize="9" scale="61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zoomScale="75" zoomScaleNormal="75" zoomScaleSheetLayoutView="80" workbookViewId="0">
      <selection activeCell="E27" sqref="E27"/>
    </sheetView>
  </sheetViews>
  <sheetFormatPr defaultRowHeight="13.5" x14ac:dyDescent="0.15"/>
  <cols>
    <col min="1" max="1" width="1.625" style="31" customWidth="1"/>
    <col min="2" max="2" width="18" style="31" customWidth="1"/>
    <col min="3" max="15" width="6.125" style="31" customWidth="1"/>
    <col min="16" max="16384" width="9" style="31"/>
  </cols>
  <sheetData>
    <row r="1" spans="2:15" ht="9.9499999999999993" customHeight="1" x14ac:dyDescent="0.15"/>
    <row r="2" spans="2:15" ht="24.95" customHeight="1" x14ac:dyDescent="0.15">
      <c r="B2" s="31" t="s">
        <v>290</v>
      </c>
    </row>
    <row r="3" spans="2:15" ht="20.100000000000001" customHeight="1" x14ac:dyDescent="0.15">
      <c r="D3" s="109" t="s">
        <v>192</v>
      </c>
      <c r="E3" s="108" t="s">
        <v>268</v>
      </c>
      <c r="F3" s="108"/>
      <c r="G3" s="109" t="s">
        <v>193</v>
      </c>
      <c r="H3" s="108" t="s">
        <v>269</v>
      </c>
      <c r="I3" s="108"/>
    </row>
    <row r="4" spans="2:15" ht="20.100000000000001" customHeight="1" thickBot="1" x14ac:dyDescent="0.2">
      <c r="B4" s="5" t="s">
        <v>206</v>
      </c>
      <c r="C4" s="5" t="s">
        <v>207</v>
      </c>
      <c r="D4" s="5"/>
      <c r="F4" s="5"/>
      <c r="G4" s="5" t="s">
        <v>342</v>
      </c>
      <c r="H4" s="5"/>
      <c r="I4" s="5"/>
      <c r="J4" s="5"/>
      <c r="K4" s="5"/>
      <c r="L4" s="5"/>
      <c r="M4" s="5"/>
      <c r="N4" s="5"/>
      <c r="O4" s="5"/>
    </row>
    <row r="5" spans="2:15" ht="20.100000000000001" customHeight="1" x14ac:dyDescent="0.15">
      <c r="B5" s="332" t="s">
        <v>254</v>
      </c>
      <c r="C5" s="336">
        <v>1</v>
      </c>
      <c r="D5" s="336">
        <v>2</v>
      </c>
      <c r="E5" s="336">
        <v>3</v>
      </c>
      <c r="F5" s="336">
        <v>4</v>
      </c>
      <c r="G5" s="336">
        <v>5</v>
      </c>
      <c r="H5" s="336">
        <v>6</v>
      </c>
      <c r="I5" s="336">
        <v>7</v>
      </c>
      <c r="J5" s="336">
        <v>8</v>
      </c>
      <c r="K5" s="336">
        <v>9</v>
      </c>
      <c r="L5" s="336">
        <v>10</v>
      </c>
      <c r="M5" s="336">
        <v>11</v>
      </c>
      <c r="N5" s="336">
        <v>12</v>
      </c>
      <c r="O5" s="145" t="s">
        <v>208</v>
      </c>
    </row>
    <row r="6" spans="2:15" ht="20.100000000000001" customHeight="1" x14ac:dyDescent="0.15">
      <c r="B6" s="337" t="s">
        <v>291</v>
      </c>
      <c r="C6" s="299">
        <v>115</v>
      </c>
      <c r="D6" s="299">
        <v>111</v>
      </c>
      <c r="E6" s="299">
        <v>97</v>
      </c>
      <c r="F6" s="299">
        <v>90</v>
      </c>
      <c r="G6" s="299">
        <v>116</v>
      </c>
      <c r="H6" s="299">
        <v>125</v>
      </c>
      <c r="I6" s="345">
        <v>146</v>
      </c>
      <c r="J6" s="345">
        <v>153</v>
      </c>
      <c r="K6" s="345">
        <v>127</v>
      </c>
      <c r="L6" s="299">
        <v>104</v>
      </c>
      <c r="M6" s="299">
        <v>173</v>
      </c>
      <c r="N6" s="299">
        <v>219</v>
      </c>
      <c r="O6" s="146">
        <f>SUM(C6:N6)/12</f>
        <v>131.33333333333334</v>
      </c>
    </row>
    <row r="7" spans="2:15" ht="20.100000000000001" customHeight="1" x14ac:dyDescent="0.15">
      <c r="B7" s="337" t="s">
        <v>292</v>
      </c>
      <c r="C7" s="299">
        <v>117</v>
      </c>
      <c r="D7" s="299">
        <v>73</v>
      </c>
      <c r="E7" s="299">
        <v>97</v>
      </c>
      <c r="F7" s="299">
        <v>170</v>
      </c>
      <c r="G7" s="299">
        <v>171</v>
      </c>
      <c r="H7" s="299">
        <v>138</v>
      </c>
      <c r="I7" s="345">
        <v>128</v>
      </c>
      <c r="J7" s="345">
        <v>99</v>
      </c>
      <c r="K7" s="345">
        <v>96</v>
      </c>
      <c r="L7" s="299">
        <v>88</v>
      </c>
      <c r="M7" s="299">
        <v>96</v>
      </c>
      <c r="N7" s="299">
        <v>117</v>
      </c>
      <c r="O7" s="146">
        <f t="shared" ref="O7:O10" si="0">SUM(C7:N7)/12</f>
        <v>115.83333333333333</v>
      </c>
    </row>
    <row r="8" spans="2:15" ht="20.100000000000001" customHeight="1" x14ac:dyDescent="0.15">
      <c r="B8" s="337" t="s">
        <v>293</v>
      </c>
      <c r="C8" s="299">
        <v>116</v>
      </c>
      <c r="D8" s="299">
        <v>108</v>
      </c>
      <c r="E8" s="299">
        <v>86</v>
      </c>
      <c r="F8" s="299">
        <v>105</v>
      </c>
      <c r="G8" s="299">
        <v>158</v>
      </c>
      <c r="H8" s="299">
        <v>167</v>
      </c>
      <c r="I8" s="345">
        <v>187</v>
      </c>
      <c r="J8" s="345">
        <v>168</v>
      </c>
      <c r="K8" s="345">
        <v>129</v>
      </c>
      <c r="L8" s="299">
        <v>123</v>
      </c>
      <c r="M8" s="299">
        <v>128</v>
      </c>
      <c r="N8" s="299">
        <v>140</v>
      </c>
      <c r="O8" s="146">
        <f t="shared" si="0"/>
        <v>134.58333333333334</v>
      </c>
    </row>
    <row r="9" spans="2:15" ht="20.100000000000001" customHeight="1" x14ac:dyDescent="0.15">
      <c r="B9" s="337" t="s">
        <v>294</v>
      </c>
      <c r="C9" s="299">
        <v>149</v>
      </c>
      <c r="D9" s="299">
        <v>135</v>
      </c>
      <c r="E9" s="299">
        <v>93</v>
      </c>
      <c r="F9" s="299">
        <v>149</v>
      </c>
      <c r="G9" s="299">
        <v>135</v>
      </c>
      <c r="H9" s="299">
        <v>217</v>
      </c>
      <c r="I9" s="345">
        <v>197</v>
      </c>
      <c r="J9" s="345">
        <v>138</v>
      </c>
      <c r="K9" s="345">
        <v>111</v>
      </c>
      <c r="L9" s="299">
        <v>115</v>
      </c>
      <c r="M9" s="299">
        <v>146</v>
      </c>
      <c r="N9" s="299">
        <v>140</v>
      </c>
      <c r="O9" s="146">
        <f t="shared" si="0"/>
        <v>143.75</v>
      </c>
    </row>
    <row r="10" spans="2:15" ht="20.100000000000001" customHeight="1" x14ac:dyDescent="0.15">
      <c r="B10" s="337" t="s">
        <v>295</v>
      </c>
      <c r="C10" s="299">
        <v>121</v>
      </c>
      <c r="D10" s="299">
        <v>86</v>
      </c>
      <c r="E10" s="299">
        <v>78</v>
      </c>
      <c r="F10" s="299">
        <v>105</v>
      </c>
      <c r="G10" s="299">
        <v>118</v>
      </c>
      <c r="H10" s="299">
        <v>162</v>
      </c>
      <c r="I10" s="345">
        <v>128</v>
      </c>
      <c r="J10" s="345">
        <v>162</v>
      </c>
      <c r="K10" s="345">
        <v>136</v>
      </c>
      <c r="L10" s="299">
        <v>140</v>
      </c>
      <c r="M10" s="299">
        <v>179</v>
      </c>
      <c r="N10" s="299">
        <v>126</v>
      </c>
      <c r="O10" s="146">
        <f t="shared" si="0"/>
        <v>128.41666666666666</v>
      </c>
    </row>
    <row r="11" spans="2:15" ht="20.100000000000001" customHeight="1" thickBot="1" x14ac:dyDescent="0.2">
      <c r="B11" s="335" t="s">
        <v>209</v>
      </c>
      <c r="C11" s="333">
        <f>AVERAGE(C6:C10)</f>
        <v>123.6</v>
      </c>
      <c r="D11" s="333">
        <f t="shared" ref="D11:N11" si="1">AVERAGE(D6:D10)</f>
        <v>102.6</v>
      </c>
      <c r="E11" s="333">
        <f t="shared" si="1"/>
        <v>90.2</v>
      </c>
      <c r="F11" s="333">
        <f t="shared" si="1"/>
        <v>123.8</v>
      </c>
      <c r="G11" s="333">
        <f t="shared" si="1"/>
        <v>139.6</v>
      </c>
      <c r="H11" s="333">
        <f t="shared" si="1"/>
        <v>161.80000000000001</v>
      </c>
      <c r="I11" s="333">
        <f t="shared" si="1"/>
        <v>157.19999999999999</v>
      </c>
      <c r="J11" s="333">
        <f t="shared" si="1"/>
        <v>144</v>
      </c>
      <c r="K11" s="333">
        <f t="shared" si="1"/>
        <v>119.8</v>
      </c>
      <c r="L11" s="333">
        <f t="shared" si="1"/>
        <v>114</v>
      </c>
      <c r="M11" s="333">
        <f t="shared" si="1"/>
        <v>144.4</v>
      </c>
      <c r="N11" s="333">
        <f t="shared" si="1"/>
        <v>148.4</v>
      </c>
      <c r="O11" s="334">
        <f>AVERAGE(O6:O10)</f>
        <v>130.78333333333333</v>
      </c>
    </row>
    <row r="12" spans="2:15" ht="20.100000000000001" customHeight="1" x14ac:dyDescent="0.15"/>
    <row r="13" spans="2:15" ht="20.100000000000001" customHeight="1" thickBot="1" x14ac:dyDescent="0.2">
      <c r="B13" s="5" t="s">
        <v>206</v>
      </c>
      <c r="C13" s="5" t="s">
        <v>255</v>
      </c>
      <c r="D13" s="5"/>
      <c r="F13" s="5"/>
      <c r="G13" s="5" t="s">
        <v>341</v>
      </c>
      <c r="H13" s="5"/>
      <c r="I13" s="5"/>
      <c r="J13" s="5"/>
      <c r="K13" s="5"/>
      <c r="L13" s="5"/>
      <c r="M13" s="5"/>
      <c r="N13" s="5"/>
      <c r="O13" s="5"/>
    </row>
    <row r="14" spans="2:15" ht="20.100000000000001" customHeight="1" x14ac:dyDescent="0.15">
      <c r="B14" s="332" t="s">
        <v>254</v>
      </c>
      <c r="C14" s="336">
        <v>1</v>
      </c>
      <c r="D14" s="336">
        <v>2</v>
      </c>
      <c r="E14" s="336">
        <v>3</v>
      </c>
      <c r="F14" s="336">
        <v>4</v>
      </c>
      <c r="G14" s="336">
        <v>5</v>
      </c>
      <c r="H14" s="336">
        <v>6</v>
      </c>
      <c r="I14" s="336">
        <v>7</v>
      </c>
      <c r="J14" s="336">
        <v>8</v>
      </c>
      <c r="K14" s="336">
        <v>9</v>
      </c>
      <c r="L14" s="336">
        <v>10</v>
      </c>
      <c r="M14" s="336">
        <v>11</v>
      </c>
      <c r="N14" s="336">
        <v>12</v>
      </c>
      <c r="O14" s="145" t="s">
        <v>208</v>
      </c>
    </row>
    <row r="15" spans="2:15" ht="20.100000000000001" customHeight="1" x14ac:dyDescent="0.15">
      <c r="B15" s="337" t="s">
        <v>291</v>
      </c>
      <c r="C15" s="299"/>
      <c r="D15" s="299"/>
      <c r="E15" s="299"/>
      <c r="F15" s="299">
        <v>221</v>
      </c>
      <c r="G15" s="299"/>
      <c r="H15" s="299">
        <v>123</v>
      </c>
      <c r="I15" s="345">
        <v>135</v>
      </c>
      <c r="J15" s="345">
        <v>152</v>
      </c>
      <c r="K15" s="345">
        <v>120</v>
      </c>
      <c r="L15" s="299">
        <v>74</v>
      </c>
      <c r="M15" s="299">
        <v>263</v>
      </c>
      <c r="N15" s="299">
        <v>119</v>
      </c>
      <c r="O15" s="146">
        <f>SUM(C15:N15)/12</f>
        <v>100.58333333333333</v>
      </c>
    </row>
    <row r="16" spans="2:15" ht="20.100000000000001" customHeight="1" x14ac:dyDescent="0.15">
      <c r="B16" s="337" t="s">
        <v>292</v>
      </c>
      <c r="C16" s="299"/>
      <c r="D16" s="299"/>
      <c r="E16" s="299"/>
      <c r="F16" s="299"/>
      <c r="G16" s="299"/>
      <c r="H16" s="299">
        <v>136</v>
      </c>
      <c r="I16" s="345">
        <v>127</v>
      </c>
      <c r="J16" s="345">
        <v>99</v>
      </c>
      <c r="K16" s="345">
        <v>86</v>
      </c>
      <c r="L16" s="299">
        <v>93</v>
      </c>
      <c r="M16" s="299">
        <v>101</v>
      </c>
      <c r="N16" s="299">
        <v>170</v>
      </c>
      <c r="O16" s="146">
        <f t="shared" ref="O16:O19" si="2">SUM(C16:N16)/12</f>
        <v>67.666666666666671</v>
      </c>
    </row>
    <row r="17" spans="2:15" ht="20.100000000000001" customHeight="1" x14ac:dyDescent="0.15">
      <c r="B17" s="337" t="s">
        <v>293</v>
      </c>
      <c r="C17" s="299"/>
      <c r="D17" s="299"/>
      <c r="E17" s="299"/>
      <c r="F17" s="299"/>
      <c r="G17" s="299">
        <v>221</v>
      </c>
      <c r="H17" s="299">
        <v>156</v>
      </c>
      <c r="I17" s="345">
        <v>177</v>
      </c>
      <c r="J17" s="345">
        <v>174</v>
      </c>
      <c r="K17" s="345">
        <v>129</v>
      </c>
      <c r="L17" s="299">
        <v>103</v>
      </c>
      <c r="M17" s="299">
        <v>115</v>
      </c>
      <c r="N17" s="299">
        <v>49</v>
      </c>
      <c r="O17" s="146">
        <f t="shared" si="2"/>
        <v>93.666666666666671</v>
      </c>
    </row>
    <row r="18" spans="2:15" ht="20.100000000000001" customHeight="1" x14ac:dyDescent="0.15">
      <c r="B18" s="337" t="s">
        <v>294</v>
      </c>
      <c r="C18" s="299"/>
      <c r="D18" s="299"/>
      <c r="E18" s="299"/>
      <c r="F18" s="299"/>
      <c r="G18" s="299"/>
      <c r="H18" s="299">
        <v>194</v>
      </c>
      <c r="I18" s="345">
        <v>179</v>
      </c>
      <c r="J18" s="345">
        <v>141</v>
      </c>
      <c r="K18" s="345">
        <v>95</v>
      </c>
      <c r="L18" s="299">
        <v>162</v>
      </c>
      <c r="M18" s="299">
        <v>219</v>
      </c>
      <c r="N18" s="299">
        <v>34</v>
      </c>
      <c r="O18" s="146">
        <f t="shared" si="2"/>
        <v>85.333333333333329</v>
      </c>
    </row>
    <row r="19" spans="2:15" ht="20.100000000000001" customHeight="1" x14ac:dyDescent="0.15">
      <c r="B19" s="337" t="s">
        <v>295</v>
      </c>
      <c r="C19" s="299"/>
      <c r="D19" s="299"/>
      <c r="E19" s="299"/>
      <c r="F19" s="299"/>
      <c r="G19" s="299">
        <v>66</v>
      </c>
      <c r="H19" s="299">
        <v>158</v>
      </c>
      <c r="I19" s="345">
        <v>130</v>
      </c>
      <c r="J19" s="345">
        <v>159</v>
      </c>
      <c r="K19" s="345">
        <v>126</v>
      </c>
      <c r="L19" s="299">
        <v>126</v>
      </c>
      <c r="M19" s="299">
        <v>62</v>
      </c>
      <c r="N19" s="299">
        <v>51</v>
      </c>
      <c r="O19" s="146">
        <f t="shared" si="2"/>
        <v>73.166666666666671</v>
      </c>
    </row>
    <row r="20" spans="2:15" ht="20.100000000000001" customHeight="1" thickBot="1" x14ac:dyDescent="0.2">
      <c r="B20" s="335" t="s">
        <v>209</v>
      </c>
      <c r="C20" s="333"/>
      <c r="D20" s="333"/>
      <c r="E20" s="333"/>
      <c r="F20" s="333">
        <f t="shared" ref="F20" si="3">AVERAGE(F15:F19)</f>
        <v>221</v>
      </c>
      <c r="G20" s="333">
        <f t="shared" ref="G20" si="4">AVERAGE(G15:G19)</f>
        <v>143.5</v>
      </c>
      <c r="H20" s="333">
        <f t="shared" ref="H20" si="5">AVERAGE(H15:H19)</f>
        <v>153.4</v>
      </c>
      <c r="I20" s="333">
        <f t="shared" ref="I20" si="6">AVERAGE(I15:I19)</f>
        <v>149.6</v>
      </c>
      <c r="J20" s="333">
        <f t="shared" ref="J20" si="7">AVERAGE(J15:J19)</f>
        <v>145</v>
      </c>
      <c r="K20" s="333">
        <f t="shared" ref="K20" si="8">AVERAGE(K15:K19)</f>
        <v>111.2</v>
      </c>
      <c r="L20" s="333">
        <f t="shared" ref="L20" si="9">AVERAGE(L15:L19)</f>
        <v>111.6</v>
      </c>
      <c r="M20" s="333">
        <f t="shared" ref="M20" si="10">AVERAGE(M15:M19)</f>
        <v>152</v>
      </c>
      <c r="N20" s="333">
        <f t="shared" ref="N20" si="11">AVERAGE(N15:N19)</f>
        <v>84.6</v>
      </c>
      <c r="O20" s="334">
        <f>AVERAGE(O15:O19)</f>
        <v>84.083333333333343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１　対象経営の概要，２　前提条件</vt:lpstr>
      <vt:lpstr>３　かぼちゃ標準技術</vt:lpstr>
      <vt:lpstr>４　経営収支</vt:lpstr>
      <vt:lpstr>５　かぼちゃ作業時間</vt:lpstr>
      <vt:lpstr>６　固定資本装備と減価償却費</vt:lpstr>
      <vt:lpstr>７　かぼちゃ部門収支</vt:lpstr>
      <vt:lpstr>８　かぼちゃ算出基礎</vt:lpstr>
      <vt:lpstr>９　かぼちゃ単価算出基礎</vt:lpstr>
      <vt:lpstr>'４　経営収支'!Print_Area</vt:lpstr>
      <vt:lpstr>'５　かぼちゃ作業時間'!Print_Area</vt:lpstr>
      <vt:lpstr>'６　固定資本装備と減価償却費'!Print_Area</vt:lpstr>
      <vt:lpstr>'７　かぼちゃ部門収支'!Print_Area</vt:lpstr>
      <vt:lpstr>'９　かぼちゃ単価算出基礎'!Print_Area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2015-03-03T07:49:16Z</cp:lastPrinted>
  <dcterms:created xsi:type="dcterms:W3CDTF">2005-02-26T02:20:11Z</dcterms:created>
  <dcterms:modified xsi:type="dcterms:W3CDTF">2015-03-24T04:52:42Z</dcterms:modified>
</cp:coreProperties>
</file>