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0" yWindow="1080" windowWidth="24030" windowHeight="4755" tabRatio="881"/>
  </bookViews>
  <sheets>
    <sheet name="１　対象経営の概要，２　前提条件" sheetId="19" r:id="rId1"/>
    <sheet name="３　なす標準技術" sheetId="43" r:id="rId2"/>
    <sheet name="４　経営収支" sheetId="22" r:id="rId3"/>
    <sheet name="５　なす作業時間" sheetId="27" r:id="rId4"/>
    <sheet name="６　固定資本装備と減価償却費" sheetId="30" r:id="rId5"/>
    <sheet name="７　なす部門収支" sheetId="35" r:id="rId6"/>
    <sheet name="８　なす算出基礎" sheetId="36" r:id="rId7"/>
    <sheet name="９　なす単価算出基礎" sheetId="42" r:id="rId8"/>
  </sheets>
  <definedNames>
    <definedName name="_a1" localSheetId="1" hidden="1">#REF!</definedName>
    <definedName name="_a1" hidden="1">#REF!</definedName>
    <definedName name="_a2" localSheetId="1" hidden="1">#REF!</definedName>
    <definedName name="_a2" hidden="1">#REF!</definedName>
    <definedName name="_a3" localSheetId="1" hidden="1">#REF!</definedName>
    <definedName name="_a3" hidden="1">#REF!</definedName>
    <definedName name="_a4" localSheetId="1" hidden="1">#REF!</definedName>
    <definedName name="_a4" hidden="1">#REF!</definedName>
    <definedName name="_a5" localSheetId="1" hidden="1">#REF!</definedName>
    <definedName name="_a5" hidden="1">#REF!</definedName>
    <definedName name="_a6" localSheetId="1" hidden="1">#REF!</definedName>
    <definedName name="_a6" hidden="1">#REF!</definedName>
    <definedName name="_a7" localSheetId="1" hidden="1">#REF!</definedName>
    <definedName name="_a7" hidden="1">#REF!</definedName>
    <definedName name="aaa" localSheetId="1" hidden="1">#REF!</definedName>
    <definedName name="aaa" hidden="1">#REF!</definedName>
    <definedName name="bbb" localSheetId="1" hidden="1">#REF!</definedName>
    <definedName name="bbb" hidden="1">#REF!</definedName>
    <definedName name="ccc" localSheetId="1" hidden="1">#REF!</definedName>
    <definedName name="ccc" hidden="1">#REF!</definedName>
    <definedName name="ddd" localSheetId="1" hidden="1">#REF!</definedName>
    <definedName name="ddd" hidden="1">#REF!</definedName>
    <definedName name="eee" localSheetId="1" hidden="1">#REF!</definedName>
    <definedName name="eee" hidden="1">#REF!</definedName>
    <definedName name="fff" localSheetId="1" hidden="1">#REF!</definedName>
    <definedName name="fff" hidden="1">#REF!</definedName>
    <definedName name="ggg" localSheetId="1" hidden="1">#REF!</definedName>
    <definedName name="ggg" hidden="1">#REF!</definedName>
    <definedName name="hhh" localSheetId="1" hidden="1">#REF!</definedName>
    <definedName name="hhh" hidden="1">#REF!</definedName>
    <definedName name="_xlnm.Print_Area" localSheetId="2">'４　経営収支'!$A$1:$N$38</definedName>
    <definedName name="_xlnm.Print_Area" localSheetId="3">'５　なす作業時間'!$A$1:$AN$51</definedName>
    <definedName name="_xlnm.Print_Area" localSheetId="4">'６　固定資本装備と減価償却費'!$1:$37</definedName>
    <definedName name="_xlnm.Print_Area" localSheetId="5">'７　なす部門収支'!$A$1:$S$45</definedName>
    <definedName name="simizu" localSheetId="1" hidden="1">#REF!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Y49" i="27" l="1"/>
  <c r="AN48" i="27"/>
  <c r="N49" i="27"/>
  <c r="G16" i="36" l="1"/>
  <c r="V30" i="36" l="1"/>
  <c r="AN14" i="27"/>
  <c r="V11" i="36" l="1"/>
  <c r="L8" i="43" l="1"/>
  <c r="AF47" i="27" l="1"/>
  <c r="AE47" i="27"/>
  <c r="AD47" i="27"/>
  <c r="AC47" i="27"/>
  <c r="AB47" i="27"/>
  <c r="AA47" i="27"/>
  <c r="Z47" i="27"/>
  <c r="Y47" i="27"/>
  <c r="X47" i="27"/>
  <c r="L9" i="35" l="1"/>
  <c r="L8" i="35"/>
  <c r="L7" i="35"/>
  <c r="L6" i="35"/>
  <c r="L5" i="35"/>
  <c r="K36" i="36" l="1"/>
  <c r="K35" i="36"/>
  <c r="C39" i="27"/>
  <c r="D7" i="43" l="1"/>
  <c r="D8" i="43" s="1"/>
  <c r="H8" i="43" l="1"/>
  <c r="G8" i="43"/>
  <c r="F8" i="43"/>
  <c r="E8" i="43"/>
  <c r="K7" i="43"/>
  <c r="K8" i="43" s="1"/>
  <c r="J7" i="43"/>
  <c r="J8" i="43" s="1"/>
  <c r="U45" i="36" l="1"/>
  <c r="U51" i="36"/>
  <c r="M52" i="36"/>
  <c r="M51" i="36"/>
  <c r="M43" i="36"/>
  <c r="M36" i="36"/>
  <c r="N36" i="36" s="1"/>
  <c r="M35" i="36"/>
  <c r="N35" i="36" s="1"/>
  <c r="U29" i="36"/>
  <c r="U28" i="36"/>
  <c r="U27" i="36"/>
  <c r="U26" i="36"/>
  <c r="U25" i="36"/>
  <c r="U24" i="36"/>
  <c r="V29" i="36" l="1"/>
  <c r="V28" i="36"/>
  <c r="V27" i="36"/>
  <c r="V26" i="36"/>
  <c r="V25" i="36"/>
  <c r="AE46" i="27"/>
  <c r="AD46" i="27"/>
  <c r="AC46" i="27"/>
  <c r="AB46" i="27"/>
  <c r="AA46" i="27"/>
  <c r="Z46" i="27"/>
  <c r="Y46" i="27"/>
  <c r="X46" i="27"/>
  <c r="N47" i="27"/>
  <c r="N43" i="36" l="1"/>
  <c r="N12" i="36" l="1"/>
  <c r="N14" i="36" l="1"/>
  <c r="N13" i="36"/>
  <c r="N11" i="36"/>
  <c r="N8" i="36"/>
  <c r="N7" i="36"/>
  <c r="N6" i="36"/>
  <c r="K17" i="30" l="1"/>
  <c r="K16" i="30"/>
  <c r="K15" i="30"/>
  <c r="K14" i="30"/>
  <c r="K13" i="30"/>
  <c r="K5" i="30"/>
  <c r="K6" i="30"/>
  <c r="N52" i="36"/>
  <c r="V51" i="36"/>
  <c r="V45" i="36"/>
  <c r="P21" i="35" l="1"/>
  <c r="N9" i="35"/>
  <c r="N8" i="35"/>
  <c r="N7" i="35"/>
  <c r="N6" i="35"/>
  <c r="N5" i="35"/>
  <c r="G6" i="22" l="1"/>
  <c r="N15" i="36" l="1"/>
  <c r="G54" i="36" l="1"/>
  <c r="N9" i="36"/>
  <c r="N10" i="36" l="1"/>
  <c r="V10" i="36"/>
  <c r="V9" i="36"/>
  <c r="V8" i="36"/>
  <c r="V7" i="36"/>
  <c r="V6" i="36"/>
  <c r="G26" i="22" l="1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F6" i="22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N51" i="36"/>
  <c r="N56" i="36" s="1"/>
  <c r="V56" i="36"/>
  <c r="V50" i="36"/>
  <c r="V44" i="36"/>
  <c r="V24" i="36"/>
  <c r="V34" i="36" s="1"/>
  <c r="V57" i="36" l="1"/>
  <c r="N42" i="36"/>
  <c r="N57" i="36" s="1"/>
  <c r="I6" i="30"/>
  <c r="I5" i="30"/>
  <c r="L6" i="30" l="1"/>
  <c r="AE49" i="27" l="1"/>
  <c r="AD49" i="27"/>
  <c r="AC49" i="27"/>
  <c r="AB49" i="27"/>
  <c r="AA49" i="27"/>
  <c r="Z49" i="27"/>
  <c r="X49" i="27"/>
  <c r="M49" i="27"/>
  <c r="L49" i="27"/>
  <c r="K49" i="27"/>
  <c r="J49" i="27"/>
  <c r="I49" i="27"/>
  <c r="H49" i="27"/>
  <c r="G49" i="27"/>
  <c r="F49" i="27"/>
  <c r="E49" i="27"/>
  <c r="D49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N16" i="36"/>
  <c r="L15" i="36"/>
  <c r="K15" i="36"/>
  <c r="L10" i="36"/>
  <c r="K10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V5" i="36"/>
  <c r="G56" i="36"/>
  <c r="G55" i="36"/>
  <c r="G52" i="36"/>
  <c r="G51" i="36"/>
  <c r="G50" i="36"/>
  <c r="G48" i="36"/>
  <c r="G40" i="36"/>
  <c r="G39" i="36"/>
  <c r="G37" i="36"/>
  <c r="G36" i="36"/>
  <c r="G30" i="36"/>
  <c r="G29" i="36"/>
  <c r="G28" i="36"/>
  <c r="P13" i="35"/>
  <c r="I14" i="30"/>
  <c r="L14" i="30" s="1"/>
  <c r="P27" i="30"/>
  <c r="P26" i="30"/>
  <c r="P20" i="30"/>
  <c r="P19" i="30"/>
  <c r="I16" i="30"/>
  <c r="I15" i="30"/>
  <c r="L15" i="30" s="1"/>
  <c r="G36" i="30"/>
  <c r="P35" i="30"/>
  <c r="P34" i="30"/>
  <c r="P33" i="30"/>
  <c r="G31" i="30"/>
  <c r="P29" i="30"/>
  <c r="P28" i="30"/>
  <c r="P25" i="30"/>
  <c r="P21" i="30"/>
  <c r="I17" i="30"/>
  <c r="L17" i="30" s="1"/>
  <c r="I13" i="30"/>
  <c r="G12" i="30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M45" i="27" s="1"/>
  <c r="AM49" i="27" s="1"/>
  <c r="AL34" i="27"/>
  <c r="AL43" i="27" s="1"/>
  <c r="AL45" i="27" s="1"/>
  <c r="AL49" i="27" s="1"/>
  <c r="AK34" i="27"/>
  <c r="AK43" i="27" s="1"/>
  <c r="AK45" i="27" s="1"/>
  <c r="AK49" i="27" s="1"/>
  <c r="AJ34" i="27"/>
  <c r="AJ43" i="27" s="1"/>
  <c r="AI34" i="27"/>
  <c r="AI43" i="27" s="1"/>
  <c r="AH34" i="27"/>
  <c r="AH43" i="27" s="1"/>
  <c r="AG34" i="27"/>
  <c r="AG43" i="27" s="1"/>
  <c r="AG47" i="27" s="1"/>
  <c r="AF34" i="27"/>
  <c r="AF43" i="27" s="1"/>
  <c r="AF46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Y50" i="27" s="1"/>
  <c r="X34" i="27"/>
  <c r="X43" i="27" s="1"/>
  <c r="W34" i="27"/>
  <c r="W43" i="27" s="1"/>
  <c r="V34" i="27"/>
  <c r="V43" i="27" s="1"/>
  <c r="U34" i="27"/>
  <c r="U43" i="27" s="1"/>
  <c r="U45" i="27" s="1"/>
  <c r="U46" i="27" s="1"/>
  <c r="U47" i="27" s="1"/>
  <c r="T34" i="27"/>
  <c r="T43" i="27" s="1"/>
  <c r="T45" i="27" s="1"/>
  <c r="T46" i="27" s="1"/>
  <c r="T47" i="27" s="1"/>
  <c r="S34" i="27"/>
  <c r="S43" i="27" s="1"/>
  <c r="S45" i="27" s="1"/>
  <c r="S46" i="27" s="1"/>
  <c r="S47" i="27" s="1"/>
  <c r="R34" i="27"/>
  <c r="R43" i="27" s="1"/>
  <c r="R45" i="27" s="1"/>
  <c r="R46" i="27" s="1"/>
  <c r="R47" i="27" s="1"/>
  <c r="Q34" i="27"/>
  <c r="Q43" i="27" s="1"/>
  <c r="Q45" i="27" s="1"/>
  <c r="Q46" i="27" s="1"/>
  <c r="Q47" i="27" s="1"/>
  <c r="P34" i="27"/>
  <c r="P43" i="27" s="1"/>
  <c r="P45" i="27" s="1"/>
  <c r="P46" i="27" s="1"/>
  <c r="P47" i="27" s="1"/>
  <c r="O34" i="27"/>
  <c r="O43" i="27" s="1"/>
  <c r="O45" i="27" s="1"/>
  <c r="O46" i="27" s="1"/>
  <c r="O47" i="27" s="1"/>
  <c r="N34" i="27"/>
  <c r="N43" i="27" s="1"/>
  <c r="N50" i="27" s="1"/>
  <c r="N51" i="27" s="1"/>
  <c r="M34" i="27"/>
  <c r="M43" i="27" s="1"/>
  <c r="N44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I8" i="43"/>
  <c r="AN13" i="27"/>
  <c r="AN12" i="27"/>
  <c r="AN11" i="27"/>
  <c r="AN10" i="27"/>
  <c r="V46" i="27" l="1"/>
  <c r="W44" i="27"/>
  <c r="AC44" i="27"/>
  <c r="F22" i="35"/>
  <c r="G24" i="22" s="1"/>
  <c r="F24" i="22" s="1"/>
  <c r="F21" i="35"/>
  <c r="G23" i="22" s="1"/>
  <c r="F23" i="22" s="1"/>
  <c r="T49" i="27"/>
  <c r="T50" i="27" s="1"/>
  <c r="T51" i="27" s="1"/>
  <c r="U49" i="27"/>
  <c r="U50" i="27" s="1"/>
  <c r="U51" i="27" s="1"/>
  <c r="AJ45" i="27"/>
  <c r="AJ46" i="27" s="1"/>
  <c r="AJ47" i="27" s="1"/>
  <c r="AG46" i="27"/>
  <c r="AG49" i="27" s="1"/>
  <c r="AG50" i="27" s="1"/>
  <c r="AG51" i="27" s="1"/>
  <c r="P49" i="27"/>
  <c r="P50" i="27" s="1"/>
  <c r="P51" i="27" s="1"/>
  <c r="AF49" i="27"/>
  <c r="AF50" i="27" s="1"/>
  <c r="AF51" i="27" s="1"/>
  <c r="W46" i="27"/>
  <c r="AI45" i="27"/>
  <c r="AI46" i="27" s="1"/>
  <c r="AI47" i="27" s="1"/>
  <c r="AH45" i="27"/>
  <c r="AH46" i="27" s="1"/>
  <c r="AH47" i="27" s="1"/>
  <c r="Q49" i="27"/>
  <c r="Q50" i="27" s="1"/>
  <c r="Q51" i="27" s="1"/>
  <c r="O49" i="27"/>
  <c r="O50" i="27" s="1"/>
  <c r="O51" i="27" s="1"/>
  <c r="S49" i="27"/>
  <c r="S50" i="27" s="1"/>
  <c r="S51" i="27" s="1"/>
  <c r="R49" i="27"/>
  <c r="R50" i="27" s="1"/>
  <c r="R51" i="27" s="1"/>
  <c r="V49" i="27"/>
  <c r="V20" i="36"/>
  <c r="F10" i="35" s="1"/>
  <c r="G12" i="22" s="1"/>
  <c r="F12" i="22" s="1"/>
  <c r="F6" i="35"/>
  <c r="G8" i="22" s="1"/>
  <c r="F8" i="22" s="1"/>
  <c r="I36" i="30"/>
  <c r="L5" i="30"/>
  <c r="N5" i="30" s="1"/>
  <c r="P5" i="30" s="1"/>
  <c r="G50" i="27"/>
  <c r="G51" i="27" s="1"/>
  <c r="K50" i="27"/>
  <c r="K51" i="27" s="1"/>
  <c r="AE50" i="27"/>
  <c r="AE51" i="27" s="1"/>
  <c r="AM50" i="27"/>
  <c r="AM51" i="27" s="1"/>
  <c r="AD50" i="27"/>
  <c r="AD51" i="27" s="1"/>
  <c r="E50" i="27"/>
  <c r="E51" i="27" s="1"/>
  <c r="M50" i="27"/>
  <c r="M51" i="27" s="1"/>
  <c r="Y51" i="27"/>
  <c r="AK50" i="27"/>
  <c r="AK51" i="27" s="1"/>
  <c r="F50" i="27"/>
  <c r="F51" i="27" s="1"/>
  <c r="J50" i="27"/>
  <c r="J51" i="27" s="1"/>
  <c r="Z50" i="27"/>
  <c r="Z51" i="27" s="1"/>
  <c r="AL50" i="27"/>
  <c r="AL51" i="27" s="1"/>
  <c r="I50" i="27"/>
  <c r="I51" i="27" s="1"/>
  <c r="AC50" i="27"/>
  <c r="AC51" i="27" s="1"/>
  <c r="AA50" i="27"/>
  <c r="AA51" i="27" s="1"/>
  <c r="X50" i="27"/>
  <c r="X51" i="27" s="1"/>
  <c r="H50" i="27"/>
  <c r="H51" i="27" s="1"/>
  <c r="L50" i="27"/>
  <c r="L51" i="27" s="1"/>
  <c r="AB50" i="27"/>
  <c r="AB51" i="27" s="1"/>
  <c r="D50" i="27"/>
  <c r="D51" i="27" s="1"/>
  <c r="K35" i="27"/>
  <c r="H35" i="27"/>
  <c r="G20" i="36"/>
  <c r="R11" i="35"/>
  <c r="F23" i="35" s="1"/>
  <c r="G25" i="22" s="1"/>
  <c r="F25" i="22" s="1"/>
  <c r="P31" i="35"/>
  <c r="F11" i="35"/>
  <c r="G13" i="22" s="1"/>
  <c r="F13" i="22" s="1"/>
  <c r="N31" i="36"/>
  <c r="P36" i="35" s="1"/>
  <c r="N19" i="36"/>
  <c r="P33" i="35" s="1"/>
  <c r="N23" i="36"/>
  <c r="P34" i="35" s="1"/>
  <c r="P30" i="35"/>
  <c r="G7" i="36"/>
  <c r="P17" i="35" s="1"/>
  <c r="G11" i="36"/>
  <c r="P18" i="35" s="1"/>
  <c r="P19" i="35"/>
  <c r="G24" i="36"/>
  <c r="G53" i="36"/>
  <c r="G57" i="36"/>
  <c r="P27" i="35" s="1"/>
  <c r="P15" i="35"/>
  <c r="G49" i="36"/>
  <c r="P25" i="35" s="1"/>
  <c r="G38" i="36"/>
  <c r="P24" i="35" s="1"/>
  <c r="L16" i="30"/>
  <c r="N15" i="30"/>
  <c r="P15" i="30" s="1"/>
  <c r="I31" i="30"/>
  <c r="G37" i="30"/>
  <c r="I12" i="30"/>
  <c r="P30" i="30"/>
  <c r="N6" i="30"/>
  <c r="P6" i="30" s="1"/>
  <c r="P23" i="30"/>
  <c r="P24" i="30"/>
  <c r="P18" i="30"/>
  <c r="L13" i="30"/>
  <c r="AN34" i="27"/>
  <c r="T35" i="27"/>
  <c r="T44" i="27" s="1"/>
  <c r="AF35" i="27"/>
  <c r="AF44" i="27" s="1"/>
  <c r="W35" i="27"/>
  <c r="AI35" i="27"/>
  <c r="AI44" i="27" s="1"/>
  <c r="AL35" i="27"/>
  <c r="AL44" i="27" s="1"/>
  <c r="AN35" i="27"/>
  <c r="E35" i="27"/>
  <c r="E44" i="27" s="1"/>
  <c r="Q35" i="27"/>
  <c r="Q44" i="27" s="1"/>
  <c r="AC35" i="27"/>
  <c r="N35" i="27"/>
  <c r="Z35" i="27"/>
  <c r="Z44" i="27" s="1"/>
  <c r="V50" i="27" l="1"/>
  <c r="V51" i="27" s="1"/>
  <c r="AN45" i="27"/>
  <c r="AJ49" i="27"/>
  <c r="AJ50" i="27" s="1"/>
  <c r="AJ51" i="27" s="1"/>
  <c r="AI49" i="27"/>
  <c r="AI50" i="27" s="1"/>
  <c r="AI51" i="27" s="1"/>
  <c r="AN47" i="27"/>
  <c r="AN46" i="27"/>
  <c r="AH49" i="27"/>
  <c r="AH50" i="27" s="1"/>
  <c r="AH51" i="27" s="1"/>
  <c r="F4" i="35"/>
  <c r="G5" i="22" s="1"/>
  <c r="F5" i="22" s="1"/>
  <c r="P12" i="30"/>
  <c r="F15" i="35" s="1"/>
  <c r="G17" i="22" s="1"/>
  <c r="F17" i="22" s="1"/>
  <c r="N16" i="30"/>
  <c r="P16" i="30" s="1"/>
  <c r="F26" i="35"/>
  <c r="G28" i="22" s="1"/>
  <c r="F28" i="22" s="1"/>
  <c r="L12" i="30"/>
  <c r="F13" i="35" s="1"/>
  <c r="G15" i="22" s="1"/>
  <c r="F15" i="22" s="1"/>
  <c r="K44" i="27"/>
  <c r="H44" i="27"/>
  <c r="AN44" i="27" s="1"/>
  <c r="AN43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Q11" i="35"/>
  <c r="I37" i="30"/>
  <c r="P22" i="30"/>
  <c r="N17" i="30"/>
  <c r="P17" i="30" s="1"/>
  <c r="L31" i="30"/>
  <c r="F14" i="35" s="1"/>
  <c r="G16" i="22" s="1"/>
  <c r="F16" i="22" s="1"/>
  <c r="N13" i="30"/>
  <c r="P13" i="30" s="1"/>
  <c r="L36" i="30"/>
  <c r="P32" i="30"/>
  <c r="P36" i="30" s="1"/>
  <c r="F17" i="35" s="1"/>
  <c r="G19" i="22" s="1"/>
  <c r="F19" i="22" s="1"/>
  <c r="N14" i="30"/>
  <c r="P14" i="30" s="1"/>
  <c r="W49" i="27" l="1"/>
  <c r="P31" i="30"/>
  <c r="F16" i="35" s="1"/>
  <c r="G18" i="22" s="1"/>
  <c r="F18" i="22" s="1"/>
  <c r="F28" i="35"/>
  <c r="L37" i="30"/>
  <c r="W50" i="27" l="1"/>
  <c r="W51" i="27" s="1"/>
  <c r="AN49" i="27"/>
  <c r="I37" i="22"/>
  <c r="G30" i="22"/>
  <c r="F30" i="22" s="1"/>
  <c r="F29" i="35"/>
  <c r="G31" i="22" s="1"/>
  <c r="F31" i="22" s="1"/>
  <c r="P37" i="30"/>
  <c r="G7" i="22"/>
  <c r="AN50" i="27" l="1"/>
  <c r="AN51" i="27"/>
  <c r="L37" i="22" s="1"/>
  <c r="G37" i="22" s="1"/>
  <c r="F37" i="22" s="1"/>
  <c r="F32" i="22"/>
  <c r="F30" i="35"/>
  <c r="F19" i="35"/>
  <c r="G21" i="22" s="1"/>
  <c r="F21" i="22" s="1"/>
  <c r="F22" i="22" s="1"/>
  <c r="F7" i="22"/>
  <c r="G33" i="22" l="1"/>
  <c r="F33" i="22" s="1"/>
  <c r="F34" i="22" s="1"/>
  <c r="F35" i="22" s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<sst xmlns="http://schemas.openxmlformats.org/spreadsheetml/2006/main" count="677" uniqueCount="432">
  <si>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</si>
  <si>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</si>
  <si>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</si>
  <si>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</si>
  <si>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</si>
  <si>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</si>
  <si>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</si>
  <si>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</si>
  <si>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</si>
  <si>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</si>
  <si>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</si>
  <si>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</si>
  <si>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</si>
  <si>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</si>
  <si>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</si>
  <si>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</si>
  <si>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</si>
  <si>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</si>
  <si>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</si>
  <si>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</si>
  <si>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</si>
  <si>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</si>
  <si>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</si>
  <si>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</si>
  <si>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</si>
  <si>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</si>
  <si>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</si>
  <si>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</si>
  <si>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</si>
  <si>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</si>
  <si>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</si>
  <si>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</si>
  <si>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</si>
  <si>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</si>
  <si>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</si>
  <si>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</si>
  <si>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</si>
  <si>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</si>
  <si>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</si>
  <si>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</si>
  <si>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</si>
  <si>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</si>
  <si>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</si>
  <si>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</si>
  <si>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</si>
  <si>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</si>
  <si>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</si>
  <si>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</si>
  <si>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</si>
  <si>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</si>
  <si>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</si>
  <si>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</si>
  <si>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</si>
  <si>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</si>
  <si>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</si>
  <si>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</si>
  <si>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</si>
  <si>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</si>
  <si>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</si>
  <si>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</si>
  <si>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</si>
  <si>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</si>
  <si>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</si>
  <si>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</si>
  <si>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</si>
  <si>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</si>
  <si>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</si>
  <si>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</si>
  <si>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</si>
  <si>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</si>
  <si>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</si>
  <si>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</si>
  <si>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</si>
  <si>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</si>
  <si>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</si>
  <si>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</si>
  <si>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</si>
  <si>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</si>
  <si>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</si>
  <si>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</si>
  <si>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</si>
  <si>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</si>
  <si>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</si>
  <si>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</si>
  <si>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</si>
  <si>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</si>
  <si>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</si>
  <si>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</si>
  <si>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</si>
  <si>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</si>
  <si>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</si>
  <si>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</si>
  <si>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</si>
  <si>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</si>
  <si>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</si>
  <si>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</si>
  <si>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</si>
  <si>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</si>
  <si>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</si>
  <si>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</si>
  <si>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</si>
  <si>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</si>
  <si>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</si>
  <si>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</si>
  <si>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</si>
  <si>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</si>
  <si>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</si>
  <si>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</si>
  <si>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</si>
  <si>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</si>
  <si>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</si>
  <si>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</si>
  <si>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</si>
  <si>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</si>
  <si>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</si>
  <si>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</si>
  <si>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</si>
  <si>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</si>
  <si>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</si>
  <si>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</si>
  <si>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</si>
  <si>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</si>
  <si>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</si>
  <si>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</si>
  <si>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</si>
  <si>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</si>
  <si>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</si>
  <si>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</si>
  <si>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</si>
  <si>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</si>
  <si>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</si>
  <si>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</si>
  <si>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</si>
  <si>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</si>
  <si>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</si>
  <si>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</si>
  <si>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</si>
  <si>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</si>
  <si>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</si>
  <si>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</si>
  <si>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</si>
  <si>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</si>
  <si>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</si>
  <si>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</si>
  <si>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</si>
  <si>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</si>
  <si>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</si>
  <si>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</si>
  <si>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</si>
  <si>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</si>
  <si>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</si>
  <si>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</si>
  <si>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</si>
  <si>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</si>
  <si>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</si>
  <si>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</si>
  <si>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</si>
  <si>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</si>
  <si>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</si>
  <si>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</si>
  <si>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</si>
  <si>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</si>
  <si>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</si>
  <si>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</si>
  <si>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</si>
  <si>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</si>
  <si>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</si>
  <si>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</si>
  <si>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</si>
  <si>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</si>
  <si>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</si>
  <si>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</si>
  <si>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</si>
  <si>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</si>
  <si>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</si>
  <si>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</si>
  <si>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</si>
  <si>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</si>
  <si>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</si>
  <si>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</si>
  <si>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</si>
  <si>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</si>
  <si>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</si>
  <si>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</si>
  <si>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</si>
  <si>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</si>
  <si>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</si>
  <si>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</si>
  <si>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</si>
  <si>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</si>
  <si>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</si>
  <si>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</si>
  <si>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</si>
  <si>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</si>
  <si>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</si>
  <si>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</si>
  <si>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</si>
  <si>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</si>
  <si>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</si>
  <si>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</si>
  <si>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</si>
  <si>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</si>
  <si>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</si>
  <si>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</si>
  <si>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</si>
  <si>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</si>
  <si>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</si>
  <si>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</si>
  <si>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</si>
  <si>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</si>
  <si>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</si>
  <si>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</si>
  <si>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</si>
  <si>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</si>
  <si>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</si>
  <si>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</si>
  <si>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</si>
  <si>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</si>
  <si>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</si>
  <si>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</si>
  <si>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</si>
  <si>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</si>
  <si>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</si>
  <si>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</si>
  <si>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</si>
  <si>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</si>
  <si>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</si>
  <si>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</si>
  <si>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</si>
  <si>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</si>
  <si>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</si>
  <si>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</si>
  <si>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</si>
  <si>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</si>
  <si>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</si>
  <si>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</si>
  <si>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</si>
  <si>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</si>
  <si>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</si>
  <si>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</si>
  <si>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</si>
  <si>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</si>
  <si>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</si>
  <si>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</si>
  <si>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</si>
  <si>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</si>
  <si>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</si>
  <si>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</si>
  <si>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</si>
  <si>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</si>
  <si>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</si>
  <si>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</si>
  <si>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</si>
  <si>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</si>
  <si>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</si>
  <si>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</si>
  <si>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</si>
  <si>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</si>
  <si>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</si>
  <si>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なす専作</t>
    <rPh sb="2" eb="3">
      <t>セン</t>
    </rPh>
    <rPh sb="3" eb="4">
      <t>サク</t>
    </rPh>
    <phoneticPr fontId="3"/>
  </si>
  <si>
    <t>×</t>
    <phoneticPr fontId="4"/>
  </si>
  <si>
    <t>小型機械体系</t>
    <phoneticPr fontId="4"/>
  </si>
  <si>
    <t>10a機械</t>
    <phoneticPr fontId="4"/>
  </si>
  <si>
    <t>ハリコード</t>
    <phoneticPr fontId="4"/>
  </si>
  <si>
    <t>ｍ</t>
    <phoneticPr fontId="4"/>
  </si>
  <si>
    <t>防風ネット</t>
    <rPh sb="0" eb="2">
      <t>ボウフウ</t>
    </rPh>
    <phoneticPr fontId="4"/>
  </si>
  <si>
    <t>誘引ひも</t>
    <rPh sb="0" eb="2">
      <t>ユウイン</t>
    </rPh>
    <phoneticPr fontId="4"/>
  </si>
  <si>
    <t>光分解テープ</t>
    <rPh sb="0" eb="1">
      <t>ヒカリ</t>
    </rPh>
    <rPh sb="1" eb="3">
      <t>ブンカイ</t>
    </rPh>
    <phoneticPr fontId="4"/>
  </si>
  <si>
    <t>マルチ</t>
    <phoneticPr fontId="4"/>
  </si>
  <si>
    <t>直管パイプ</t>
    <rPh sb="0" eb="1">
      <t>チョク</t>
    </rPh>
    <rPh sb="1" eb="2">
      <t>カン</t>
    </rPh>
    <phoneticPr fontId="4"/>
  </si>
  <si>
    <t>本</t>
    <rPh sb="0" eb="1">
      <t>ホン</t>
    </rPh>
    <phoneticPr fontId="4"/>
  </si>
  <si>
    <t>発酵鶏糞</t>
    <rPh sb="0" eb="2">
      <t>ハッコウ</t>
    </rPh>
    <rPh sb="2" eb="4">
      <t>ケイフン</t>
    </rPh>
    <phoneticPr fontId="4"/>
  </si>
  <si>
    <t>牛糞堆肥</t>
    <rPh sb="0" eb="2">
      <t>ギュウフン</t>
    </rPh>
    <rPh sb="2" eb="4">
      <t>タイヒ</t>
    </rPh>
    <phoneticPr fontId="4"/>
  </si>
  <si>
    <t>ｋｇ</t>
    <phoneticPr fontId="4"/>
  </si>
  <si>
    <t>㎏</t>
    <phoneticPr fontId="4"/>
  </si>
  <si>
    <t>㎏</t>
    <phoneticPr fontId="4"/>
  </si>
  <si>
    <t>管理機</t>
  </si>
  <si>
    <t>４種類</t>
    <phoneticPr fontId="4"/>
  </si>
  <si>
    <t>耕起・整地・畦立・基肥</t>
  </si>
  <si>
    <t>定植準備</t>
  </si>
  <si>
    <t>潅水</t>
  </si>
  <si>
    <t>追肥</t>
  </si>
  <si>
    <t>病害虫防除</t>
  </si>
  <si>
    <t>後片づけ</t>
  </si>
  <si>
    <t>２種類</t>
    <phoneticPr fontId="4"/>
  </si>
  <si>
    <t>３種類</t>
    <phoneticPr fontId="4"/>
  </si>
  <si>
    <t>１種類</t>
    <phoneticPr fontId="4"/>
  </si>
  <si>
    <t>６種類</t>
    <phoneticPr fontId="4"/>
  </si>
  <si>
    <t>耕起・整地</t>
  </si>
  <si>
    <t>畝立て</t>
  </si>
  <si>
    <t>堆肥・肥料運搬</t>
  </si>
  <si>
    <t>病害虫防除</t>
    <rPh sb="0" eb="3">
      <t>ビョウガイチュウ</t>
    </rPh>
    <rPh sb="3" eb="5">
      <t>ボウジョ</t>
    </rPh>
    <phoneticPr fontId="4"/>
  </si>
  <si>
    <t>収穫</t>
    <rPh sb="0" eb="2">
      <t>シュウカク</t>
    </rPh>
    <phoneticPr fontId="4"/>
  </si>
  <si>
    <t>後片付け</t>
    <rPh sb="0" eb="3">
      <t>アトカタヅ</t>
    </rPh>
    <phoneticPr fontId="4"/>
  </si>
  <si>
    <t>袋</t>
    <phoneticPr fontId="4"/>
  </si>
  <si>
    <t>本</t>
    <rPh sb="0" eb="1">
      <t>ホン</t>
    </rPh>
    <phoneticPr fontId="4"/>
  </si>
  <si>
    <t>袋</t>
    <rPh sb="0" eb="1">
      <t>フクロ</t>
    </rPh>
    <phoneticPr fontId="4"/>
  </si>
  <si>
    <t>袋</t>
    <rPh sb="0" eb="1">
      <t>フクロ</t>
    </rPh>
    <phoneticPr fontId="4"/>
  </si>
  <si>
    <t>作目：</t>
    <phoneticPr fontId="4"/>
  </si>
  <si>
    <t>なす</t>
    <phoneticPr fontId="4"/>
  </si>
  <si>
    <t>定植</t>
    <rPh sb="0" eb="2">
      <t>テイショク</t>
    </rPh>
    <phoneticPr fontId="4"/>
  </si>
  <si>
    <t>定植準備</t>
    <rPh sb="0" eb="2">
      <t>テイショク</t>
    </rPh>
    <rPh sb="2" eb="4">
      <t>ジュンビ</t>
    </rPh>
    <phoneticPr fontId="4"/>
  </si>
  <si>
    <t>追肥</t>
    <rPh sb="0" eb="2">
      <t>ツイヒ</t>
    </rPh>
    <phoneticPr fontId="4"/>
  </si>
  <si>
    <t>なす</t>
    <phoneticPr fontId="3"/>
  </si>
  <si>
    <t>1～2</t>
    <phoneticPr fontId="4"/>
  </si>
  <si>
    <t>定植</t>
  </si>
  <si>
    <t>整枝・誘引</t>
  </si>
  <si>
    <t>収穫･調製･出荷</t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</si>
  <si>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</si>
  <si>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</si>
  <si>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</si>
  <si>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</si>
  <si>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</si>
  <si>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９　単価の算出基礎（なす，1kg当たり）</t>
    <rPh sb="2" eb="4">
      <t>タンカ</t>
    </rPh>
    <phoneticPr fontId="4"/>
  </si>
  <si>
    <t>なす</t>
    <phoneticPr fontId="4"/>
  </si>
  <si>
    <t>なす</t>
    <phoneticPr fontId="3"/>
  </si>
  <si>
    <t>　販売量×20円/kg</t>
    <phoneticPr fontId="4"/>
  </si>
  <si>
    <t>　販売量×10.8円/kg</t>
    <phoneticPr fontId="4"/>
  </si>
  <si>
    <t>　販売額×11.5%</t>
  </si>
  <si>
    <t>資材･農機具庫</t>
  </si>
  <si>
    <t>展着剤</t>
    <rPh sb="0" eb="3">
      <t>テンチャクザイ</t>
    </rPh>
    <phoneticPr fontId="4"/>
  </si>
  <si>
    <t>ℓ・kw／時</t>
    <rPh sb="5" eb="6">
      <t>ジ</t>
    </rPh>
    <phoneticPr fontId="4"/>
  </si>
  <si>
    <t>３　標準技術（なす）</t>
    <rPh sb="2" eb="4">
      <t>ヒョウジュン</t>
    </rPh>
    <rPh sb="4" eb="6">
      <t>ギジュツ</t>
    </rPh>
    <phoneticPr fontId="4"/>
  </si>
  <si>
    <t>８　経費の算出基礎（なす，10a当たり）</t>
    <rPh sb="2" eb="4">
      <t>ケイヒ</t>
    </rPh>
    <rPh sb="5" eb="7">
      <t>サンシュツ</t>
    </rPh>
    <rPh sb="7" eb="9">
      <t>キソ</t>
    </rPh>
    <rPh sb="16" eb="17">
      <t>ア</t>
    </rPh>
    <phoneticPr fontId="4"/>
  </si>
  <si>
    <t>５　作業別・旬別作業時間（なす）</t>
    <phoneticPr fontId="4"/>
  </si>
  <si>
    <t>７　経営収支（なす部門，10a当たり）</t>
    <rPh sb="9" eb="11">
      <t>ブモン</t>
    </rPh>
    <rPh sb="15" eb="16">
      <t>ア</t>
    </rPh>
    <phoneticPr fontId="4"/>
  </si>
  <si>
    <t>３作業</t>
    <rPh sb="1" eb="3">
      <t>サギョウ</t>
    </rPh>
    <phoneticPr fontId="4"/>
  </si>
  <si>
    <t>×</t>
    <phoneticPr fontId="4"/>
  </si>
  <si>
    <t>25ps</t>
    <phoneticPr fontId="4"/>
  </si>
  <si>
    <t>自走式防除機</t>
    <rPh sb="0" eb="3">
      <t>ジソウシキ</t>
    </rPh>
    <rPh sb="3" eb="5">
      <t>ボウジョ</t>
    </rPh>
    <rPh sb="5" eb="6">
      <t>キ</t>
    </rPh>
    <phoneticPr fontId="4"/>
  </si>
  <si>
    <t>200㍑</t>
    <phoneticPr fontId="4"/>
  </si>
  <si>
    <t>660ｃｃ</t>
    <phoneticPr fontId="4"/>
  </si>
  <si>
    <t>6.3ｐｓ</t>
    <phoneticPr fontId="4"/>
  </si>
  <si>
    <t>2.2ｐｓ，250ｋｇ積み</t>
    <rPh sb="11" eb="12">
      <t>ヅ</t>
    </rPh>
    <phoneticPr fontId="4"/>
  </si>
  <si>
    <t>トップカー</t>
  </si>
  <si>
    <t>筑陽</t>
    <rPh sb="0" eb="1">
      <t>チク</t>
    </rPh>
    <rPh sb="1" eb="2">
      <t>ヨウ</t>
    </rPh>
    <phoneticPr fontId="4"/>
  </si>
  <si>
    <t>ホーラー</t>
    <phoneticPr fontId="4"/>
  </si>
  <si>
    <t>台</t>
    <rPh sb="0" eb="1">
      <t>ダイ</t>
    </rPh>
    <phoneticPr fontId="4"/>
  </si>
  <si>
    <t>園芸結束機</t>
    <rPh sb="0" eb="2">
      <t>エンゲイ</t>
    </rPh>
    <rPh sb="2" eb="4">
      <t>ケッソク</t>
    </rPh>
    <rPh sb="4" eb="5">
      <t>キ</t>
    </rPh>
    <phoneticPr fontId="4"/>
  </si>
  <si>
    <t>剪定はさみ</t>
    <rPh sb="0" eb="2">
      <t>センテイ</t>
    </rPh>
    <phoneticPr fontId="4"/>
  </si>
  <si>
    <t>本</t>
    <rPh sb="0" eb="1">
      <t>ホン</t>
    </rPh>
    <phoneticPr fontId="4"/>
  </si>
  <si>
    <t>コンテナ</t>
    <phoneticPr fontId="4"/>
  </si>
  <si>
    <t>個</t>
    <rPh sb="0" eb="1">
      <t>コ</t>
    </rPh>
    <phoneticPr fontId="4"/>
  </si>
  <si>
    <t>コンテナキャリー</t>
    <phoneticPr fontId="4"/>
  </si>
  <si>
    <t>トラクター</t>
    <phoneticPr fontId="4"/>
  </si>
  <si>
    <t>耕起・整地・畦立・基肥</t>
    <phoneticPr fontId="4"/>
  </si>
  <si>
    <t>潅水</t>
    <rPh sb="0" eb="2">
      <t>カンスイ</t>
    </rPh>
    <phoneticPr fontId="4"/>
  </si>
  <si>
    <t>整枝・誘引</t>
    <rPh sb="0" eb="2">
      <t>セイシ</t>
    </rPh>
    <rPh sb="3" eb="5">
      <t>ユウイン</t>
    </rPh>
    <phoneticPr fontId="4"/>
  </si>
  <si>
    <t>4～5月</t>
    <rPh sb="3" eb="4">
      <t>ガツ</t>
    </rPh>
    <phoneticPr fontId="4"/>
  </si>
  <si>
    <t xml:space="preserve">
</t>
    <phoneticPr fontId="4"/>
  </si>
  <si>
    <t>3～4月</t>
    <rPh sb="3" eb="4">
      <t>ガツ</t>
    </rPh>
    <phoneticPr fontId="4"/>
  </si>
  <si>
    <t>肥料散布機</t>
    <rPh sb="0" eb="2">
      <t>ヒリョウ</t>
    </rPh>
    <rPh sb="2" eb="4">
      <t>サンプ</t>
    </rPh>
    <rPh sb="4" eb="5">
      <t>キ</t>
    </rPh>
    <phoneticPr fontId="4"/>
  </si>
  <si>
    <t>0.6ha（借地0.6ha）</t>
    <phoneticPr fontId="4"/>
  </si>
  <si>
    <t>0.6ha</t>
    <phoneticPr fontId="4"/>
  </si>
  <si>
    <t>右表（粗収益の算出基礎）「広島中央卸売市場全国５ヶ年平均」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3" eb="15">
      <t>ヒロシマ</t>
    </rPh>
    <rPh sb="15" eb="17">
      <t>チュウオウ</t>
    </rPh>
    <rPh sb="17" eb="19">
      <t>オロシウリ</t>
    </rPh>
    <rPh sb="19" eb="21">
      <t>シジョウ</t>
    </rPh>
    <rPh sb="21" eb="23">
      <t>ゼンコク</t>
    </rPh>
    <rPh sb="25" eb="26">
      <t>ネン</t>
    </rPh>
    <rPh sb="26" eb="28">
      <t>ヘイキン</t>
    </rPh>
    <phoneticPr fontId="4"/>
  </si>
  <si>
    <t>個選共販</t>
    <rPh sb="0" eb="1">
      <t>コ</t>
    </rPh>
    <rPh sb="2" eb="4">
      <t>キョウハン</t>
    </rPh>
    <phoneticPr fontId="4"/>
  </si>
  <si>
    <t>※法人経営調査(平成17年度版）の数値を参照</t>
    <rPh sb="20" eb="22">
      <t>サンショウ</t>
    </rPh>
    <phoneticPr fontId="4"/>
  </si>
  <si>
    <t>ソルゴー種</t>
    <rPh sb="4" eb="5">
      <t>タネ</t>
    </rPh>
    <phoneticPr fontId="4"/>
  </si>
  <si>
    <t>500本/10a定植</t>
    <rPh sb="3" eb="4">
      <t>ホン</t>
    </rPh>
    <rPh sb="8" eb="10">
      <t>テイショク</t>
    </rPh>
    <phoneticPr fontId="3"/>
  </si>
  <si>
    <t>ｍ</t>
    <phoneticPr fontId="4"/>
  </si>
  <si>
    <t xml:space="preserve">障壁作物（ソルゴー）での囲い込みによる総合防除
</t>
    <rPh sb="0" eb="2">
      <t>ショウヘキ</t>
    </rPh>
    <rPh sb="2" eb="4">
      <t>サクモツ</t>
    </rPh>
    <rPh sb="12" eb="13">
      <t>カコ</t>
    </rPh>
    <rPh sb="14" eb="15">
      <t>コ</t>
    </rPh>
    <rPh sb="19" eb="21">
      <t>ソウゴウ</t>
    </rPh>
    <rPh sb="21" eb="23">
      <t>ボウジョ</t>
    </rPh>
    <phoneticPr fontId="3"/>
  </si>
  <si>
    <t>ml</t>
    <phoneticPr fontId="4"/>
  </si>
  <si>
    <t>トマトトーン</t>
  </si>
  <si>
    <t>ホルモン処理機</t>
    <rPh sb="4" eb="7">
      <t>ショリキ</t>
    </rPh>
    <phoneticPr fontId="4"/>
  </si>
  <si>
    <t>２種類</t>
    <rPh sb="1" eb="3">
      <t>シュルイ</t>
    </rPh>
    <phoneticPr fontId="4"/>
  </si>
  <si>
    <t>中部</t>
    <rPh sb="0" eb="1">
      <t>チュウブ</t>
    </rPh>
    <phoneticPr fontId="3"/>
  </si>
  <si>
    <t>１０a/６０a</t>
  </si>
  <si>
    <t>１０a/６０a</t>
    <phoneticPr fontId="4"/>
  </si>
  <si>
    <t>１０a/６０a</t>
    <phoneticPr fontId="4"/>
  </si>
  <si>
    <t>１０a/６０a</t>
    <phoneticPr fontId="4"/>
  </si>
  <si>
    <t>9ｃｍポット苗</t>
    <phoneticPr fontId="4"/>
  </si>
  <si>
    <t>筑陽　接木苗</t>
    <rPh sb="0" eb="1">
      <t>チク</t>
    </rPh>
    <rPh sb="1" eb="2">
      <t>ヨウ</t>
    </rPh>
    <rPh sb="3" eb="4">
      <t>ツ</t>
    </rPh>
    <rPh sb="4" eb="5">
      <t>キ</t>
    </rPh>
    <rPh sb="5" eb="6">
      <t>ナエ</t>
    </rPh>
    <phoneticPr fontId="4"/>
  </si>
  <si>
    <t>個別経営体</t>
    <rPh sb="0" eb="2">
      <t>コベツ</t>
    </rPh>
    <rPh sb="2" eb="5">
      <t>ケイエイタイ</t>
    </rPh>
    <phoneticPr fontId="3"/>
  </si>
  <si>
    <t>夏秋どり</t>
    <rPh sb="0" eb="1">
      <t>ナツ</t>
    </rPh>
    <rPh sb="1" eb="2">
      <t>アキ</t>
    </rPh>
    <phoneticPr fontId="3"/>
  </si>
  <si>
    <t>水田転換畑</t>
    <rPh sb="2" eb="4">
      <t>テンカン</t>
    </rPh>
    <rPh sb="4" eb="5">
      <t>ハタケ</t>
    </rPh>
    <phoneticPr fontId="4"/>
  </si>
  <si>
    <t>なす　夏秋どり</t>
    <rPh sb="3" eb="4">
      <t>ナツ</t>
    </rPh>
    <rPh sb="4" eb="5">
      <t>アキ</t>
    </rPh>
    <phoneticPr fontId="4"/>
  </si>
  <si>
    <t>夏秋どり</t>
    <rPh sb="0" eb="1">
      <t>ナツ</t>
    </rPh>
    <rPh sb="1" eb="2">
      <t>アキ</t>
    </rPh>
    <phoneticPr fontId="4"/>
  </si>
  <si>
    <t>3,000円/10a</t>
    <rPh sb="5" eb="6">
      <t>エン</t>
    </rPh>
    <phoneticPr fontId="4"/>
  </si>
  <si>
    <t>○：播種　△：仮植　×：定植   ■：収穫</t>
    <rPh sb="19" eb="21">
      <t>シュウカク</t>
    </rPh>
    <phoneticPr fontId="4"/>
  </si>
  <si>
    <t>耕起・整地・畝立・基肥</t>
    <phoneticPr fontId="4"/>
  </si>
  <si>
    <t>自家労力2.5人，雇用</t>
    <rPh sb="0" eb="2">
      <t>ジカ</t>
    </rPh>
    <rPh sb="2" eb="4">
      <t>ロウリョク</t>
    </rPh>
    <rPh sb="7" eb="8">
      <t>ニン</t>
    </rPh>
    <phoneticPr fontId="4"/>
  </si>
  <si>
    <t>2.5人</t>
    <rPh sb="3" eb="4">
      <t>ニン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</si>
  <si>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</si>
  <si>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</si>
  <si>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</si>
  <si>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5月中旬</t>
    <rPh sb="1" eb="2">
      <t>ガツ</t>
    </rPh>
    <rPh sb="2" eb="3">
      <t>チュウ</t>
    </rPh>
    <rPh sb="3" eb="4">
      <t>ジュン</t>
    </rPh>
    <phoneticPr fontId="4"/>
  </si>
  <si>
    <t>5月下旬～10月中旬</t>
    <rPh sb="1" eb="2">
      <t>ガツ</t>
    </rPh>
    <rPh sb="2" eb="3">
      <t>ゲ</t>
    </rPh>
    <rPh sb="3" eb="4">
      <t>ジュン</t>
    </rPh>
    <rPh sb="7" eb="8">
      <t>ガツ</t>
    </rPh>
    <rPh sb="8" eb="9">
      <t>チュウ</t>
    </rPh>
    <rPh sb="9" eb="10">
      <t>ジュン</t>
    </rPh>
    <phoneticPr fontId="4"/>
  </si>
  <si>
    <t>6月中旬～10月中旬</t>
    <rPh sb="1" eb="2">
      <t>ガツ</t>
    </rPh>
    <rPh sb="2" eb="3">
      <t>ナカ</t>
    </rPh>
    <rPh sb="3" eb="4">
      <t>ジュン</t>
    </rPh>
    <rPh sb="7" eb="8">
      <t>ガツ</t>
    </rPh>
    <rPh sb="8" eb="9">
      <t>ナカ</t>
    </rPh>
    <rPh sb="9" eb="10">
      <t>ジュン</t>
    </rPh>
    <phoneticPr fontId="4"/>
  </si>
  <si>
    <t>6月中旬～10月中旬</t>
    <rPh sb="1" eb="2">
      <t>ガツ</t>
    </rPh>
    <rPh sb="2" eb="3">
      <t>チュウ</t>
    </rPh>
    <rPh sb="3" eb="4">
      <t>ジュン</t>
    </rPh>
    <rPh sb="7" eb="8">
      <t>ガツ</t>
    </rPh>
    <rPh sb="8" eb="9">
      <t>チュウ</t>
    </rPh>
    <rPh sb="9" eb="10">
      <t>ジュン</t>
    </rPh>
    <phoneticPr fontId="4"/>
  </si>
  <si>
    <t>6月上旬～10月中旬</t>
    <rPh sb="1" eb="2">
      <t>ガツ</t>
    </rPh>
    <rPh sb="2" eb="3">
      <t>ウエ</t>
    </rPh>
    <rPh sb="3" eb="4">
      <t>ジュン</t>
    </rPh>
    <rPh sb="7" eb="8">
      <t>ガツ</t>
    </rPh>
    <rPh sb="8" eb="9">
      <t>チュウ</t>
    </rPh>
    <rPh sb="9" eb="10">
      <t>ジュン</t>
    </rPh>
    <phoneticPr fontId="4"/>
  </si>
  <si>
    <t>6月下旬～10月下旬</t>
    <rPh sb="1" eb="2">
      <t>ガツ</t>
    </rPh>
    <rPh sb="2" eb="3">
      <t>ゲ</t>
    </rPh>
    <rPh sb="3" eb="4">
      <t>ジュン</t>
    </rPh>
    <rPh sb="7" eb="8">
      <t>ガツ</t>
    </rPh>
    <rPh sb="8" eb="9">
      <t>ゲ</t>
    </rPh>
    <rPh sb="9" eb="10">
      <t>ジュン</t>
    </rPh>
    <phoneticPr fontId="4"/>
  </si>
  <si>
    <t>11月中旬</t>
    <rPh sb="2" eb="3">
      <t>ガツ</t>
    </rPh>
    <rPh sb="3" eb="4">
      <t>チュウ</t>
    </rPh>
    <rPh sb="4" eb="5">
      <t>ジュン</t>
    </rPh>
    <phoneticPr fontId="4"/>
  </si>
  <si>
    <t>トップカー
トラクター
管理機</t>
    <rPh sb="12" eb="14">
      <t>カンリ</t>
    </rPh>
    <rPh sb="14" eb="15">
      <t>キ</t>
    </rPh>
    <phoneticPr fontId="4"/>
  </si>
  <si>
    <t>有機物資材　2種類
土づくり資材　2種類
化成肥料　3種類</t>
    <rPh sb="0" eb="3">
      <t>ユウキブツ</t>
    </rPh>
    <rPh sb="3" eb="5">
      <t>シザイ</t>
    </rPh>
    <rPh sb="7" eb="9">
      <t>シュルイ</t>
    </rPh>
    <rPh sb="10" eb="11">
      <t>ツチ</t>
    </rPh>
    <rPh sb="14" eb="16">
      <t>シザイ</t>
    </rPh>
    <rPh sb="18" eb="20">
      <t>シュルイ</t>
    </rPh>
    <rPh sb="21" eb="23">
      <t>カセイ</t>
    </rPh>
    <rPh sb="23" eb="25">
      <t>ヒリョウ</t>
    </rPh>
    <rPh sb="27" eb="29">
      <t>シュルイ</t>
    </rPh>
    <phoneticPr fontId="4"/>
  </si>
  <si>
    <t>マルチ
支柱
ハリコード
防風ネット
ソルゴー種</t>
    <rPh sb="4" eb="6">
      <t>シチュウ</t>
    </rPh>
    <rPh sb="13" eb="15">
      <t>ボウフウ</t>
    </rPh>
    <rPh sb="23" eb="24">
      <t>タネ</t>
    </rPh>
    <phoneticPr fontId="4"/>
  </si>
  <si>
    <t>購入接木苗500本（台木：トルバム）　　</t>
    <rPh sb="0" eb="2">
      <t>コウニュウ</t>
    </rPh>
    <rPh sb="2" eb="3">
      <t>ツ</t>
    </rPh>
    <rPh sb="3" eb="4">
      <t>キ</t>
    </rPh>
    <rPh sb="4" eb="5">
      <t>ナエ</t>
    </rPh>
    <rPh sb="8" eb="9">
      <t>ホン</t>
    </rPh>
    <rPh sb="10" eb="12">
      <t>ダイキ</t>
    </rPh>
    <phoneticPr fontId="4"/>
  </si>
  <si>
    <t>化成肥料　1種類　</t>
    <rPh sb="0" eb="2">
      <t>カセイ</t>
    </rPh>
    <rPh sb="2" eb="4">
      <t>ヒリョウ</t>
    </rPh>
    <rPh sb="6" eb="8">
      <t>シュルイ</t>
    </rPh>
    <phoneticPr fontId="4"/>
  </si>
  <si>
    <t>誘引ひも
光分解テープ
ホルモン処理機
トマトトーン</t>
    <rPh sb="0" eb="2">
      <t>ユウイン</t>
    </rPh>
    <rPh sb="5" eb="6">
      <t>ヒカリ</t>
    </rPh>
    <rPh sb="6" eb="8">
      <t>ブンカイ</t>
    </rPh>
    <phoneticPr fontId="4"/>
  </si>
  <si>
    <t>殺菌剤　4種類
殺虫剤　6種類
展着剤　1種類</t>
    <rPh sb="0" eb="2">
      <t>サッキン</t>
    </rPh>
    <rPh sb="2" eb="3">
      <t>ザイ</t>
    </rPh>
    <rPh sb="5" eb="7">
      <t>シュルイ</t>
    </rPh>
    <rPh sb="8" eb="10">
      <t>サッチュウ</t>
    </rPh>
    <rPh sb="10" eb="11">
      <t>ザイ</t>
    </rPh>
    <rPh sb="13" eb="15">
      <t>シュルイ</t>
    </rPh>
    <rPh sb="16" eb="19">
      <t>テンチャクザイ</t>
    </rPh>
    <rPh sb="21" eb="23">
      <t>シュルイ</t>
    </rPh>
    <phoneticPr fontId="4"/>
  </si>
  <si>
    <t>コンテナ
ダンボール箱</t>
    <rPh sb="10" eb="11">
      <t>ハコ</t>
    </rPh>
    <phoneticPr fontId="4"/>
  </si>
  <si>
    <t xml:space="preserve">
堆肥投入
耕起，整地
明渠設置
基肥施用</t>
    <rPh sb="1" eb="3">
      <t>タイヒ</t>
    </rPh>
    <rPh sb="3" eb="5">
      <t>トウニュウ</t>
    </rPh>
    <rPh sb="6" eb="8">
      <t>コウキ</t>
    </rPh>
    <rPh sb="9" eb="11">
      <t>セイチ</t>
    </rPh>
    <rPh sb="12" eb="14">
      <t>メイキョ</t>
    </rPh>
    <rPh sb="14" eb="16">
      <t>セッチ</t>
    </rPh>
    <rPh sb="17" eb="18">
      <t>キ</t>
    </rPh>
    <rPh sb="19" eb="21">
      <t>セヨウ</t>
    </rPh>
    <phoneticPr fontId="4"/>
  </si>
  <si>
    <t xml:space="preserve">
マルチ
支柱設置
ほ場周囲にソルゴー播種</t>
    <rPh sb="5" eb="7">
      <t>シチュウ</t>
    </rPh>
    <rPh sb="7" eb="9">
      <t>セッチ</t>
    </rPh>
    <rPh sb="11" eb="12">
      <t>ジョウ</t>
    </rPh>
    <rPh sb="12" eb="14">
      <t>シュウイ</t>
    </rPh>
    <rPh sb="19" eb="21">
      <t>ハシュ</t>
    </rPh>
    <phoneticPr fontId="4"/>
  </si>
  <si>
    <t xml:space="preserve">
10a当たり500本，
1条植え</t>
    <rPh sb="4" eb="5">
      <t>ア</t>
    </rPh>
    <rPh sb="10" eb="11">
      <t>ホン</t>
    </rPh>
    <rPh sb="14" eb="15">
      <t>ジョウ</t>
    </rPh>
    <rPh sb="15" eb="16">
      <t>ウ</t>
    </rPh>
    <phoneticPr fontId="4"/>
  </si>
  <si>
    <t xml:space="preserve">
畝間潅水
</t>
    <rPh sb="2" eb="3">
      <t>マ</t>
    </rPh>
    <rPh sb="3" eb="5">
      <t>カンスイ</t>
    </rPh>
    <phoneticPr fontId="4"/>
  </si>
  <si>
    <t xml:space="preserve">
灰色カビ病，褐紋病，ハダニ，チャノホコリダニ，ハスモンヨトウなどに注意し薬剤散布</t>
    <rPh sb="1" eb="3">
      <t>ハイイロ</t>
    </rPh>
    <rPh sb="5" eb="6">
      <t>ビョウ</t>
    </rPh>
    <rPh sb="7" eb="8">
      <t>カツ</t>
    </rPh>
    <rPh sb="8" eb="9">
      <t>モン</t>
    </rPh>
    <rPh sb="9" eb="10">
      <t>ビョウ</t>
    </rPh>
    <rPh sb="34" eb="36">
      <t>チュウイ</t>
    </rPh>
    <rPh sb="37" eb="39">
      <t>ヤクザイ</t>
    </rPh>
    <rPh sb="39" eb="41">
      <t>サンプ</t>
    </rPh>
    <phoneticPr fontId="4"/>
  </si>
  <si>
    <t xml:space="preserve">
収穫は午前中におこない，5㎏入ダンボールに詰めて出荷</t>
    <rPh sb="1" eb="3">
      <t>シュウカク</t>
    </rPh>
    <rPh sb="4" eb="6">
      <t>ゴゼン</t>
    </rPh>
    <rPh sb="6" eb="7">
      <t>チュウ</t>
    </rPh>
    <rPh sb="15" eb="16">
      <t>イ</t>
    </rPh>
    <rPh sb="22" eb="23">
      <t>ツ</t>
    </rPh>
    <rPh sb="25" eb="27">
      <t>シュッカ</t>
    </rPh>
    <phoneticPr fontId="4"/>
  </si>
  <si>
    <t xml:space="preserve">
作物残渣，パイプ，マルチ等片付け</t>
    <rPh sb="1" eb="3">
      <t>サクモツ</t>
    </rPh>
    <rPh sb="3" eb="5">
      <t>ザンサ</t>
    </rPh>
    <rPh sb="13" eb="14">
      <t>トウ</t>
    </rPh>
    <rPh sb="14" eb="16">
      <t>カタヅ</t>
    </rPh>
    <phoneticPr fontId="4"/>
  </si>
  <si>
    <t xml:space="preserve">
深耕につとめる。</t>
    <rPh sb="1" eb="3">
      <t>シンコウ</t>
    </rPh>
    <phoneticPr fontId="4"/>
  </si>
  <si>
    <t xml:space="preserve">
ソルゴーの播種は晩霜の心配がなくなる時期（5月上旬頃）が目安。</t>
    <rPh sb="6" eb="8">
      <t>ハシュ</t>
    </rPh>
    <rPh sb="9" eb="11">
      <t>バンソウ</t>
    </rPh>
    <rPh sb="12" eb="14">
      <t>シンパイ</t>
    </rPh>
    <rPh sb="19" eb="21">
      <t>ジキ</t>
    </rPh>
    <rPh sb="23" eb="24">
      <t>ガツ</t>
    </rPh>
    <rPh sb="24" eb="26">
      <t>ジョウジュン</t>
    </rPh>
    <rPh sb="26" eb="27">
      <t>コロ</t>
    </rPh>
    <rPh sb="29" eb="31">
      <t>メヤス</t>
    </rPh>
    <phoneticPr fontId="4"/>
  </si>
  <si>
    <t xml:space="preserve">
鉢土が1～２㎝出る程度の浅植えとする。</t>
    <phoneticPr fontId="4"/>
  </si>
  <si>
    <t xml:space="preserve">
つやなし果の発生が多くなるため，ほ場が乾燥しないように注意</t>
    <phoneticPr fontId="4"/>
  </si>
  <si>
    <t xml:space="preserve">
ホルモン処理は，1花房あたり1回とする。</t>
    <rPh sb="5" eb="7">
      <t>ショリ</t>
    </rPh>
    <rPh sb="10" eb="11">
      <t>カ</t>
    </rPh>
    <rPh sb="11" eb="12">
      <t>ボウ</t>
    </rPh>
    <rPh sb="16" eb="17">
      <t>カイ</t>
    </rPh>
    <phoneticPr fontId="4"/>
  </si>
  <si>
    <t xml:space="preserve">
散布量を十分にする。</t>
    <rPh sb="1" eb="3">
      <t>サンプ</t>
    </rPh>
    <rPh sb="3" eb="4">
      <t>リョウ</t>
    </rPh>
    <rPh sb="5" eb="7">
      <t>ジュウブン</t>
    </rPh>
    <phoneticPr fontId="4"/>
  </si>
  <si>
    <t xml:space="preserve">
高温時に収穫しない。</t>
    <rPh sb="1" eb="4">
      <t>コウオンジ</t>
    </rPh>
    <rPh sb="5" eb="7">
      <t>シュウカク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</si>
  <si>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</si>
  <si>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</si>
  <si>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</si>
  <si>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 xml:space="preserve">
樹勢を見ながら，追肥を施用</t>
    <rPh sb="1" eb="3">
      <t>ジュセイ</t>
    </rPh>
    <rPh sb="4" eb="5">
      <t>ミ</t>
    </rPh>
    <rPh sb="9" eb="11">
      <t>ツイヒ</t>
    </rPh>
    <rPh sb="12" eb="14">
      <t>セヨウ</t>
    </rPh>
    <phoneticPr fontId="4"/>
  </si>
  <si>
    <t xml:space="preserve">
Ｖ字型整枝3本仕立て
切り戻し剪定
1番花～3番花くらいまでは，トマトトーンを開花当日に散布</t>
    <rPh sb="2" eb="4">
      <t>ジガタ</t>
    </rPh>
    <rPh sb="4" eb="6">
      <t>セイシ</t>
    </rPh>
    <rPh sb="7" eb="8">
      <t>ホン</t>
    </rPh>
    <rPh sb="8" eb="10">
      <t>シタ</t>
    </rPh>
    <rPh sb="12" eb="13">
      <t>キ</t>
    </rPh>
    <rPh sb="14" eb="15">
      <t>モド</t>
    </rPh>
    <rPh sb="16" eb="18">
      <t>センテイ</t>
    </rPh>
    <phoneticPr fontId="4"/>
  </si>
  <si>
    <t>収穫・調製・出荷</t>
    <rPh sb="0" eb="2">
      <t>シュウカク</t>
    </rPh>
    <rPh sb="3" eb="5">
      <t>チョウセイ</t>
    </rPh>
    <rPh sb="6" eb="8">
      <t>シュッカ</t>
    </rPh>
    <phoneticPr fontId="4"/>
  </si>
  <si>
    <t>収穫･調製･出荷</t>
    <rPh sb="3" eb="5">
      <t>チョウセイ</t>
    </rPh>
    <phoneticPr fontId="4"/>
  </si>
  <si>
    <t>A</t>
    <phoneticPr fontId="4"/>
  </si>
  <si>
    <t>B</t>
    <phoneticPr fontId="3"/>
  </si>
  <si>
    <t>A</t>
    <phoneticPr fontId="4"/>
  </si>
  <si>
    <t>B</t>
    <phoneticPr fontId="4"/>
  </si>
  <si>
    <t>B</t>
    <phoneticPr fontId="4"/>
  </si>
  <si>
    <t>C</t>
    <phoneticPr fontId="4"/>
  </si>
  <si>
    <t>D</t>
    <phoneticPr fontId="4"/>
  </si>
  <si>
    <t>C</t>
    <phoneticPr fontId="4"/>
  </si>
  <si>
    <t>D</t>
    <phoneticPr fontId="4"/>
  </si>
  <si>
    <t>E</t>
    <phoneticPr fontId="4"/>
  </si>
  <si>
    <t>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</si>
</sst>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3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5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5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1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69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5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3" xfId="2" applyFont="1" applyBorder="1" applyAlignment="1">
      <alignment horizontal="center" vertical="center" wrapText="1"/>
    </xf>
    <xf numFmtId="0" fontId="1" fillId="0" borderId="85" xfId="2" applyFont="1" applyBorder="1" applyAlignment="1">
      <alignment vertical="center" wrapText="1"/>
    </xf>
    <xf numFmtId="0" fontId="8" fillId="0" borderId="85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8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55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8" fontId="0" fillId="2" borderId="10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/>
    </xf>
    <xf numFmtId="177" fontId="0" fillId="0" borderId="85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8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9" fontId="0" fillId="0" borderId="126" xfId="0" applyNumberFormat="1" applyFont="1" applyBorder="1" applyAlignment="1">
      <alignment horizontal="center" vertical="center" shrinkToFit="1"/>
    </xf>
    <xf numFmtId="176" fontId="0" fillId="6" borderId="112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51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1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0" borderId="72" xfId="0" applyNumberFormat="1" applyFont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2" borderId="111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9" xfId="0" applyNumberFormat="1" applyFill="1" applyBorder="1" applyAlignment="1">
      <alignment vertical="center"/>
    </xf>
    <xf numFmtId="177" fontId="0" fillId="6" borderId="140" xfId="0" applyNumberFormat="1" applyFont="1" applyFill="1" applyBorder="1" applyAlignment="1">
      <alignment vertical="center" shrinkToFit="1"/>
    </xf>
    <xf numFmtId="177" fontId="0" fillId="0" borderId="140" xfId="3" applyNumberFormat="1" applyFont="1" applyBorder="1" applyAlignment="1">
      <alignment vertical="center"/>
    </xf>
    <xf numFmtId="177" fontId="0" fillId="0" borderId="105" xfId="3" applyNumberFormat="1" applyFont="1" applyBorder="1" applyAlignment="1">
      <alignment horizontal="right" vertical="center"/>
    </xf>
    <xf numFmtId="177" fontId="0" fillId="0" borderId="105" xfId="3" applyNumberFormat="1" applyFont="1" applyBorder="1" applyAlignment="1">
      <alignment horizontal="left" vertical="center" shrinkToFit="1"/>
    </xf>
    <xf numFmtId="177" fontId="0" fillId="0" borderId="141" xfId="0" applyNumberFormat="1" applyFont="1" applyBorder="1" applyAlignment="1">
      <alignment vertical="center"/>
    </xf>
    <xf numFmtId="177" fontId="0" fillId="0" borderId="139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2" xfId="3" applyNumberFormat="1" applyFont="1" applyBorder="1" applyAlignment="1">
      <alignment vertical="center" shrinkToFit="1"/>
    </xf>
    <xf numFmtId="177" fontId="0" fillId="0" borderId="142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horizontal="center"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vertical="center"/>
    </xf>
    <xf numFmtId="178" fontId="0" fillId="0" borderId="139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5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8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2" xfId="0" applyNumberFormat="1" applyFont="1" applyFill="1" applyBorder="1" applyAlignment="1">
      <alignment vertical="center" shrinkToFit="1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3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9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2" xfId="0" applyNumberFormat="1" applyFont="1" applyFill="1" applyBorder="1" applyAlignment="1">
      <alignment horizontal="left" vertical="center"/>
    </xf>
    <xf numFmtId="177" fontId="0" fillId="0" borderId="142" xfId="3" applyNumberFormat="1" applyFont="1" applyFill="1" applyBorder="1" applyAlignment="1">
      <alignment vertical="center" shrinkToFit="1"/>
    </xf>
    <xf numFmtId="178" fontId="0" fillId="0" borderId="143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5" xfId="3" applyNumberFormat="1" applyFont="1" applyBorder="1" applyAlignment="1">
      <alignment horizontal="center" vertical="center" shrinkToFit="1"/>
    </xf>
    <xf numFmtId="177" fontId="0" fillId="0" borderId="73" xfId="3" applyNumberFormat="1" applyFont="1" applyBorder="1" applyAlignment="1">
      <alignment horizontal="center" vertical="center" shrinkToFit="1"/>
    </xf>
    <xf numFmtId="176" fontId="0" fillId="2" borderId="49" xfId="0" applyNumberFormat="1" applyFont="1" applyFill="1" applyBorder="1" applyAlignment="1">
      <alignment horizontal="center" vertical="center" shrinkToFit="1"/>
    </xf>
    <xf numFmtId="177" fontId="0" fillId="2" borderId="49" xfId="0" applyNumberFormat="1" applyFont="1" applyFill="1" applyBorder="1" applyAlignment="1">
      <alignment vertical="center" shrinkToFit="1"/>
    </xf>
    <xf numFmtId="177" fontId="0" fillId="0" borderId="150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48" xfId="0" applyNumberFormat="1" applyFont="1" applyFill="1" applyBorder="1" applyAlignment="1">
      <alignment vertical="center" shrinkToFit="1"/>
    </xf>
    <xf numFmtId="176" fontId="0" fillId="2" borderId="62" xfId="0" applyNumberFormat="1" applyFont="1" applyFill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9" xfId="3" applyNumberFormat="1" applyFont="1" applyFill="1" applyBorder="1" applyAlignment="1">
      <alignment horizontal="center" vertical="center" shrinkToFit="1"/>
    </xf>
    <xf numFmtId="177" fontId="0" fillId="2" borderId="49" xfId="3" applyNumberFormat="1" applyFont="1" applyFill="1" applyBorder="1" applyAlignment="1">
      <alignment vertical="center" shrinkToFit="1"/>
    </xf>
    <xf numFmtId="176" fontId="0" fillId="6" borderId="148" xfId="0" applyNumberFormat="1" applyFont="1" applyFill="1" applyBorder="1" applyAlignment="1">
      <alignment vertical="center"/>
    </xf>
    <xf numFmtId="176" fontId="0" fillId="0" borderId="150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9" xfId="0" applyNumberFormat="1" applyFont="1" applyBorder="1" applyAlignment="1">
      <alignment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vertical="center" shrinkToFit="1"/>
    </xf>
    <xf numFmtId="176" fontId="0" fillId="6" borderId="108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7" fontId="0" fillId="0" borderId="106" xfId="0" applyNumberFormat="1" applyFont="1" applyBorder="1" applyAlignment="1">
      <alignment horizontal="center" vertical="center" shrinkToFit="1"/>
    </xf>
    <xf numFmtId="177" fontId="0" fillId="2" borderId="132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51" xfId="0" applyNumberFormat="1" applyFont="1" applyBorder="1" applyAlignment="1">
      <alignment vertical="center"/>
    </xf>
    <xf numFmtId="176" fontId="0" fillId="0" borderId="154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59" xfId="0" applyNumberFormat="1" applyFont="1" applyFill="1" applyBorder="1" applyAlignment="1">
      <alignment vertical="center" shrinkToFit="1"/>
    </xf>
    <xf numFmtId="176" fontId="0" fillId="2" borderId="160" xfId="0" applyNumberFormat="1" applyFont="1" applyFill="1" applyBorder="1" applyAlignment="1">
      <alignment vertical="center" shrinkToFit="1"/>
    </xf>
    <xf numFmtId="177" fontId="0" fillId="2" borderId="156" xfId="3" applyNumberFormat="1" applyFont="1" applyFill="1" applyBorder="1" applyAlignment="1">
      <alignment horizontal="center" vertical="center" shrinkToFit="1"/>
    </xf>
    <xf numFmtId="177" fontId="0" fillId="2" borderId="156" xfId="3" applyNumberFormat="1" applyFont="1" applyFill="1" applyBorder="1" applyAlignment="1">
      <alignment vertical="center" shrinkToFit="1"/>
    </xf>
    <xf numFmtId="176" fontId="0" fillId="6" borderId="161" xfId="0" applyNumberFormat="1" applyFon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6" xfId="0" applyFont="1" applyBorder="1" applyAlignment="1">
      <alignment horizontal="center" vertical="center" shrinkToFit="1"/>
    </xf>
    <xf numFmtId="0" fontId="8" fillId="0" borderId="169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3" xfId="0" applyNumberFormat="1" applyFont="1" applyBorder="1" applyAlignment="1">
      <alignment vertical="center"/>
    </xf>
    <xf numFmtId="176" fontId="0" fillId="0" borderId="85" xfId="0" applyNumberFormat="1" applyBorder="1" applyAlignment="1">
      <alignment vertical="center"/>
    </xf>
    <xf numFmtId="176" fontId="0" fillId="0" borderId="85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6" fontId="0" fillId="0" borderId="75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39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23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60" xfId="0" applyNumberFormat="1" applyFont="1" applyBorder="1" applyAlignment="1">
      <alignment vertical="center" shrinkToFit="1"/>
    </xf>
    <xf numFmtId="176" fontId="0" fillId="0" borderId="51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6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69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5" xfId="0" applyNumberFormat="1" applyFont="1" applyBorder="1" applyAlignment="1">
      <alignment vertical="center" shrinkToFit="1"/>
    </xf>
    <xf numFmtId="9" fontId="0" fillId="0" borderId="85" xfId="0" applyNumberFormat="1" applyFont="1" applyBorder="1" applyAlignment="1">
      <alignment vertical="center" shrinkToFit="1"/>
    </xf>
    <xf numFmtId="182" fontId="0" fillId="0" borderId="85" xfId="4" applyNumberFormat="1" applyFont="1" applyBorder="1" applyAlignment="1">
      <alignment vertical="center" shrinkToFit="1"/>
    </xf>
    <xf numFmtId="176" fontId="0" fillId="0" borderId="85" xfId="0" applyNumberFormat="1" applyFont="1" applyBorder="1" applyAlignment="1">
      <alignment horizontal="right" vertical="center" shrinkToFit="1"/>
    </xf>
    <xf numFmtId="176" fontId="0" fillId="2" borderId="85" xfId="0" applyNumberFormat="1" applyFont="1" applyFill="1" applyBorder="1" applyAlignment="1">
      <alignment vertical="center" shrinkToFit="1"/>
    </xf>
    <xf numFmtId="176" fontId="0" fillId="2" borderId="85" xfId="0" applyNumberFormat="1" applyFont="1" applyFill="1" applyBorder="1" applyAlignment="1">
      <alignment horizontal="left" vertical="center" shrinkToFit="1"/>
    </xf>
    <xf numFmtId="179" fontId="0" fillId="2" borderId="85" xfId="0" applyNumberFormat="1" applyFont="1" applyFill="1" applyBorder="1" applyAlignment="1">
      <alignment vertical="center" shrinkToFit="1"/>
    </xf>
    <xf numFmtId="9" fontId="0" fillId="0" borderId="85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6" fontId="0" fillId="0" borderId="85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7" xfId="0" applyNumberFormat="1" applyFont="1" applyFill="1" applyBorder="1" applyAlignment="1">
      <alignment vertical="center"/>
    </xf>
    <xf numFmtId="177" fontId="0" fillId="0" borderId="164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157" xfId="0" applyNumberFormat="1" applyFont="1" applyBorder="1" applyAlignment="1">
      <alignment vertical="center" shrinkToFit="1"/>
    </xf>
    <xf numFmtId="176" fontId="0" fillId="0" borderId="139" xfId="0" applyNumberFormat="1" applyFont="1" applyBorder="1" applyAlignment="1">
      <alignment vertical="center" shrinkToFit="1"/>
    </xf>
    <xf numFmtId="185" fontId="0" fillId="0" borderId="74" xfId="0" applyNumberFormat="1" applyFont="1" applyBorder="1" applyAlignment="1">
      <alignment horizontal="center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1" fontId="0" fillId="5" borderId="36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177" fontId="0" fillId="0" borderId="139" xfId="3" applyNumberFormat="1" applyFont="1" applyFill="1" applyBorder="1" applyAlignment="1">
      <alignment vertical="center" shrinkToFit="1"/>
    </xf>
    <xf numFmtId="176" fontId="4" fillId="0" borderId="195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8" xfId="0" applyNumberFormat="1" applyFont="1" applyFill="1" applyBorder="1" applyAlignment="1">
      <alignment vertical="center" shrinkToFi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157" xfId="0" applyFont="1" applyBorder="1" applyAlignment="1">
      <alignment horizontal="center" vertical="center" wrapText="1"/>
    </xf>
    <xf numFmtId="0" fontId="15" fillId="0" borderId="164" xfId="0" applyFont="1" applyBorder="1" applyAlignment="1">
      <alignment horizontal="center" vertical="center" wrapText="1"/>
    </xf>
    <xf numFmtId="176" fontId="0" fillId="0" borderId="139" xfId="0" applyNumberFormat="1" applyFont="1" applyBorder="1">
      <alignment vertical="center"/>
    </xf>
    <xf numFmtId="176" fontId="0" fillId="0" borderId="139" xfId="0" applyNumberFormat="1" applyFont="1" applyBorder="1" applyAlignment="1">
      <alignment vertical="center"/>
    </xf>
    <xf numFmtId="179" fontId="0" fillId="0" borderId="139" xfId="0" applyNumberFormat="1" applyFont="1" applyBorder="1">
      <alignment vertical="center"/>
    </xf>
    <xf numFmtId="176" fontId="9" fillId="0" borderId="139" xfId="0" applyNumberFormat="1" applyFont="1" applyBorder="1" applyAlignment="1">
      <alignment vertical="center"/>
    </xf>
    <xf numFmtId="179" fontId="16" fillId="0" borderId="139" xfId="0" applyNumberFormat="1" applyFont="1" applyBorder="1">
      <alignment vertical="center"/>
    </xf>
    <xf numFmtId="179" fontId="16" fillId="0" borderId="65" xfId="0" applyNumberFormat="1" applyFont="1" applyBorder="1">
      <alignment vertical="center"/>
    </xf>
    <xf numFmtId="179" fontId="0" fillId="0" borderId="65" xfId="0" applyNumberFormat="1" applyFont="1" applyBorder="1">
      <alignment vertical="center"/>
    </xf>
    <xf numFmtId="179" fontId="0" fillId="0" borderId="199" xfId="0" applyNumberFormat="1" applyFont="1" applyBorder="1">
      <alignment vertical="center"/>
    </xf>
    <xf numFmtId="176" fontId="0" fillId="8" borderId="139" xfId="0" applyNumberFormat="1" applyFont="1" applyFill="1" applyBorder="1">
      <alignment vertical="center"/>
    </xf>
    <xf numFmtId="179" fontId="0" fillId="0" borderId="139" xfId="0" applyNumberFormat="1" applyFont="1" applyFill="1" applyBorder="1" applyAlignment="1">
      <alignment horizontal="right" vertical="center"/>
    </xf>
    <xf numFmtId="176" fontId="0" fillId="6" borderId="202" xfId="0" applyNumberFormat="1" applyFont="1" applyFill="1" applyBorder="1" applyAlignment="1">
      <alignment horizontal="center" vertical="center" shrinkToFit="1"/>
    </xf>
    <xf numFmtId="177" fontId="0" fillId="8" borderId="24" xfId="3" applyNumberFormat="1" applyFont="1" applyFill="1" applyBorder="1" applyAlignment="1">
      <alignment vertical="center" shrinkToFit="1"/>
    </xf>
    <xf numFmtId="177" fontId="0" fillId="0" borderId="139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177" fontId="0" fillId="0" borderId="157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177" fontId="0" fillId="0" borderId="70" xfId="0" applyNumberFormat="1" applyFont="1" applyFill="1" applyBorder="1" applyAlignment="1">
      <alignment vertical="center" shrinkToFit="1"/>
    </xf>
    <xf numFmtId="177" fontId="0" fillId="0" borderId="157" xfId="0" applyNumberFormat="1" applyFont="1" applyFill="1" applyBorder="1">
      <alignment vertical="center"/>
    </xf>
    <xf numFmtId="177" fontId="0" fillId="0" borderId="194" xfId="0" applyNumberFormat="1" applyFont="1" applyFill="1" applyBorder="1" applyAlignment="1">
      <alignment vertical="center"/>
    </xf>
    <xf numFmtId="0" fontId="15" fillId="0" borderId="85" xfId="0" applyFont="1" applyFill="1" applyBorder="1" applyAlignment="1">
      <alignment horizontal="center" vertical="center" wrapText="1"/>
    </xf>
    <xf numFmtId="0" fontId="15" fillId="0" borderId="157" xfId="0" applyFont="1" applyFill="1" applyBorder="1" applyAlignment="1">
      <alignment horizontal="center" vertical="center" wrapText="1"/>
    </xf>
    <xf numFmtId="0" fontId="15" fillId="0" borderId="164" xfId="0" applyFont="1" applyFill="1" applyBorder="1" applyAlignment="1">
      <alignment horizontal="center" vertical="center" wrapText="1"/>
    </xf>
    <xf numFmtId="0" fontId="15" fillId="0" borderId="198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176" fontId="0" fillId="8" borderId="0" xfId="0" applyNumberFormat="1" applyFont="1" applyFill="1" applyBorder="1" applyAlignment="1">
      <alignment vertical="center"/>
    </xf>
    <xf numFmtId="0" fontId="0" fillId="0" borderId="85" xfId="0" applyNumberFormat="1" applyFont="1" applyBorder="1" applyAlignment="1">
      <alignment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150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vertical="center" shrinkToFit="1"/>
    </xf>
    <xf numFmtId="177" fontId="0" fillId="0" borderId="73" xfId="0" applyNumberFormat="1" applyFont="1" applyBorder="1" applyAlignment="1">
      <alignment horizontal="center" vertical="center" shrinkToFit="1"/>
    </xf>
    <xf numFmtId="186" fontId="0" fillId="0" borderId="203" xfId="0" applyNumberFormat="1" applyFont="1" applyBorder="1">
      <alignment vertical="center"/>
    </xf>
    <xf numFmtId="177" fontId="0" fillId="0" borderId="35" xfId="0" applyNumberFormat="1" applyFont="1" applyBorder="1" applyAlignment="1">
      <alignment horizontal="center" vertical="center" shrinkToFit="1"/>
    </xf>
    <xf numFmtId="0" fontId="8" fillId="0" borderId="206" xfId="2" applyFont="1" applyBorder="1" applyAlignment="1">
      <alignment horizontal="center" vertical="center" wrapText="1"/>
    </xf>
    <xf numFmtId="0" fontId="8" fillId="0" borderId="207" xfId="2" applyFont="1" applyBorder="1" applyAlignment="1">
      <alignment horizontal="center" vertical="center" wrapText="1"/>
    </xf>
    <xf numFmtId="0" fontId="1" fillId="0" borderId="209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wrapTex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0" fontId="1" fillId="0" borderId="85" xfId="2" applyFont="1" applyBorder="1" applyAlignment="1">
      <alignment horizontal="left" vertical="center" wrapText="1"/>
    </xf>
    <xf numFmtId="0" fontId="1" fillId="0" borderId="85" xfId="2" applyFont="1" applyBorder="1" applyAlignment="1">
      <alignment horizontal="center" vertical="center"/>
    </xf>
    <xf numFmtId="0" fontId="1" fillId="0" borderId="206" xfId="2" applyFont="1" applyBorder="1" applyAlignment="1">
      <alignment horizontal="center" vertical="center" shrinkToFit="1"/>
    </xf>
    <xf numFmtId="184" fontId="0" fillId="0" borderId="21" xfId="0" applyNumberFormat="1" applyFont="1" applyBorder="1" applyAlignment="1">
      <alignment vertical="center" shrinkToFit="1"/>
    </xf>
    <xf numFmtId="179" fontId="0" fillId="0" borderId="131" xfId="0" applyNumberFormat="1" applyFont="1" applyBorder="1" applyAlignment="1">
      <alignment vertical="center" shrinkToFit="1"/>
    </xf>
    <xf numFmtId="184" fontId="0" fillId="0" borderId="214" xfId="0" applyNumberFormat="1" applyFont="1" applyBorder="1" applyAlignment="1">
      <alignment vertical="center" shrinkToFit="1"/>
    </xf>
    <xf numFmtId="179" fontId="0" fillId="0" borderId="215" xfId="0" applyNumberFormat="1" applyFont="1" applyBorder="1" applyAlignment="1">
      <alignment vertical="center" shrinkToFit="1"/>
    </xf>
    <xf numFmtId="179" fontId="9" fillId="0" borderId="139" xfId="0" applyNumberFormat="1" applyFont="1" applyBorder="1" applyAlignment="1">
      <alignment vertical="center" shrinkToFit="1"/>
    </xf>
    <xf numFmtId="179" fontId="9" fillId="0" borderId="65" xfId="0" applyNumberFormat="1" applyFont="1" applyBorder="1" applyAlignment="1">
      <alignment vertical="center" shrinkToFit="1"/>
    </xf>
    <xf numFmtId="0" fontId="17" fillId="0" borderId="0" xfId="2" applyFont="1" applyAlignment="1">
      <alignment vertical="center"/>
    </xf>
    <xf numFmtId="0" fontId="1" fillId="0" borderId="85" xfId="2" applyFont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82" fontId="0" fillId="0" borderId="142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0" fontId="0" fillId="0" borderId="85" xfId="2" applyFont="1" applyBorder="1" applyAlignment="1">
      <alignment vertical="center" wrapText="1"/>
    </xf>
    <xf numFmtId="0" fontId="0" fillId="0" borderId="85" xfId="2" applyFont="1" applyBorder="1" applyAlignment="1">
      <alignment horizontal="left" vertical="center" wrapText="1"/>
    </xf>
    <xf numFmtId="0" fontId="0" fillId="0" borderId="209" xfId="2" applyFont="1" applyBorder="1" applyAlignment="1">
      <alignment horizontal="left" vertical="center" wrapText="1"/>
    </xf>
    <xf numFmtId="0" fontId="0" fillId="0" borderId="85" xfId="2" applyFont="1" applyBorder="1" applyAlignment="1">
      <alignment horizontal="left" vertical="top" wrapText="1"/>
    </xf>
    <xf numFmtId="0" fontId="0" fillId="0" borderId="209" xfId="2" applyFont="1" applyBorder="1" applyAlignment="1">
      <alignment horizontal="left" vertical="top" wrapText="1"/>
    </xf>
    <xf numFmtId="0" fontId="1" fillId="0" borderId="204" xfId="2" applyFont="1" applyBorder="1" applyAlignment="1">
      <alignment horizontal="left" vertical="top" wrapText="1"/>
    </xf>
    <xf numFmtId="0" fontId="1" fillId="0" borderId="213" xfId="2" applyFont="1" applyBorder="1" applyAlignment="1">
      <alignment horizontal="left" vertical="top" wrapText="1"/>
    </xf>
    <xf numFmtId="0" fontId="0" fillId="0" borderId="204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3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9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3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8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3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6" xfId="2" applyFont="1" applyBorder="1" applyAlignment="1">
      <alignment horizontal="center" vertical="center" textRotation="255" shrinkToFit="1"/>
    </xf>
    <xf numFmtId="0" fontId="8" fillId="0" borderId="54" xfId="2" applyFont="1" applyBorder="1" applyAlignment="1">
      <alignment horizontal="center" vertical="center" textRotation="255" shrinkToFit="1"/>
    </xf>
    <xf numFmtId="0" fontId="8" fillId="0" borderId="77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4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1" fillId="0" borderId="47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15" fillId="0" borderId="63" xfId="0" applyFont="1" applyBorder="1" applyAlignment="1">
      <alignment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5" fillId="0" borderId="192" xfId="0" applyFont="1" applyBorder="1" applyAlignment="1">
      <alignment vertical="center"/>
    </xf>
    <xf numFmtId="0" fontId="8" fillId="0" borderId="5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15" fillId="0" borderId="45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1" fillId="0" borderId="95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" fillId="0" borderId="37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58" xfId="2" applyFont="1" applyBorder="1" applyAlignment="1">
      <alignment vertical="center" wrapText="1"/>
    </xf>
    <xf numFmtId="0" fontId="15" fillId="0" borderId="32" xfId="0" applyFont="1" applyBorder="1" applyAlignment="1">
      <alignment vertical="center" shrinkToFit="1"/>
    </xf>
    <xf numFmtId="0" fontId="15" fillId="0" borderId="36" xfId="0" applyFont="1" applyBorder="1" applyAlignment="1">
      <alignment vertical="center" shrinkToFit="1"/>
    </xf>
    <xf numFmtId="0" fontId="15" fillId="0" borderId="188" xfId="0" applyFont="1" applyBorder="1" applyAlignment="1">
      <alignment vertical="center" shrinkToFit="1"/>
    </xf>
    <xf numFmtId="0" fontId="1" fillId="0" borderId="59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" fillId="0" borderId="45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6" xfId="2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 shrinkToFit="1"/>
    </xf>
    <xf numFmtId="0" fontId="8" fillId="0" borderId="168" xfId="0" applyFont="1" applyBorder="1" applyAlignment="1">
      <alignment horizontal="center" vertical="center" shrinkToFit="1"/>
    </xf>
    <xf numFmtId="0" fontId="8" fillId="0" borderId="170" xfId="0" applyFont="1" applyBorder="1" applyAlignment="1">
      <alignment horizontal="center" vertical="center" shrinkToFit="1"/>
    </xf>
    <xf numFmtId="0" fontId="8" fillId="0" borderId="97" xfId="0" quotePrefix="1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8" fillId="0" borderId="205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1" fillId="0" borderId="208" xfId="2" applyFont="1" applyBorder="1" applyAlignment="1">
      <alignment horizontal="center" vertical="center" textRotation="255" wrapText="1"/>
    </xf>
    <xf numFmtId="0" fontId="1" fillId="0" borderId="210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1" fillId="0" borderId="211" xfId="2" applyFont="1" applyBorder="1" applyAlignment="1">
      <alignment horizontal="center" vertical="center"/>
    </xf>
    <xf numFmtId="0" fontId="1" fillId="0" borderId="212" xfId="2" applyFont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6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29" xfId="0" applyFont="1" applyFill="1" applyBorder="1" applyAlignment="1">
      <alignment horizontal="center" vertical="center" textRotation="255" wrapText="1"/>
    </xf>
    <xf numFmtId="0" fontId="0" fillId="4" borderId="156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0" fontId="0" fillId="0" borderId="146" xfId="0" applyFont="1" applyBorder="1" applyAlignment="1">
      <alignment horizontal="center" vertical="center" textRotation="255"/>
    </xf>
    <xf numFmtId="0" fontId="0" fillId="0" borderId="102" xfId="0" applyFont="1" applyBorder="1" applyAlignment="1">
      <alignment horizontal="center" vertical="center" textRotation="255"/>
    </xf>
    <xf numFmtId="0" fontId="0" fillId="3" borderId="96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0" fontId="0" fillId="0" borderId="182" xfId="1" applyNumberFormat="1" applyFont="1" applyBorder="1" applyAlignment="1">
      <alignment horizontal="center" vertical="center"/>
    </xf>
    <xf numFmtId="180" fontId="0" fillId="0" borderId="104" xfId="1" applyNumberFormat="1" applyFont="1" applyBorder="1" applyAlignment="1">
      <alignment horizontal="center" vertical="center"/>
    </xf>
    <xf numFmtId="180" fontId="0" fillId="0" borderId="183" xfId="1" applyNumberFormat="1" applyFont="1" applyBorder="1" applyAlignment="1">
      <alignment horizontal="center" vertical="center"/>
    </xf>
    <xf numFmtId="180" fontId="0" fillId="0" borderId="136" xfId="1" applyNumberFormat="1" applyFont="1" applyBorder="1" applyAlignment="1">
      <alignment horizontal="center" vertical="center"/>
    </xf>
    <xf numFmtId="180" fontId="0" fillId="0" borderId="105" xfId="1" applyNumberFormat="1" applyFont="1" applyBorder="1" applyAlignment="1">
      <alignment horizontal="center" vertical="center"/>
    </xf>
    <xf numFmtId="180" fontId="0" fillId="0" borderId="184" xfId="1" applyNumberFormat="1" applyFont="1" applyBorder="1" applyAlignment="1">
      <alignment horizontal="center" vertical="center"/>
    </xf>
    <xf numFmtId="181" fontId="0" fillId="0" borderId="185" xfId="0" applyNumberFormat="1" applyFont="1" applyBorder="1" applyAlignment="1">
      <alignment vertical="center"/>
    </xf>
    <xf numFmtId="181" fontId="0" fillId="0" borderId="186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0" fontId="0" fillId="7" borderId="102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0" fillId="0" borderId="156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29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0" borderId="156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56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0" fontId="0" fillId="3" borderId="116" xfId="0" applyFont="1" applyFill="1" applyBorder="1" applyAlignment="1">
      <alignment horizontal="center" vertical="center"/>
    </xf>
    <xf numFmtId="0" fontId="0" fillId="3" borderId="19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176" fontId="0" fillId="0" borderId="171" xfId="0" applyNumberFormat="1" applyFont="1" applyBorder="1" applyAlignment="1">
      <alignment horizontal="center" vertical="center"/>
    </xf>
    <xf numFmtId="176" fontId="0" fillId="0" borderId="172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left" vertical="center" indent="1"/>
    </xf>
    <xf numFmtId="176" fontId="0" fillId="0" borderId="48" xfId="0" applyNumberFormat="1" applyFont="1" applyBorder="1" applyAlignment="1">
      <alignment horizontal="left" vertical="center" indent="1"/>
    </xf>
    <xf numFmtId="176" fontId="0" fillId="0" borderId="80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124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8" xfId="0" applyNumberForma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7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6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57" xfId="0" applyNumberFormat="1" applyFill="1" applyBorder="1" applyAlignment="1">
      <alignment horizontal="left" vertical="center"/>
    </xf>
    <xf numFmtId="177" fontId="0" fillId="0" borderId="164" xfId="0" applyNumberFormat="1" applyFill="1" applyBorder="1" applyAlignment="1">
      <alignment horizontal="left" vertical="center"/>
    </xf>
    <xf numFmtId="177" fontId="0" fillId="0" borderId="165" xfId="0" applyNumberFormat="1" applyFill="1" applyBorder="1" applyAlignment="1">
      <alignment horizontal="left" vertical="center"/>
    </xf>
    <xf numFmtId="177" fontId="0" fillId="0" borderId="157" xfId="0" applyNumberFormat="1" applyFill="1" applyBorder="1" applyAlignment="1">
      <alignment horizontal="left" vertical="center" shrinkToFit="1"/>
    </xf>
    <xf numFmtId="177" fontId="0" fillId="0" borderId="164" xfId="0" applyNumberFormat="1" applyFill="1" applyBorder="1" applyAlignment="1">
      <alignment horizontal="left" vertical="center" shrinkToFit="1"/>
    </xf>
    <xf numFmtId="177" fontId="0" fillId="0" borderId="165" xfId="0" applyNumberFormat="1" applyFill="1" applyBorder="1" applyAlignment="1">
      <alignment horizontal="left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4" xfId="0" applyNumberFormat="1" applyFill="1" applyBorder="1" applyAlignment="1">
      <alignment horizontal="center" vertical="center" textRotation="255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4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2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7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7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7" xfId="0" applyNumberFormat="1" applyFont="1" applyFill="1" applyBorder="1" applyAlignment="1">
      <alignment horizontal="center" vertical="center" shrinkToFit="1"/>
    </xf>
    <xf numFmtId="177" fontId="0" fillId="0" borderId="85" xfId="0" applyNumberFormat="1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85" xfId="0" applyNumberFormat="1" applyFill="1" applyBorder="1" applyAlignment="1">
      <alignment vertical="center"/>
    </xf>
    <xf numFmtId="177" fontId="0" fillId="0" borderId="125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123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0" borderId="157" xfId="0" applyNumberFormat="1" applyFont="1" applyFill="1" applyBorder="1" applyAlignment="1">
      <alignment vertical="center"/>
    </xf>
    <xf numFmtId="177" fontId="0" fillId="0" borderId="164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textRotation="255" shrinkToFit="1"/>
    </xf>
    <xf numFmtId="177" fontId="0" fillId="0" borderId="95" xfId="3" applyNumberFormat="1" applyFont="1" applyBorder="1" applyAlignment="1">
      <alignment horizontal="center" vertical="center" textRotation="255" shrinkToFit="1"/>
    </xf>
    <xf numFmtId="177" fontId="0" fillId="0" borderId="146" xfId="3" applyNumberFormat="1" applyFont="1" applyBorder="1" applyAlignment="1">
      <alignment horizontal="center" vertical="center" textRotation="255" shrinkToFit="1"/>
    </xf>
    <xf numFmtId="176" fontId="1" fillId="0" borderId="152" xfId="3" applyNumberFormat="1" applyFont="1" applyFill="1" applyBorder="1" applyAlignment="1">
      <alignment vertical="center" shrinkToFit="1"/>
    </xf>
    <xf numFmtId="176" fontId="1" fillId="0" borderId="153" xfId="3" applyNumberFormat="1" applyFont="1" applyFill="1" applyBorder="1" applyAlignment="1">
      <alignment vertical="center" shrinkToFit="1"/>
    </xf>
    <xf numFmtId="176" fontId="1" fillId="0" borderId="32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vertical="center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2" borderId="49" xfId="0" applyNumberFormat="1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vertical="center"/>
    </xf>
    <xf numFmtId="176" fontId="0" fillId="0" borderId="150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7" xfId="3" applyNumberFormat="1" applyFont="1" applyBorder="1" applyAlignment="1">
      <alignment horizontal="center" vertical="center" textRotation="255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1" xfId="3" applyNumberFormat="1" applyFont="1" applyBorder="1" applyAlignment="1">
      <alignment horizontal="center" vertical="center" shrinkToFit="1"/>
    </xf>
    <xf numFmtId="177" fontId="0" fillId="2" borderId="80" xfId="0" applyNumberFormat="1" applyFont="1" applyFill="1" applyBorder="1" applyAlignment="1">
      <alignment horizontal="center" vertical="center" shrinkToFit="1"/>
    </xf>
    <xf numFmtId="177" fontId="0" fillId="2" borderId="81" xfId="0" applyNumberFormat="1" applyFont="1" applyFill="1" applyBorder="1" applyAlignment="1">
      <alignment horizontal="center" vertical="center" shrinkToFit="1"/>
    </xf>
    <xf numFmtId="0" fontId="0" fillId="0" borderId="102" xfId="0" applyFont="1" applyBorder="1">
      <alignment vertical="center"/>
    </xf>
    <xf numFmtId="0" fontId="0" fillId="0" borderId="155" xfId="0" applyFont="1" applyBorder="1">
      <alignment vertical="center"/>
    </xf>
    <xf numFmtId="176" fontId="0" fillId="2" borderId="123" xfId="0" applyNumberFormat="1" applyFont="1" applyFill="1" applyBorder="1" applyAlignment="1">
      <alignment horizontal="center" vertical="center" shrinkToFit="1"/>
    </xf>
    <xf numFmtId="176" fontId="0" fillId="2" borderId="81" xfId="0" applyNumberFormat="1" applyFont="1" applyFill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0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57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textRotation="255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6" fontId="0" fillId="0" borderId="178" xfId="0" applyNumberFormat="1" applyFont="1" applyBorder="1" applyAlignment="1">
      <alignment horizontal="center" vertical="center" textRotation="255" shrinkToFit="1"/>
    </xf>
    <xf numFmtId="176" fontId="0" fillId="0" borderId="175" xfId="0" applyNumberFormat="1" applyFont="1" applyBorder="1" applyAlignment="1">
      <alignment horizontal="center" vertical="center" textRotation="255" shrinkToFit="1"/>
    </xf>
    <xf numFmtId="177" fontId="0" fillId="2" borderId="158" xfId="0" applyNumberFormat="1" applyFont="1" applyFill="1" applyBorder="1" applyAlignment="1">
      <alignment horizontal="center" vertical="center" shrinkToFit="1"/>
    </xf>
    <xf numFmtId="177" fontId="0" fillId="2" borderId="159" xfId="0" applyNumberFormat="1" applyFont="1" applyFill="1" applyBorder="1" applyAlignment="1">
      <alignment horizontal="center" vertical="center" shrinkToFit="1"/>
    </xf>
    <xf numFmtId="3" fontId="0" fillId="0" borderId="50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2" xfId="3" applyNumberFormat="1" applyFont="1" applyBorder="1" applyAlignment="1">
      <alignment horizontal="center" vertical="center" shrinkToFit="1"/>
    </xf>
    <xf numFmtId="177" fontId="0" fillId="0" borderId="102" xfId="3" applyNumberFormat="1" applyFont="1" applyBorder="1" applyAlignment="1">
      <alignment horizontal="center" vertical="center" shrinkToFit="1"/>
    </xf>
    <xf numFmtId="177" fontId="0" fillId="0" borderId="163" xfId="3" applyNumberFormat="1" applyFont="1" applyBorder="1" applyAlignment="1">
      <alignment horizontal="center" vertical="center" shrinkToFit="1"/>
    </xf>
    <xf numFmtId="177" fontId="0" fillId="0" borderId="146" xfId="3" applyNumberFormat="1" applyFont="1" applyBorder="1" applyAlignment="1">
      <alignment horizontal="center" vertical="center" shrinkToFit="1"/>
    </xf>
    <xf numFmtId="177" fontId="0" fillId="0" borderId="155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FF00FF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228600</xdr:colOff>
      <xdr:row>12</xdr:row>
      <xdr:rowOff>142875</xdr:rowOff>
    </xdr:from>
    <xdr:to>
      <xdr:col>24</xdr:col>
      <xdr:colOff>257175</xdr:colOff>
      <xdr:row>12</xdr:row>
      <xdr:rowOff>142875</xdr:rowOff>
    </xdr:to>
    <xdr:sp macro="" textlink="">
      <xdr:nvSpPr>
        <xdr:cNvPr id="6" name="Line 24"/>
        <xdr:cNvSpPr>
          <a:spLocks noChangeShapeType="1"/>
        </xdr:cNvSpPr>
      </xdr:nvSpPr>
      <xdr:spPr bwMode="auto">
        <a:xfrm>
          <a:off x="7229475" y="4619625"/>
          <a:ext cx="13620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178594</xdr:colOff>
      <xdr:row>12</xdr:row>
      <xdr:rowOff>23813</xdr:rowOff>
    </xdr:from>
    <xdr:to>
      <xdr:col>36</xdr:col>
      <xdr:colOff>0</xdr:colOff>
      <xdr:row>13</xdr:row>
      <xdr:rowOff>0</xdr:rowOff>
    </xdr:to>
    <xdr:sp macro="" textlink="">
      <xdr:nvSpPr>
        <xdr:cNvPr id="3" name="正方形/長方形 2"/>
        <xdr:cNvSpPr/>
      </xdr:nvSpPr>
      <xdr:spPr>
        <a:xfrm>
          <a:off x="8024813" y="3071813"/>
          <a:ext cx="3226593" cy="22621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309563</xdr:colOff>
      <xdr:row>6</xdr:row>
      <xdr:rowOff>142875</xdr:rowOff>
    </xdr:from>
    <xdr:to>
      <xdr:col>20</xdr:col>
      <xdr:colOff>452438</xdr:colOff>
      <xdr:row>6</xdr:row>
      <xdr:rowOff>142875</xdr:rowOff>
    </xdr:to>
    <xdr:cxnSp macro="">
      <xdr:nvCxnSpPr>
        <xdr:cNvPr id="6" name="直線コネクタ 5"/>
        <xdr:cNvCxnSpPr/>
      </xdr:nvCxnSpPr>
      <xdr:spPr>
        <a:xfrm>
          <a:off x="8227219" y="1631156"/>
          <a:ext cx="2000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297657</xdr:colOff>
      <xdr:row>6</xdr:row>
      <xdr:rowOff>0</xdr:rowOff>
    </xdr:from>
    <xdr:to>
      <xdr:col>33</xdr:col>
      <xdr:colOff>0</xdr:colOff>
      <xdr:row>7</xdr:row>
      <xdr:rowOff>-1</xdr:rowOff>
    </xdr:to>
    <xdr:sp macro="" textlink="">
      <xdr:nvSpPr>
        <xdr:cNvPr id="3" name="正方形/長方形 2"/>
        <xdr:cNvSpPr/>
      </xdr:nvSpPr>
      <xdr:spPr>
        <a:xfrm>
          <a:off x="10072688" y="1488281"/>
          <a:ext cx="5738812" cy="250031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69" customWidth="1"/>
    <col min="2" max="3" width="7.625" style="69" customWidth="1"/>
    <col min="4" max="6" width="9" style="69"/>
    <col min="7" max="7" width="3.5" style="69" customWidth="1"/>
    <col min="8" max="8" width="3.625" style="69" customWidth="1"/>
    <col min="9" max="9" width="3.75" style="69" customWidth="1"/>
    <col min="10" max="42" width="3.5" style="69" customWidth="1"/>
    <col min="43" max="43" width="1.375" style="69" customWidth="1"/>
    <col min="44" max="16384" width="9" style="69"/>
  </cols>
  <sheetData>
    <row r="1" spans="1:42" ht="9.9499999999999993" customHeight="1" thickBot="1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2" ht="39.950000000000003" customHeight="1" thickBot="1" x14ac:dyDescent="0.2">
      <c r="A2" s="74"/>
      <c r="B2" s="261" t="s">
        <v>70</v>
      </c>
      <c r="C2" s="494" t="s">
        <v>372</v>
      </c>
      <c r="D2" s="495"/>
      <c r="E2" s="262" t="s">
        <v>55</v>
      </c>
      <c r="F2" s="494" t="s">
        <v>259</v>
      </c>
      <c r="G2" s="496"/>
      <c r="H2" s="496"/>
      <c r="I2" s="496"/>
      <c r="J2" s="496"/>
      <c r="K2" s="496"/>
      <c r="L2" s="496"/>
      <c r="M2" s="496"/>
      <c r="N2" s="495"/>
      <c r="O2" s="500" t="s">
        <v>56</v>
      </c>
      <c r="P2" s="501"/>
      <c r="Q2" s="502"/>
      <c r="R2" s="503" t="s">
        <v>373</v>
      </c>
      <c r="S2" s="503"/>
      <c r="T2" s="503"/>
      <c r="U2" s="503"/>
      <c r="V2" s="504" t="s">
        <v>57</v>
      </c>
      <c r="W2" s="505"/>
      <c r="X2" s="505"/>
      <c r="Y2" s="497" t="s">
        <v>365</v>
      </c>
      <c r="Z2" s="498"/>
      <c r="AA2" s="499"/>
      <c r="AB2" s="75"/>
      <c r="AC2" s="75"/>
      <c r="AD2" s="75"/>
    </row>
    <row r="3" spans="1:42" ht="9.9499999999999993" customHeight="1" x14ac:dyDescent="0.15">
      <c r="B3" s="76"/>
    </row>
    <row r="4" spans="1:42" ht="24.95" customHeight="1" thickBot="1" x14ac:dyDescent="0.2">
      <c r="B4" s="69" t="s">
        <v>93</v>
      </c>
    </row>
    <row r="5" spans="1:42" ht="20.100000000000001" customHeight="1" x14ac:dyDescent="0.15">
      <c r="B5" s="403" t="s">
        <v>94</v>
      </c>
      <c r="C5" s="404"/>
      <c r="D5" s="405" t="s">
        <v>381</v>
      </c>
      <c r="E5" s="406"/>
      <c r="F5" s="406"/>
      <c r="G5" s="407"/>
      <c r="H5" s="408" t="s">
        <v>58</v>
      </c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9"/>
      <c r="AD5" s="75"/>
      <c r="AE5" s="75"/>
      <c r="AF5" s="75"/>
      <c r="AG5" s="75"/>
      <c r="AH5" s="75"/>
      <c r="AI5" s="75"/>
      <c r="AJ5" s="75"/>
      <c r="AK5" s="75"/>
      <c r="AL5" s="75"/>
    </row>
    <row r="6" spans="1:42" ht="20.100000000000001" customHeight="1" x14ac:dyDescent="0.15">
      <c r="B6" s="415" t="s">
        <v>59</v>
      </c>
      <c r="C6" s="416"/>
      <c r="D6" s="416"/>
      <c r="E6" s="416"/>
      <c r="F6" s="416"/>
      <c r="G6" s="417"/>
      <c r="H6" s="417" t="s">
        <v>60</v>
      </c>
      <c r="I6" s="401"/>
      <c r="J6" s="401"/>
      <c r="K6" s="401"/>
      <c r="L6" s="401"/>
      <c r="M6" s="401"/>
      <c r="N6" s="417" t="s">
        <v>61</v>
      </c>
      <c r="O6" s="401"/>
      <c r="P6" s="401"/>
      <c r="Q6" s="417" t="s">
        <v>62</v>
      </c>
      <c r="R6" s="401"/>
      <c r="S6" s="401"/>
      <c r="T6" s="401"/>
      <c r="U6" s="401"/>
      <c r="V6" s="401"/>
      <c r="W6" s="401"/>
      <c r="X6" s="422"/>
      <c r="Y6" s="401" t="s">
        <v>63</v>
      </c>
      <c r="Z6" s="401"/>
      <c r="AA6" s="402"/>
    </row>
    <row r="7" spans="1:42" ht="20.100000000000001" customHeight="1" x14ac:dyDescent="0.15">
      <c r="B7" s="418" t="s">
        <v>64</v>
      </c>
      <c r="C7" s="419"/>
      <c r="D7" s="420" t="s">
        <v>352</v>
      </c>
      <c r="E7" s="421"/>
      <c r="F7" s="421"/>
      <c r="G7" s="421"/>
      <c r="H7" s="417" t="s">
        <v>315</v>
      </c>
      <c r="I7" s="401"/>
      <c r="J7" s="401"/>
      <c r="K7" s="401"/>
      <c r="L7" s="401"/>
      <c r="M7" s="422"/>
      <c r="N7" s="423" t="s">
        <v>353</v>
      </c>
      <c r="O7" s="424"/>
      <c r="P7" s="425"/>
      <c r="Q7" s="410"/>
      <c r="R7" s="411"/>
      <c r="S7" s="411"/>
      <c r="T7" s="411"/>
      <c r="U7" s="411"/>
      <c r="V7" s="411"/>
      <c r="W7" s="411"/>
      <c r="X7" s="412"/>
      <c r="Y7" s="413"/>
      <c r="Z7" s="413"/>
      <c r="AA7" s="414"/>
    </row>
    <row r="8" spans="1:42" ht="20.100000000000001" customHeight="1" x14ac:dyDescent="0.15">
      <c r="B8" s="415" t="s">
        <v>65</v>
      </c>
      <c r="C8" s="416"/>
      <c r="D8" s="426"/>
      <c r="E8" s="426"/>
      <c r="F8" s="426"/>
      <c r="G8" s="427"/>
      <c r="H8" s="417"/>
      <c r="I8" s="401"/>
      <c r="J8" s="401"/>
      <c r="K8" s="401"/>
      <c r="L8" s="401"/>
      <c r="M8" s="422"/>
      <c r="N8" s="417"/>
      <c r="O8" s="401"/>
      <c r="P8" s="422"/>
      <c r="Q8" s="428"/>
      <c r="R8" s="429"/>
      <c r="S8" s="429"/>
      <c r="T8" s="429"/>
      <c r="U8" s="429"/>
      <c r="V8" s="429"/>
      <c r="W8" s="429"/>
      <c r="X8" s="430"/>
      <c r="Y8" s="417"/>
      <c r="Z8" s="401"/>
      <c r="AA8" s="402"/>
    </row>
    <row r="9" spans="1:42" ht="20.100000000000001" customHeight="1" x14ac:dyDescent="0.15">
      <c r="B9" s="415" t="s">
        <v>66</v>
      </c>
      <c r="C9" s="416"/>
      <c r="D9" s="426"/>
      <c r="E9" s="426"/>
      <c r="F9" s="426"/>
      <c r="G9" s="427"/>
      <c r="H9" s="417"/>
      <c r="I9" s="401"/>
      <c r="J9" s="401"/>
      <c r="K9" s="401"/>
      <c r="L9" s="401"/>
      <c r="M9" s="422"/>
      <c r="N9" s="417"/>
      <c r="O9" s="401"/>
      <c r="P9" s="422"/>
      <c r="Q9" s="428"/>
      <c r="R9" s="429"/>
      <c r="S9" s="429"/>
      <c r="T9" s="429"/>
      <c r="U9" s="429"/>
      <c r="V9" s="429"/>
      <c r="W9" s="429"/>
      <c r="X9" s="430"/>
      <c r="Y9" s="417"/>
      <c r="Z9" s="401"/>
      <c r="AA9" s="402"/>
    </row>
    <row r="10" spans="1:42" ht="20.100000000000001" customHeight="1" x14ac:dyDescent="0.15">
      <c r="B10" s="415" t="s">
        <v>67</v>
      </c>
      <c r="C10" s="416"/>
      <c r="D10" s="426"/>
      <c r="E10" s="426"/>
      <c r="F10" s="426"/>
      <c r="G10" s="427"/>
      <c r="H10" s="431"/>
      <c r="I10" s="432"/>
      <c r="J10" s="432"/>
      <c r="K10" s="432"/>
      <c r="L10" s="432"/>
      <c r="M10" s="432"/>
      <c r="N10" s="417"/>
      <c r="O10" s="401"/>
      <c r="P10" s="422"/>
      <c r="Q10" s="428"/>
      <c r="R10" s="429"/>
      <c r="S10" s="429"/>
      <c r="T10" s="429"/>
      <c r="U10" s="429"/>
      <c r="V10" s="429"/>
      <c r="W10" s="429"/>
      <c r="X10" s="430"/>
      <c r="Y10" s="401"/>
      <c r="Z10" s="401"/>
      <c r="AA10" s="402"/>
    </row>
    <row r="11" spans="1:42" ht="20.100000000000001" customHeight="1" thickBot="1" x14ac:dyDescent="0.2">
      <c r="B11" s="435" t="s">
        <v>68</v>
      </c>
      <c r="C11" s="419"/>
      <c r="D11" s="436"/>
      <c r="E11" s="436"/>
      <c r="F11" s="436"/>
      <c r="G11" s="437"/>
      <c r="H11" s="438"/>
      <c r="I11" s="439"/>
      <c r="J11" s="439"/>
      <c r="K11" s="439"/>
      <c r="L11" s="439"/>
      <c r="M11" s="439"/>
      <c r="N11" s="453"/>
      <c r="O11" s="450"/>
      <c r="P11" s="450"/>
      <c r="Q11" s="447"/>
      <c r="R11" s="448"/>
      <c r="S11" s="448"/>
      <c r="T11" s="448"/>
      <c r="U11" s="448"/>
      <c r="V11" s="448"/>
      <c r="W11" s="448"/>
      <c r="X11" s="449"/>
      <c r="Y11" s="450"/>
      <c r="Z11" s="450"/>
      <c r="AA11" s="451"/>
    </row>
    <row r="12" spans="1:42" ht="20.100000000000001" customHeight="1" x14ac:dyDescent="0.15">
      <c r="B12" s="440" t="s">
        <v>91</v>
      </c>
      <c r="C12" s="408" t="s">
        <v>95</v>
      </c>
      <c r="D12" s="404"/>
      <c r="E12" s="433"/>
      <c r="F12" s="70" t="s">
        <v>92</v>
      </c>
      <c r="G12" s="408">
        <v>1</v>
      </c>
      <c r="H12" s="404"/>
      <c r="I12" s="404"/>
      <c r="J12" s="408">
        <v>2</v>
      </c>
      <c r="K12" s="404"/>
      <c r="L12" s="433"/>
      <c r="M12" s="404">
        <v>3</v>
      </c>
      <c r="N12" s="404"/>
      <c r="O12" s="434"/>
      <c r="P12" s="408">
        <v>4</v>
      </c>
      <c r="Q12" s="404"/>
      <c r="R12" s="433"/>
      <c r="S12" s="452">
        <v>5</v>
      </c>
      <c r="T12" s="404"/>
      <c r="U12" s="434"/>
      <c r="V12" s="408">
        <v>6</v>
      </c>
      <c r="W12" s="404"/>
      <c r="X12" s="433"/>
      <c r="Y12" s="452">
        <v>7</v>
      </c>
      <c r="Z12" s="404"/>
      <c r="AA12" s="434"/>
      <c r="AB12" s="408">
        <v>8</v>
      </c>
      <c r="AC12" s="404"/>
      <c r="AD12" s="433"/>
      <c r="AE12" s="452">
        <v>9</v>
      </c>
      <c r="AF12" s="404"/>
      <c r="AG12" s="434"/>
      <c r="AH12" s="408">
        <v>10</v>
      </c>
      <c r="AI12" s="404"/>
      <c r="AJ12" s="433"/>
      <c r="AK12" s="408">
        <v>11</v>
      </c>
      <c r="AL12" s="404"/>
      <c r="AM12" s="433"/>
      <c r="AN12" s="404">
        <v>12</v>
      </c>
      <c r="AO12" s="404"/>
      <c r="AP12" s="409"/>
    </row>
    <row r="13" spans="1:42" ht="20.100000000000001" customHeight="1" x14ac:dyDescent="0.15">
      <c r="B13" s="441"/>
      <c r="C13" s="443" t="s">
        <v>303</v>
      </c>
      <c r="D13" s="444"/>
      <c r="E13" s="444"/>
      <c r="F13" s="77" t="s">
        <v>353</v>
      </c>
      <c r="G13" s="330"/>
      <c r="H13" s="331"/>
      <c r="I13" s="333"/>
      <c r="J13" s="331"/>
      <c r="K13" s="331"/>
      <c r="L13" s="331"/>
      <c r="M13" s="334"/>
      <c r="N13" s="335"/>
      <c r="O13" s="333"/>
      <c r="P13" s="331"/>
      <c r="Q13" s="331"/>
      <c r="R13" s="331"/>
      <c r="S13" s="334"/>
      <c r="T13" s="335" t="s">
        <v>260</v>
      </c>
      <c r="U13" s="333"/>
      <c r="V13" s="331"/>
      <c r="W13" s="331"/>
      <c r="X13" s="331"/>
      <c r="Y13" s="356"/>
      <c r="Z13" s="357"/>
      <c r="AA13" s="358"/>
      <c r="AB13" s="358"/>
      <c r="AC13" s="358"/>
      <c r="AD13" s="358"/>
      <c r="AE13" s="358"/>
      <c r="AF13" s="358"/>
      <c r="AG13" s="358"/>
      <c r="AH13" s="359"/>
      <c r="AI13" s="358"/>
      <c r="AJ13" s="360"/>
      <c r="AK13" s="331"/>
      <c r="AL13" s="331"/>
      <c r="AM13" s="333"/>
      <c r="AN13" s="331"/>
      <c r="AO13" s="331"/>
      <c r="AP13" s="332"/>
    </row>
    <row r="14" spans="1:42" ht="20.100000000000001" customHeight="1" x14ac:dyDescent="0.15">
      <c r="B14" s="441"/>
      <c r="C14" s="443"/>
      <c r="D14" s="444"/>
      <c r="E14" s="444"/>
      <c r="F14" s="72"/>
      <c r="G14" s="78"/>
      <c r="H14" s="79"/>
      <c r="I14" s="79"/>
      <c r="J14" s="78"/>
      <c r="K14" s="79"/>
      <c r="L14" s="80"/>
      <c r="M14" s="79"/>
      <c r="N14" s="79"/>
      <c r="O14" s="81"/>
      <c r="P14" s="78"/>
      <c r="Q14" s="79"/>
      <c r="R14" s="80"/>
      <c r="S14" s="82"/>
      <c r="T14" s="79"/>
      <c r="U14" s="81"/>
      <c r="V14" s="78"/>
      <c r="W14" s="79"/>
      <c r="X14" s="80"/>
      <c r="Y14" s="82"/>
      <c r="Z14" s="79"/>
      <c r="AA14" s="81"/>
      <c r="AB14" s="78"/>
      <c r="AC14" s="79"/>
      <c r="AD14" s="80"/>
      <c r="AE14" s="78"/>
      <c r="AF14" s="79"/>
      <c r="AG14" s="80"/>
      <c r="AH14" s="78"/>
      <c r="AI14" s="79"/>
      <c r="AJ14" s="80"/>
      <c r="AK14" s="78"/>
      <c r="AL14" s="79"/>
      <c r="AM14" s="80"/>
      <c r="AN14" s="79"/>
      <c r="AO14" s="79"/>
      <c r="AP14" s="83"/>
    </row>
    <row r="15" spans="1:42" ht="20.100000000000001" customHeight="1" x14ac:dyDescent="0.15">
      <c r="B15" s="441"/>
      <c r="C15" s="443"/>
      <c r="D15" s="444"/>
      <c r="E15" s="444"/>
      <c r="F15" s="72"/>
      <c r="G15" s="78"/>
      <c r="H15" s="79"/>
      <c r="I15" s="79"/>
      <c r="J15" s="78"/>
      <c r="K15" s="79"/>
      <c r="L15" s="80"/>
      <c r="M15" s="79"/>
      <c r="N15" s="79"/>
      <c r="O15" s="81"/>
      <c r="P15" s="78"/>
      <c r="Q15" s="79"/>
      <c r="R15" s="80"/>
      <c r="S15" s="82"/>
      <c r="T15" s="79"/>
      <c r="U15" s="81"/>
      <c r="V15" s="78"/>
      <c r="W15" s="79"/>
      <c r="X15" s="80"/>
      <c r="Y15" s="82"/>
      <c r="Z15" s="79"/>
      <c r="AA15" s="81"/>
      <c r="AB15" s="78"/>
      <c r="AC15" s="79"/>
      <c r="AD15" s="80"/>
      <c r="AE15" s="78"/>
      <c r="AF15" s="79"/>
      <c r="AG15" s="80"/>
      <c r="AH15" s="78"/>
      <c r="AI15" s="79"/>
      <c r="AJ15" s="80"/>
      <c r="AK15" s="78"/>
      <c r="AL15" s="79"/>
      <c r="AM15" s="80"/>
      <c r="AN15" s="79"/>
      <c r="AO15" s="79"/>
      <c r="AP15" s="83"/>
    </row>
    <row r="16" spans="1:42" ht="20.100000000000001" customHeight="1" x14ac:dyDescent="0.15">
      <c r="B16" s="441"/>
      <c r="C16" s="443"/>
      <c r="D16" s="444"/>
      <c r="E16" s="444"/>
      <c r="F16" s="84"/>
      <c r="G16" s="78"/>
      <c r="H16" s="79"/>
      <c r="I16" s="79"/>
      <c r="J16" s="78"/>
      <c r="K16" s="79"/>
      <c r="L16" s="80"/>
      <c r="M16" s="79"/>
      <c r="N16" s="79"/>
      <c r="O16" s="81"/>
      <c r="P16" s="78"/>
      <c r="Q16" s="79"/>
      <c r="R16" s="80"/>
      <c r="S16" s="82"/>
      <c r="T16" s="79"/>
      <c r="U16" s="81"/>
      <c r="V16" s="78"/>
      <c r="W16" s="79"/>
      <c r="X16" s="80"/>
      <c r="Y16" s="82"/>
      <c r="Z16" s="79"/>
      <c r="AA16" s="81"/>
      <c r="AB16" s="78"/>
      <c r="AC16" s="79"/>
      <c r="AD16" s="80"/>
      <c r="AE16" s="78"/>
      <c r="AF16" s="79"/>
      <c r="AG16" s="80"/>
      <c r="AH16" s="78"/>
      <c r="AI16" s="79"/>
      <c r="AJ16" s="80"/>
      <c r="AK16" s="78"/>
      <c r="AL16" s="79"/>
      <c r="AM16" s="80"/>
      <c r="AN16" s="79"/>
      <c r="AO16" s="79"/>
      <c r="AP16" s="83"/>
    </row>
    <row r="17" spans="2:42" ht="20.100000000000001" customHeight="1" x14ac:dyDescent="0.15">
      <c r="B17" s="441"/>
      <c r="C17" s="443"/>
      <c r="D17" s="444"/>
      <c r="E17" s="444"/>
      <c r="F17" s="84"/>
      <c r="G17" s="78"/>
      <c r="H17" s="79"/>
      <c r="I17" s="79"/>
      <c r="J17" s="78"/>
      <c r="K17" s="79"/>
      <c r="L17" s="80"/>
      <c r="M17" s="79"/>
      <c r="N17" s="79"/>
      <c r="O17" s="81"/>
      <c r="P17" s="78"/>
      <c r="Q17" s="79"/>
      <c r="R17" s="80"/>
      <c r="S17" s="82"/>
      <c r="T17" s="79"/>
      <c r="U17" s="81"/>
      <c r="V17" s="78"/>
      <c r="W17" s="79"/>
      <c r="X17" s="80"/>
      <c r="Y17" s="82"/>
      <c r="Z17" s="79"/>
      <c r="AA17" s="81"/>
      <c r="AB17" s="78"/>
      <c r="AC17" s="79"/>
      <c r="AD17" s="80"/>
      <c r="AE17" s="78"/>
      <c r="AF17" s="79"/>
      <c r="AG17" s="80"/>
      <c r="AH17" s="78"/>
      <c r="AI17" s="79"/>
      <c r="AJ17" s="80"/>
      <c r="AK17" s="78"/>
      <c r="AL17" s="79"/>
      <c r="AM17" s="80"/>
      <c r="AN17" s="79"/>
      <c r="AO17" s="79"/>
      <c r="AP17" s="83"/>
    </row>
    <row r="18" spans="2:42" ht="20.100000000000001" customHeight="1" x14ac:dyDescent="0.15">
      <c r="B18" s="441"/>
      <c r="C18" s="443"/>
      <c r="D18" s="444"/>
      <c r="E18" s="444"/>
      <c r="F18" s="84"/>
      <c r="G18" s="78"/>
      <c r="H18" s="79"/>
      <c r="I18" s="79"/>
      <c r="J18" s="78"/>
      <c r="K18" s="79"/>
      <c r="L18" s="80"/>
      <c r="M18" s="79"/>
      <c r="N18" s="79"/>
      <c r="O18" s="81"/>
      <c r="P18" s="78"/>
      <c r="Q18" s="79"/>
      <c r="R18" s="80"/>
      <c r="S18" s="82"/>
      <c r="T18" s="79"/>
      <c r="U18" s="81"/>
      <c r="V18" s="78"/>
      <c r="W18" s="79"/>
      <c r="X18" s="80"/>
      <c r="Y18" s="82"/>
      <c r="Z18" s="79"/>
      <c r="AA18" s="81"/>
      <c r="AB18" s="78"/>
      <c r="AC18" s="79"/>
      <c r="AD18" s="80"/>
      <c r="AE18" s="78"/>
      <c r="AF18" s="79"/>
      <c r="AG18" s="80"/>
      <c r="AH18" s="78"/>
      <c r="AI18" s="79"/>
      <c r="AJ18" s="80"/>
      <c r="AK18" s="78"/>
      <c r="AL18" s="79"/>
      <c r="AM18" s="80"/>
      <c r="AN18" s="79"/>
      <c r="AO18" s="79"/>
      <c r="AP18" s="83"/>
    </row>
    <row r="19" spans="2:42" ht="20.100000000000001" customHeight="1" x14ac:dyDescent="0.15">
      <c r="B19" s="442"/>
      <c r="C19" s="445"/>
      <c r="D19" s="446"/>
      <c r="E19" s="446"/>
      <c r="F19" s="85"/>
      <c r="G19" s="86"/>
      <c r="H19" s="87"/>
      <c r="I19" s="87"/>
      <c r="J19" s="88"/>
      <c r="K19" s="89"/>
      <c r="L19" s="90"/>
      <c r="M19" s="87"/>
      <c r="N19" s="87"/>
      <c r="O19" s="91"/>
      <c r="P19" s="88"/>
      <c r="Q19" s="89"/>
      <c r="R19" s="90"/>
      <c r="S19" s="92"/>
      <c r="T19" s="87"/>
      <c r="U19" s="91"/>
      <c r="V19" s="88"/>
      <c r="W19" s="89"/>
      <c r="X19" s="90"/>
      <c r="Y19" s="92"/>
      <c r="Z19" s="87"/>
      <c r="AA19" s="91"/>
      <c r="AB19" s="88"/>
      <c r="AC19" s="89"/>
      <c r="AD19" s="90"/>
      <c r="AE19" s="88"/>
      <c r="AF19" s="89"/>
      <c r="AG19" s="90"/>
      <c r="AH19" s="88"/>
      <c r="AI19" s="89"/>
      <c r="AJ19" s="90"/>
      <c r="AK19" s="88"/>
      <c r="AL19" s="89"/>
      <c r="AM19" s="90"/>
      <c r="AN19" s="89"/>
      <c r="AO19" s="89"/>
      <c r="AP19" s="93"/>
    </row>
    <row r="20" spans="2:42" ht="20.100000000000001" customHeight="1" x14ac:dyDescent="0.15">
      <c r="B20" s="472" t="s">
        <v>69</v>
      </c>
      <c r="C20" s="458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  <c r="AO20" s="459"/>
      <c r="AP20" s="460"/>
    </row>
    <row r="21" spans="2:42" ht="20.100000000000001" customHeight="1" x14ac:dyDescent="0.15">
      <c r="B21" s="418"/>
      <c r="C21" s="473" t="s">
        <v>378</v>
      </c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94"/>
      <c r="W21" s="94"/>
      <c r="Y21" s="421"/>
      <c r="Z21" s="421"/>
      <c r="AA21" s="421"/>
      <c r="AB21" s="421"/>
      <c r="AC21" s="94"/>
      <c r="AD21" s="94"/>
      <c r="AI21" s="94"/>
      <c r="AJ21" s="94"/>
      <c r="AK21" s="94"/>
      <c r="AL21" s="94"/>
      <c r="AM21" s="94"/>
      <c r="AN21" s="94"/>
      <c r="AO21" s="94"/>
      <c r="AP21" s="95"/>
    </row>
    <row r="22" spans="2:42" ht="20.100000000000001" customHeight="1" thickBot="1" x14ac:dyDescent="0.2">
      <c r="B22" s="435"/>
      <c r="C22" s="461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2"/>
      <c r="AL22" s="462"/>
      <c r="AM22" s="462"/>
      <c r="AN22" s="462"/>
      <c r="AO22" s="462"/>
      <c r="AP22" s="463"/>
    </row>
    <row r="23" spans="2:42" ht="9.9499999999999993" customHeight="1" x14ac:dyDescent="0.15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</row>
    <row r="24" spans="2:42" ht="24.95" customHeight="1" thickBot="1" x14ac:dyDescent="0.2">
      <c r="B24" s="69" t="s">
        <v>96</v>
      </c>
    </row>
    <row r="25" spans="2:42" ht="20.100000000000001" customHeight="1" thickBot="1" x14ac:dyDescent="0.2">
      <c r="B25" s="464" t="s">
        <v>16</v>
      </c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6"/>
      <c r="O25" s="467" t="s">
        <v>15</v>
      </c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9"/>
    </row>
    <row r="26" spans="2:42" ht="39.950000000000003" customHeight="1" x14ac:dyDescent="0.15">
      <c r="B26" s="470" t="s">
        <v>11</v>
      </c>
      <c r="C26" s="455"/>
      <c r="D26" s="455"/>
      <c r="E26" s="456" t="s">
        <v>374</v>
      </c>
      <c r="F26" s="456"/>
      <c r="G26" s="456"/>
      <c r="H26" s="456"/>
      <c r="I26" s="456"/>
      <c r="J26" s="456"/>
      <c r="K26" s="457"/>
      <c r="L26" s="471"/>
      <c r="M26" s="456"/>
      <c r="N26" s="457"/>
      <c r="O26" s="454" t="s">
        <v>8</v>
      </c>
      <c r="P26" s="455"/>
      <c r="Q26" s="455"/>
      <c r="R26" s="455"/>
      <c r="S26" s="455"/>
      <c r="T26" s="456" t="s">
        <v>335</v>
      </c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56"/>
      <c r="AN26" s="456"/>
      <c r="AO26" s="456"/>
      <c r="AP26" s="457"/>
    </row>
    <row r="27" spans="2:42" ht="39.950000000000003" customHeight="1" x14ac:dyDescent="0.15">
      <c r="B27" s="477" t="s">
        <v>12</v>
      </c>
      <c r="C27" s="478"/>
      <c r="D27" s="478"/>
      <c r="E27" s="479" t="s">
        <v>380</v>
      </c>
      <c r="F27" s="479"/>
      <c r="G27" s="479"/>
      <c r="H27" s="479"/>
      <c r="I27" s="479"/>
      <c r="J27" s="479"/>
      <c r="K27" s="480"/>
      <c r="L27" s="481"/>
      <c r="M27" s="479"/>
      <c r="N27" s="480"/>
      <c r="O27" s="482" t="s">
        <v>9</v>
      </c>
      <c r="P27" s="478"/>
      <c r="Q27" s="478"/>
      <c r="R27" s="478"/>
      <c r="S27" s="478"/>
      <c r="T27" s="483" t="s">
        <v>358</v>
      </c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84"/>
      <c r="AK27" s="484"/>
      <c r="AL27" s="484"/>
      <c r="AM27" s="484"/>
      <c r="AN27" s="484"/>
      <c r="AO27" s="484"/>
      <c r="AP27" s="485"/>
    </row>
    <row r="28" spans="2:42" ht="39.950000000000003" customHeight="1" x14ac:dyDescent="0.15">
      <c r="B28" s="477" t="s">
        <v>13</v>
      </c>
      <c r="C28" s="478"/>
      <c r="D28" s="478"/>
      <c r="E28" s="486" t="s">
        <v>261</v>
      </c>
      <c r="F28" s="487"/>
      <c r="G28" s="487"/>
      <c r="H28" s="487"/>
      <c r="I28" s="487"/>
      <c r="J28" s="487"/>
      <c r="K28" s="487"/>
      <c r="L28" s="487"/>
      <c r="M28" s="487"/>
      <c r="N28" s="488"/>
      <c r="O28" s="482" t="s">
        <v>10</v>
      </c>
      <c r="P28" s="478"/>
      <c r="Q28" s="478"/>
      <c r="R28" s="478"/>
      <c r="S28" s="478"/>
      <c r="T28" s="483" t="s">
        <v>360</v>
      </c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4"/>
      <c r="AF28" s="484"/>
      <c r="AG28" s="484"/>
      <c r="AH28" s="484"/>
      <c r="AI28" s="484"/>
      <c r="AJ28" s="484"/>
      <c r="AK28" s="484"/>
      <c r="AL28" s="484"/>
      <c r="AM28" s="484"/>
      <c r="AN28" s="484"/>
      <c r="AO28" s="484"/>
      <c r="AP28" s="485"/>
    </row>
    <row r="29" spans="2:42" ht="39.950000000000003" customHeight="1" thickBot="1" x14ac:dyDescent="0.2">
      <c r="B29" s="493" t="s">
        <v>14</v>
      </c>
      <c r="C29" s="490"/>
      <c r="D29" s="490"/>
      <c r="E29" s="475" t="s">
        <v>355</v>
      </c>
      <c r="F29" s="475"/>
      <c r="G29" s="475"/>
      <c r="H29" s="475"/>
      <c r="I29" s="475"/>
      <c r="J29" s="475"/>
      <c r="K29" s="475"/>
      <c r="L29" s="475"/>
      <c r="M29" s="475"/>
      <c r="N29" s="476"/>
      <c r="O29" s="489"/>
      <c r="P29" s="490"/>
      <c r="Q29" s="490"/>
      <c r="R29" s="490"/>
      <c r="S29" s="490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  <c r="AO29" s="491"/>
      <c r="AP29" s="492"/>
    </row>
    <row r="30" spans="2:42" ht="9.75" customHeight="1" x14ac:dyDescent="0.15">
      <c r="B30" s="73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zoomScaleSheetLayoutView="80" workbookViewId="0"/>
  </sheetViews>
  <sheetFormatPr defaultRowHeight="13.5" x14ac:dyDescent="0.15"/>
  <cols>
    <col min="1" max="1" width="1.625" style="69" customWidth="1"/>
    <col min="2" max="2" width="7.625" style="69" customWidth="1"/>
    <col min="3" max="3" width="25.625" style="69" customWidth="1"/>
    <col min="4" max="12" width="19" style="69" customWidth="1"/>
    <col min="13" max="16384" width="9" style="69"/>
  </cols>
  <sheetData>
    <row r="1" spans="2:12" ht="9.9499999999999993" customHeight="1" x14ac:dyDescent="0.1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2" ht="24.95" customHeight="1" thickBot="1" x14ac:dyDescent="0.2">
      <c r="B2" s="260" t="s">
        <v>322</v>
      </c>
      <c r="F2" s="283" t="s">
        <v>197</v>
      </c>
      <c r="G2" s="260" t="s">
        <v>299</v>
      </c>
      <c r="I2" s="283" t="s">
        <v>198</v>
      </c>
      <c r="J2" s="260" t="s">
        <v>256</v>
      </c>
    </row>
    <row r="3" spans="2:12" ht="20.100000000000001" customHeight="1" x14ac:dyDescent="0.15">
      <c r="B3" s="506" t="s">
        <v>90</v>
      </c>
      <c r="C3" s="507"/>
      <c r="D3" s="380" t="s">
        <v>379</v>
      </c>
      <c r="E3" s="372" t="s">
        <v>301</v>
      </c>
      <c r="F3" s="372" t="s">
        <v>300</v>
      </c>
      <c r="G3" s="372" t="s">
        <v>346</v>
      </c>
      <c r="H3" s="372" t="s">
        <v>302</v>
      </c>
      <c r="I3" s="372" t="s">
        <v>347</v>
      </c>
      <c r="J3" s="372" t="s">
        <v>291</v>
      </c>
      <c r="K3" s="372" t="s">
        <v>419</v>
      </c>
      <c r="L3" s="373" t="s">
        <v>293</v>
      </c>
    </row>
    <row r="4" spans="2:12" ht="150" customHeight="1" x14ac:dyDescent="0.15">
      <c r="B4" s="508" t="s">
        <v>81</v>
      </c>
      <c r="C4" s="375" t="s">
        <v>82</v>
      </c>
      <c r="D4" s="396" t="s">
        <v>400</v>
      </c>
      <c r="E4" s="396" t="s">
        <v>401</v>
      </c>
      <c r="F4" s="396" t="s">
        <v>402</v>
      </c>
      <c r="G4" s="396" t="s">
        <v>403</v>
      </c>
      <c r="H4" s="396" t="s">
        <v>417</v>
      </c>
      <c r="I4" s="396" t="s">
        <v>418</v>
      </c>
      <c r="J4" s="396" t="s">
        <v>404</v>
      </c>
      <c r="K4" s="396" t="s">
        <v>405</v>
      </c>
      <c r="L4" s="397" t="s">
        <v>406</v>
      </c>
    </row>
    <row r="5" spans="2:12" ht="20.100000000000001" customHeight="1" x14ac:dyDescent="0.15">
      <c r="B5" s="508"/>
      <c r="C5" s="375" t="s">
        <v>83</v>
      </c>
      <c r="D5" s="375" t="s">
        <v>350</v>
      </c>
      <c r="E5" s="375" t="s">
        <v>348</v>
      </c>
      <c r="F5" s="388" t="s">
        <v>385</v>
      </c>
      <c r="G5" s="388" t="s">
        <v>386</v>
      </c>
      <c r="H5" s="388" t="s">
        <v>387</v>
      </c>
      <c r="I5" s="388" t="s">
        <v>388</v>
      </c>
      <c r="J5" s="388" t="s">
        <v>389</v>
      </c>
      <c r="K5" s="388" t="s">
        <v>390</v>
      </c>
      <c r="L5" s="374" t="s">
        <v>391</v>
      </c>
    </row>
    <row r="6" spans="2:12" ht="150" customHeight="1" x14ac:dyDescent="0.15">
      <c r="B6" s="508"/>
      <c r="C6" s="375" t="s">
        <v>89</v>
      </c>
      <c r="D6" s="394" t="s">
        <v>392</v>
      </c>
      <c r="E6" s="378" t="s">
        <v>349</v>
      </c>
      <c r="F6" s="71"/>
      <c r="G6" s="71"/>
      <c r="H6" s="71"/>
      <c r="I6" s="71"/>
      <c r="J6" s="393" t="s">
        <v>329</v>
      </c>
      <c r="K6" s="394" t="s">
        <v>186</v>
      </c>
      <c r="L6" s="395" t="s">
        <v>186</v>
      </c>
    </row>
    <row r="7" spans="2:12" ht="20.100000000000001" customHeight="1" x14ac:dyDescent="0.15">
      <c r="B7" s="508"/>
      <c r="C7" s="379" t="s">
        <v>86</v>
      </c>
      <c r="D7" s="375">
        <f>'８　なす算出基礎'!K6+'８　なす算出基礎'!K7+'８　なす算出基礎'!K11</f>
        <v>4.5</v>
      </c>
      <c r="E7" s="375">
        <v>0</v>
      </c>
      <c r="F7" s="375">
        <v>0</v>
      </c>
      <c r="G7" s="375">
        <v>0</v>
      </c>
      <c r="H7" s="375">
        <v>0</v>
      </c>
      <c r="I7" s="375">
        <v>0</v>
      </c>
      <c r="J7" s="375">
        <f>'８　なす算出基礎'!K12</f>
        <v>20</v>
      </c>
      <c r="K7" s="375">
        <f>'８　なす算出基礎'!K13</f>
        <v>60</v>
      </c>
      <c r="L7" s="374">
        <v>1</v>
      </c>
    </row>
    <row r="8" spans="2:12" ht="20.100000000000001" customHeight="1" x14ac:dyDescent="0.15">
      <c r="B8" s="508"/>
      <c r="C8" s="375" t="s">
        <v>87</v>
      </c>
      <c r="D8" s="375">
        <f>'５　なす作業時間'!AN9-D7</f>
        <v>37.5</v>
      </c>
      <c r="E8" s="375">
        <f>'５　なす作業時間'!AN10</f>
        <v>36</v>
      </c>
      <c r="F8" s="375">
        <f>'５　なす作業時間'!AN11</f>
        <v>32</v>
      </c>
      <c r="G8" s="375">
        <f>'５　なす作業時間'!AN12</f>
        <v>36</v>
      </c>
      <c r="H8" s="375">
        <f>'５　なす作業時間'!AN13</f>
        <v>12</v>
      </c>
      <c r="I8" s="375">
        <f>'５　なす作業時間'!AN14</f>
        <v>72</v>
      </c>
      <c r="J8" s="375">
        <f>'５　なす作業時間'!AN15-J7</f>
        <v>7</v>
      </c>
      <c r="K8" s="375">
        <f>'５　なす作業時間'!AN16-K7</f>
        <v>542</v>
      </c>
      <c r="L8" s="374">
        <f>'５　なす作業時間'!AN17-L7</f>
        <v>23</v>
      </c>
    </row>
    <row r="9" spans="2:12" ht="20.100000000000001" customHeight="1" x14ac:dyDescent="0.15">
      <c r="B9" s="508"/>
      <c r="C9" s="375" t="s">
        <v>88</v>
      </c>
      <c r="D9" s="375">
        <v>1</v>
      </c>
      <c r="E9" s="375">
        <v>2</v>
      </c>
      <c r="F9" s="375">
        <v>2</v>
      </c>
      <c r="G9" s="375">
        <v>1</v>
      </c>
      <c r="H9" s="375">
        <v>1</v>
      </c>
      <c r="I9" s="375" t="s">
        <v>304</v>
      </c>
      <c r="J9" s="375" t="s">
        <v>304</v>
      </c>
      <c r="K9" s="375">
        <v>3</v>
      </c>
      <c r="L9" s="374">
        <v>2</v>
      </c>
    </row>
    <row r="10" spans="2:12" ht="150" customHeight="1" x14ac:dyDescent="0.15">
      <c r="B10" s="509" t="s">
        <v>84</v>
      </c>
      <c r="C10" s="510"/>
      <c r="D10" s="394" t="s">
        <v>393</v>
      </c>
      <c r="E10" s="393" t="s">
        <v>394</v>
      </c>
      <c r="F10" s="394" t="s">
        <v>395</v>
      </c>
      <c r="G10" s="378"/>
      <c r="H10" s="394" t="s">
        <v>396</v>
      </c>
      <c r="I10" s="394" t="s">
        <v>397</v>
      </c>
      <c r="J10" s="394" t="s">
        <v>398</v>
      </c>
      <c r="K10" s="394" t="s">
        <v>399</v>
      </c>
      <c r="L10" s="374"/>
    </row>
    <row r="11" spans="2:12" ht="150" customHeight="1" thickBot="1" x14ac:dyDescent="0.2">
      <c r="B11" s="511" t="s">
        <v>85</v>
      </c>
      <c r="C11" s="512"/>
      <c r="D11" s="400" t="s">
        <v>407</v>
      </c>
      <c r="E11" s="400" t="s">
        <v>408</v>
      </c>
      <c r="F11" s="400" t="s">
        <v>409</v>
      </c>
      <c r="G11" s="400" t="s">
        <v>410</v>
      </c>
      <c r="H11" s="398"/>
      <c r="I11" s="400" t="s">
        <v>411</v>
      </c>
      <c r="J11" s="400" t="s">
        <v>412</v>
      </c>
      <c r="K11" s="400" t="s">
        <v>413</v>
      </c>
      <c r="L11" s="399"/>
    </row>
    <row r="12" spans="2:12" ht="9.75" customHeight="1" x14ac:dyDescent="0.15">
      <c r="B12" s="73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 x14ac:dyDescent="0.15"/>
    <row r="2" spans="2:14" ht="24.95" customHeight="1" thickBot="1" x14ac:dyDescent="0.2">
      <c r="B2" s="11" t="s">
        <v>80</v>
      </c>
      <c r="C2" s="12"/>
      <c r="D2" s="12"/>
      <c r="M2" s="13"/>
      <c r="N2" s="13"/>
    </row>
    <row r="3" spans="2:14" ht="20.100000000000001" customHeight="1" x14ac:dyDescent="0.15">
      <c r="B3" s="549" t="s">
        <v>253</v>
      </c>
      <c r="C3" s="550"/>
      <c r="D3" s="550"/>
      <c r="E3" s="550"/>
      <c r="F3" s="14" t="s">
        <v>22</v>
      </c>
      <c r="G3" s="14" t="s">
        <v>375</v>
      </c>
      <c r="H3" s="530" t="s">
        <v>252</v>
      </c>
      <c r="I3" s="531"/>
      <c r="J3" s="531"/>
      <c r="K3" s="531"/>
      <c r="L3" s="531"/>
      <c r="M3" s="531"/>
      <c r="N3" s="532"/>
    </row>
    <row r="4" spans="2:14" ht="20.100000000000001" customHeight="1" thickBot="1" x14ac:dyDescent="0.2">
      <c r="B4" s="551"/>
      <c r="C4" s="552"/>
      <c r="D4" s="552"/>
      <c r="E4" s="552"/>
      <c r="F4" s="15"/>
      <c r="G4" s="307">
        <v>60</v>
      </c>
      <c r="H4" s="533"/>
      <c r="I4" s="534"/>
      <c r="J4" s="534"/>
      <c r="K4" s="534"/>
      <c r="L4" s="534"/>
      <c r="M4" s="534"/>
      <c r="N4" s="535"/>
    </row>
    <row r="5" spans="2:14" ht="20.100000000000001" customHeight="1" x14ac:dyDescent="0.15">
      <c r="B5" s="561" t="s">
        <v>45</v>
      </c>
      <c r="C5" s="562"/>
      <c r="D5" s="16" t="s">
        <v>163</v>
      </c>
      <c r="E5" s="17"/>
      <c r="F5" s="18">
        <f>SUM(G5:G5)</f>
        <v>13449628.800000001</v>
      </c>
      <c r="G5" s="259">
        <f>'７　なす部門収支'!F4*G$4/10</f>
        <v>13449628.800000001</v>
      </c>
      <c r="H5" s="536"/>
      <c r="I5" s="537"/>
      <c r="J5" s="537"/>
      <c r="K5" s="537"/>
      <c r="L5" s="537"/>
      <c r="M5" s="537"/>
      <c r="N5" s="538"/>
    </row>
    <row r="6" spans="2:14" ht="20.100000000000001" customHeight="1" x14ac:dyDescent="0.15">
      <c r="B6" s="563"/>
      <c r="C6" s="564"/>
      <c r="D6" s="19" t="s">
        <v>72</v>
      </c>
      <c r="E6" s="20"/>
      <c r="F6" s="21">
        <f>SUM(G6:G6)</f>
        <v>0</v>
      </c>
      <c r="G6" s="24">
        <f>'７　なす部門収支'!F5*G$4/10</f>
        <v>0</v>
      </c>
      <c r="H6" s="527"/>
      <c r="I6" s="528"/>
      <c r="J6" s="528"/>
      <c r="K6" s="528"/>
      <c r="L6" s="528"/>
      <c r="M6" s="528"/>
      <c r="N6" s="529"/>
    </row>
    <row r="7" spans="2:14" ht="20.100000000000001" customHeight="1" x14ac:dyDescent="0.15">
      <c r="B7" s="565"/>
      <c r="C7" s="566"/>
      <c r="D7" s="553" t="s">
        <v>159</v>
      </c>
      <c r="E7" s="554"/>
      <c r="F7" s="22">
        <f>SUM(G7,H7,M7)</f>
        <v>13449628.800000001</v>
      </c>
      <c r="G7" s="23">
        <f>G5+G6</f>
        <v>13449628.800000001</v>
      </c>
      <c r="H7" s="527"/>
      <c r="I7" s="528"/>
      <c r="J7" s="528"/>
      <c r="K7" s="528"/>
      <c r="L7" s="528"/>
      <c r="M7" s="528"/>
      <c r="N7" s="529"/>
    </row>
    <row r="8" spans="2:14" ht="20.100000000000001" customHeight="1" x14ac:dyDescent="0.15">
      <c r="B8" s="523" t="s">
        <v>239</v>
      </c>
      <c r="C8" s="515" t="s">
        <v>254</v>
      </c>
      <c r="D8" s="19" t="s">
        <v>46</v>
      </c>
      <c r="E8" s="20"/>
      <c r="F8" s="21">
        <f t="shared" ref="F8:F21" si="0">SUM(G8:G8)</f>
        <v>645000</v>
      </c>
      <c r="G8" s="24">
        <f>'７　なす部門収支'!F6*G$4/10</f>
        <v>645000</v>
      </c>
      <c r="H8" s="527"/>
      <c r="I8" s="528"/>
      <c r="J8" s="528"/>
      <c r="K8" s="528"/>
      <c r="L8" s="528"/>
      <c r="M8" s="528"/>
      <c r="N8" s="529"/>
    </row>
    <row r="9" spans="2:14" ht="20.100000000000001" customHeight="1" x14ac:dyDescent="0.15">
      <c r="B9" s="524"/>
      <c r="C9" s="516"/>
      <c r="D9" s="19" t="s">
        <v>47</v>
      </c>
      <c r="E9" s="20"/>
      <c r="F9" s="21">
        <f t="shared" si="0"/>
        <v>643560</v>
      </c>
      <c r="G9" s="24">
        <f>'７　なす部門収支'!F7*G$4/10</f>
        <v>643560</v>
      </c>
      <c r="H9" s="527"/>
      <c r="I9" s="528"/>
      <c r="J9" s="528"/>
      <c r="K9" s="528"/>
      <c r="L9" s="528"/>
      <c r="M9" s="528"/>
      <c r="N9" s="529"/>
    </row>
    <row r="10" spans="2:14" ht="20.100000000000001" customHeight="1" x14ac:dyDescent="0.15">
      <c r="B10" s="524"/>
      <c r="C10" s="516"/>
      <c r="D10" s="19" t="s">
        <v>48</v>
      </c>
      <c r="E10" s="20"/>
      <c r="F10" s="21">
        <f t="shared" si="0"/>
        <v>116567.88</v>
      </c>
      <c r="G10" s="24">
        <f>'７　なす部門収支'!F8*G$4/10</f>
        <v>116567.88</v>
      </c>
      <c r="H10" s="527"/>
      <c r="I10" s="528"/>
      <c r="J10" s="528"/>
      <c r="K10" s="528"/>
      <c r="L10" s="528"/>
      <c r="M10" s="528"/>
      <c r="N10" s="529"/>
    </row>
    <row r="11" spans="2:14" ht="20.100000000000001" customHeight="1" x14ac:dyDescent="0.15">
      <c r="B11" s="524"/>
      <c r="C11" s="516"/>
      <c r="D11" s="19" t="s">
        <v>73</v>
      </c>
      <c r="E11" s="20"/>
      <c r="F11" s="21">
        <f t="shared" si="0"/>
        <v>114446.47500000001</v>
      </c>
      <c r="G11" s="24">
        <f>'７　なす部門収支'!F9*G$4/10</f>
        <v>114446.47500000001</v>
      </c>
      <c r="H11" s="527"/>
      <c r="I11" s="528"/>
      <c r="J11" s="528"/>
      <c r="K11" s="528"/>
      <c r="L11" s="528"/>
      <c r="M11" s="528"/>
      <c r="N11" s="529"/>
    </row>
    <row r="12" spans="2:14" ht="20.100000000000001" customHeight="1" x14ac:dyDescent="0.15">
      <c r="B12" s="524"/>
      <c r="C12" s="516"/>
      <c r="D12" s="19" t="s">
        <v>49</v>
      </c>
      <c r="E12" s="20"/>
      <c r="F12" s="21">
        <f t="shared" si="0"/>
        <v>586230</v>
      </c>
      <c r="G12" s="24">
        <f>'７　なす部門収支'!F10*G$4/10</f>
        <v>586230</v>
      </c>
      <c r="H12" s="527"/>
      <c r="I12" s="528"/>
      <c r="J12" s="528"/>
      <c r="K12" s="528"/>
      <c r="L12" s="528"/>
      <c r="M12" s="528"/>
      <c r="N12" s="529"/>
    </row>
    <row r="13" spans="2:14" ht="20.100000000000001" customHeight="1" x14ac:dyDescent="0.15">
      <c r="B13" s="524"/>
      <c r="C13" s="516"/>
      <c r="D13" s="19" t="s">
        <v>4</v>
      </c>
      <c r="E13" s="20"/>
      <c r="F13" s="21">
        <f t="shared" si="0"/>
        <v>18588.809523809527</v>
      </c>
      <c r="G13" s="24">
        <f>'７　なす部門収支'!F11*G$4/10</f>
        <v>18588.809523809527</v>
      </c>
      <c r="H13" s="527"/>
      <c r="I13" s="528"/>
      <c r="J13" s="528"/>
      <c r="K13" s="528"/>
      <c r="L13" s="528"/>
      <c r="M13" s="528"/>
      <c r="N13" s="529"/>
    </row>
    <row r="14" spans="2:14" ht="20.100000000000001" customHeight="1" x14ac:dyDescent="0.15">
      <c r="B14" s="524"/>
      <c r="C14" s="516"/>
      <c r="D14" s="19" t="s">
        <v>5</v>
      </c>
      <c r="E14" s="20"/>
      <c r="F14" s="24">
        <f t="shared" si="0"/>
        <v>0</v>
      </c>
      <c r="G14" s="24">
        <f>'７　なす部門収支'!F12*G$4/10</f>
        <v>0</v>
      </c>
      <c r="H14" s="527"/>
      <c r="I14" s="528"/>
      <c r="J14" s="528"/>
      <c r="K14" s="528"/>
      <c r="L14" s="528"/>
      <c r="M14" s="528"/>
      <c r="N14" s="529"/>
    </row>
    <row r="15" spans="2:14" ht="20.100000000000001" customHeight="1" x14ac:dyDescent="0.15">
      <c r="B15" s="524"/>
      <c r="C15" s="516"/>
      <c r="D15" s="555" t="s">
        <v>50</v>
      </c>
      <c r="E15" s="300" t="s">
        <v>153</v>
      </c>
      <c r="F15" s="24">
        <f t="shared" si="0"/>
        <v>43200</v>
      </c>
      <c r="G15" s="24">
        <f>'７　なす部門収支'!F13*G$4/10</f>
        <v>43200</v>
      </c>
      <c r="H15" s="527"/>
      <c r="I15" s="528"/>
      <c r="J15" s="528"/>
      <c r="K15" s="528"/>
      <c r="L15" s="528"/>
      <c r="M15" s="528"/>
      <c r="N15" s="529"/>
    </row>
    <row r="16" spans="2:14" ht="20.100000000000001" customHeight="1" x14ac:dyDescent="0.15">
      <c r="B16" s="524"/>
      <c r="C16" s="516"/>
      <c r="D16" s="556"/>
      <c r="E16" s="300" t="s">
        <v>154</v>
      </c>
      <c r="F16" s="24">
        <f t="shared" si="0"/>
        <v>238499.99999999994</v>
      </c>
      <c r="G16" s="24">
        <f>'７　なす部門収支'!F14*G$4/10</f>
        <v>238499.99999999994</v>
      </c>
      <c r="H16" s="527"/>
      <c r="I16" s="528"/>
      <c r="J16" s="528"/>
      <c r="K16" s="528"/>
      <c r="L16" s="528"/>
      <c r="M16" s="528"/>
      <c r="N16" s="529"/>
    </row>
    <row r="17" spans="2:14" ht="20.100000000000001" customHeight="1" x14ac:dyDescent="0.15">
      <c r="B17" s="524"/>
      <c r="C17" s="516"/>
      <c r="D17" s="557" t="s">
        <v>74</v>
      </c>
      <c r="E17" s="300" t="s">
        <v>153</v>
      </c>
      <c r="F17" s="24">
        <f t="shared" si="0"/>
        <v>180000</v>
      </c>
      <c r="G17" s="24">
        <f>'７　なす部門収支'!F15*G$4/10</f>
        <v>180000</v>
      </c>
      <c r="H17" s="527"/>
      <c r="I17" s="528"/>
      <c r="J17" s="528"/>
      <c r="K17" s="528"/>
      <c r="L17" s="528"/>
      <c r="M17" s="528"/>
      <c r="N17" s="529"/>
    </row>
    <row r="18" spans="2:14" ht="20.100000000000001" customHeight="1" x14ac:dyDescent="0.15">
      <c r="B18" s="524"/>
      <c r="C18" s="516"/>
      <c r="D18" s="558"/>
      <c r="E18" s="300" t="s">
        <v>154</v>
      </c>
      <c r="F18" s="24">
        <f t="shared" si="0"/>
        <v>779999.99999999988</v>
      </c>
      <c r="G18" s="24">
        <f>'７　なす部門収支'!F16*G$4/10</f>
        <v>779999.99999999988</v>
      </c>
      <c r="H18" s="527"/>
      <c r="I18" s="528"/>
      <c r="J18" s="528"/>
      <c r="K18" s="528"/>
      <c r="L18" s="528"/>
      <c r="M18" s="528"/>
      <c r="N18" s="529"/>
    </row>
    <row r="19" spans="2:14" ht="20.100000000000001" customHeight="1" x14ac:dyDescent="0.15">
      <c r="B19" s="524"/>
      <c r="C19" s="516"/>
      <c r="D19" s="556"/>
      <c r="E19" s="301" t="s">
        <v>51</v>
      </c>
      <c r="F19" s="24">
        <f t="shared" si="0"/>
        <v>0</v>
      </c>
      <c r="G19" s="24">
        <f>'７　なす部門収支'!F17*G$4/10</f>
        <v>0</v>
      </c>
      <c r="H19" s="527"/>
      <c r="I19" s="528"/>
      <c r="J19" s="528"/>
      <c r="K19" s="528"/>
      <c r="L19" s="528"/>
      <c r="M19" s="528"/>
      <c r="N19" s="529"/>
    </row>
    <row r="20" spans="2:14" ht="20.100000000000001" customHeight="1" x14ac:dyDescent="0.15">
      <c r="B20" s="524"/>
      <c r="C20" s="516"/>
      <c r="D20" s="19" t="s">
        <v>52</v>
      </c>
      <c r="E20" s="20"/>
      <c r="F20" s="21">
        <f t="shared" si="0"/>
        <v>18000</v>
      </c>
      <c r="G20" s="24">
        <f>'７　なす部門収支'!F18*G$4/10</f>
        <v>18000</v>
      </c>
      <c r="H20" s="527"/>
      <c r="I20" s="528"/>
      <c r="J20" s="528"/>
      <c r="K20" s="528"/>
      <c r="L20" s="528"/>
      <c r="M20" s="528"/>
      <c r="N20" s="529"/>
    </row>
    <row r="21" spans="2:14" ht="20.100000000000001" customHeight="1" x14ac:dyDescent="0.15">
      <c r="B21" s="524"/>
      <c r="C21" s="516"/>
      <c r="D21" s="19" t="s">
        <v>131</v>
      </c>
      <c r="E21" s="20"/>
      <c r="F21" s="21">
        <f t="shared" si="0"/>
        <v>34182.759237614242</v>
      </c>
      <c r="G21" s="24">
        <f>'７　なす部門収支'!F19*G$4/10</f>
        <v>34182.759237614242</v>
      </c>
      <c r="H21" s="527"/>
      <c r="I21" s="528"/>
      <c r="J21" s="528"/>
      <c r="K21" s="528"/>
      <c r="L21" s="528"/>
      <c r="M21" s="528"/>
      <c r="N21" s="529"/>
    </row>
    <row r="22" spans="2:14" ht="20.100000000000001" customHeight="1" x14ac:dyDescent="0.15">
      <c r="B22" s="524"/>
      <c r="C22" s="517"/>
      <c r="D22" s="559" t="s">
        <v>160</v>
      </c>
      <c r="E22" s="560"/>
      <c r="F22" s="310">
        <f>SUM(F8:F21)</f>
        <v>3418275.9237614241</v>
      </c>
      <c r="G22" s="310">
        <f>SUM(G8:G21)</f>
        <v>3418275.9237614241</v>
      </c>
      <c r="H22" s="527"/>
      <c r="I22" s="528"/>
      <c r="J22" s="528"/>
      <c r="K22" s="528"/>
      <c r="L22" s="528"/>
      <c r="M22" s="528"/>
      <c r="N22" s="529"/>
    </row>
    <row r="23" spans="2:14" ht="20.100000000000001" customHeight="1" x14ac:dyDescent="0.15">
      <c r="B23" s="524"/>
      <c r="C23" s="518" t="s">
        <v>157</v>
      </c>
      <c r="D23" s="541" t="s">
        <v>53</v>
      </c>
      <c r="E23" s="27" t="s">
        <v>1</v>
      </c>
      <c r="F23" s="24">
        <f t="shared" ref="F23:F31" si="1">SUM(G23:G23)</f>
        <v>1005672</v>
      </c>
      <c r="G23" s="24">
        <f>'７　なす部門収支'!F21*G$4/10</f>
        <v>1005672</v>
      </c>
      <c r="H23" s="527"/>
      <c r="I23" s="528"/>
      <c r="J23" s="528"/>
      <c r="K23" s="528"/>
      <c r="L23" s="528"/>
      <c r="M23" s="528"/>
      <c r="N23" s="529"/>
    </row>
    <row r="24" spans="2:14" ht="20.100000000000001" customHeight="1" x14ac:dyDescent="0.15">
      <c r="B24" s="524"/>
      <c r="C24" s="519"/>
      <c r="D24" s="542"/>
      <c r="E24" s="27" t="s">
        <v>2</v>
      </c>
      <c r="F24" s="24">
        <f t="shared" si="1"/>
        <v>543062.88000000012</v>
      </c>
      <c r="G24" s="24">
        <f>'７　なす部門収支'!F22*G$4/10</f>
        <v>543062.88000000012</v>
      </c>
      <c r="H24" s="527"/>
      <c r="I24" s="528"/>
      <c r="J24" s="528"/>
      <c r="K24" s="528"/>
      <c r="L24" s="528"/>
      <c r="M24" s="528"/>
      <c r="N24" s="529"/>
    </row>
    <row r="25" spans="2:14" ht="20.100000000000001" customHeight="1" x14ac:dyDescent="0.15">
      <c r="B25" s="524"/>
      <c r="C25" s="519"/>
      <c r="D25" s="543"/>
      <c r="E25" s="27" t="s">
        <v>6</v>
      </c>
      <c r="F25" s="24">
        <f t="shared" si="1"/>
        <v>1546707.3119999999</v>
      </c>
      <c r="G25" s="24">
        <f>'７　なす部門収支'!F23*G$4/10</f>
        <v>1546707.3119999999</v>
      </c>
      <c r="H25" s="527"/>
      <c r="I25" s="528"/>
      <c r="J25" s="528"/>
      <c r="K25" s="528"/>
      <c r="L25" s="528"/>
      <c r="M25" s="528"/>
      <c r="N25" s="529"/>
    </row>
    <row r="26" spans="2:14" ht="20.100000000000001" customHeight="1" x14ac:dyDescent="0.15">
      <c r="B26" s="524"/>
      <c r="C26" s="519"/>
      <c r="D26" s="27" t="s">
        <v>237</v>
      </c>
      <c r="E26" s="28"/>
      <c r="F26" s="24">
        <f t="shared" si="1"/>
        <v>0</v>
      </c>
      <c r="G26" s="24">
        <f>'７　なす部門収支'!F24*G$4/10</f>
        <v>0</v>
      </c>
      <c r="H26" s="527"/>
      <c r="I26" s="528"/>
      <c r="J26" s="528"/>
      <c r="K26" s="528"/>
      <c r="L26" s="528"/>
      <c r="M26" s="528"/>
      <c r="N26" s="529"/>
    </row>
    <row r="27" spans="2:14" ht="20.100000000000001" customHeight="1" x14ac:dyDescent="0.15">
      <c r="B27" s="524"/>
      <c r="C27" s="519"/>
      <c r="D27" s="27" t="s">
        <v>75</v>
      </c>
      <c r="E27" s="28"/>
      <c r="F27" s="24">
        <f t="shared" si="1"/>
        <v>0</v>
      </c>
      <c r="G27" s="24">
        <f>'７　なす部門収支'!F25*G$4/10</f>
        <v>0</v>
      </c>
      <c r="H27" s="527"/>
      <c r="I27" s="528"/>
      <c r="J27" s="528"/>
      <c r="K27" s="528"/>
      <c r="L27" s="528"/>
      <c r="M27" s="528"/>
      <c r="N27" s="529"/>
    </row>
    <row r="28" spans="2:14" ht="20.100000000000001" customHeight="1" x14ac:dyDescent="0.15">
      <c r="B28" s="524"/>
      <c r="C28" s="519"/>
      <c r="D28" s="27" t="s">
        <v>97</v>
      </c>
      <c r="E28" s="28"/>
      <c r="F28" s="24">
        <f t="shared" si="1"/>
        <v>40600</v>
      </c>
      <c r="G28" s="24">
        <f>'７　なす部門収支'!F26*G$4/10</f>
        <v>40600</v>
      </c>
      <c r="H28" s="527"/>
      <c r="I28" s="528"/>
      <c r="J28" s="528"/>
      <c r="K28" s="528"/>
      <c r="L28" s="528"/>
      <c r="M28" s="528"/>
      <c r="N28" s="529"/>
    </row>
    <row r="29" spans="2:14" ht="20.100000000000001" customHeight="1" x14ac:dyDescent="0.15">
      <c r="B29" s="524"/>
      <c r="C29" s="519"/>
      <c r="D29" s="27" t="s">
        <v>76</v>
      </c>
      <c r="E29" s="28"/>
      <c r="F29" s="24">
        <f t="shared" si="1"/>
        <v>4800</v>
      </c>
      <c r="G29" s="24">
        <f>'７　なす部門収支'!F27*G$4/10</f>
        <v>4800</v>
      </c>
      <c r="H29" s="527"/>
      <c r="I29" s="528"/>
      <c r="J29" s="528"/>
      <c r="K29" s="528"/>
      <c r="L29" s="528"/>
      <c r="M29" s="528"/>
      <c r="N29" s="529"/>
    </row>
    <row r="30" spans="2:14" ht="20.100000000000001" customHeight="1" x14ac:dyDescent="0.15">
      <c r="B30" s="524"/>
      <c r="C30" s="519"/>
      <c r="D30" s="27" t="s">
        <v>54</v>
      </c>
      <c r="E30" s="28"/>
      <c r="F30" s="24">
        <f t="shared" si="1"/>
        <v>29643.999999999993</v>
      </c>
      <c r="G30" s="24">
        <f>'７　なす部門収支'!F28*G$4/10</f>
        <v>29643.999999999993</v>
      </c>
      <c r="H30" s="527"/>
      <c r="I30" s="528"/>
      <c r="J30" s="528"/>
      <c r="K30" s="528"/>
      <c r="L30" s="528"/>
      <c r="M30" s="528"/>
      <c r="N30" s="529"/>
    </row>
    <row r="31" spans="2:14" ht="20.100000000000001" customHeight="1" x14ac:dyDescent="0.15">
      <c r="B31" s="524"/>
      <c r="C31" s="519"/>
      <c r="D31" s="27" t="s">
        <v>238</v>
      </c>
      <c r="E31" s="28"/>
      <c r="F31" s="24">
        <f t="shared" si="1"/>
        <v>32025.113050505053</v>
      </c>
      <c r="G31" s="24">
        <f>'７　なす部門収支'!F29*G$4/10</f>
        <v>32025.113050505053</v>
      </c>
      <c r="H31" s="527"/>
      <c r="I31" s="528"/>
      <c r="J31" s="528"/>
      <c r="K31" s="528"/>
      <c r="L31" s="528"/>
      <c r="M31" s="528"/>
      <c r="N31" s="529"/>
    </row>
    <row r="32" spans="2:14" ht="20.100000000000001" customHeight="1" x14ac:dyDescent="0.15">
      <c r="B32" s="524"/>
      <c r="C32" s="519"/>
      <c r="D32" s="544" t="s">
        <v>240</v>
      </c>
      <c r="E32" s="545"/>
      <c r="F32" s="308">
        <f>SUM(F23:F31)</f>
        <v>3202511.3050505049</v>
      </c>
      <c r="G32" s="308">
        <f>SUM(G23:G31)</f>
        <v>3202511.3050505049</v>
      </c>
      <c r="H32" s="527"/>
      <c r="I32" s="528"/>
      <c r="J32" s="528"/>
      <c r="K32" s="528"/>
      <c r="L32" s="528"/>
      <c r="M32" s="528"/>
      <c r="N32" s="529"/>
    </row>
    <row r="33" spans="2:14" ht="20.100000000000001" customHeight="1" x14ac:dyDescent="0.15">
      <c r="B33" s="524"/>
      <c r="C33" s="546" t="s">
        <v>241</v>
      </c>
      <c r="D33" s="547"/>
      <c r="E33" s="548"/>
      <c r="F33" s="24">
        <f>SUM(G33:G33)</f>
        <v>1543320.0000000005</v>
      </c>
      <c r="G33" s="309">
        <f>'５　なす作業時間'!AN51*'４　経営収支'!I33</f>
        <v>1543320.0000000005</v>
      </c>
      <c r="H33" s="25" t="s">
        <v>243</v>
      </c>
      <c r="I33" s="314">
        <v>900</v>
      </c>
      <c r="J33" s="312" t="s">
        <v>244</v>
      </c>
      <c r="K33" s="312"/>
      <c r="L33" s="312"/>
      <c r="M33" s="312"/>
      <c r="N33" s="313"/>
    </row>
    <row r="34" spans="2:14" ht="20.100000000000001" customHeight="1" x14ac:dyDescent="0.15">
      <c r="B34" s="539" t="s">
        <v>242</v>
      </c>
      <c r="C34" s="540"/>
      <c r="D34" s="540"/>
      <c r="E34" s="540"/>
      <c r="F34" s="311">
        <f>F22+F32+F33</f>
        <v>8164107.228811929</v>
      </c>
      <c r="G34" s="311">
        <f>G22+G32+G33</f>
        <v>8164107.228811929</v>
      </c>
      <c r="H34" s="527"/>
      <c r="I34" s="528"/>
      <c r="J34" s="528"/>
      <c r="K34" s="528"/>
      <c r="L34" s="528"/>
      <c r="M34" s="528"/>
      <c r="N34" s="529"/>
    </row>
    <row r="35" spans="2:14" ht="20.100000000000001" customHeight="1" x14ac:dyDescent="0.15">
      <c r="B35" s="513" t="s">
        <v>245</v>
      </c>
      <c r="C35" s="514"/>
      <c r="D35" s="514"/>
      <c r="E35" s="514"/>
      <c r="F35" s="315">
        <f>F7-F34</f>
        <v>5285521.5711880717</v>
      </c>
      <c r="G35" s="315">
        <f>G7-G34</f>
        <v>5285521.5711880717</v>
      </c>
      <c r="H35" s="527"/>
      <c r="I35" s="528"/>
      <c r="J35" s="528"/>
      <c r="K35" s="528"/>
      <c r="L35" s="528"/>
      <c r="M35" s="528"/>
      <c r="N35" s="529"/>
    </row>
    <row r="36" spans="2:14" ht="20.100000000000001" customHeight="1" x14ac:dyDescent="0.15">
      <c r="B36" s="513" t="s">
        <v>246</v>
      </c>
      <c r="C36" s="514"/>
      <c r="D36" s="514"/>
      <c r="E36" s="514"/>
      <c r="F36" s="317">
        <f>F35/F7</f>
        <v>0.39298642734200007</v>
      </c>
      <c r="G36" s="317">
        <f>G35/G7</f>
        <v>0.39298642734200007</v>
      </c>
      <c r="H36" s="527"/>
      <c r="I36" s="528"/>
      <c r="J36" s="528"/>
      <c r="K36" s="528"/>
      <c r="L36" s="528"/>
      <c r="M36" s="528"/>
      <c r="N36" s="529"/>
    </row>
    <row r="37" spans="2:14" ht="20.100000000000001" customHeight="1" x14ac:dyDescent="0.15">
      <c r="B37" s="513" t="s">
        <v>250</v>
      </c>
      <c r="C37" s="514"/>
      <c r="D37" s="514"/>
      <c r="E37" s="514"/>
      <c r="F37" s="315">
        <f>SUM(G37:G37)</f>
        <v>5298.0000000000009</v>
      </c>
      <c r="G37" s="315">
        <f>I37+L37</f>
        <v>5298.0000000000009</v>
      </c>
      <c r="H37" s="25" t="s">
        <v>247</v>
      </c>
      <c r="I37" s="314">
        <f>'５　なす作業時間'!AN49</f>
        <v>3583.2000000000003</v>
      </c>
      <c r="J37" s="312" t="s">
        <v>248</v>
      </c>
      <c r="K37" s="316" t="s">
        <v>249</v>
      </c>
      <c r="L37" s="314">
        <f>'５　なす作業時間'!AN51</f>
        <v>1714.8000000000004</v>
      </c>
      <c r="M37" s="312" t="s">
        <v>248</v>
      </c>
      <c r="N37" s="313"/>
    </row>
    <row r="38" spans="2:14" ht="20.100000000000001" customHeight="1" thickBot="1" x14ac:dyDescent="0.2">
      <c r="B38" s="525" t="s">
        <v>251</v>
      </c>
      <c r="C38" s="526"/>
      <c r="D38" s="526"/>
      <c r="E38" s="526"/>
      <c r="F38" s="318">
        <f>F35/I37</f>
        <v>1475.0841625329513</v>
      </c>
      <c r="G38" s="318">
        <f>G35/I37</f>
        <v>1475.0841625329513</v>
      </c>
      <c r="H38" s="520"/>
      <c r="I38" s="521"/>
      <c r="J38" s="521"/>
      <c r="K38" s="521"/>
      <c r="L38" s="521"/>
      <c r="M38" s="521"/>
      <c r="N38" s="522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80" workbookViewId="0">
      <pane xSplit="3" ySplit="8" topLeftCell="L9" activePane="bottomRight" state="frozen"/>
      <selection activeCell="H17" sqref="H16:H17"/>
      <selection pane="topRight" activeCell="H17" sqref="H16:H17"/>
      <selection pane="bottomLeft" activeCell="H17" sqref="H16:H17"/>
      <selection pane="bottomRight"/>
    </sheetView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324</v>
      </c>
      <c r="C2" s="2"/>
      <c r="D2" s="5"/>
      <c r="E2" s="5"/>
      <c r="F2" s="5"/>
      <c r="G2" s="5"/>
      <c r="H2" s="5"/>
      <c r="I2" s="5"/>
      <c r="J2" s="5"/>
      <c r="K2" s="5"/>
      <c r="L2" s="286" t="s">
        <v>298</v>
      </c>
      <c r="M2" s="260" t="s">
        <v>299</v>
      </c>
      <c r="N2" s="69"/>
      <c r="O2" s="283" t="s">
        <v>198</v>
      </c>
      <c r="P2" s="69" t="s">
        <v>376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201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567" t="s">
        <v>98</v>
      </c>
      <c r="C4" s="568"/>
      <c r="D4" s="571">
        <v>1</v>
      </c>
      <c r="E4" s="572"/>
      <c r="F4" s="573"/>
      <c r="G4" s="571">
        <v>2</v>
      </c>
      <c r="H4" s="572"/>
      <c r="I4" s="573"/>
      <c r="J4" s="571">
        <v>3</v>
      </c>
      <c r="K4" s="572"/>
      <c r="L4" s="573"/>
      <c r="M4" s="571">
        <v>4</v>
      </c>
      <c r="N4" s="572"/>
      <c r="O4" s="573"/>
      <c r="P4" s="571">
        <v>5</v>
      </c>
      <c r="Q4" s="572"/>
      <c r="R4" s="573"/>
      <c r="S4" s="571">
        <v>6</v>
      </c>
      <c r="T4" s="572"/>
      <c r="U4" s="573"/>
      <c r="V4" s="571">
        <v>7</v>
      </c>
      <c r="W4" s="572"/>
      <c r="X4" s="573"/>
      <c r="Y4" s="571">
        <v>8</v>
      </c>
      <c r="Z4" s="572"/>
      <c r="AA4" s="573"/>
      <c r="AB4" s="571">
        <v>9</v>
      </c>
      <c r="AC4" s="572"/>
      <c r="AD4" s="573"/>
      <c r="AE4" s="571">
        <v>10</v>
      </c>
      <c r="AF4" s="572"/>
      <c r="AG4" s="573"/>
      <c r="AH4" s="571">
        <v>11</v>
      </c>
      <c r="AI4" s="572"/>
      <c r="AJ4" s="573"/>
      <c r="AK4" s="571">
        <v>12</v>
      </c>
      <c r="AL4" s="572"/>
      <c r="AM4" s="573"/>
      <c r="AN4" s="574" t="s">
        <v>30</v>
      </c>
    </row>
    <row r="5" spans="2:63" ht="20.100000000000001" customHeight="1" x14ac:dyDescent="0.15">
      <c r="B5" s="569"/>
      <c r="C5" s="570"/>
      <c r="D5" s="51" t="s">
        <v>31</v>
      </c>
      <c r="E5" s="52" t="s">
        <v>32</v>
      </c>
      <c r="F5" s="53" t="s">
        <v>33</v>
      </c>
      <c r="G5" s="51" t="s">
        <v>31</v>
      </c>
      <c r="H5" s="53" t="s">
        <v>32</v>
      </c>
      <c r="I5" s="53" t="s">
        <v>33</v>
      </c>
      <c r="J5" s="51" t="s">
        <v>31</v>
      </c>
      <c r="K5" s="53" t="s">
        <v>32</v>
      </c>
      <c r="L5" s="53" t="s">
        <v>33</v>
      </c>
      <c r="M5" s="51" t="s">
        <v>31</v>
      </c>
      <c r="N5" s="53" t="s">
        <v>32</v>
      </c>
      <c r="O5" s="53" t="s">
        <v>33</v>
      </c>
      <c r="P5" s="51" t="s">
        <v>31</v>
      </c>
      <c r="Q5" s="53" t="s">
        <v>32</v>
      </c>
      <c r="R5" s="53" t="s">
        <v>33</v>
      </c>
      <c r="S5" s="51" t="s">
        <v>31</v>
      </c>
      <c r="T5" s="54" t="s">
        <v>32</v>
      </c>
      <c r="U5" s="54" t="s">
        <v>33</v>
      </c>
      <c r="V5" s="51" t="s">
        <v>31</v>
      </c>
      <c r="W5" s="53" t="s">
        <v>32</v>
      </c>
      <c r="X5" s="53" t="s">
        <v>33</v>
      </c>
      <c r="Y5" s="51" t="s">
        <v>31</v>
      </c>
      <c r="Z5" s="53" t="s">
        <v>32</v>
      </c>
      <c r="AA5" s="53" t="s">
        <v>33</v>
      </c>
      <c r="AB5" s="51" t="s">
        <v>31</v>
      </c>
      <c r="AC5" s="53" t="s">
        <v>32</v>
      </c>
      <c r="AD5" s="53" t="s">
        <v>33</v>
      </c>
      <c r="AE5" s="51" t="s">
        <v>31</v>
      </c>
      <c r="AF5" s="53" t="s">
        <v>32</v>
      </c>
      <c r="AG5" s="53" t="s">
        <v>33</v>
      </c>
      <c r="AH5" s="51" t="s">
        <v>31</v>
      </c>
      <c r="AI5" s="53" t="s">
        <v>32</v>
      </c>
      <c r="AJ5" s="53" t="s">
        <v>33</v>
      </c>
      <c r="AK5" s="51" t="s">
        <v>31</v>
      </c>
      <c r="AL5" s="53" t="s">
        <v>32</v>
      </c>
      <c r="AM5" s="53" t="s">
        <v>33</v>
      </c>
      <c r="AN5" s="575"/>
    </row>
    <row r="6" spans="2:63" ht="20.100000000000001" customHeight="1" x14ac:dyDescent="0.15">
      <c r="B6" s="576" t="s">
        <v>99</v>
      </c>
      <c r="C6" s="577"/>
      <c r="D6" s="55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6"/>
    </row>
    <row r="7" spans="2:63" ht="20.100000000000001" customHeight="1" x14ac:dyDescent="0.15">
      <c r="B7" s="578"/>
      <c r="C7" s="579"/>
      <c r="D7" s="55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349" t="s">
        <v>327</v>
      </c>
      <c r="R7" s="5"/>
      <c r="S7" s="5"/>
      <c r="T7" s="5"/>
      <c r="U7" s="5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5"/>
      <c r="AI7" s="5"/>
      <c r="AJ7" s="5"/>
      <c r="AK7" s="5"/>
      <c r="AL7" s="5"/>
      <c r="AM7" s="5"/>
      <c r="AN7" s="56"/>
    </row>
    <row r="8" spans="2:63" ht="20.100000000000001" customHeight="1" x14ac:dyDescent="0.15">
      <c r="B8" s="569"/>
      <c r="C8" s="570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9"/>
    </row>
    <row r="9" spans="2:63" ht="20.100000000000001" customHeight="1" x14ac:dyDescent="0.15">
      <c r="B9" s="580" t="s">
        <v>345</v>
      </c>
      <c r="C9" s="581" t="s">
        <v>278</v>
      </c>
      <c r="D9" s="340"/>
      <c r="E9" s="341"/>
      <c r="F9" s="341"/>
      <c r="G9" s="340"/>
      <c r="H9" s="341"/>
      <c r="I9" s="341"/>
      <c r="J9" s="338">
        <v>8</v>
      </c>
      <c r="K9" s="342">
        <v>8</v>
      </c>
      <c r="L9" s="342"/>
      <c r="M9" s="338"/>
      <c r="N9" s="342">
        <v>8</v>
      </c>
      <c r="O9" s="342">
        <v>10</v>
      </c>
      <c r="P9" s="338">
        <v>8</v>
      </c>
      <c r="Q9" s="342"/>
      <c r="R9" s="342"/>
      <c r="S9" s="338"/>
      <c r="T9" s="342"/>
      <c r="U9" s="342"/>
      <c r="V9" s="338"/>
      <c r="W9" s="342"/>
      <c r="X9" s="342"/>
      <c r="Y9" s="338"/>
      <c r="Z9" s="342"/>
      <c r="AA9" s="342"/>
      <c r="AB9" s="338"/>
      <c r="AC9" s="342"/>
      <c r="AD9" s="342"/>
      <c r="AE9" s="338"/>
      <c r="AF9" s="342"/>
      <c r="AG9" s="342"/>
      <c r="AH9" s="338"/>
      <c r="AI9" s="342"/>
      <c r="AJ9" s="342"/>
      <c r="AK9" s="338"/>
      <c r="AL9" s="342"/>
      <c r="AM9" s="342"/>
      <c r="AN9" s="62">
        <f>SUM(D9:AM9)</f>
        <v>42</v>
      </c>
    </row>
    <row r="10" spans="2:63" ht="20.100000000000001" customHeight="1" x14ac:dyDescent="0.15">
      <c r="B10" s="580" t="s">
        <v>279</v>
      </c>
      <c r="C10" s="581" t="s">
        <v>279</v>
      </c>
      <c r="D10" s="340"/>
      <c r="E10" s="341"/>
      <c r="F10" s="341"/>
      <c r="G10" s="340"/>
      <c r="H10" s="341"/>
      <c r="I10" s="341"/>
      <c r="J10" s="338"/>
      <c r="K10" s="342"/>
      <c r="L10" s="342"/>
      <c r="M10" s="338"/>
      <c r="N10" s="342">
        <v>4</v>
      </c>
      <c r="O10" s="342">
        <v>12</v>
      </c>
      <c r="P10" s="338">
        <v>12</v>
      </c>
      <c r="Q10" s="342">
        <v>8</v>
      </c>
      <c r="R10" s="342"/>
      <c r="S10" s="338"/>
      <c r="T10" s="342"/>
      <c r="U10" s="342"/>
      <c r="V10" s="338"/>
      <c r="W10" s="342"/>
      <c r="X10" s="342"/>
      <c r="Y10" s="338"/>
      <c r="Z10" s="342"/>
      <c r="AA10" s="342"/>
      <c r="AB10" s="338"/>
      <c r="AC10" s="342"/>
      <c r="AD10" s="342"/>
      <c r="AE10" s="338"/>
      <c r="AF10" s="342"/>
      <c r="AG10" s="342"/>
      <c r="AH10" s="338"/>
      <c r="AI10" s="342"/>
      <c r="AJ10" s="342"/>
      <c r="AK10" s="338"/>
      <c r="AL10" s="342"/>
      <c r="AM10" s="342"/>
      <c r="AN10" s="62">
        <f t="shared" ref="AN10:AN34" si="0">SUM(D10:AM10)</f>
        <v>36</v>
      </c>
    </row>
    <row r="11" spans="2:63" ht="20.100000000000001" customHeight="1" x14ac:dyDescent="0.15">
      <c r="B11" s="580" t="s">
        <v>305</v>
      </c>
      <c r="C11" s="581" t="s">
        <v>305</v>
      </c>
      <c r="D11" s="340"/>
      <c r="E11" s="341"/>
      <c r="F11" s="341"/>
      <c r="G11" s="340"/>
      <c r="H11" s="341"/>
      <c r="I11" s="341"/>
      <c r="J11" s="338"/>
      <c r="K11" s="342"/>
      <c r="L11" s="342"/>
      <c r="M11" s="338"/>
      <c r="N11" s="342"/>
      <c r="O11" s="342"/>
      <c r="P11" s="338"/>
      <c r="Q11" s="342">
        <v>16</v>
      </c>
      <c r="R11" s="342">
        <v>16</v>
      </c>
      <c r="S11" s="338"/>
      <c r="T11" s="342"/>
      <c r="U11" s="342"/>
      <c r="V11" s="338"/>
      <c r="W11" s="342"/>
      <c r="X11" s="342"/>
      <c r="Y11" s="338"/>
      <c r="Z11" s="342"/>
      <c r="AA11" s="342"/>
      <c r="AB11" s="338"/>
      <c r="AC11" s="342"/>
      <c r="AD11" s="342"/>
      <c r="AE11" s="338"/>
      <c r="AF11" s="342"/>
      <c r="AG11" s="342"/>
      <c r="AH11" s="338"/>
      <c r="AI11" s="342"/>
      <c r="AJ11" s="342"/>
      <c r="AK11" s="338"/>
      <c r="AL11" s="342"/>
      <c r="AM11" s="342"/>
      <c r="AN11" s="62">
        <f t="shared" si="0"/>
        <v>32</v>
      </c>
    </row>
    <row r="12" spans="2:63" ht="20.100000000000001" customHeight="1" x14ac:dyDescent="0.15">
      <c r="B12" s="580" t="s">
        <v>280</v>
      </c>
      <c r="C12" s="581" t="s">
        <v>280</v>
      </c>
      <c r="D12" s="340"/>
      <c r="E12" s="341"/>
      <c r="F12" s="341"/>
      <c r="G12" s="340"/>
      <c r="H12" s="341"/>
      <c r="I12" s="341"/>
      <c r="J12" s="338"/>
      <c r="K12" s="342"/>
      <c r="L12" s="342"/>
      <c r="M12" s="338"/>
      <c r="N12" s="342"/>
      <c r="O12" s="342"/>
      <c r="P12" s="338">
        <v>4</v>
      </c>
      <c r="Q12" s="342">
        <v>2</v>
      </c>
      <c r="R12" s="342">
        <v>2</v>
      </c>
      <c r="S12" s="338">
        <v>2</v>
      </c>
      <c r="T12" s="342">
        <v>2</v>
      </c>
      <c r="U12" s="342">
        <v>2</v>
      </c>
      <c r="V12" s="338">
        <v>2</v>
      </c>
      <c r="W12" s="342">
        <v>2</v>
      </c>
      <c r="X12" s="342">
        <v>2</v>
      </c>
      <c r="Y12" s="338">
        <v>2</v>
      </c>
      <c r="Z12" s="342">
        <v>2</v>
      </c>
      <c r="AA12" s="342">
        <v>2</v>
      </c>
      <c r="AB12" s="338">
        <v>2</v>
      </c>
      <c r="AC12" s="342">
        <v>2</v>
      </c>
      <c r="AD12" s="342">
        <v>2</v>
      </c>
      <c r="AE12" s="338">
        <v>2</v>
      </c>
      <c r="AF12" s="342">
        <v>2</v>
      </c>
      <c r="AG12" s="342"/>
      <c r="AH12" s="338"/>
      <c r="AI12" s="342"/>
      <c r="AJ12" s="342"/>
      <c r="AK12" s="338"/>
      <c r="AL12" s="342"/>
      <c r="AM12" s="342"/>
      <c r="AN12" s="62">
        <f t="shared" si="0"/>
        <v>36</v>
      </c>
    </row>
    <row r="13" spans="2:63" ht="20.100000000000001" customHeight="1" x14ac:dyDescent="0.15">
      <c r="B13" s="580" t="s">
        <v>281</v>
      </c>
      <c r="C13" s="581" t="s">
        <v>281</v>
      </c>
      <c r="D13" s="340"/>
      <c r="E13" s="341"/>
      <c r="F13" s="341"/>
      <c r="G13" s="340"/>
      <c r="H13" s="341"/>
      <c r="I13" s="341"/>
      <c r="J13" s="338"/>
      <c r="K13" s="342"/>
      <c r="L13" s="342"/>
      <c r="M13" s="338"/>
      <c r="N13" s="342"/>
      <c r="O13" s="342"/>
      <c r="P13" s="338"/>
      <c r="Q13" s="342"/>
      <c r="R13" s="342"/>
      <c r="S13" s="338"/>
      <c r="T13" s="342">
        <v>3</v>
      </c>
      <c r="U13" s="342"/>
      <c r="V13" s="338"/>
      <c r="W13" s="342"/>
      <c r="X13" s="342">
        <v>3</v>
      </c>
      <c r="Y13" s="338"/>
      <c r="Z13" s="342"/>
      <c r="AA13" s="342">
        <v>3</v>
      </c>
      <c r="AB13" s="338"/>
      <c r="AC13" s="342">
        <v>3</v>
      </c>
      <c r="AD13" s="342"/>
      <c r="AE13" s="338"/>
      <c r="AF13" s="342"/>
      <c r="AG13" s="342"/>
      <c r="AH13" s="338"/>
      <c r="AI13" s="342"/>
      <c r="AJ13" s="342"/>
      <c r="AK13" s="338"/>
      <c r="AL13" s="342"/>
      <c r="AM13" s="342"/>
      <c r="AN13" s="62">
        <f t="shared" si="0"/>
        <v>12</v>
      </c>
    </row>
    <row r="14" spans="2:63" ht="20.25" customHeight="1" x14ac:dyDescent="0.15">
      <c r="B14" s="580" t="s">
        <v>306</v>
      </c>
      <c r="C14" s="581" t="s">
        <v>306</v>
      </c>
      <c r="D14" s="340"/>
      <c r="E14" s="341"/>
      <c r="F14" s="341"/>
      <c r="G14" s="340"/>
      <c r="H14" s="341"/>
      <c r="I14" s="341"/>
      <c r="J14" s="338"/>
      <c r="K14" s="342"/>
      <c r="L14" s="342"/>
      <c r="M14" s="338"/>
      <c r="N14" s="342"/>
      <c r="O14" s="342"/>
      <c r="P14" s="338"/>
      <c r="Q14" s="342"/>
      <c r="R14" s="342"/>
      <c r="S14" s="338">
        <v>6</v>
      </c>
      <c r="T14" s="342">
        <v>6</v>
      </c>
      <c r="U14" s="342">
        <v>6</v>
      </c>
      <c r="V14" s="338">
        <v>6</v>
      </c>
      <c r="W14" s="342">
        <v>6</v>
      </c>
      <c r="X14" s="342">
        <v>6</v>
      </c>
      <c r="Y14" s="338">
        <v>6</v>
      </c>
      <c r="Z14" s="342">
        <v>6</v>
      </c>
      <c r="AA14" s="342">
        <v>6</v>
      </c>
      <c r="AB14" s="338">
        <v>6</v>
      </c>
      <c r="AC14" s="342">
        <v>6</v>
      </c>
      <c r="AD14" s="342">
        <v>6</v>
      </c>
      <c r="AE14" s="338"/>
      <c r="AF14" s="342"/>
      <c r="AG14" s="342"/>
      <c r="AH14" s="338"/>
      <c r="AI14" s="342"/>
      <c r="AJ14" s="342"/>
      <c r="AK14" s="338"/>
      <c r="AL14" s="342"/>
      <c r="AM14" s="342"/>
      <c r="AN14" s="62">
        <f>SUM(D14:AM14)</f>
        <v>72</v>
      </c>
    </row>
    <row r="15" spans="2:63" ht="20.100000000000001" customHeight="1" x14ac:dyDescent="0.15">
      <c r="B15" s="580" t="s">
        <v>282</v>
      </c>
      <c r="C15" s="581" t="s">
        <v>282</v>
      </c>
      <c r="D15" s="340"/>
      <c r="E15" s="341"/>
      <c r="F15" s="341"/>
      <c r="G15" s="340"/>
      <c r="H15" s="341"/>
      <c r="I15" s="341"/>
      <c r="J15" s="338"/>
      <c r="K15" s="342"/>
      <c r="L15" s="342"/>
      <c r="M15" s="338"/>
      <c r="N15" s="342"/>
      <c r="O15" s="342"/>
      <c r="P15" s="338"/>
      <c r="Q15" s="342"/>
      <c r="R15" s="342"/>
      <c r="S15" s="338">
        <v>3</v>
      </c>
      <c r="T15" s="342"/>
      <c r="U15" s="342">
        <v>3</v>
      </c>
      <c r="V15" s="338">
        <v>3</v>
      </c>
      <c r="W15" s="342">
        <v>3</v>
      </c>
      <c r="X15" s="342"/>
      <c r="Y15" s="338">
        <v>3</v>
      </c>
      <c r="Z15" s="342">
        <v>3</v>
      </c>
      <c r="AA15" s="342"/>
      <c r="AB15" s="338">
        <v>3</v>
      </c>
      <c r="AC15" s="342"/>
      <c r="AD15" s="342">
        <v>3</v>
      </c>
      <c r="AE15" s="338">
        <v>3</v>
      </c>
      <c r="AF15" s="342"/>
      <c r="AG15" s="342"/>
      <c r="AH15" s="338"/>
      <c r="AI15" s="342"/>
      <c r="AJ15" s="342"/>
      <c r="AK15" s="338"/>
      <c r="AL15" s="342"/>
      <c r="AM15" s="342"/>
      <c r="AN15" s="62">
        <f t="shared" si="0"/>
        <v>27</v>
      </c>
    </row>
    <row r="16" spans="2:63" ht="20.100000000000001" customHeight="1" x14ac:dyDescent="0.15">
      <c r="B16" s="580" t="s">
        <v>420</v>
      </c>
      <c r="C16" s="581" t="s">
        <v>307</v>
      </c>
      <c r="D16" s="340"/>
      <c r="E16" s="341"/>
      <c r="F16" s="341"/>
      <c r="G16" s="340"/>
      <c r="H16" s="341"/>
      <c r="I16" s="341"/>
      <c r="J16" s="338"/>
      <c r="K16" s="342"/>
      <c r="L16" s="342"/>
      <c r="M16" s="338"/>
      <c r="N16" s="342"/>
      <c r="O16" s="342"/>
      <c r="P16" s="338"/>
      <c r="Q16" s="342"/>
      <c r="R16" s="342"/>
      <c r="S16" s="338"/>
      <c r="T16" s="342"/>
      <c r="U16" s="342">
        <v>5</v>
      </c>
      <c r="V16" s="338">
        <v>23</v>
      </c>
      <c r="W16" s="342">
        <v>23</v>
      </c>
      <c r="X16" s="342">
        <v>49</v>
      </c>
      <c r="Y16" s="338">
        <v>67</v>
      </c>
      <c r="Z16" s="342">
        <v>62</v>
      </c>
      <c r="AA16" s="342">
        <v>67</v>
      </c>
      <c r="AB16" s="338">
        <v>67</v>
      </c>
      <c r="AC16" s="342">
        <v>62</v>
      </c>
      <c r="AD16" s="342">
        <v>58</v>
      </c>
      <c r="AE16" s="338">
        <v>45</v>
      </c>
      <c r="AF16" s="342">
        <v>41</v>
      </c>
      <c r="AG16" s="342">
        <v>33</v>
      </c>
      <c r="AH16" s="338"/>
      <c r="AI16" s="342"/>
      <c r="AJ16" s="342"/>
      <c r="AK16" s="338"/>
      <c r="AL16" s="342"/>
      <c r="AM16" s="342"/>
      <c r="AN16" s="62">
        <f t="shared" si="0"/>
        <v>602</v>
      </c>
    </row>
    <row r="17" spans="2:40" ht="20.100000000000001" customHeight="1" x14ac:dyDescent="0.15">
      <c r="B17" s="580" t="s">
        <v>283</v>
      </c>
      <c r="C17" s="581" t="s">
        <v>283</v>
      </c>
      <c r="D17" s="340"/>
      <c r="E17" s="341"/>
      <c r="F17" s="341"/>
      <c r="G17" s="340"/>
      <c r="H17" s="341"/>
      <c r="I17" s="341"/>
      <c r="J17" s="338"/>
      <c r="K17" s="342"/>
      <c r="L17" s="342"/>
      <c r="M17" s="338"/>
      <c r="N17" s="342"/>
      <c r="O17" s="342"/>
      <c r="P17" s="338"/>
      <c r="Q17" s="342"/>
      <c r="R17" s="342"/>
      <c r="S17" s="338"/>
      <c r="T17" s="342"/>
      <c r="U17" s="342"/>
      <c r="V17" s="338"/>
      <c r="W17" s="342"/>
      <c r="X17" s="342"/>
      <c r="Y17" s="338"/>
      <c r="Z17" s="342"/>
      <c r="AA17" s="342"/>
      <c r="AB17" s="338"/>
      <c r="AC17" s="342"/>
      <c r="AD17" s="342"/>
      <c r="AE17" s="338"/>
      <c r="AF17" s="342"/>
      <c r="AG17" s="342"/>
      <c r="AH17" s="338"/>
      <c r="AI17" s="342">
        <v>16</v>
      </c>
      <c r="AJ17" s="342">
        <v>8</v>
      </c>
      <c r="AK17" s="338"/>
      <c r="AL17" s="342"/>
      <c r="AM17" s="342"/>
      <c r="AN17" s="62">
        <f t="shared" si="0"/>
        <v>24</v>
      </c>
    </row>
    <row r="18" spans="2:40" ht="20.100000000000001" customHeight="1" x14ac:dyDescent="0.15">
      <c r="B18" s="580"/>
      <c r="C18" s="581"/>
      <c r="D18" s="340"/>
      <c r="E18" s="341"/>
      <c r="F18" s="341"/>
      <c r="G18" s="340"/>
      <c r="H18" s="341"/>
      <c r="I18" s="341"/>
      <c r="J18" s="340"/>
      <c r="K18" s="342"/>
      <c r="L18" s="342"/>
      <c r="M18" s="343"/>
      <c r="N18" s="342"/>
      <c r="O18" s="342"/>
      <c r="P18" s="338"/>
      <c r="Q18" s="342"/>
      <c r="R18" s="342"/>
      <c r="S18" s="338"/>
      <c r="T18" s="342"/>
      <c r="U18" s="342"/>
      <c r="V18" s="338"/>
      <c r="W18" s="342"/>
      <c r="X18" s="342"/>
      <c r="Y18" s="338"/>
      <c r="Z18" s="342"/>
      <c r="AA18" s="342"/>
      <c r="AB18" s="338"/>
      <c r="AC18" s="342"/>
      <c r="AD18" s="342"/>
      <c r="AE18" s="338"/>
      <c r="AF18" s="342"/>
      <c r="AG18" s="342"/>
      <c r="AH18" s="338"/>
      <c r="AI18" s="342"/>
      <c r="AJ18" s="342"/>
      <c r="AK18" s="340"/>
      <c r="AL18" s="341"/>
      <c r="AM18" s="341"/>
      <c r="AN18" s="62">
        <f t="shared" si="0"/>
        <v>0</v>
      </c>
    </row>
    <row r="19" spans="2:40" ht="20.100000000000001" customHeight="1" x14ac:dyDescent="0.15">
      <c r="B19" s="580"/>
      <c r="C19" s="581"/>
      <c r="D19" s="340"/>
      <c r="E19" s="341"/>
      <c r="F19" s="341"/>
      <c r="G19" s="340"/>
      <c r="H19" s="341"/>
      <c r="I19" s="341"/>
      <c r="J19" s="340"/>
      <c r="K19" s="342"/>
      <c r="L19" s="342"/>
      <c r="M19" s="343"/>
      <c r="N19" s="342"/>
      <c r="O19" s="342"/>
      <c r="P19" s="338"/>
      <c r="Q19" s="342"/>
      <c r="R19" s="342"/>
      <c r="S19" s="338"/>
      <c r="T19" s="342"/>
      <c r="U19" s="342"/>
      <c r="V19" s="338"/>
      <c r="W19" s="342"/>
      <c r="X19" s="342"/>
      <c r="Y19" s="338"/>
      <c r="Z19" s="342"/>
      <c r="AA19" s="342"/>
      <c r="AB19" s="338"/>
      <c r="AC19" s="342"/>
      <c r="AD19" s="342"/>
      <c r="AE19" s="338"/>
      <c r="AF19" s="342"/>
      <c r="AG19" s="342"/>
      <c r="AH19" s="338"/>
      <c r="AI19" s="342"/>
      <c r="AJ19" s="342"/>
      <c r="AK19" s="340"/>
      <c r="AL19" s="341"/>
      <c r="AM19" s="341"/>
      <c r="AN19" s="62">
        <f t="shared" si="0"/>
        <v>0</v>
      </c>
    </row>
    <row r="20" spans="2:40" ht="20.100000000000001" customHeight="1" x14ac:dyDescent="0.15">
      <c r="B20" s="580"/>
      <c r="C20" s="581"/>
      <c r="D20" s="340"/>
      <c r="E20" s="341"/>
      <c r="F20" s="341"/>
      <c r="G20" s="340"/>
      <c r="H20" s="341"/>
      <c r="I20" s="341"/>
      <c r="J20" s="340"/>
      <c r="K20" s="342"/>
      <c r="L20" s="342"/>
      <c r="M20" s="343"/>
      <c r="N20" s="342"/>
      <c r="O20" s="342"/>
      <c r="P20" s="338"/>
      <c r="Q20" s="342"/>
      <c r="R20" s="342"/>
      <c r="S20" s="338"/>
      <c r="T20" s="342"/>
      <c r="U20" s="342"/>
      <c r="V20" s="338"/>
      <c r="W20" s="342"/>
      <c r="X20" s="342"/>
      <c r="Y20" s="338"/>
      <c r="Z20" s="342"/>
      <c r="AA20" s="342"/>
      <c r="AB20" s="338"/>
      <c r="AC20" s="342"/>
      <c r="AD20" s="342"/>
      <c r="AE20" s="338"/>
      <c r="AF20" s="342"/>
      <c r="AG20" s="342"/>
      <c r="AH20" s="338"/>
      <c r="AI20" s="342"/>
      <c r="AJ20" s="342"/>
      <c r="AK20" s="340"/>
      <c r="AL20" s="341"/>
      <c r="AM20" s="341"/>
      <c r="AN20" s="62">
        <f t="shared" si="0"/>
        <v>0</v>
      </c>
    </row>
    <row r="21" spans="2:40" ht="20.100000000000001" customHeight="1" x14ac:dyDescent="0.15">
      <c r="B21" s="580"/>
      <c r="C21" s="581"/>
      <c r="D21" s="340"/>
      <c r="E21" s="341"/>
      <c r="F21" s="341"/>
      <c r="G21" s="340"/>
      <c r="H21" s="341"/>
      <c r="I21" s="341"/>
      <c r="J21" s="340"/>
      <c r="K21" s="342"/>
      <c r="L21" s="342"/>
      <c r="M21" s="343"/>
      <c r="N21" s="342"/>
      <c r="O21" s="342"/>
      <c r="P21" s="338"/>
      <c r="Q21" s="342"/>
      <c r="R21" s="342"/>
      <c r="S21" s="338"/>
      <c r="T21" s="342"/>
      <c r="U21" s="342"/>
      <c r="V21" s="338"/>
      <c r="W21" s="342"/>
      <c r="X21" s="342"/>
      <c r="Y21" s="338"/>
      <c r="Z21" s="342"/>
      <c r="AA21" s="342"/>
      <c r="AB21" s="338"/>
      <c r="AC21" s="342"/>
      <c r="AD21" s="342"/>
      <c r="AE21" s="338"/>
      <c r="AF21" s="342"/>
      <c r="AG21" s="342"/>
      <c r="AH21" s="338"/>
      <c r="AI21" s="342"/>
      <c r="AJ21" s="342"/>
      <c r="AK21" s="340"/>
      <c r="AL21" s="341"/>
      <c r="AM21" s="341"/>
      <c r="AN21" s="62">
        <f t="shared" si="0"/>
        <v>0</v>
      </c>
    </row>
    <row r="22" spans="2:40" ht="20.100000000000001" customHeight="1" x14ac:dyDescent="0.15">
      <c r="B22" s="580"/>
      <c r="C22" s="581"/>
      <c r="D22" s="340"/>
      <c r="E22" s="341"/>
      <c r="F22" s="341"/>
      <c r="G22" s="340"/>
      <c r="H22" s="341"/>
      <c r="I22" s="341"/>
      <c r="J22" s="340"/>
      <c r="K22" s="342"/>
      <c r="L22" s="342"/>
      <c r="M22" s="343"/>
      <c r="N22" s="342"/>
      <c r="O22" s="342"/>
      <c r="P22" s="338"/>
      <c r="Q22" s="342"/>
      <c r="R22" s="342"/>
      <c r="S22" s="338"/>
      <c r="T22" s="342"/>
      <c r="U22" s="342"/>
      <c r="V22" s="338"/>
      <c r="W22" s="342"/>
      <c r="X22" s="342"/>
      <c r="Y22" s="338"/>
      <c r="Z22" s="342"/>
      <c r="AA22" s="342"/>
      <c r="AB22" s="338"/>
      <c r="AC22" s="342"/>
      <c r="AD22" s="342"/>
      <c r="AE22" s="338"/>
      <c r="AF22" s="342"/>
      <c r="AG22" s="342"/>
      <c r="AH22" s="338"/>
      <c r="AI22" s="342"/>
      <c r="AJ22" s="342"/>
      <c r="AK22" s="340"/>
      <c r="AL22" s="341"/>
      <c r="AM22" s="341"/>
      <c r="AN22" s="62">
        <f t="shared" si="0"/>
        <v>0</v>
      </c>
    </row>
    <row r="23" spans="2:40" ht="20.100000000000001" customHeight="1" x14ac:dyDescent="0.15">
      <c r="B23" s="580"/>
      <c r="C23" s="581"/>
      <c r="D23" s="60"/>
      <c r="E23" s="61"/>
      <c r="F23" s="61"/>
      <c r="G23" s="60"/>
      <c r="H23" s="61"/>
      <c r="I23" s="61"/>
      <c r="J23" s="60"/>
      <c r="K23" s="61"/>
      <c r="L23" s="61"/>
      <c r="M23" s="60"/>
      <c r="N23" s="61"/>
      <c r="O23" s="61"/>
      <c r="P23" s="60"/>
      <c r="Q23" s="61"/>
      <c r="R23" s="61"/>
      <c r="S23" s="60"/>
      <c r="T23" s="61"/>
      <c r="U23" s="61"/>
      <c r="V23" s="60"/>
      <c r="W23" s="61"/>
      <c r="X23" s="61"/>
      <c r="Y23" s="60"/>
      <c r="Z23" s="61"/>
      <c r="AA23" s="61"/>
      <c r="AB23" s="60"/>
      <c r="AC23" s="61"/>
      <c r="AD23" s="61"/>
      <c r="AE23" s="60"/>
      <c r="AF23" s="61"/>
      <c r="AG23" s="61"/>
      <c r="AH23" s="60"/>
      <c r="AI23" s="61"/>
      <c r="AJ23" s="61"/>
      <c r="AK23" s="60"/>
      <c r="AL23" s="61"/>
      <c r="AM23" s="61"/>
      <c r="AN23" s="62">
        <f t="shared" si="0"/>
        <v>0</v>
      </c>
    </row>
    <row r="24" spans="2:40" ht="20.100000000000001" customHeight="1" x14ac:dyDescent="0.15">
      <c r="B24" s="580"/>
      <c r="C24" s="581"/>
      <c r="D24" s="60"/>
      <c r="E24" s="61"/>
      <c r="F24" s="61"/>
      <c r="G24" s="60"/>
      <c r="H24" s="61"/>
      <c r="I24" s="61"/>
      <c r="J24" s="60"/>
      <c r="K24" s="61"/>
      <c r="L24" s="61"/>
      <c r="M24" s="60"/>
      <c r="N24" s="61"/>
      <c r="O24" s="61"/>
      <c r="P24" s="60"/>
      <c r="Q24" s="61"/>
      <c r="R24" s="61"/>
      <c r="S24" s="60"/>
      <c r="T24" s="61"/>
      <c r="U24" s="61"/>
      <c r="V24" s="60"/>
      <c r="W24" s="61"/>
      <c r="X24" s="61"/>
      <c r="Y24" s="60"/>
      <c r="Z24" s="61"/>
      <c r="AA24" s="61"/>
      <c r="AB24" s="60"/>
      <c r="AC24" s="61"/>
      <c r="AD24" s="61"/>
      <c r="AE24" s="60"/>
      <c r="AF24" s="61"/>
      <c r="AG24" s="61"/>
      <c r="AH24" s="60"/>
      <c r="AI24" s="61"/>
      <c r="AJ24" s="61"/>
      <c r="AK24" s="60"/>
      <c r="AL24" s="61"/>
      <c r="AM24" s="61"/>
      <c r="AN24" s="62">
        <f t="shared" si="0"/>
        <v>0</v>
      </c>
    </row>
    <row r="25" spans="2:40" ht="20.100000000000001" customHeight="1" x14ac:dyDescent="0.15">
      <c r="B25" s="580"/>
      <c r="C25" s="581"/>
      <c r="D25" s="60"/>
      <c r="E25" s="61"/>
      <c r="F25" s="61"/>
      <c r="G25" s="60"/>
      <c r="H25" s="61"/>
      <c r="I25" s="61"/>
      <c r="J25" s="60"/>
      <c r="K25" s="61"/>
      <c r="L25" s="61"/>
      <c r="M25" s="60"/>
      <c r="N25" s="61"/>
      <c r="O25" s="61"/>
      <c r="P25" s="60"/>
      <c r="Q25" s="61"/>
      <c r="R25" s="61"/>
      <c r="S25" s="60"/>
      <c r="T25" s="61"/>
      <c r="U25" s="61"/>
      <c r="V25" s="60"/>
      <c r="W25" s="61"/>
      <c r="X25" s="61"/>
      <c r="Y25" s="60"/>
      <c r="Z25" s="61"/>
      <c r="AA25" s="61"/>
      <c r="AB25" s="60"/>
      <c r="AC25" s="61"/>
      <c r="AD25" s="61"/>
      <c r="AE25" s="60"/>
      <c r="AF25" s="61"/>
      <c r="AG25" s="61"/>
      <c r="AH25" s="60"/>
      <c r="AI25" s="61"/>
      <c r="AJ25" s="61"/>
      <c r="AK25" s="60"/>
      <c r="AL25" s="61"/>
      <c r="AM25" s="61"/>
      <c r="AN25" s="62">
        <f t="shared" si="0"/>
        <v>0</v>
      </c>
    </row>
    <row r="26" spans="2:40" ht="20.100000000000001" customHeight="1" x14ac:dyDescent="0.15">
      <c r="B26" s="580"/>
      <c r="C26" s="581"/>
      <c r="D26" s="60"/>
      <c r="E26" s="61"/>
      <c r="F26" s="61"/>
      <c r="G26" s="60"/>
      <c r="H26" s="61"/>
      <c r="I26" s="61"/>
      <c r="J26" s="60"/>
      <c r="K26" s="61"/>
      <c r="L26" s="61"/>
      <c r="M26" s="60"/>
      <c r="N26" s="61"/>
      <c r="O26" s="61"/>
      <c r="P26" s="60"/>
      <c r="Q26" s="61"/>
      <c r="R26" s="61"/>
      <c r="S26" s="60"/>
      <c r="T26" s="61"/>
      <c r="U26" s="61"/>
      <c r="V26" s="60"/>
      <c r="W26" s="61"/>
      <c r="X26" s="61"/>
      <c r="Y26" s="60"/>
      <c r="Z26" s="61"/>
      <c r="AA26" s="61"/>
      <c r="AB26" s="60"/>
      <c r="AC26" s="61"/>
      <c r="AD26" s="61"/>
      <c r="AE26" s="60"/>
      <c r="AF26" s="61"/>
      <c r="AG26" s="61"/>
      <c r="AH26" s="60"/>
      <c r="AI26" s="61"/>
      <c r="AJ26" s="61"/>
      <c r="AK26" s="60"/>
      <c r="AL26" s="61"/>
      <c r="AM26" s="61"/>
      <c r="AN26" s="62">
        <f t="shared" si="0"/>
        <v>0</v>
      </c>
    </row>
    <row r="27" spans="2:40" ht="20.100000000000001" customHeight="1" x14ac:dyDescent="0.15">
      <c r="B27" s="580"/>
      <c r="C27" s="581"/>
      <c r="D27" s="60"/>
      <c r="E27" s="61"/>
      <c r="F27" s="61"/>
      <c r="G27" s="60"/>
      <c r="H27" s="61"/>
      <c r="I27" s="61"/>
      <c r="J27" s="60"/>
      <c r="K27" s="61"/>
      <c r="L27" s="61"/>
      <c r="M27" s="60"/>
      <c r="N27" s="61"/>
      <c r="O27" s="61"/>
      <c r="P27" s="60"/>
      <c r="Q27" s="61"/>
      <c r="R27" s="61"/>
      <c r="S27" s="60"/>
      <c r="T27" s="61"/>
      <c r="U27" s="61"/>
      <c r="V27" s="60"/>
      <c r="W27" s="61"/>
      <c r="X27" s="61"/>
      <c r="Y27" s="60"/>
      <c r="Z27" s="61"/>
      <c r="AA27" s="61"/>
      <c r="AB27" s="60"/>
      <c r="AC27" s="61"/>
      <c r="AD27" s="61"/>
      <c r="AE27" s="60"/>
      <c r="AF27" s="61"/>
      <c r="AG27" s="61"/>
      <c r="AH27" s="60"/>
      <c r="AI27" s="61"/>
      <c r="AJ27" s="61"/>
      <c r="AK27" s="60"/>
      <c r="AL27" s="61"/>
      <c r="AM27" s="61"/>
      <c r="AN27" s="62">
        <f t="shared" si="0"/>
        <v>0</v>
      </c>
    </row>
    <row r="28" spans="2:40" ht="20.100000000000001" customHeight="1" x14ac:dyDescent="0.15">
      <c r="B28" s="580"/>
      <c r="C28" s="581"/>
      <c r="D28" s="60"/>
      <c r="E28" s="61"/>
      <c r="F28" s="61"/>
      <c r="G28" s="60"/>
      <c r="H28" s="61"/>
      <c r="I28" s="61"/>
      <c r="J28" s="60"/>
      <c r="K28" s="61"/>
      <c r="L28" s="61"/>
      <c r="M28" s="60"/>
      <c r="N28" s="61"/>
      <c r="O28" s="61"/>
      <c r="P28" s="60"/>
      <c r="Q28" s="61"/>
      <c r="R28" s="61"/>
      <c r="S28" s="60"/>
      <c r="T28" s="61"/>
      <c r="U28" s="61"/>
      <c r="V28" s="60"/>
      <c r="W28" s="61"/>
      <c r="X28" s="61"/>
      <c r="Y28" s="60"/>
      <c r="Z28" s="61"/>
      <c r="AA28" s="61"/>
      <c r="AB28" s="60"/>
      <c r="AC28" s="61"/>
      <c r="AD28" s="61"/>
      <c r="AE28" s="60"/>
      <c r="AF28" s="61"/>
      <c r="AG28" s="61"/>
      <c r="AH28" s="60"/>
      <c r="AI28" s="61"/>
      <c r="AJ28" s="61"/>
      <c r="AK28" s="60"/>
      <c r="AL28" s="61"/>
      <c r="AM28" s="61"/>
      <c r="AN28" s="62">
        <f t="shared" si="0"/>
        <v>0</v>
      </c>
    </row>
    <row r="29" spans="2:40" ht="20.100000000000001" customHeight="1" x14ac:dyDescent="0.15">
      <c r="B29" s="580"/>
      <c r="C29" s="581"/>
      <c r="D29" s="60"/>
      <c r="E29" s="61"/>
      <c r="F29" s="61"/>
      <c r="G29" s="60"/>
      <c r="H29" s="61"/>
      <c r="I29" s="61"/>
      <c r="J29" s="60"/>
      <c r="K29" s="61"/>
      <c r="L29" s="61"/>
      <c r="M29" s="60"/>
      <c r="N29" s="61"/>
      <c r="O29" s="61"/>
      <c r="P29" s="60"/>
      <c r="Q29" s="61"/>
      <c r="R29" s="61"/>
      <c r="S29" s="60"/>
      <c r="T29" s="61"/>
      <c r="U29" s="61"/>
      <c r="V29" s="60"/>
      <c r="W29" s="61"/>
      <c r="X29" s="61"/>
      <c r="Y29" s="60"/>
      <c r="Z29" s="61"/>
      <c r="AA29" s="61"/>
      <c r="AB29" s="60"/>
      <c r="AC29" s="61"/>
      <c r="AD29" s="61"/>
      <c r="AE29" s="60"/>
      <c r="AF29" s="61"/>
      <c r="AG29" s="61"/>
      <c r="AH29" s="60"/>
      <c r="AI29" s="61"/>
      <c r="AJ29" s="61"/>
      <c r="AK29" s="60"/>
      <c r="AL29" s="61"/>
      <c r="AM29" s="61"/>
      <c r="AN29" s="62">
        <f t="shared" si="0"/>
        <v>0</v>
      </c>
    </row>
    <row r="30" spans="2:40" ht="20.100000000000001" customHeight="1" x14ac:dyDescent="0.15">
      <c r="B30" s="580"/>
      <c r="C30" s="581"/>
      <c r="D30" s="60"/>
      <c r="E30" s="61"/>
      <c r="F30" s="61"/>
      <c r="G30" s="60"/>
      <c r="H30" s="61"/>
      <c r="I30" s="61"/>
      <c r="J30" s="60"/>
      <c r="K30" s="61"/>
      <c r="L30" s="61"/>
      <c r="M30" s="60"/>
      <c r="N30" s="61"/>
      <c r="O30" s="61"/>
      <c r="P30" s="60"/>
      <c r="Q30" s="61"/>
      <c r="R30" s="61"/>
      <c r="S30" s="60"/>
      <c r="T30" s="61"/>
      <c r="U30" s="61"/>
      <c r="V30" s="60"/>
      <c r="W30" s="61"/>
      <c r="X30" s="61"/>
      <c r="Y30" s="60"/>
      <c r="Z30" s="61"/>
      <c r="AA30" s="61"/>
      <c r="AB30" s="60"/>
      <c r="AC30" s="61"/>
      <c r="AD30" s="61"/>
      <c r="AE30" s="60"/>
      <c r="AF30" s="61"/>
      <c r="AG30" s="61"/>
      <c r="AH30" s="60"/>
      <c r="AI30" s="61"/>
      <c r="AJ30" s="61"/>
      <c r="AK30" s="60"/>
      <c r="AL30" s="61"/>
      <c r="AM30" s="61"/>
      <c r="AN30" s="62">
        <f t="shared" si="0"/>
        <v>0</v>
      </c>
    </row>
    <row r="31" spans="2:40" ht="20.100000000000001" customHeight="1" x14ac:dyDescent="0.15">
      <c r="B31" s="580"/>
      <c r="C31" s="581"/>
      <c r="D31" s="60"/>
      <c r="E31" s="61"/>
      <c r="F31" s="61"/>
      <c r="G31" s="60"/>
      <c r="H31" s="61"/>
      <c r="I31" s="61"/>
      <c r="J31" s="60"/>
      <c r="K31" s="61"/>
      <c r="L31" s="61"/>
      <c r="M31" s="60"/>
      <c r="N31" s="61"/>
      <c r="O31" s="61"/>
      <c r="P31" s="60"/>
      <c r="Q31" s="61"/>
      <c r="R31" s="61"/>
      <c r="S31" s="60"/>
      <c r="T31" s="61"/>
      <c r="U31" s="61"/>
      <c r="V31" s="60"/>
      <c r="W31" s="61"/>
      <c r="X31" s="61"/>
      <c r="Y31" s="60"/>
      <c r="Z31" s="61"/>
      <c r="AA31" s="61"/>
      <c r="AB31" s="60"/>
      <c r="AC31" s="61"/>
      <c r="AD31" s="61"/>
      <c r="AE31" s="60"/>
      <c r="AF31" s="61"/>
      <c r="AG31" s="61"/>
      <c r="AH31" s="60"/>
      <c r="AI31" s="61"/>
      <c r="AJ31" s="61"/>
      <c r="AK31" s="60"/>
      <c r="AL31" s="61"/>
      <c r="AM31" s="61"/>
      <c r="AN31" s="62">
        <f t="shared" si="0"/>
        <v>0</v>
      </c>
    </row>
    <row r="32" spans="2:40" ht="20.100000000000001" customHeight="1" x14ac:dyDescent="0.15">
      <c r="B32" s="580"/>
      <c r="C32" s="581"/>
      <c r="D32" s="60"/>
      <c r="E32" s="61"/>
      <c r="F32" s="61"/>
      <c r="G32" s="60"/>
      <c r="H32" s="61"/>
      <c r="I32" s="61"/>
      <c r="J32" s="60"/>
      <c r="K32" s="61"/>
      <c r="L32" s="61"/>
      <c r="M32" s="60"/>
      <c r="N32" s="61"/>
      <c r="O32" s="61"/>
      <c r="P32" s="60"/>
      <c r="Q32" s="61"/>
      <c r="R32" s="61"/>
      <c r="S32" s="60"/>
      <c r="T32" s="61"/>
      <c r="U32" s="61"/>
      <c r="V32" s="60"/>
      <c r="W32" s="61"/>
      <c r="X32" s="61"/>
      <c r="Y32" s="60"/>
      <c r="Z32" s="61"/>
      <c r="AA32" s="61"/>
      <c r="AB32" s="60"/>
      <c r="AC32" s="61"/>
      <c r="AD32" s="61"/>
      <c r="AE32" s="60"/>
      <c r="AF32" s="61"/>
      <c r="AG32" s="61"/>
      <c r="AH32" s="60"/>
      <c r="AI32" s="61"/>
      <c r="AJ32" s="61"/>
      <c r="AK32" s="60"/>
      <c r="AL32" s="61"/>
      <c r="AM32" s="61"/>
      <c r="AN32" s="62">
        <f t="shared" si="0"/>
        <v>0</v>
      </c>
    </row>
    <row r="33" spans="2:40" ht="20.100000000000001" customHeight="1" x14ac:dyDescent="0.15">
      <c r="B33" s="580"/>
      <c r="C33" s="581"/>
      <c r="D33" s="60"/>
      <c r="E33" s="61"/>
      <c r="F33" s="61"/>
      <c r="G33" s="60"/>
      <c r="H33" s="61"/>
      <c r="I33" s="61"/>
      <c r="J33" s="60"/>
      <c r="K33" s="61"/>
      <c r="L33" s="61"/>
      <c r="M33" s="60"/>
      <c r="N33" s="61"/>
      <c r="O33" s="61"/>
      <c r="P33" s="60"/>
      <c r="Q33" s="61"/>
      <c r="R33" s="61"/>
      <c r="S33" s="60"/>
      <c r="T33" s="61"/>
      <c r="U33" s="61"/>
      <c r="V33" s="60"/>
      <c r="W33" s="61"/>
      <c r="X33" s="61"/>
      <c r="Y33" s="60"/>
      <c r="Z33" s="61"/>
      <c r="AA33" s="61"/>
      <c r="AB33" s="60"/>
      <c r="AC33" s="61"/>
      <c r="AD33" s="61"/>
      <c r="AE33" s="60"/>
      <c r="AF33" s="61"/>
      <c r="AG33" s="61"/>
      <c r="AH33" s="60"/>
      <c r="AI33" s="61"/>
      <c r="AJ33" s="61"/>
      <c r="AK33" s="60"/>
      <c r="AL33" s="61"/>
      <c r="AM33" s="61"/>
      <c r="AN33" s="62">
        <f t="shared" si="0"/>
        <v>0</v>
      </c>
    </row>
    <row r="34" spans="2:40" ht="20.100000000000001" customHeight="1" x14ac:dyDescent="0.15">
      <c r="B34" s="584" t="s">
        <v>100</v>
      </c>
      <c r="C34" s="585"/>
      <c r="D34" s="60">
        <f t="shared" ref="D34:AM34" si="1">SUM(D9:D33)</f>
        <v>0</v>
      </c>
      <c r="E34" s="63">
        <f t="shared" si="1"/>
        <v>0</v>
      </c>
      <c r="F34" s="64">
        <f t="shared" si="1"/>
        <v>0</v>
      </c>
      <c r="G34" s="60">
        <f t="shared" si="1"/>
        <v>0</v>
      </c>
      <c r="H34" s="63">
        <f t="shared" si="1"/>
        <v>0</v>
      </c>
      <c r="I34" s="64">
        <f t="shared" si="1"/>
        <v>0</v>
      </c>
      <c r="J34" s="60">
        <f t="shared" si="1"/>
        <v>8</v>
      </c>
      <c r="K34" s="63">
        <f t="shared" si="1"/>
        <v>8</v>
      </c>
      <c r="L34" s="64">
        <f t="shared" si="1"/>
        <v>0</v>
      </c>
      <c r="M34" s="60">
        <f t="shared" si="1"/>
        <v>0</v>
      </c>
      <c r="N34" s="63">
        <f t="shared" si="1"/>
        <v>12</v>
      </c>
      <c r="O34" s="64">
        <f t="shared" si="1"/>
        <v>22</v>
      </c>
      <c r="P34" s="60">
        <f t="shared" si="1"/>
        <v>24</v>
      </c>
      <c r="Q34" s="63">
        <f t="shared" si="1"/>
        <v>26</v>
      </c>
      <c r="R34" s="64">
        <f t="shared" si="1"/>
        <v>18</v>
      </c>
      <c r="S34" s="60">
        <f t="shared" si="1"/>
        <v>11</v>
      </c>
      <c r="T34" s="63">
        <f t="shared" si="1"/>
        <v>11</v>
      </c>
      <c r="U34" s="64">
        <f t="shared" si="1"/>
        <v>16</v>
      </c>
      <c r="V34" s="60">
        <f t="shared" si="1"/>
        <v>34</v>
      </c>
      <c r="W34" s="63">
        <f t="shared" si="1"/>
        <v>34</v>
      </c>
      <c r="X34" s="64">
        <f t="shared" si="1"/>
        <v>60</v>
      </c>
      <c r="Y34" s="60">
        <f t="shared" si="1"/>
        <v>78</v>
      </c>
      <c r="Z34" s="63">
        <f t="shared" si="1"/>
        <v>73</v>
      </c>
      <c r="AA34" s="64">
        <f t="shared" si="1"/>
        <v>78</v>
      </c>
      <c r="AB34" s="60">
        <f t="shared" si="1"/>
        <v>78</v>
      </c>
      <c r="AC34" s="63">
        <f t="shared" si="1"/>
        <v>73</v>
      </c>
      <c r="AD34" s="64">
        <f t="shared" si="1"/>
        <v>69</v>
      </c>
      <c r="AE34" s="60">
        <f t="shared" si="1"/>
        <v>50</v>
      </c>
      <c r="AF34" s="63">
        <f t="shared" si="1"/>
        <v>43</v>
      </c>
      <c r="AG34" s="64">
        <f t="shared" si="1"/>
        <v>33</v>
      </c>
      <c r="AH34" s="60">
        <f t="shared" si="1"/>
        <v>0</v>
      </c>
      <c r="AI34" s="63">
        <f t="shared" si="1"/>
        <v>16</v>
      </c>
      <c r="AJ34" s="64">
        <f t="shared" si="1"/>
        <v>8</v>
      </c>
      <c r="AK34" s="60">
        <f t="shared" si="1"/>
        <v>0</v>
      </c>
      <c r="AL34" s="63">
        <f t="shared" si="1"/>
        <v>0</v>
      </c>
      <c r="AM34" s="64">
        <f t="shared" si="1"/>
        <v>0</v>
      </c>
      <c r="AN34" s="62">
        <f t="shared" si="0"/>
        <v>883</v>
      </c>
    </row>
    <row r="35" spans="2:40" ht="20.100000000000001" customHeight="1" thickBot="1" x14ac:dyDescent="0.2">
      <c r="B35" s="582" t="s">
        <v>101</v>
      </c>
      <c r="C35" s="583"/>
      <c r="D35" s="65"/>
      <c r="E35" s="66">
        <f>SUM(D34:F34)</f>
        <v>0</v>
      </c>
      <c r="F35" s="66"/>
      <c r="G35" s="65"/>
      <c r="H35" s="66">
        <f>SUM(G34:I34)</f>
        <v>0</v>
      </c>
      <c r="I35" s="66"/>
      <c r="J35" s="65"/>
      <c r="K35" s="66">
        <f>SUM(J34:L34)</f>
        <v>16</v>
      </c>
      <c r="L35" s="66"/>
      <c r="M35" s="65"/>
      <c r="N35" s="66">
        <f>SUM(M34:O34)</f>
        <v>34</v>
      </c>
      <c r="O35" s="66"/>
      <c r="P35" s="65"/>
      <c r="Q35" s="66">
        <f>SUM(P34:R34)</f>
        <v>68</v>
      </c>
      <c r="R35" s="66"/>
      <c r="S35" s="65"/>
      <c r="T35" s="66">
        <f>SUM(S34:U34)</f>
        <v>38</v>
      </c>
      <c r="U35" s="66"/>
      <c r="V35" s="65"/>
      <c r="W35" s="66">
        <f>SUM(V34:X34)</f>
        <v>128</v>
      </c>
      <c r="X35" s="66"/>
      <c r="Y35" s="65"/>
      <c r="Z35" s="66">
        <f>SUM(Y34:AA34)</f>
        <v>229</v>
      </c>
      <c r="AA35" s="66"/>
      <c r="AB35" s="65"/>
      <c r="AC35" s="66">
        <f>SUM(AB34:AD34)</f>
        <v>220</v>
      </c>
      <c r="AD35" s="66"/>
      <c r="AE35" s="65"/>
      <c r="AF35" s="66">
        <f>SUM(AE34:AG34)</f>
        <v>126</v>
      </c>
      <c r="AG35" s="66"/>
      <c r="AH35" s="65"/>
      <c r="AI35" s="66">
        <f>SUM(AH34:AJ34)</f>
        <v>24</v>
      </c>
      <c r="AJ35" s="66"/>
      <c r="AK35" s="65"/>
      <c r="AL35" s="66">
        <f>SUM(AK34:AM34)</f>
        <v>0</v>
      </c>
      <c r="AM35" s="66"/>
      <c r="AN35" s="67">
        <f>SUM(AN9:AN33)</f>
        <v>883</v>
      </c>
    </row>
    <row r="36" spans="2:40" ht="9.9499999999999993" customHeight="1" x14ac:dyDescent="0.15"/>
    <row r="37" spans="2:40" ht="24.95" customHeight="1" x14ac:dyDescent="0.15">
      <c r="B37" s="2" t="s">
        <v>202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199</v>
      </c>
      <c r="C39" s="264">
        <f>'４　経営収支'!G4</f>
        <v>60</v>
      </c>
      <c r="D39" s="1" t="s">
        <v>200</v>
      </c>
    </row>
    <row r="40" spans="2:40" ht="9.9499999999999993" customHeight="1" thickBot="1" x14ac:dyDescent="0.2"/>
    <row r="41" spans="2:40" ht="20.100000000000001" customHeight="1" x14ac:dyDescent="0.15">
      <c r="B41" s="567" t="s">
        <v>98</v>
      </c>
      <c r="C41" s="568"/>
      <c r="D41" s="571">
        <v>1</v>
      </c>
      <c r="E41" s="572"/>
      <c r="F41" s="573"/>
      <c r="G41" s="571">
        <v>2</v>
      </c>
      <c r="H41" s="572"/>
      <c r="I41" s="573"/>
      <c r="J41" s="571">
        <v>3</v>
      </c>
      <c r="K41" s="572"/>
      <c r="L41" s="573"/>
      <c r="M41" s="571">
        <v>4</v>
      </c>
      <c r="N41" s="572"/>
      <c r="O41" s="573"/>
      <c r="P41" s="571">
        <v>5</v>
      </c>
      <c r="Q41" s="572"/>
      <c r="R41" s="573"/>
      <c r="S41" s="571">
        <v>6</v>
      </c>
      <c r="T41" s="572"/>
      <c r="U41" s="573"/>
      <c r="V41" s="571">
        <v>7</v>
      </c>
      <c r="W41" s="572"/>
      <c r="X41" s="573"/>
      <c r="Y41" s="571">
        <v>8</v>
      </c>
      <c r="Z41" s="572"/>
      <c r="AA41" s="573"/>
      <c r="AB41" s="571">
        <v>9</v>
      </c>
      <c r="AC41" s="572"/>
      <c r="AD41" s="573"/>
      <c r="AE41" s="571">
        <v>10</v>
      </c>
      <c r="AF41" s="572"/>
      <c r="AG41" s="573"/>
      <c r="AH41" s="571">
        <v>11</v>
      </c>
      <c r="AI41" s="572"/>
      <c r="AJ41" s="573"/>
      <c r="AK41" s="571">
        <v>12</v>
      </c>
      <c r="AL41" s="572"/>
      <c r="AM41" s="573"/>
      <c r="AN41" s="574" t="s">
        <v>30</v>
      </c>
    </row>
    <row r="42" spans="2:40" ht="20.100000000000001" customHeight="1" x14ac:dyDescent="0.15">
      <c r="B42" s="569"/>
      <c r="C42" s="570"/>
      <c r="D42" s="51" t="s">
        <v>31</v>
      </c>
      <c r="E42" s="52" t="s">
        <v>32</v>
      </c>
      <c r="F42" s="53" t="s">
        <v>33</v>
      </c>
      <c r="G42" s="51" t="s">
        <v>31</v>
      </c>
      <c r="H42" s="53" t="s">
        <v>32</v>
      </c>
      <c r="I42" s="53" t="s">
        <v>33</v>
      </c>
      <c r="J42" s="51" t="s">
        <v>31</v>
      </c>
      <c r="K42" s="53" t="s">
        <v>32</v>
      </c>
      <c r="L42" s="53" t="s">
        <v>33</v>
      </c>
      <c r="M42" s="51" t="s">
        <v>31</v>
      </c>
      <c r="N42" s="53" t="s">
        <v>32</v>
      </c>
      <c r="O42" s="53" t="s">
        <v>33</v>
      </c>
      <c r="P42" s="51" t="s">
        <v>31</v>
      </c>
      <c r="Q42" s="53" t="s">
        <v>32</v>
      </c>
      <c r="R42" s="53" t="s">
        <v>33</v>
      </c>
      <c r="S42" s="51" t="s">
        <v>31</v>
      </c>
      <c r="T42" s="54" t="s">
        <v>32</v>
      </c>
      <c r="U42" s="54" t="s">
        <v>33</v>
      </c>
      <c r="V42" s="51" t="s">
        <v>31</v>
      </c>
      <c r="W42" s="53" t="s">
        <v>32</v>
      </c>
      <c r="X42" s="53" t="s">
        <v>33</v>
      </c>
      <c r="Y42" s="51" t="s">
        <v>31</v>
      </c>
      <c r="Z42" s="53" t="s">
        <v>32</v>
      </c>
      <c r="AA42" s="53" t="s">
        <v>33</v>
      </c>
      <c r="AB42" s="51" t="s">
        <v>31</v>
      </c>
      <c r="AC42" s="53" t="s">
        <v>32</v>
      </c>
      <c r="AD42" s="53" t="s">
        <v>33</v>
      </c>
      <c r="AE42" s="51" t="s">
        <v>31</v>
      </c>
      <c r="AF42" s="53" t="s">
        <v>32</v>
      </c>
      <c r="AG42" s="53" t="s">
        <v>33</v>
      </c>
      <c r="AH42" s="51" t="s">
        <v>31</v>
      </c>
      <c r="AI42" s="53" t="s">
        <v>32</v>
      </c>
      <c r="AJ42" s="53" t="s">
        <v>33</v>
      </c>
      <c r="AK42" s="51" t="s">
        <v>31</v>
      </c>
      <c r="AL42" s="53" t="s">
        <v>32</v>
      </c>
      <c r="AM42" s="53" t="s">
        <v>33</v>
      </c>
      <c r="AN42" s="575"/>
    </row>
    <row r="43" spans="2:40" ht="20.100000000000001" customHeight="1" x14ac:dyDescent="0.15">
      <c r="B43" s="590" t="s">
        <v>207</v>
      </c>
      <c r="C43" s="570"/>
      <c r="D43" s="60">
        <f>D34*$C$39/10</f>
        <v>0</v>
      </c>
      <c r="E43" s="63">
        <f t="shared" ref="E43:AM43" si="2">E34*$C$39/10</f>
        <v>0</v>
      </c>
      <c r="F43" s="64">
        <f t="shared" si="2"/>
        <v>0</v>
      </c>
      <c r="G43" s="60">
        <f t="shared" si="2"/>
        <v>0</v>
      </c>
      <c r="H43" s="63">
        <f t="shared" si="2"/>
        <v>0</v>
      </c>
      <c r="I43" s="64">
        <f t="shared" si="2"/>
        <v>0</v>
      </c>
      <c r="J43" s="60">
        <f t="shared" si="2"/>
        <v>48</v>
      </c>
      <c r="K43" s="63">
        <f t="shared" si="2"/>
        <v>48</v>
      </c>
      <c r="L43" s="64">
        <f t="shared" si="2"/>
        <v>0</v>
      </c>
      <c r="M43" s="60">
        <f t="shared" si="2"/>
        <v>0</v>
      </c>
      <c r="N43" s="63">
        <f t="shared" si="2"/>
        <v>72</v>
      </c>
      <c r="O43" s="64">
        <f t="shared" si="2"/>
        <v>132</v>
      </c>
      <c r="P43" s="60">
        <f t="shared" si="2"/>
        <v>144</v>
      </c>
      <c r="Q43" s="63">
        <f t="shared" si="2"/>
        <v>156</v>
      </c>
      <c r="R43" s="64">
        <f t="shared" si="2"/>
        <v>108</v>
      </c>
      <c r="S43" s="60">
        <f t="shared" si="2"/>
        <v>66</v>
      </c>
      <c r="T43" s="63">
        <f t="shared" si="2"/>
        <v>66</v>
      </c>
      <c r="U43" s="64">
        <f t="shared" si="2"/>
        <v>96</v>
      </c>
      <c r="V43" s="60">
        <f t="shared" si="2"/>
        <v>204</v>
      </c>
      <c r="W43" s="63">
        <f t="shared" si="2"/>
        <v>204</v>
      </c>
      <c r="X43" s="64">
        <f t="shared" si="2"/>
        <v>360</v>
      </c>
      <c r="Y43" s="60">
        <f t="shared" si="2"/>
        <v>468</v>
      </c>
      <c r="Z43" s="63">
        <f t="shared" si="2"/>
        <v>438</v>
      </c>
      <c r="AA43" s="64">
        <f t="shared" si="2"/>
        <v>468</v>
      </c>
      <c r="AB43" s="60">
        <f t="shared" si="2"/>
        <v>468</v>
      </c>
      <c r="AC43" s="63">
        <f t="shared" si="2"/>
        <v>438</v>
      </c>
      <c r="AD43" s="64">
        <f t="shared" si="2"/>
        <v>414</v>
      </c>
      <c r="AE43" s="60">
        <f t="shared" si="2"/>
        <v>300</v>
      </c>
      <c r="AF43" s="63">
        <f t="shared" si="2"/>
        <v>258</v>
      </c>
      <c r="AG43" s="64">
        <f t="shared" si="2"/>
        <v>198</v>
      </c>
      <c r="AH43" s="60">
        <f t="shared" si="2"/>
        <v>0</v>
      </c>
      <c r="AI43" s="63">
        <f t="shared" si="2"/>
        <v>96</v>
      </c>
      <c r="AJ43" s="64">
        <f t="shared" si="2"/>
        <v>48</v>
      </c>
      <c r="AK43" s="60">
        <f t="shared" si="2"/>
        <v>0</v>
      </c>
      <c r="AL43" s="63">
        <f t="shared" si="2"/>
        <v>0</v>
      </c>
      <c r="AM43" s="64">
        <f t="shared" si="2"/>
        <v>0</v>
      </c>
      <c r="AN43" s="62">
        <f t="shared" ref="AN43:AN47" si="3">SUM(D43:AM43)</f>
        <v>5298</v>
      </c>
    </row>
    <row r="44" spans="2:40" ht="20.100000000000001" customHeight="1" thickBot="1" x14ac:dyDescent="0.2">
      <c r="B44" s="576" t="s">
        <v>101</v>
      </c>
      <c r="C44" s="577"/>
      <c r="D44" s="267"/>
      <c r="E44" s="263">
        <f>SUM(D43:F43)</f>
        <v>0</v>
      </c>
      <c r="F44" s="263"/>
      <c r="G44" s="267"/>
      <c r="H44" s="263">
        <f>SUM(G43:I43)</f>
        <v>0</v>
      </c>
      <c r="I44" s="263"/>
      <c r="J44" s="267"/>
      <c r="K44" s="263">
        <f>SUM(J43:L43)</f>
        <v>96</v>
      </c>
      <c r="L44" s="263"/>
      <c r="M44" s="267"/>
      <c r="N44" s="263">
        <f>SUM(M43:O43)</f>
        <v>204</v>
      </c>
      <c r="O44" s="263"/>
      <c r="P44" s="267"/>
      <c r="Q44" s="263">
        <f>SUM(P43:R43)</f>
        <v>408</v>
      </c>
      <c r="R44" s="263"/>
      <c r="S44" s="267"/>
      <c r="T44" s="263">
        <f>SUM(S43:U43)</f>
        <v>228</v>
      </c>
      <c r="U44" s="263"/>
      <c r="V44" s="267"/>
      <c r="W44" s="263">
        <f>SUM(V43:X43)</f>
        <v>768</v>
      </c>
      <c r="X44" s="263"/>
      <c r="Y44" s="267"/>
      <c r="Z44" s="263">
        <f>SUM(Y43:AA43)</f>
        <v>1374</v>
      </c>
      <c r="AA44" s="263"/>
      <c r="AB44" s="267"/>
      <c r="AC44" s="263">
        <f>SUM(AB43:AD43)</f>
        <v>1320</v>
      </c>
      <c r="AD44" s="263"/>
      <c r="AE44" s="267"/>
      <c r="AF44" s="263">
        <f>SUM(AE43:AG43)</f>
        <v>756</v>
      </c>
      <c r="AG44" s="263"/>
      <c r="AH44" s="267"/>
      <c r="AI44" s="263">
        <f>SUM(AH43:AJ43)</f>
        <v>144</v>
      </c>
      <c r="AJ44" s="263"/>
      <c r="AK44" s="267"/>
      <c r="AL44" s="263">
        <f>SUM(AK43:AM43)</f>
        <v>0</v>
      </c>
      <c r="AM44" s="263"/>
      <c r="AN44" s="268">
        <f>SUM(D44:AM44)</f>
        <v>5298</v>
      </c>
    </row>
    <row r="45" spans="2:40" ht="20.100000000000001" customHeight="1" thickTop="1" x14ac:dyDescent="0.15">
      <c r="B45" s="591" t="s">
        <v>205</v>
      </c>
      <c r="C45" s="269" t="s">
        <v>203</v>
      </c>
      <c r="D45" s="270"/>
      <c r="E45" s="271"/>
      <c r="F45" s="271"/>
      <c r="G45" s="270"/>
      <c r="H45" s="271"/>
      <c r="I45" s="271"/>
      <c r="J45" s="270">
        <v>24</v>
      </c>
      <c r="K45" s="271">
        <v>24</v>
      </c>
      <c r="L45" s="271"/>
      <c r="M45" s="270"/>
      <c r="N45" s="271">
        <v>28.8</v>
      </c>
      <c r="O45" s="271">
        <f>O43/5*2</f>
        <v>52.8</v>
      </c>
      <c r="P45" s="270">
        <f t="shared" ref="P45:AM45" si="4">P43/5*2</f>
        <v>57.6</v>
      </c>
      <c r="Q45" s="271">
        <f t="shared" si="4"/>
        <v>62.4</v>
      </c>
      <c r="R45" s="271">
        <f t="shared" si="4"/>
        <v>43.2</v>
      </c>
      <c r="S45" s="270">
        <f t="shared" si="4"/>
        <v>26.4</v>
      </c>
      <c r="T45" s="271">
        <f t="shared" si="4"/>
        <v>26.4</v>
      </c>
      <c r="U45" s="271">
        <f t="shared" si="4"/>
        <v>38.4</v>
      </c>
      <c r="V45" s="270">
        <v>70</v>
      </c>
      <c r="W45" s="271">
        <v>70</v>
      </c>
      <c r="X45" s="271">
        <v>76.599999999999994</v>
      </c>
      <c r="Y45" s="270">
        <v>76.599999999999994</v>
      </c>
      <c r="Z45" s="271">
        <v>76.599999999999994</v>
      </c>
      <c r="AA45" s="271">
        <v>76.599999999999994</v>
      </c>
      <c r="AB45" s="270">
        <v>76.599999999999994</v>
      </c>
      <c r="AC45" s="271">
        <v>76.599999999999994</v>
      </c>
      <c r="AD45" s="271">
        <v>70</v>
      </c>
      <c r="AE45" s="270">
        <v>70</v>
      </c>
      <c r="AF45" s="271">
        <v>70</v>
      </c>
      <c r="AG45" s="271">
        <v>70</v>
      </c>
      <c r="AH45" s="270">
        <f t="shared" si="4"/>
        <v>0</v>
      </c>
      <c r="AI45" s="271">
        <f t="shared" si="4"/>
        <v>38.4</v>
      </c>
      <c r="AJ45" s="271">
        <f t="shared" si="4"/>
        <v>19.2</v>
      </c>
      <c r="AK45" s="270">
        <f t="shared" si="4"/>
        <v>0</v>
      </c>
      <c r="AL45" s="271">
        <f t="shared" si="4"/>
        <v>0</v>
      </c>
      <c r="AM45" s="271">
        <f t="shared" si="4"/>
        <v>0</v>
      </c>
      <c r="AN45" s="272">
        <f t="shared" si="3"/>
        <v>1321.2000000000003</v>
      </c>
    </row>
    <row r="46" spans="2:40" ht="20.100000000000001" customHeight="1" x14ac:dyDescent="0.15">
      <c r="B46" s="592"/>
      <c r="C46" s="265" t="s">
        <v>204</v>
      </c>
      <c r="D46" s="273"/>
      <c r="E46" s="61"/>
      <c r="F46" s="61"/>
      <c r="G46" s="273"/>
      <c r="H46" s="61"/>
      <c r="I46" s="61"/>
      <c r="J46" s="273">
        <v>24</v>
      </c>
      <c r="K46" s="61">
        <v>24</v>
      </c>
      <c r="L46" s="61"/>
      <c r="M46" s="273"/>
      <c r="N46" s="61">
        <v>28.8</v>
      </c>
      <c r="O46" s="61">
        <f>O45</f>
        <v>52.8</v>
      </c>
      <c r="P46" s="273">
        <f t="shared" ref="P46:AE46" si="5">P45</f>
        <v>57.6</v>
      </c>
      <c r="Q46" s="61">
        <f t="shared" si="5"/>
        <v>62.4</v>
      </c>
      <c r="R46" s="61">
        <f t="shared" si="5"/>
        <v>43.2</v>
      </c>
      <c r="S46" s="273">
        <f t="shared" si="5"/>
        <v>26.4</v>
      </c>
      <c r="T46" s="61">
        <f t="shared" si="5"/>
        <v>26.4</v>
      </c>
      <c r="U46" s="61">
        <f t="shared" si="5"/>
        <v>38.4</v>
      </c>
      <c r="V46" s="273">
        <f t="shared" si="5"/>
        <v>70</v>
      </c>
      <c r="W46" s="61">
        <f t="shared" si="5"/>
        <v>70</v>
      </c>
      <c r="X46" s="61">
        <f t="shared" si="5"/>
        <v>76.599999999999994</v>
      </c>
      <c r="Y46" s="273">
        <f t="shared" si="5"/>
        <v>76.599999999999994</v>
      </c>
      <c r="Z46" s="61">
        <f t="shared" si="5"/>
        <v>76.599999999999994</v>
      </c>
      <c r="AA46" s="61">
        <f t="shared" si="5"/>
        <v>76.599999999999994</v>
      </c>
      <c r="AB46" s="273">
        <f t="shared" si="5"/>
        <v>76.599999999999994</v>
      </c>
      <c r="AC46" s="61">
        <f t="shared" si="5"/>
        <v>76.599999999999994</v>
      </c>
      <c r="AD46" s="61">
        <f t="shared" si="5"/>
        <v>70</v>
      </c>
      <c r="AE46" s="273">
        <f t="shared" si="5"/>
        <v>70</v>
      </c>
      <c r="AF46" s="61">
        <f t="shared" ref="AF46" si="6">AF45</f>
        <v>70</v>
      </c>
      <c r="AG46" s="61">
        <f t="shared" ref="AG46" si="7">AG45</f>
        <v>70</v>
      </c>
      <c r="AH46" s="273">
        <f t="shared" ref="AH46" si="8">AH45</f>
        <v>0</v>
      </c>
      <c r="AI46" s="61">
        <f t="shared" ref="AI46" si="9">AI45</f>
        <v>38.4</v>
      </c>
      <c r="AJ46" s="61">
        <f t="shared" ref="AJ46" si="10">AJ45</f>
        <v>19.2</v>
      </c>
      <c r="AK46" s="273"/>
      <c r="AL46" s="61"/>
      <c r="AM46" s="61"/>
      <c r="AN46" s="62">
        <f t="shared" si="3"/>
        <v>1321.2000000000003</v>
      </c>
    </row>
    <row r="47" spans="2:40" ht="20.100000000000001" customHeight="1" x14ac:dyDescent="0.15">
      <c r="B47" s="592"/>
      <c r="C47" s="265" t="s">
        <v>210</v>
      </c>
      <c r="D47" s="273"/>
      <c r="E47" s="61"/>
      <c r="F47" s="61"/>
      <c r="G47" s="273"/>
      <c r="H47" s="61"/>
      <c r="I47" s="61"/>
      <c r="J47" s="273"/>
      <c r="K47" s="61"/>
      <c r="L47" s="61"/>
      <c r="M47" s="273"/>
      <c r="N47" s="61">
        <f>N46/2</f>
        <v>14.4</v>
      </c>
      <c r="O47" s="61">
        <f>O46/2</f>
        <v>26.4</v>
      </c>
      <c r="P47" s="273">
        <f t="shared" ref="P47:AJ47" si="11">P46/2</f>
        <v>28.8</v>
      </c>
      <c r="Q47" s="61">
        <f t="shared" si="11"/>
        <v>31.2</v>
      </c>
      <c r="R47" s="61">
        <f t="shared" si="11"/>
        <v>21.6</v>
      </c>
      <c r="S47" s="273">
        <f t="shared" si="11"/>
        <v>13.2</v>
      </c>
      <c r="T47" s="61">
        <f t="shared" si="11"/>
        <v>13.2</v>
      </c>
      <c r="U47" s="61">
        <f t="shared" si="11"/>
        <v>19.2</v>
      </c>
      <c r="V47" s="385">
        <v>64</v>
      </c>
      <c r="W47" s="386">
        <v>64</v>
      </c>
      <c r="X47" s="61">
        <f t="shared" ref="X47:AF47" si="12">X46/1.2</f>
        <v>63.833333333333329</v>
      </c>
      <c r="Y47" s="273">
        <f t="shared" si="12"/>
        <v>63.833333333333329</v>
      </c>
      <c r="Z47" s="61">
        <f t="shared" si="12"/>
        <v>63.833333333333329</v>
      </c>
      <c r="AA47" s="61">
        <f t="shared" si="12"/>
        <v>63.833333333333329</v>
      </c>
      <c r="AB47" s="273">
        <f t="shared" si="12"/>
        <v>63.833333333333329</v>
      </c>
      <c r="AC47" s="61">
        <f t="shared" si="12"/>
        <v>63.833333333333329</v>
      </c>
      <c r="AD47" s="61">
        <f t="shared" si="12"/>
        <v>58.333333333333336</v>
      </c>
      <c r="AE47" s="273">
        <f t="shared" si="12"/>
        <v>58.333333333333336</v>
      </c>
      <c r="AF47" s="61">
        <f t="shared" si="12"/>
        <v>58.333333333333336</v>
      </c>
      <c r="AG47" s="61">
        <f>AG43-AG45-AG46</f>
        <v>58</v>
      </c>
      <c r="AH47" s="273">
        <f t="shared" ref="AH47" si="13">AH46/2</f>
        <v>0</v>
      </c>
      <c r="AI47" s="61">
        <f t="shared" si="11"/>
        <v>19.2</v>
      </c>
      <c r="AJ47" s="61">
        <f t="shared" si="11"/>
        <v>9.6</v>
      </c>
      <c r="AK47" s="273"/>
      <c r="AL47" s="61"/>
      <c r="AM47" s="61"/>
      <c r="AN47" s="62">
        <f t="shared" si="3"/>
        <v>940.80000000000018</v>
      </c>
    </row>
    <row r="48" spans="2:40" ht="20.100000000000001" customHeight="1" x14ac:dyDescent="0.15">
      <c r="B48" s="592"/>
      <c r="C48" s="266"/>
      <c r="D48" s="273"/>
      <c r="E48" s="61"/>
      <c r="F48" s="61"/>
      <c r="G48" s="273"/>
      <c r="H48" s="61"/>
      <c r="I48" s="61"/>
      <c r="J48" s="273"/>
      <c r="K48" s="61"/>
      <c r="L48" s="61"/>
      <c r="M48" s="273"/>
      <c r="N48" s="61"/>
      <c r="O48" s="61"/>
      <c r="P48" s="273"/>
      <c r="Q48" s="61"/>
      <c r="R48" s="61"/>
      <c r="S48" s="273"/>
      <c r="T48" s="61"/>
      <c r="U48" s="61"/>
      <c r="V48" s="273"/>
      <c r="W48" s="61"/>
      <c r="X48" s="61"/>
      <c r="Y48" s="273"/>
      <c r="Z48" s="61"/>
      <c r="AA48" s="61"/>
      <c r="AB48" s="273"/>
      <c r="AC48" s="61"/>
      <c r="AD48" s="61"/>
      <c r="AE48" s="273"/>
      <c r="AF48" s="61"/>
      <c r="AG48" s="61"/>
      <c r="AH48" s="273"/>
      <c r="AI48" s="61"/>
      <c r="AJ48" s="61"/>
      <c r="AK48" s="273"/>
      <c r="AL48" s="61"/>
      <c r="AM48" s="61"/>
      <c r="AN48" s="62">
        <f>SUM(D48:AM48)</f>
        <v>0</v>
      </c>
    </row>
    <row r="49" spans="2:40" ht="20.100000000000001" customHeight="1" thickBot="1" x14ac:dyDescent="0.2">
      <c r="B49" s="593"/>
      <c r="C49" s="280" t="s">
        <v>208</v>
      </c>
      <c r="D49" s="274">
        <f>SUM(D45:D48)</f>
        <v>0</v>
      </c>
      <c r="E49" s="275">
        <f t="shared" ref="E49:AM49" si="14">SUM(E45:E48)</f>
        <v>0</v>
      </c>
      <c r="F49" s="275">
        <f t="shared" si="14"/>
        <v>0</v>
      </c>
      <c r="G49" s="274">
        <f t="shared" si="14"/>
        <v>0</v>
      </c>
      <c r="H49" s="275">
        <f t="shared" si="14"/>
        <v>0</v>
      </c>
      <c r="I49" s="275">
        <f t="shared" si="14"/>
        <v>0</v>
      </c>
      <c r="J49" s="274">
        <f t="shared" si="14"/>
        <v>48</v>
      </c>
      <c r="K49" s="275">
        <f t="shared" si="14"/>
        <v>48</v>
      </c>
      <c r="L49" s="275">
        <f t="shared" si="14"/>
        <v>0</v>
      </c>
      <c r="M49" s="274">
        <f t="shared" si="14"/>
        <v>0</v>
      </c>
      <c r="N49" s="275">
        <f>SUM(N45:N48)</f>
        <v>72</v>
      </c>
      <c r="O49" s="275">
        <f t="shared" si="14"/>
        <v>132</v>
      </c>
      <c r="P49" s="274">
        <f t="shared" si="14"/>
        <v>144</v>
      </c>
      <c r="Q49" s="275">
        <f t="shared" si="14"/>
        <v>156</v>
      </c>
      <c r="R49" s="275">
        <f t="shared" si="14"/>
        <v>108</v>
      </c>
      <c r="S49" s="274">
        <f t="shared" si="14"/>
        <v>66</v>
      </c>
      <c r="T49" s="275">
        <f t="shared" si="14"/>
        <v>66</v>
      </c>
      <c r="U49" s="275">
        <f t="shared" si="14"/>
        <v>96</v>
      </c>
      <c r="V49" s="274">
        <f t="shared" si="14"/>
        <v>204</v>
      </c>
      <c r="W49" s="275">
        <f t="shared" si="14"/>
        <v>204</v>
      </c>
      <c r="X49" s="275">
        <f t="shared" si="14"/>
        <v>217.0333333333333</v>
      </c>
      <c r="Y49" s="274">
        <f>SUM(Y45:Y48)</f>
        <v>217.0333333333333</v>
      </c>
      <c r="Z49" s="275">
        <f t="shared" si="14"/>
        <v>217.0333333333333</v>
      </c>
      <c r="AA49" s="275">
        <f t="shared" si="14"/>
        <v>217.0333333333333</v>
      </c>
      <c r="AB49" s="274">
        <f t="shared" si="14"/>
        <v>217.0333333333333</v>
      </c>
      <c r="AC49" s="275">
        <f t="shared" si="14"/>
        <v>217.0333333333333</v>
      </c>
      <c r="AD49" s="275">
        <f t="shared" si="14"/>
        <v>198.33333333333334</v>
      </c>
      <c r="AE49" s="274">
        <f t="shared" si="14"/>
        <v>198.33333333333334</v>
      </c>
      <c r="AF49" s="275">
        <f t="shared" si="14"/>
        <v>198.33333333333334</v>
      </c>
      <c r="AG49" s="275">
        <f t="shared" si="14"/>
        <v>198</v>
      </c>
      <c r="AH49" s="274">
        <f t="shared" si="14"/>
        <v>0</v>
      </c>
      <c r="AI49" s="275">
        <f t="shared" si="14"/>
        <v>96</v>
      </c>
      <c r="AJ49" s="275">
        <f t="shared" si="14"/>
        <v>48</v>
      </c>
      <c r="AK49" s="274">
        <f t="shared" si="14"/>
        <v>0</v>
      </c>
      <c r="AL49" s="275">
        <f t="shared" si="14"/>
        <v>0</v>
      </c>
      <c r="AM49" s="275">
        <f t="shared" si="14"/>
        <v>0</v>
      </c>
      <c r="AN49" s="276">
        <f>SUM(D49:AM49)</f>
        <v>3583.2000000000003</v>
      </c>
    </row>
    <row r="50" spans="2:40" ht="20.100000000000001" customHeight="1" thickTop="1" x14ac:dyDescent="0.15">
      <c r="B50" s="586" t="s">
        <v>209</v>
      </c>
      <c r="C50" s="587"/>
      <c r="D50" s="281">
        <f>D49-D43</f>
        <v>0</v>
      </c>
      <c r="E50" s="282">
        <f t="shared" ref="E50:AM50" si="15">E49-E43</f>
        <v>0</v>
      </c>
      <c r="F50" s="282">
        <f t="shared" si="15"/>
        <v>0</v>
      </c>
      <c r="G50" s="281">
        <f t="shared" si="15"/>
        <v>0</v>
      </c>
      <c r="H50" s="282">
        <f t="shared" si="15"/>
        <v>0</v>
      </c>
      <c r="I50" s="282">
        <f t="shared" si="15"/>
        <v>0</v>
      </c>
      <c r="J50" s="281">
        <f t="shared" si="15"/>
        <v>0</v>
      </c>
      <c r="K50" s="282">
        <f t="shared" si="15"/>
        <v>0</v>
      </c>
      <c r="L50" s="282">
        <f t="shared" si="15"/>
        <v>0</v>
      </c>
      <c r="M50" s="281">
        <f t="shared" si="15"/>
        <v>0</v>
      </c>
      <c r="N50" s="282">
        <f t="shared" si="15"/>
        <v>0</v>
      </c>
      <c r="O50" s="282">
        <f t="shared" si="15"/>
        <v>0</v>
      </c>
      <c r="P50" s="282">
        <f t="shared" si="15"/>
        <v>0</v>
      </c>
      <c r="Q50" s="282">
        <f t="shared" si="15"/>
        <v>0</v>
      </c>
      <c r="R50" s="383">
        <f t="shared" si="15"/>
        <v>0</v>
      </c>
      <c r="S50" s="381">
        <f t="shared" si="15"/>
        <v>0</v>
      </c>
      <c r="T50" s="282">
        <f t="shared" si="15"/>
        <v>0</v>
      </c>
      <c r="U50" s="383">
        <f t="shared" si="15"/>
        <v>0</v>
      </c>
      <c r="V50" s="381">
        <f t="shared" si="15"/>
        <v>0</v>
      </c>
      <c r="W50" s="282">
        <f t="shared" si="15"/>
        <v>0</v>
      </c>
      <c r="X50" s="282">
        <f t="shared" si="15"/>
        <v>-142.9666666666667</v>
      </c>
      <c r="Y50" s="281">
        <f>Y49-Y43</f>
        <v>-250.9666666666667</v>
      </c>
      <c r="Z50" s="282">
        <f t="shared" si="15"/>
        <v>-220.9666666666667</v>
      </c>
      <c r="AA50" s="282">
        <f t="shared" si="15"/>
        <v>-250.9666666666667</v>
      </c>
      <c r="AB50" s="281">
        <f t="shared" si="15"/>
        <v>-250.9666666666667</v>
      </c>
      <c r="AC50" s="282">
        <f t="shared" si="15"/>
        <v>-220.9666666666667</v>
      </c>
      <c r="AD50" s="282">
        <f t="shared" si="15"/>
        <v>-215.66666666666666</v>
      </c>
      <c r="AE50" s="281">
        <f t="shared" si="15"/>
        <v>-101.66666666666666</v>
      </c>
      <c r="AF50" s="282">
        <f t="shared" si="15"/>
        <v>-59.666666666666657</v>
      </c>
      <c r="AG50" s="383">
        <f t="shared" si="15"/>
        <v>0</v>
      </c>
      <c r="AH50" s="381">
        <f t="shared" si="15"/>
        <v>0</v>
      </c>
      <c r="AI50" s="282">
        <f t="shared" si="15"/>
        <v>0</v>
      </c>
      <c r="AJ50" s="282">
        <f t="shared" si="15"/>
        <v>0</v>
      </c>
      <c r="AK50" s="281">
        <f t="shared" si="15"/>
        <v>0</v>
      </c>
      <c r="AL50" s="282">
        <f t="shared" si="15"/>
        <v>0</v>
      </c>
      <c r="AM50" s="282">
        <f t="shared" si="15"/>
        <v>0</v>
      </c>
      <c r="AN50" s="272">
        <f t="shared" ref="AN50" si="16">SUM(D50:AM50)</f>
        <v>-1714.8000000000004</v>
      </c>
    </row>
    <row r="51" spans="2:40" ht="20.100000000000001" customHeight="1" thickBot="1" x14ac:dyDescent="0.2">
      <c r="B51" s="588" t="s">
        <v>206</v>
      </c>
      <c r="C51" s="589"/>
      <c r="D51" s="277">
        <f>-D50</f>
        <v>0</v>
      </c>
      <c r="E51" s="278">
        <f t="shared" ref="E51:AM51" si="17">-E50</f>
        <v>0</v>
      </c>
      <c r="F51" s="278">
        <f t="shared" si="17"/>
        <v>0</v>
      </c>
      <c r="G51" s="277">
        <f t="shared" si="17"/>
        <v>0</v>
      </c>
      <c r="H51" s="278">
        <f t="shared" si="17"/>
        <v>0</v>
      </c>
      <c r="I51" s="278">
        <f t="shared" si="17"/>
        <v>0</v>
      </c>
      <c r="J51" s="277">
        <f t="shared" si="17"/>
        <v>0</v>
      </c>
      <c r="K51" s="278">
        <f t="shared" si="17"/>
        <v>0</v>
      </c>
      <c r="L51" s="278">
        <f t="shared" si="17"/>
        <v>0</v>
      </c>
      <c r="M51" s="277">
        <f t="shared" si="17"/>
        <v>0</v>
      </c>
      <c r="N51" s="278">
        <f t="shared" si="17"/>
        <v>0</v>
      </c>
      <c r="O51" s="278">
        <f t="shared" si="17"/>
        <v>0</v>
      </c>
      <c r="P51" s="277">
        <f t="shared" si="17"/>
        <v>0</v>
      </c>
      <c r="Q51" s="278">
        <f t="shared" si="17"/>
        <v>0</v>
      </c>
      <c r="R51" s="384">
        <f t="shared" si="17"/>
        <v>0</v>
      </c>
      <c r="S51" s="382">
        <f t="shared" si="17"/>
        <v>0</v>
      </c>
      <c r="T51" s="278">
        <f t="shared" si="17"/>
        <v>0</v>
      </c>
      <c r="U51" s="384">
        <f t="shared" si="17"/>
        <v>0</v>
      </c>
      <c r="V51" s="382">
        <f t="shared" si="17"/>
        <v>0</v>
      </c>
      <c r="W51" s="278">
        <f t="shared" si="17"/>
        <v>0</v>
      </c>
      <c r="X51" s="278">
        <f t="shared" si="17"/>
        <v>142.9666666666667</v>
      </c>
      <c r="Y51" s="277">
        <f t="shared" si="17"/>
        <v>250.9666666666667</v>
      </c>
      <c r="Z51" s="278">
        <f t="shared" si="17"/>
        <v>220.9666666666667</v>
      </c>
      <c r="AA51" s="278">
        <f t="shared" si="17"/>
        <v>250.9666666666667</v>
      </c>
      <c r="AB51" s="277">
        <f t="shared" si="17"/>
        <v>250.9666666666667</v>
      </c>
      <c r="AC51" s="278">
        <f t="shared" si="17"/>
        <v>220.9666666666667</v>
      </c>
      <c r="AD51" s="278">
        <f t="shared" si="17"/>
        <v>215.66666666666666</v>
      </c>
      <c r="AE51" s="277">
        <f t="shared" si="17"/>
        <v>101.66666666666666</v>
      </c>
      <c r="AF51" s="278">
        <f t="shared" si="17"/>
        <v>59.666666666666657</v>
      </c>
      <c r="AG51" s="384">
        <f t="shared" si="17"/>
        <v>0</v>
      </c>
      <c r="AH51" s="382">
        <f t="shared" si="17"/>
        <v>0</v>
      </c>
      <c r="AI51" s="278">
        <f t="shared" si="17"/>
        <v>0</v>
      </c>
      <c r="AJ51" s="278">
        <f t="shared" si="17"/>
        <v>0</v>
      </c>
      <c r="AK51" s="277">
        <f t="shared" si="17"/>
        <v>0</v>
      </c>
      <c r="AL51" s="278">
        <f t="shared" si="17"/>
        <v>0</v>
      </c>
      <c r="AM51" s="278">
        <f t="shared" si="17"/>
        <v>0</v>
      </c>
      <c r="AN51" s="279">
        <f>SUM(D51:AM51)</f>
        <v>1714.8000000000004</v>
      </c>
    </row>
  </sheetData>
  <mergeCells count="61"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220</v>
      </c>
      <c r="C2" s="5"/>
      <c r="D2" s="5"/>
      <c r="E2" s="32"/>
      <c r="F2" s="599"/>
      <c r="G2" s="600"/>
      <c r="H2" s="286" t="s">
        <v>197</v>
      </c>
      <c r="I2" s="260" t="s">
        <v>299</v>
      </c>
      <c r="J2" s="260"/>
      <c r="K2" s="286" t="s">
        <v>198</v>
      </c>
      <c r="L2" s="387" t="s">
        <v>376</v>
      </c>
      <c r="M2" s="33"/>
      <c r="P2" s="284"/>
    </row>
    <row r="3" spans="2:16" ht="20.100000000000001" customHeight="1" x14ac:dyDescent="0.15">
      <c r="B3" s="601" t="s">
        <v>71</v>
      </c>
      <c r="C3" s="594" t="s">
        <v>34</v>
      </c>
      <c r="D3" s="594" t="s">
        <v>102</v>
      </c>
      <c r="E3" s="603" t="s">
        <v>35</v>
      </c>
      <c r="F3" s="604"/>
      <c r="G3" s="285" t="s">
        <v>36</v>
      </c>
      <c r="H3" s="285" t="s">
        <v>104</v>
      </c>
      <c r="I3" s="285" t="s">
        <v>103</v>
      </c>
      <c r="J3" s="594" t="s">
        <v>77</v>
      </c>
      <c r="K3" s="34" t="s">
        <v>221</v>
      </c>
      <c r="L3" s="285" t="s">
        <v>37</v>
      </c>
      <c r="M3" s="285" t="s">
        <v>105</v>
      </c>
      <c r="N3" s="285" t="s">
        <v>38</v>
      </c>
      <c r="O3" s="285" t="s">
        <v>39</v>
      </c>
      <c r="P3" s="326" t="s">
        <v>40</v>
      </c>
    </row>
    <row r="4" spans="2:16" ht="20.100000000000001" customHeight="1" x14ac:dyDescent="0.15">
      <c r="B4" s="602"/>
      <c r="C4" s="595"/>
      <c r="D4" s="595"/>
      <c r="E4" s="6" t="s">
        <v>78</v>
      </c>
      <c r="F4" s="6" t="s">
        <v>7</v>
      </c>
      <c r="G4" s="7" t="s">
        <v>222</v>
      </c>
      <c r="H4" s="7" t="s">
        <v>223</v>
      </c>
      <c r="I4" s="7" t="s">
        <v>107</v>
      </c>
      <c r="J4" s="595"/>
      <c r="K4" s="8" t="s">
        <v>224</v>
      </c>
      <c r="L4" s="7" t="s">
        <v>382</v>
      </c>
      <c r="M4" s="7" t="s">
        <v>225</v>
      </c>
      <c r="N4" s="7" t="s">
        <v>383</v>
      </c>
      <c r="O4" s="7" t="s">
        <v>226</v>
      </c>
      <c r="P4" s="327" t="s">
        <v>384</v>
      </c>
    </row>
    <row r="5" spans="2:16" ht="20.100000000000001" customHeight="1" x14ac:dyDescent="0.15">
      <c r="B5" s="596" t="s">
        <v>153</v>
      </c>
      <c r="C5" s="287" t="s">
        <v>215</v>
      </c>
      <c r="D5" s="287" t="s">
        <v>216</v>
      </c>
      <c r="E5" s="287">
        <v>50</v>
      </c>
      <c r="F5" s="35" t="s">
        <v>217</v>
      </c>
      <c r="G5" s="287">
        <v>2160000</v>
      </c>
      <c r="H5" s="288">
        <v>0</v>
      </c>
      <c r="I5" s="287">
        <f>G5*(1-H5)</f>
        <v>2160000</v>
      </c>
      <c r="J5" s="287" t="s">
        <v>367</v>
      </c>
      <c r="K5" s="289">
        <f>10/'４　経営収支'!$G$4</f>
        <v>0.16666666666666666</v>
      </c>
      <c r="L5" s="29">
        <f>I5*K5</f>
        <v>360000</v>
      </c>
      <c r="M5" s="38">
        <v>0</v>
      </c>
      <c r="N5" s="29">
        <f t="shared" ref="N5:N6" si="0">L5*M5/100</f>
        <v>0</v>
      </c>
      <c r="O5" s="29">
        <v>24</v>
      </c>
      <c r="P5" s="139">
        <f>IF(O5="","",(L5-N5)/O5)</f>
        <v>15000</v>
      </c>
    </row>
    <row r="6" spans="2:16" ht="20.100000000000001" customHeight="1" x14ac:dyDescent="0.15">
      <c r="B6" s="597"/>
      <c r="C6" s="287" t="s">
        <v>218</v>
      </c>
      <c r="D6" s="287" t="s">
        <v>219</v>
      </c>
      <c r="E6" s="287">
        <v>50</v>
      </c>
      <c r="F6" s="35" t="s">
        <v>217</v>
      </c>
      <c r="G6" s="287">
        <v>2160000</v>
      </c>
      <c r="H6" s="288">
        <v>0</v>
      </c>
      <c r="I6" s="287">
        <f t="shared" ref="I6" si="1">G6*(1-H6)</f>
        <v>2160000</v>
      </c>
      <c r="J6" s="287" t="s">
        <v>369</v>
      </c>
      <c r="K6" s="289">
        <f>10/'４　経営収支'!$G$4</f>
        <v>0.16666666666666666</v>
      </c>
      <c r="L6" s="29">
        <f t="shared" ref="L6" si="2">I6*K6</f>
        <v>360000</v>
      </c>
      <c r="M6" s="38">
        <v>0</v>
      </c>
      <c r="N6" s="29">
        <f t="shared" si="0"/>
        <v>0</v>
      </c>
      <c r="O6" s="29">
        <v>24</v>
      </c>
      <c r="P6" s="139">
        <f t="shared" ref="P6" si="3">IF(O6="","",(L6-N6)/O6)</f>
        <v>15000</v>
      </c>
    </row>
    <row r="7" spans="2:16" ht="20.100000000000001" customHeight="1" x14ac:dyDescent="0.15">
      <c r="B7" s="597"/>
      <c r="C7" s="287"/>
      <c r="D7" s="9"/>
      <c r="E7" s="287"/>
      <c r="F7" s="35"/>
      <c r="G7" s="287"/>
      <c r="H7" s="288"/>
      <c r="I7" s="287"/>
      <c r="J7" s="287"/>
      <c r="K7" s="289"/>
      <c r="L7" s="29"/>
      <c r="M7" s="38"/>
      <c r="N7" s="29"/>
      <c r="O7" s="29"/>
      <c r="P7" s="139"/>
    </row>
    <row r="8" spans="2:16" ht="20.100000000000001" customHeight="1" x14ac:dyDescent="0.15">
      <c r="B8" s="597"/>
      <c r="C8" s="287"/>
      <c r="D8" s="287"/>
      <c r="E8" s="290"/>
      <c r="F8" s="35"/>
      <c r="G8" s="287"/>
      <c r="H8" s="288"/>
      <c r="I8" s="287"/>
      <c r="J8" s="287"/>
      <c r="K8" s="289"/>
      <c r="L8" s="29"/>
      <c r="M8" s="38"/>
      <c r="N8" s="29"/>
      <c r="O8" s="29"/>
      <c r="P8" s="139"/>
    </row>
    <row r="9" spans="2:16" ht="20.100000000000001" customHeight="1" x14ac:dyDescent="0.15">
      <c r="B9" s="597"/>
      <c r="C9" s="287"/>
      <c r="D9" s="287"/>
      <c r="E9" s="290"/>
      <c r="F9" s="35"/>
      <c r="G9" s="287"/>
      <c r="H9" s="288"/>
      <c r="I9" s="287"/>
      <c r="J9" s="287"/>
      <c r="K9" s="289"/>
      <c r="L9" s="29"/>
      <c r="M9" s="38"/>
      <c r="N9" s="29"/>
      <c r="O9" s="29"/>
      <c r="P9" s="139"/>
    </row>
    <row r="10" spans="2:16" ht="20.100000000000001" customHeight="1" x14ac:dyDescent="0.15">
      <c r="B10" s="597"/>
      <c r="C10" s="287"/>
      <c r="D10" s="287"/>
      <c r="E10" s="290"/>
      <c r="F10" s="35"/>
      <c r="G10" s="287"/>
      <c r="H10" s="288"/>
      <c r="I10" s="287"/>
      <c r="J10" s="287"/>
      <c r="K10" s="289"/>
      <c r="L10" s="29"/>
      <c r="M10" s="38"/>
      <c r="N10" s="29"/>
      <c r="O10" s="29"/>
      <c r="P10" s="139"/>
    </row>
    <row r="11" spans="2:16" ht="20.100000000000001" customHeight="1" x14ac:dyDescent="0.15">
      <c r="B11" s="597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39"/>
    </row>
    <row r="12" spans="2:16" ht="20.100000000000001" customHeight="1" x14ac:dyDescent="0.15">
      <c r="B12" s="598"/>
      <c r="C12" s="39" t="s">
        <v>41</v>
      </c>
      <c r="D12" s="40"/>
      <c r="E12" s="40"/>
      <c r="F12" s="41"/>
      <c r="G12" s="40">
        <f>SUM(G5:G11)</f>
        <v>4320000</v>
      </c>
      <c r="H12" s="40"/>
      <c r="I12" s="40">
        <f>SUM(I5:I11)</f>
        <v>4320000</v>
      </c>
      <c r="J12" s="40"/>
      <c r="K12" s="42"/>
      <c r="L12" s="40">
        <f>SUM(L5:L11)</f>
        <v>720000</v>
      </c>
      <c r="M12" s="40"/>
      <c r="N12" s="40"/>
      <c r="O12" s="40"/>
      <c r="P12" s="328">
        <f>SUM(P5:P11)</f>
        <v>30000</v>
      </c>
    </row>
    <row r="13" spans="2:16" ht="20.100000000000001" customHeight="1" x14ac:dyDescent="0.15">
      <c r="B13" s="596" t="s">
        <v>154</v>
      </c>
      <c r="C13" s="336" t="s">
        <v>344</v>
      </c>
      <c r="D13" s="336" t="s">
        <v>328</v>
      </c>
      <c r="E13" s="287">
        <v>1</v>
      </c>
      <c r="F13" s="35" t="s">
        <v>44</v>
      </c>
      <c r="G13" s="336">
        <v>2500000</v>
      </c>
      <c r="H13" s="288">
        <v>0</v>
      </c>
      <c r="I13" s="287">
        <f>G13*(1-H13)</f>
        <v>2500000</v>
      </c>
      <c r="J13" s="287" t="s">
        <v>368</v>
      </c>
      <c r="K13" s="289">
        <f>10/'４　経営収支'!$G$4</f>
        <v>0.16666666666666666</v>
      </c>
      <c r="L13" s="287">
        <f>I13*K13</f>
        <v>416666.66666666663</v>
      </c>
      <c r="M13" s="43">
        <v>0</v>
      </c>
      <c r="N13" s="29">
        <f>L13*M13</f>
        <v>0</v>
      </c>
      <c r="O13" s="336">
        <v>7</v>
      </c>
      <c r="P13" s="139">
        <f t="shared" ref="P13:P30" si="4">IF(O13="","",(L13-N13)/O13)</f>
        <v>59523.809523809519</v>
      </c>
    </row>
    <row r="14" spans="2:16" ht="20.100000000000001" customHeight="1" x14ac:dyDescent="0.15">
      <c r="B14" s="597"/>
      <c r="C14" s="336" t="s">
        <v>329</v>
      </c>
      <c r="D14" s="336" t="s">
        <v>330</v>
      </c>
      <c r="E14" s="287">
        <v>1</v>
      </c>
      <c r="F14" s="35" t="s">
        <v>44</v>
      </c>
      <c r="G14" s="336">
        <v>850000</v>
      </c>
      <c r="H14" s="288">
        <v>0</v>
      </c>
      <c r="I14" s="287">
        <f>G14*(1-H14)</f>
        <v>850000</v>
      </c>
      <c r="J14" s="287" t="s">
        <v>369</v>
      </c>
      <c r="K14" s="289">
        <f>10/'４　経営収支'!$G$4</f>
        <v>0.16666666666666666</v>
      </c>
      <c r="L14" s="287">
        <f t="shared" ref="L14:L17" si="5">I14*K14</f>
        <v>141666.66666666666</v>
      </c>
      <c r="M14" s="43">
        <v>0</v>
      </c>
      <c r="N14" s="29">
        <f t="shared" ref="N14:N17" si="6">L14*M14</f>
        <v>0</v>
      </c>
      <c r="O14" s="336">
        <v>7</v>
      </c>
      <c r="P14" s="139">
        <f t="shared" si="4"/>
        <v>20238.095238095237</v>
      </c>
    </row>
    <row r="15" spans="2:16" ht="20.100000000000001" customHeight="1" x14ac:dyDescent="0.15">
      <c r="B15" s="597"/>
      <c r="C15" s="336" t="s">
        <v>186</v>
      </c>
      <c r="D15" s="336" t="s">
        <v>331</v>
      </c>
      <c r="E15" s="287">
        <v>1</v>
      </c>
      <c r="F15" s="35" t="s">
        <v>44</v>
      </c>
      <c r="G15" s="336">
        <v>920000</v>
      </c>
      <c r="H15" s="288">
        <v>0</v>
      </c>
      <c r="I15" s="287">
        <f t="shared" ref="I15:I16" si="7">G15*(1-H15)</f>
        <v>920000</v>
      </c>
      <c r="J15" s="287" t="s">
        <v>366</v>
      </c>
      <c r="K15" s="289">
        <f>10/'４　経営収支'!$G$4</f>
        <v>0.16666666666666666</v>
      </c>
      <c r="L15" s="287">
        <f t="shared" si="5"/>
        <v>153333.33333333331</v>
      </c>
      <c r="M15" s="43">
        <v>0</v>
      </c>
      <c r="N15" s="29">
        <f t="shared" ref="N15:N16" si="8">L15*M15</f>
        <v>0</v>
      </c>
      <c r="O15" s="336">
        <v>4</v>
      </c>
      <c r="P15" s="139">
        <f t="shared" ref="P15:P16" si="9">IF(O15="","",(L15-N15)/O15)</f>
        <v>38333.333333333328</v>
      </c>
    </row>
    <row r="16" spans="2:16" ht="20.100000000000001" customHeight="1" x14ac:dyDescent="0.15">
      <c r="B16" s="597"/>
      <c r="C16" s="336" t="s">
        <v>276</v>
      </c>
      <c r="D16" s="336" t="s">
        <v>332</v>
      </c>
      <c r="E16" s="287">
        <v>1</v>
      </c>
      <c r="F16" s="297" t="s">
        <v>232</v>
      </c>
      <c r="G16" s="336">
        <v>250000</v>
      </c>
      <c r="H16" s="288">
        <v>0</v>
      </c>
      <c r="I16" s="287">
        <f t="shared" si="7"/>
        <v>250000</v>
      </c>
      <c r="J16" s="287" t="s">
        <v>366</v>
      </c>
      <c r="K16" s="289">
        <f>10/'４　経営収支'!$G$4</f>
        <v>0.16666666666666666</v>
      </c>
      <c r="L16" s="287">
        <f t="shared" si="5"/>
        <v>41666.666666666664</v>
      </c>
      <c r="M16" s="43">
        <v>0</v>
      </c>
      <c r="N16" s="29">
        <f t="shared" si="8"/>
        <v>0</v>
      </c>
      <c r="O16" s="336">
        <v>7</v>
      </c>
      <c r="P16" s="139">
        <f t="shared" si="9"/>
        <v>5952.3809523809523</v>
      </c>
    </row>
    <row r="17" spans="2:16" ht="20.100000000000001" customHeight="1" x14ac:dyDescent="0.15">
      <c r="B17" s="597"/>
      <c r="C17" s="336" t="s">
        <v>334</v>
      </c>
      <c r="D17" s="336" t="s">
        <v>333</v>
      </c>
      <c r="E17" s="287">
        <v>1</v>
      </c>
      <c r="F17" s="297" t="s">
        <v>79</v>
      </c>
      <c r="G17" s="336">
        <v>250000</v>
      </c>
      <c r="H17" s="288">
        <v>0</v>
      </c>
      <c r="I17" s="287">
        <f t="shared" ref="I17" si="10">G17*(1-H17)</f>
        <v>250000</v>
      </c>
      <c r="J17" s="287" t="s">
        <v>366</v>
      </c>
      <c r="K17" s="289">
        <f>10/'４　経営収支'!$G$4</f>
        <v>0.16666666666666666</v>
      </c>
      <c r="L17" s="287">
        <f t="shared" si="5"/>
        <v>41666.666666666664</v>
      </c>
      <c r="M17" s="38">
        <v>0</v>
      </c>
      <c r="N17" s="29">
        <f t="shared" si="6"/>
        <v>0</v>
      </c>
      <c r="O17" s="336">
        <v>7</v>
      </c>
      <c r="P17" s="139">
        <f t="shared" si="4"/>
        <v>5952.3809523809523</v>
      </c>
    </row>
    <row r="18" spans="2:16" ht="20.100000000000001" customHeight="1" x14ac:dyDescent="0.15">
      <c r="B18" s="597"/>
      <c r="C18" s="339"/>
      <c r="D18" s="337"/>
      <c r="E18" s="287"/>
      <c r="F18" s="297"/>
      <c r="G18" s="337"/>
      <c r="H18" s="288"/>
      <c r="I18" s="287"/>
      <c r="J18" s="287"/>
      <c r="K18" s="289"/>
      <c r="L18" s="287"/>
      <c r="M18" s="38"/>
      <c r="N18" s="29"/>
      <c r="O18" s="337"/>
      <c r="P18" s="139" t="str">
        <f t="shared" si="4"/>
        <v/>
      </c>
    </row>
    <row r="19" spans="2:16" ht="20.100000000000001" customHeight="1" x14ac:dyDescent="0.15">
      <c r="B19" s="597"/>
      <c r="C19" s="339"/>
      <c r="D19" s="337"/>
      <c r="E19" s="287"/>
      <c r="F19" s="297"/>
      <c r="G19" s="337"/>
      <c r="H19" s="288"/>
      <c r="I19" s="287"/>
      <c r="J19" s="287"/>
      <c r="K19" s="289"/>
      <c r="L19" s="287"/>
      <c r="M19" s="38"/>
      <c r="N19" s="29"/>
      <c r="O19" s="337"/>
      <c r="P19" s="139" t="str">
        <f t="shared" si="4"/>
        <v/>
      </c>
    </row>
    <row r="20" spans="2:16" ht="20.100000000000001" customHeight="1" x14ac:dyDescent="0.15">
      <c r="B20" s="597"/>
      <c r="C20" s="287"/>
      <c r="D20" s="287"/>
      <c r="E20" s="287"/>
      <c r="F20" s="35"/>
      <c r="G20" s="287"/>
      <c r="H20" s="288"/>
      <c r="I20" s="287"/>
      <c r="J20" s="287"/>
      <c r="K20" s="289"/>
      <c r="L20" s="287"/>
      <c r="M20" s="38"/>
      <c r="N20" s="29"/>
      <c r="O20" s="29"/>
      <c r="P20" s="139" t="str">
        <f t="shared" si="4"/>
        <v/>
      </c>
    </row>
    <row r="21" spans="2:16" ht="20.100000000000001" customHeight="1" x14ac:dyDescent="0.15">
      <c r="B21" s="597"/>
      <c r="C21" s="287"/>
      <c r="D21" s="287"/>
      <c r="E21" s="287"/>
      <c r="F21" s="35"/>
      <c r="G21" s="287"/>
      <c r="H21" s="288"/>
      <c r="I21" s="287"/>
      <c r="J21" s="287"/>
      <c r="K21" s="289"/>
      <c r="L21" s="287"/>
      <c r="M21" s="38"/>
      <c r="N21" s="29"/>
      <c r="O21" s="29"/>
      <c r="P21" s="139" t="str">
        <f t="shared" si="4"/>
        <v/>
      </c>
    </row>
    <row r="22" spans="2:16" ht="20.100000000000001" customHeight="1" x14ac:dyDescent="0.15">
      <c r="B22" s="597"/>
      <c r="C22" s="287"/>
      <c r="D22" s="287"/>
      <c r="E22" s="287"/>
      <c r="F22" s="35"/>
      <c r="G22" s="287"/>
      <c r="H22" s="288"/>
      <c r="I22" s="287"/>
      <c r="J22" s="287"/>
      <c r="K22" s="289"/>
      <c r="L22" s="287"/>
      <c r="M22" s="38"/>
      <c r="N22" s="29"/>
      <c r="O22" s="29"/>
      <c r="P22" s="139" t="str">
        <f t="shared" si="4"/>
        <v/>
      </c>
    </row>
    <row r="23" spans="2:16" ht="20.100000000000001" customHeight="1" x14ac:dyDescent="0.15">
      <c r="B23" s="597"/>
      <c r="C23" s="287"/>
      <c r="D23" s="287"/>
      <c r="E23" s="287"/>
      <c r="F23" s="35"/>
      <c r="G23" s="287"/>
      <c r="H23" s="288"/>
      <c r="I23" s="287"/>
      <c r="J23" s="287"/>
      <c r="K23" s="289"/>
      <c r="L23" s="287"/>
      <c r="M23" s="38"/>
      <c r="N23" s="29"/>
      <c r="O23" s="29"/>
      <c r="P23" s="139" t="str">
        <f t="shared" si="4"/>
        <v/>
      </c>
    </row>
    <row r="24" spans="2:16" ht="20.100000000000001" customHeight="1" x14ac:dyDescent="0.15">
      <c r="B24" s="597"/>
      <c r="C24" s="287"/>
      <c r="D24" s="287"/>
      <c r="E24" s="287"/>
      <c r="F24" s="35"/>
      <c r="G24" s="287"/>
      <c r="H24" s="288"/>
      <c r="I24" s="287"/>
      <c r="J24" s="287"/>
      <c r="K24" s="289"/>
      <c r="L24" s="287"/>
      <c r="M24" s="38"/>
      <c r="N24" s="29"/>
      <c r="O24" s="29"/>
      <c r="P24" s="139" t="str">
        <f t="shared" si="4"/>
        <v/>
      </c>
    </row>
    <row r="25" spans="2:16" ht="20.100000000000001" customHeight="1" x14ac:dyDescent="0.15">
      <c r="B25" s="597"/>
      <c r="C25" s="287"/>
      <c r="D25" s="287"/>
      <c r="E25" s="287"/>
      <c r="F25" s="35"/>
      <c r="G25" s="287"/>
      <c r="H25" s="288"/>
      <c r="I25" s="287"/>
      <c r="J25" s="287"/>
      <c r="K25" s="289"/>
      <c r="L25" s="287"/>
      <c r="M25" s="38"/>
      <c r="N25" s="29"/>
      <c r="O25" s="29"/>
      <c r="P25" s="139" t="str">
        <f t="shared" si="4"/>
        <v/>
      </c>
    </row>
    <row r="26" spans="2:16" ht="20.100000000000001" customHeight="1" x14ac:dyDescent="0.15">
      <c r="B26" s="597"/>
      <c r="C26" s="287"/>
      <c r="D26" s="287"/>
      <c r="E26" s="287"/>
      <c r="F26" s="35"/>
      <c r="G26" s="287"/>
      <c r="H26" s="288"/>
      <c r="I26" s="287"/>
      <c r="J26" s="287"/>
      <c r="K26" s="289"/>
      <c r="L26" s="287"/>
      <c r="M26" s="38"/>
      <c r="N26" s="29"/>
      <c r="O26" s="29"/>
      <c r="P26" s="139" t="str">
        <f t="shared" ref="P26:P27" si="11">IF(O26="","",(L26-N26)/O26)</f>
        <v/>
      </c>
    </row>
    <row r="27" spans="2:16" ht="20.100000000000001" customHeight="1" x14ac:dyDescent="0.15">
      <c r="B27" s="597"/>
      <c r="C27" s="287"/>
      <c r="D27" s="287"/>
      <c r="E27" s="287"/>
      <c r="F27" s="35"/>
      <c r="G27" s="287"/>
      <c r="H27" s="288"/>
      <c r="I27" s="287"/>
      <c r="J27" s="287"/>
      <c r="K27" s="289"/>
      <c r="L27" s="287"/>
      <c r="M27" s="38"/>
      <c r="N27" s="29"/>
      <c r="O27" s="29"/>
      <c r="P27" s="139" t="str">
        <f t="shared" si="11"/>
        <v/>
      </c>
    </row>
    <row r="28" spans="2:16" ht="20.100000000000001" customHeight="1" x14ac:dyDescent="0.15">
      <c r="B28" s="597"/>
      <c r="C28" s="287"/>
      <c r="D28" s="287"/>
      <c r="E28" s="287"/>
      <c r="F28" s="35"/>
      <c r="G28" s="287"/>
      <c r="H28" s="288"/>
      <c r="I28" s="287"/>
      <c r="J28" s="287"/>
      <c r="K28" s="289"/>
      <c r="L28" s="287"/>
      <c r="M28" s="38"/>
      <c r="N28" s="29"/>
      <c r="O28" s="29"/>
      <c r="P28" s="139" t="str">
        <f t="shared" si="4"/>
        <v/>
      </c>
    </row>
    <row r="29" spans="2:16" ht="20.100000000000001" customHeight="1" x14ac:dyDescent="0.15">
      <c r="B29" s="597"/>
      <c r="C29" s="287"/>
      <c r="D29" s="287"/>
      <c r="E29" s="287"/>
      <c r="F29" s="35"/>
      <c r="G29" s="287"/>
      <c r="H29" s="288"/>
      <c r="I29" s="287"/>
      <c r="J29" s="287"/>
      <c r="K29" s="289"/>
      <c r="L29" s="287"/>
      <c r="M29" s="38"/>
      <c r="N29" s="29"/>
      <c r="O29" s="29"/>
      <c r="P29" s="139" t="str">
        <f t="shared" si="4"/>
        <v/>
      </c>
    </row>
    <row r="30" spans="2:16" ht="20.100000000000001" customHeight="1" x14ac:dyDescent="0.15">
      <c r="B30" s="597"/>
      <c r="C30" s="287"/>
      <c r="D30" s="287"/>
      <c r="E30" s="287"/>
      <c r="F30" s="35"/>
      <c r="G30" s="287"/>
      <c r="H30" s="288"/>
      <c r="I30" s="287"/>
      <c r="J30" s="287"/>
      <c r="K30" s="289"/>
      <c r="L30" s="287"/>
      <c r="M30" s="38"/>
      <c r="N30" s="29"/>
      <c r="O30" s="29"/>
      <c r="P30" s="139" t="str">
        <f t="shared" si="4"/>
        <v/>
      </c>
    </row>
    <row r="31" spans="2:16" ht="20.100000000000001" customHeight="1" x14ac:dyDescent="0.15">
      <c r="B31" s="598"/>
      <c r="C31" s="291" t="s">
        <v>42</v>
      </c>
      <c r="D31" s="291"/>
      <c r="E31" s="291"/>
      <c r="F31" s="292"/>
      <c r="G31" s="291">
        <f>SUM(G13:G29)</f>
        <v>4770000</v>
      </c>
      <c r="H31" s="291"/>
      <c r="I31" s="291">
        <f>SUM(I13:I29)</f>
        <v>4770000</v>
      </c>
      <c r="J31" s="291"/>
      <c r="K31" s="293"/>
      <c r="L31" s="291">
        <f>SUM(L13:L29)</f>
        <v>794999.99999999977</v>
      </c>
      <c r="M31" s="40"/>
      <c r="N31" s="40"/>
      <c r="O31" s="40"/>
      <c r="P31" s="328">
        <f>SUM(P13:P29)</f>
        <v>129999.99999999999</v>
      </c>
    </row>
    <row r="32" spans="2:16" ht="20.100000000000001" customHeight="1" x14ac:dyDescent="0.15">
      <c r="B32" s="596" t="s">
        <v>106</v>
      </c>
      <c r="C32" s="287"/>
      <c r="D32" s="287"/>
      <c r="E32" s="287"/>
      <c r="F32" s="287"/>
      <c r="G32" s="287"/>
      <c r="H32" s="294"/>
      <c r="I32" s="287"/>
      <c r="J32" s="287"/>
      <c r="K32" s="289"/>
      <c r="L32" s="287"/>
      <c r="M32" s="44"/>
      <c r="N32" s="29"/>
      <c r="O32" s="29"/>
      <c r="P32" s="139" t="str">
        <f>IF(O32="","",(L32-N32)/O32)</f>
        <v/>
      </c>
    </row>
    <row r="33" spans="2:16" ht="20.100000000000001" customHeight="1" x14ac:dyDescent="0.15">
      <c r="B33" s="597"/>
      <c r="C33" s="287"/>
      <c r="D33" s="287"/>
      <c r="E33" s="287"/>
      <c r="F33" s="287"/>
      <c r="G33" s="287"/>
      <c r="H33" s="294"/>
      <c r="I33" s="287"/>
      <c r="J33" s="287"/>
      <c r="K33" s="289"/>
      <c r="L33" s="287"/>
      <c r="M33" s="44"/>
      <c r="N33" s="29"/>
      <c r="O33" s="29"/>
      <c r="P33" s="139" t="str">
        <f>IF(O33="","",(L33-N33)/O33)</f>
        <v/>
      </c>
    </row>
    <row r="34" spans="2:16" ht="20.100000000000001" customHeight="1" x14ac:dyDescent="0.15">
      <c r="B34" s="597"/>
      <c r="C34" s="29"/>
      <c r="D34" s="29"/>
      <c r="E34" s="29"/>
      <c r="F34" s="29"/>
      <c r="G34" s="29"/>
      <c r="H34" s="44"/>
      <c r="I34" s="29"/>
      <c r="J34" s="29"/>
      <c r="K34" s="37"/>
      <c r="L34" s="29"/>
      <c r="M34" s="44"/>
      <c r="N34" s="29"/>
      <c r="O34" s="29"/>
      <c r="P34" s="139" t="str">
        <f>IF(O34="","",(L34-N34)/O34)</f>
        <v/>
      </c>
    </row>
    <row r="35" spans="2:16" ht="20.100000000000001" customHeight="1" x14ac:dyDescent="0.15">
      <c r="B35" s="597"/>
      <c r="C35" s="29"/>
      <c r="D35" s="29"/>
      <c r="E35" s="29"/>
      <c r="F35" s="29"/>
      <c r="G35" s="29"/>
      <c r="H35" s="44"/>
      <c r="I35" s="29"/>
      <c r="J35" s="29"/>
      <c r="K35" s="37"/>
      <c r="L35" s="29"/>
      <c r="M35" s="44"/>
      <c r="N35" s="29"/>
      <c r="O35" s="29"/>
      <c r="P35" s="139" t="str">
        <f>IF(O35="","",(L35-N35)/O35)</f>
        <v/>
      </c>
    </row>
    <row r="36" spans="2:16" ht="20.100000000000001" customHeight="1" x14ac:dyDescent="0.15">
      <c r="B36" s="598"/>
      <c r="C36" s="45" t="s">
        <v>42</v>
      </c>
      <c r="D36" s="40"/>
      <c r="E36" s="40"/>
      <c r="F36" s="41"/>
      <c r="G36" s="40">
        <f>SUM(G32:G35)</f>
        <v>0</v>
      </c>
      <c r="H36" s="40"/>
      <c r="I36" s="40">
        <f>SUM(I32:I35)</f>
        <v>0</v>
      </c>
      <c r="J36" s="40"/>
      <c r="K36" s="42"/>
      <c r="L36" s="40">
        <f>SUM(L32:L35)</f>
        <v>0</v>
      </c>
      <c r="M36" s="40"/>
      <c r="N36" s="40"/>
      <c r="O36" s="40"/>
      <c r="P36" s="328">
        <f>SUM(P32:P35)</f>
        <v>0</v>
      </c>
    </row>
    <row r="37" spans="2:16" ht="20.100000000000001" customHeight="1" thickBot="1" x14ac:dyDescent="0.2">
      <c r="B37" s="46"/>
      <c r="C37" s="47" t="s">
        <v>227</v>
      </c>
      <c r="D37" s="48"/>
      <c r="E37" s="48"/>
      <c r="F37" s="49"/>
      <c r="G37" s="48">
        <f>G12+G31+G36</f>
        <v>9090000</v>
      </c>
      <c r="H37" s="48"/>
      <c r="I37" s="48">
        <f>I12+I31+I36</f>
        <v>9090000</v>
      </c>
      <c r="J37" s="48"/>
      <c r="K37" s="50"/>
      <c r="L37" s="48">
        <f>L12+L31+L36</f>
        <v>1514999.9999999998</v>
      </c>
      <c r="M37" s="48"/>
      <c r="N37" s="48"/>
      <c r="O37" s="48"/>
      <c r="P37" s="329">
        <f>P12+P31+P36</f>
        <v>160000</v>
      </c>
    </row>
    <row r="38" spans="2:16" ht="11.25" customHeight="1" x14ac:dyDescent="0.15"/>
  </sheetData>
  <mergeCells count="9">
    <mergeCell ref="J3:J4"/>
    <mergeCell ref="B32:B36"/>
    <mergeCell ref="B13:B31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97" customWidth="1"/>
    <col min="2" max="2" width="5.8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3.75" style="97" customWidth="1"/>
    <col min="20" max="16384" width="10.875" style="97"/>
  </cols>
  <sheetData>
    <row r="1" spans="2:19" s="98" customFormat="1" ht="9.9499999999999993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95" customHeight="1" thickBot="1" x14ac:dyDescent="0.2">
      <c r="B2" s="3" t="s">
        <v>325</v>
      </c>
      <c r="H2" s="99" t="s">
        <v>197</v>
      </c>
      <c r="I2" s="3" t="s">
        <v>299</v>
      </c>
      <c r="K2" s="99" t="s">
        <v>198</v>
      </c>
      <c r="L2" s="98" t="s">
        <v>376</v>
      </c>
      <c r="N2" s="97"/>
      <c r="O2" s="97"/>
      <c r="Q2" s="4"/>
      <c r="R2" s="4"/>
    </row>
    <row r="3" spans="2:19" s="98" customFormat="1" ht="18" customHeight="1" x14ac:dyDescent="0.15">
      <c r="B3" s="605" t="s">
        <v>17</v>
      </c>
      <c r="C3" s="606"/>
      <c r="D3" s="606"/>
      <c r="E3" s="607"/>
      <c r="F3" s="131" t="s">
        <v>18</v>
      </c>
      <c r="G3" s="101"/>
      <c r="H3" s="102" t="s">
        <v>19</v>
      </c>
      <c r="I3" s="100"/>
      <c r="J3" s="100"/>
      <c r="K3" s="608" t="s">
        <v>168</v>
      </c>
      <c r="L3" s="609"/>
      <c r="M3" s="609"/>
      <c r="N3" s="609"/>
      <c r="O3" s="609"/>
      <c r="P3" s="609"/>
      <c r="Q3" s="609"/>
      <c r="R3" s="609"/>
      <c r="S3" s="610"/>
    </row>
    <row r="4" spans="2:19" s="98" customFormat="1" ht="18" customHeight="1" x14ac:dyDescent="0.15">
      <c r="B4" s="635" t="s">
        <v>20</v>
      </c>
      <c r="C4" s="636"/>
      <c r="D4" s="193" t="s">
        <v>163</v>
      </c>
      <c r="E4" s="202"/>
      <c r="F4" s="200">
        <f>R11</f>
        <v>2241604.7999999998</v>
      </c>
      <c r="G4" s="616" t="s">
        <v>354</v>
      </c>
      <c r="H4" s="617"/>
      <c r="I4" s="617"/>
      <c r="J4" s="618"/>
      <c r="K4" s="295" t="s">
        <v>228</v>
      </c>
      <c r="L4" s="296" t="s">
        <v>229</v>
      </c>
      <c r="M4" s="199" t="s">
        <v>21</v>
      </c>
      <c r="N4" s="199" t="s">
        <v>20</v>
      </c>
      <c r="O4" s="296" t="s">
        <v>228</v>
      </c>
      <c r="P4" s="296" t="s">
        <v>230</v>
      </c>
      <c r="Q4" s="199" t="s">
        <v>21</v>
      </c>
      <c r="R4" s="619" t="s">
        <v>20</v>
      </c>
      <c r="S4" s="620"/>
    </row>
    <row r="5" spans="2:19" s="98" customFormat="1" ht="18" customHeight="1" x14ac:dyDescent="0.15">
      <c r="B5" s="635"/>
      <c r="C5" s="636"/>
      <c r="D5" s="193" t="s">
        <v>72</v>
      </c>
      <c r="E5" s="202"/>
      <c r="F5" s="200">
        <v>0</v>
      </c>
      <c r="G5" s="171"/>
      <c r="H5" s="203"/>
      <c r="I5" s="203"/>
      <c r="J5" s="203"/>
      <c r="K5" s="351">
        <v>6</v>
      </c>
      <c r="L5" s="354">
        <f>64/1.6*0.8</f>
        <v>32</v>
      </c>
      <c r="M5" s="354">
        <v>297</v>
      </c>
      <c r="N5" s="134">
        <f>L5*M5</f>
        <v>9504</v>
      </c>
      <c r="O5" s="200"/>
      <c r="P5" s="200"/>
      <c r="Q5" s="200"/>
      <c r="R5" s="611"/>
      <c r="S5" s="612"/>
    </row>
    <row r="6" spans="2:19" s="98" customFormat="1" ht="18" customHeight="1" x14ac:dyDescent="0.15">
      <c r="B6" s="621" t="s">
        <v>166</v>
      </c>
      <c r="C6" s="624" t="s">
        <v>254</v>
      </c>
      <c r="D6" s="200" t="s">
        <v>46</v>
      </c>
      <c r="E6" s="204"/>
      <c r="F6" s="200">
        <f>+P13</f>
        <v>107500</v>
      </c>
      <c r="G6" s="171" t="s">
        <v>155</v>
      </c>
      <c r="H6" s="203"/>
      <c r="I6" s="203"/>
      <c r="J6" s="203"/>
      <c r="K6" s="352">
        <v>7</v>
      </c>
      <c r="L6" s="184">
        <f>5256.4/1.6*0.8</f>
        <v>2628.2</v>
      </c>
      <c r="M6" s="184">
        <v>292</v>
      </c>
      <c r="N6" s="355">
        <f t="shared" ref="N6:N9" si="0">L6*M6</f>
        <v>767434.39999999991</v>
      </c>
      <c r="O6" s="200"/>
      <c r="P6" s="200"/>
      <c r="Q6" s="200"/>
      <c r="R6" s="611"/>
      <c r="S6" s="612"/>
    </row>
    <row r="7" spans="2:19" s="98" customFormat="1" ht="18" customHeight="1" x14ac:dyDescent="0.15">
      <c r="B7" s="622"/>
      <c r="C7" s="625"/>
      <c r="D7" s="200" t="s">
        <v>47</v>
      </c>
      <c r="E7" s="204"/>
      <c r="F7" s="200">
        <f>P22</f>
        <v>107260</v>
      </c>
      <c r="G7" s="613" t="s">
        <v>414</v>
      </c>
      <c r="H7" s="614"/>
      <c r="I7" s="614"/>
      <c r="J7" s="615"/>
      <c r="K7" s="353">
        <v>8</v>
      </c>
      <c r="L7" s="184">
        <f>5790/1.6*0.8</f>
        <v>2895</v>
      </c>
      <c r="M7" s="184">
        <v>231</v>
      </c>
      <c r="N7" s="355">
        <f t="shared" si="0"/>
        <v>668745</v>
      </c>
      <c r="O7" s="200"/>
      <c r="P7" s="200"/>
      <c r="Q7" s="200"/>
      <c r="R7" s="611"/>
      <c r="S7" s="612"/>
    </row>
    <row r="8" spans="2:19" s="98" customFormat="1" ht="18" customHeight="1" x14ac:dyDescent="0.15">
      <c r="B8" s="622"/>
      <c r="C8" s="625"/>
      <c r="D8" s="200" t="s">
        <v>48</v>
      </c>
      <c r="E8" s="204"/>
      <c r="F8" s="200">
        <f>P28</f>
        <v>19427.98</v>
      </c>
      <c r="G8" s="613" t="s">
        <v>415</v>
      </c>
      <c r="H8" s="614"/>
      <c r="I8" s="614"/>
      <c r="J8" s="615"/>
      <c r="K8" s="201">
        <v>9</v>
      </c>
      <c r="L8" s="184">
        <f>4658.8/1.6*0.8</f>
        <v>2329.4</v>
      </c>
      <c r="M8" s="184">
        <v>281</v>
      </c>
      <c r="N8" s="355">
        <f t="shared" si="0"/>
        <v>654561.4</v>
      </c>
      <c r="O8" s="200"/>
      <c r="P8" s="200"/>
      <c r="Q8" s="200"/>
      <c r="R8" s="611"/>
      <c r="S8" s="612"/>
    </row>
    <row r="9" spans="2:19" s="98" customFormat="1" ht="18" customHeight="1" x14ac:dyDescent="0.15">
      <c r="B9" s="622"/>
      <c r="C9" s="625"/>
      <c r="D9" s="200" t="s">
        <v>73</v>
      </c>
      <c r="E9" s="204"/>
      <c r="F9" s="200">
        <f>P37</f>
        <v>19074.412499999999</v>
      </c>
      <c r="G9" s="613" t="s">
        <v>416</v>
      </c>
      <c r="H9" s="614"/>
      <c r="I9" s="614"/>
      <c r="J9" s="615"/>
      <c r="K9" s="201">
        <v>10</v>
      </c>
      <c r="L9" s="350">
        <f>992/1.6*0.8</f>
        <v>496</v>
      </c>
      <c r="M9" s="350">
        <v>285</v>
      </c>
      <c r="N9" s="134">
        <f t="shared" si="0"/>
        <v>141360</v>
      </c>
      <c r="O9" s="200"/>
      <c r="P9" s="200"/>
      <c r="Q9" s="200"/>
      <c r="R9" s="611"/>
      <c r="S9" s="612"/>
    </row>
    <row r="10" spans="2:19" s="98" customFormat="1" ht="18" customHeight="1" x14ac:dyDescent="0.15">
      <c r="B10" s="622"/>
      <c r="C10" s="625"/>
      <c r="D10" s="200" t="s">
        <v>49</v>
      </c>
      <c r="E10" s="204"/>
      <c r="F10" s="200">
        <f>'８　なす算出基礎'!V20</f>
        <v>97705</v>
      </c>
      <c r="G10" s="633"/>
      <c r="H10" s="634"/>
      <c r="I10" s="634"/>
      <c r="J10" s="612"/>
      <c r="K10" s="201"/>
      <c r="L10" s="200"/>
      <c r="M10" s="200"/>
      <c r="N10" s="200"/>
      <c r="O10" s="200"/>
      <c r="P10" s="200"/>
      <c r="Q10" s="200"/>
      <c r="R10" s="611"/>
      <c r="S10" s="612"/>
    </row>
    <row r="11" spans="2:19" s="98" customFormat="1" ht="18" customHeight="1" thickBot="1" x14ac:dyDescent="0.2">
      <c r="B11" s="622"/>
      <c r="C11" s="625"/>
      <c r="D11" s="200" t="s">
        <v>4</v>
      </c>
      <c r="E11" s="204"/>
      <c r="F11" s="200">
        <f>'８　なす算出基礎'!V34</f>
        <v>3098.1349206349209</v>
      </c>
      <c r="G11" s="633"/>
      <c r="H11" s="634"/>
      <c r="I11" s="634"/>
      <c r="J11" s="612"/>
      <c r="K11" s="119"/>
      <c r="L11" s="104"/>
      <c r="M11" s="104"/>
      <c r="N11" s="103"/>
      <c r="O11" s="105" t="s">
        <v>22</v>
      </c>
      <c r="P11" s="106">
        <f>SUM(L5:L11,P5:Q10)</f>
        <v>8380.6</v>
      </c>
      <c r="Q11" s="107">
        <f>R11/P11</f>
        <v>267.47545521800345</v>
      </c>
      <c r="R11" s="655">
        <f>SUM(N5:N11,R5:S10)</f>
        <v>2241604.7999999998</v>
      </c>
      <c r="S11" s="656"/>
    </row>
    <row r="12" spans="2:19" s="98" customFormat="1" ht="18" customHeight="1" thickTop="1" x14ac:dyDescent="0.15">
      <c r="B12" s="622"/>
      <c r="C12" s="625"/>
      <c r="D12" s="200" t="s">
        <v>5</v>
      </c>
      <c r="E12" s="204"/>
      <c r="F12" s="200">
        <v>0</v>
      </c>
      <c r="G12" s="173"/>
      <c r="H12" s="182"/>
      <c r="I12" s="182"/>
      <c r="J12" s="206"/>
      <c r="K12" s="666" t="s">
        <v>167</v>
      </c>
      <c r="L12" s="195" t="s">
        <v>127</v>
      </c>
      <c r="M12" s="196" t="s">
        <v>7</v>
      </c>
      <c r="N12" s="298" t="s">
        <v>233</v>
      </c>
      <c r="O12" s="197" t="s">
        <v>21</v>
      </c>
      <c r="P12" s="197" t="s">
        <v>24</v>
      </c>
      <c r="Q12" s="657" t="s">
        <v>25</v>
      </c>
      <c r="R12" s="658"/>
      <c r="S12" s="659"/>
    </row>
    <row r="13" spans="2:19" s="98" customFormat="1" ht="18" customHeight="1" x14ac:dyDescent="0.15">
      <c r="B13" s="622"/>
      <c r="C13" s="625"/>
      <c r="D13" s="630" t="s">
        <v>50</v>
      </c>
      <c r="E13" s="207" t="s">
        <v>153</v>
      </c>
      <c r="F13" s="200">
        <f>'６　固定資本装備と減価償却費'!L12*'７　なす部門収支'!H13</f>
        <v>7200</v>
      </c>
      <c r="G13" s="173" t="s">
        <v>156</v>
      </c>
      <c r="H13" s="390">
        <v>0.01</v>
      </c>
      <c r="I13" s="663" t="s">
        <v>158</v>
      </c>
      <c r="J13" s="664"/>
      <c r="K13" s="667"/>
      <c r="L13" s="376" t="s">
        <v>370</v>
      </c>
      <c r="M13" s="194" t="s">
        <v>234</v>
      </c>
      <c r="N13" s="134">
        <v>500</v>
      </c>
      <c r="O13" s="134">
        <v>215</v>
      </c>
      <c r="P13" s="134">
        <f>N13*O13</f>
        <v>107500</v>
      </c>
      <c r="Q13" s="660" t="s">
        <v>371</v>
      </c>
      <c r="R13" s="661"/>
      <c r="S13" s="662"/>
    </row>
    <row r="14" spans="2:19" s="98" customFormat="1" ht="18" customHeight="1" x14ac:dyDescent="0.15">
      <c r="B14" s="622"/>
      <c r="C14" s="625"/>
      <c r="D14" s="631"/>
      <c r="E14" s="207" t="s">
        <v>154</v>
      </c>
      <c r="F14" s="200">
        <f>'６　固定資本装備と減価償却費'!L31*'７　なす部門収支'!H14</f>
        <v>39749.999999999993</v>
      </c>
      <c r="G14" s="173" t="s">
        <v>156</v>
      </c>
      <c r="H14" s="390">
        <v>0.05</v>
      </c>
      <c r="I14" s="663" t="s">
        <v>158</v>
      </c>
      <c r="J14" s="664"/>
      <c r="K14" s="667"/>
      <c r="L14" s="198"/>
      <c r="M14" s="194"/>
      <c r="N14" s="134"/>
      <c r="O14" s="134"/>
      <c r="P14" s="134"/>
      <c r="Q14" s="665"/>
      <c r="R14" s="661"/>
      <c r="S14" s="662"/>
    </row>
    <row r="15" spans="2:19" s="98" customFormat="1" ht="18" customHeight="1" thickBot="1" x14ac:dyDescent="0.2">
      <c r="B15" s="622"/>
      <c r="C15" s="625"/>
      <c r="D15" s="630" t="s">
        <v>74</v>
      </c>
      <c r="E15" s="207" t="s">
        <v>153</v>
      </c>
      <c r="F15" s="200">
        <f>'６　固定資本装備と減価償却費'!P12</f>
        <v>30000</v>
      </c>
      <c r="G15" s="613" t="s">
        <v>158</v>
      </c>
      <c r="H15" s="614"/>
      <c r="I15" s="614"/>
      <c r="J15" s="615"/>
      <c r="K15" s="667"/>
      <c r="L15" s="111" t="s">
        <v>26</v>
      </c>
      <c r="M15" s="110"/>
      <c r="N15" s="111"/>
      <c r="O15" s="111"/>
      <c r="P15" s="111">
        <f>SUM(P10:P14)</f>
        <v>115880.6</v>
      </c>
      <c r="Q15" s="652"/>
      <c r="R15" s="653"/>
      <c r="S15" s="654"/>
    </row>
    <row r="16" spans="2:19" s="98" customFormat="1" ht="18" customHeight="1" thickTop="1" x14ac:dyDescent="0.15">
      <c r="B16" s="622"/>
      <c r="C16" s="625"/>
      <c r="D16" s="632"/>
      <c r="E16" s="207" t="s">
        <v>154</v>
      </c>
      <c r="F16" s="200">
        <f>'６　固定資本装備と減価償却費'!P31</f>
        <v>129999.99999999999</v>
      </c>
      <c r="G16" s="613" t="s">
        <v>158</v>
      </c>
      <c r="H16" s="614"/>
      <c r="I16" s="614"/>
      <c r="J16" s="615"/>
      <c r="K16" s="667"/>
      <c r="L16" s="189" t="s">
        <v>128</v>
      </c>
      <c r="M16" s="190"/>
      <c r="N16" s="299" t="s">
        <v>233</v>
      </c>
      <c r="O16" s="191" t="s">
        <v>21</v>
      </c>
      <c r="P16" s="192" t="s">
        <v>24</v>
      </c>
      <c r="Q16" s="643" t="s">
        <v>25</v>
      </c>
      <c r="R16" s="644"/>
      <c r="S16" s="645"/>
    </row>
    <row r="17" spans="1:19" s="98" customFormat="1" ht="18" customHeight="1" x14ac:dyDescent="0.15">
      <c r="B17" s="622"/>
      <c r="C17" s="625"/>
      <c r="D17" s="631"/>
      <c r="E17" s="200" t="s">
        <v>51</v>
      </c>
      <c r="F17" s="200">
        <f>'６　固定資本装備と減価償却費'!P36</f>
        <v>0</v>
      </c>
      <c r="G17" s="613" t="s">
        <v>158</v>
      </c>
      <c r="H17" s="614"/>
      <c r="I17" s="614"/>
      <c r="J17" s="615"/>
      <c r="K17" s="667"/>
      <c r="L17" s="193" t="s">
        <v>134</v>
      </c>
      <c r="M17" s="194"/>
      <c r="N17" s="173" t="s">
        <v>284</v>
      </c>
      <c r="O17" s="186"/>
      <c r="P17" s="184">
        <f>'８　なす算出基礎'!G7</f>
        <v>25400</v>
      </c>
      <c r="Q17" s="649"/>
      <c r="R17" s="650"/>
      <c r="S17" s="651"/>
    </row>
    <row r="18" spans="1:19" s="98" customFormat="1" ht="18" customHeight="1" x14ac:dyDescent="0.15">
      <c r="A18" s="97"/>
      <c r="B18" s="622"/>
      <c r="C18" s="625"/>
      <c r="D18" s="200" t="s">
        <v>52</v>
      </c>
      <c r="E18" s="204"/>
      <c r="F18" s="200">
        <v>3000</v>
      </c>
      <c r="G18" s="173"/>
      <c r="H18" s="182"/>
      <c r="I18" s="391" t="s">
        <v>377</v>
      </c>
      <c r="J18" s="206"/>
      <c r="K18" s="667"/>
      <c r="L18" s="193" t="s">
        <v>132</v>
      </c>
      <c r="M18" s="194"/>
      <c r="N18" s="173" t="s">
        <v>284</v>
      </c>
      <c r="O18" s="186"/>
      <c r="P18" s="184">
        <f>'８　なす算出基礎'!G11</f>
        <v>16000</v>
      </c>
      <c r="Q18" s="649"/>
      <c r="R18" s="650"/>
      <c r="S18" s="651"/>
    </row>
    <row r="19" spans="1:19" s="98" customFormat="1" ht="18" customHeight="1" x14ac:dyDescent="0.15">
      <c r="A19" s="97"/>
      <c r="B19" s="622"/>
      <c r="C19" s="625"/>
      <c r="D19" s="200" t="s">
        <v>131</v>
      </c>
      <c r="E19" s="204"/>
      <c r="F19" s="200">
        <f>SUM(F6:F18)/99</f>
        <v>5697.1265396023728</v>
      </c>
      <c r="G19" s="208" t="s">
        <v>169</v>
      </c>
      <c r="H19" s="218">
        <v>0.01</v>
      </c>
      <c r="I19" s="389"/>
      <c r="J19" s="392"/>
      <c r="K19" s="667"/>
      <c r="L19" s="173" t="s">
        <v>133</v>
      </c>
      <c r="M19" s="182"/>
      <c r="N19" s="173" t="s">
        <v>285</v>
      </c>
      <c r="O19" s="186"/>
      <c r="P19" s="184">
        <f>'８　なす算出基礎'!G16</f>
        <v>49060</v>
      </c>
      <c r="Q19" s="649"/>
      <c r="R19" s="650"/>
      <c r="S19" s="651"/>
    </row>
    <row r="20" spans="1:19" s="98" customFormat="1" ht="18" customHeight="1" x14ac:dyDescent="0.15">
      <c r="A20" s="97"/>
      <c r="B20" s="622"/>
      <c r="C20" s="626"/>
      <c r="D20" s="641" t="s">
        <v>162</v>
      </c>
      <c r="E20" s="642"/>
      <c r="F20" s="132">
        <f>SUM(F6:F19)</f>
        <v>569712.65396023728</v>
      </c>
      <c r="G20" s="179"/>
      <c r="H20" s="112"/>
      <c r="I20" s="112"/>
      <c r="J20" s="115"/>
      <c r="K20" s="667"/>
      <c r="L20" s="173"/>
      <c r="M20" s="182"/>
      <c r="N20" s="173"/>
      <c r="O20" s="186"/>
      <c r="P20" s="184"/>
      <c r="Q20" s="649"/>
      <c r="R20" s="650"/>
      <c r="S20" s="651"/>
    </row>
    <row r="21" spans="1:19" s="98" customFormat="1" ht="18" customHeight="1" x14ac:dyDescent="0.15">
      <c r="A21" s="97"/>
      <c r="B21" s="622"/>
      <c r="C21" s="627" t="s">
        <v>157</v>
      </c>
      <c r="D21" s="637" t="s">
        <v>53</v>
      </c>
      <c r="E21" s="19" t="s">
        <v>1</v>
      </c>
      <c r="F21" s="103">
        <f>P11*20</f>
        <v>167612</v>
      </c>
      <c r="G21" s="348" t="s">
        <v>316</v>
      </c>
      <c r="H21" s="182"/>
      <c r="I21" s="108"/>
      <c r="J21" s="206"/>
      <c r="K21" s="667"/>
      <c r="L21" s="173" t="s">
        <v>136</v>
      </c>
      <c r="M21" s="182"/>
      <c r="N21" s="173" t="s">
        <v>286</v>
      </c>
      <c r="O21" s="184"/>
      <c r="P21" s="184">
        <f>'８　なす算出基礎'!G24</f>
        <v>16800</v>
      </c>
      <c r="Q21" s="672"/>
      <c r="R21" s="673"/>
      <c r="S21" s="674"/>
    </row>
    <row r="22" spans="1:19" s="98" customFormat="1" ht="18" customHeight="1" thickBot="1" x14ac:dyDescent="0.2">
      <c r="A22" s="97"/>
      <c r="B22" s="622"/>
      <c r="C22" s="628"/>
      <c r="D22" s="558"/>
      <c r="E22" s="19" t="s">
        <v>2</v>
      </c>
      <c r="F22" s="133">
        <f>P11*10.8</f>
        <v>90510.48000000001</v>
      </c>
      <c r="G22" s="348" t="s">
        <v>317</v>
      </c>
      <c r="H22" s="209"/>
      <c r="I22" s="209"/>
      <c r="J22" s="210"/>
      <c r="K22" s="667"/>
      <c r="L22" s="111" t="s">
        <v>26</v>
      </c>
      <c r="M22" s="110"/>
      <c r="N22" s="111"/>
      <c r="O22" s="111"/>
      <c r="P22" s="111">
        <f>SUM(P17:P21)</f>
        <v>107260</v>
      </c>
      <c r="Q22" s="652"/>
      <c r="R22" s="653"/>
      <c r="S22" s="654"/>
    </row>
    <row r="23" spans="1:19" s="98" customFormat="1" ht="18" customHeight="1" thickTop="1" x14ac:dyDescent="0.15">
      <c r="A23" s="97"/>
      <c r="B23" s="622"/>
      <c r="C23" s="628"/>
      <c r="D23" s="638"/>
      <c r="E23" s="19" t="s">
        <v>6</v>
      </c>
      <c r="F23" s="103">
        <f>R11*0.115</f>
        <v>257784.552</v>
      </c>
      <c r="G23" s="348" t="s">
        <v>318</v>
      </c>
      <c r="H23" s="113"/>
      <c r="I23" s="209"/>
      <c r="J23" s="205"/>
      <c r="K23" s="667"/>
      <c r="L23" s="173" t="s">
        <v>129</v>
      </c>
      <c r="M23" s="182"/>
      <c r="N23" s="183" t="s">
        <v>23</v>
      </c>
      <c r="O23" s="183" t="s">
        <v>21</v>
      </c>
      <c r="P23" s="183" t="s">
        <v>24</v>
      </c>
      <c r="Q23" s="643" t="s">
        <v>25</v>
      </c>
      <c r="R23" s="644"/>
      <c r="S23" s="645"/>
    </row>
    <row r="24" spans="1:19" s="98" customFormat="1" ht="18" customHeight="1" x14ac:dyDescent="0.15">
      <c r="A24" s="97"/>
      <c r="B24" s="622"/>
      <c r="C24" s="628"/>
      <c r="D24" s="19" t="s">
        <v>237</v>
      </c>
      <c r="E24" s="26"/>
      <c r="F24" s="133">
        <v>0</v>
      </c>
      <c r="G24" s="193"/>
      <c r="H24" s="212"/>
      <c r="I24" s="213"/>
      <c r="J24" s="211"/>
      <c r="K24" s="667"/>
      <c r="L24" s="184" t="s">
        <v>27</v>
      </c>
      <c r="M24" s="182"/>
      <c r="N24" s="173" t="s">
        <v>277</v>
      </c>
      <c r="O24" s="184"/>
      <c r="P24" s="184">
        <f>'８　なす算出基礎'!G38</f>
        <v>7115.5</v>
      </c>
      <c r="Q24" s="649"/>
      <c r="R24" s="650"/>
      <c r="S24" s="651"/>
    </row>
    <row r="25" spans="1:19" s="98" customFormat="1" ht="18" customHeight="1" x14ac:dyDescent="0.15">
      <c r="A25" s="97"/>
      <c r="B25" s="622"/>
      <c r="C25" s="628"/>
      <c r="D25" s="19" t="s">
        <v>75</v>
      </c>
      <c r="E25" s="26"/>
      <c r="F25" s="133">
        <v>0</v>
      </c>
      <c r="G25" s="193"/>
      <c r="H25" s="214"/>
      <c r="I25" s="215"/>
      <c r="J25" s="216"/>
      <c r="K25" s="667"/>
      <c r="L25" s="184" t="s">
        <v>28</v>
      </c>
      <c r="M25" s="182"/>
      <c r="N25" s="173" t="s">
        <v>287</v>
      </c>
      <c r="O25" s="184"/>
      <c r="P25" s="184">
        <f>'８　なす算出基礎'!G49</f>
        <v>11459.48</v>
      </c>
      <c r="Q25" s="649"/>
      <c r="R25" s="650"/>
      <c r="S25" s="651"/>
    </row>
    <row r="26" spans="1:19" s="98" customFormat="1" ht="18" customHeight="1" x14ac:dyDescent="0.15">
      <c r="A26" s="97"/>
      <c r="B26" s="622"/>
      <c r="C26" s="628"/>
      <c r="D26" s="19" t="s">
        <v>97</v>
      </c>
      <c r="E26" s="20"/>
      <c r="F26" s="133">
        <f>'８　なす算出基礎'!V57</f>
        <v>6766.666666666667</v>
      </c>
      <c r="G26" s="613"/>
      <c r="H26" s="614"/>
      <c r="I26" s="614"/>
      <c r="J26" s="615"/>
      <c r="K26" s="667"/>
      <c r="L26" s="184"/>
      <c r="M26" s="182"/>
      <c r="N26" s="173"/>
      <c r="O26" s="184"/>
      <c r="P26" s="184"/>
      <c r="Q26" s="649"/>
      <c r="R26" s="650"/>
      <c r="S26" s="651"/>
    </row>
    <row r="27" spans="1:19" s="98" customFormat="1" ht="18" customHeight="1" x14ac:dyDescent="0.15">
      <c r="A27" s="97"/>
      <c r="B27" s="622"/>
      <c r="C27" s="628"/>
      <c r="D27" s="27" t="s">
        <v>76</v>
      </c>
      <c r="E27" s="28"/>
      <c r="F27" s="217">
        <v>800</v>
      </c>
      <c r="G27" s="613" t="s">
        <v>356</v>
      </c>
      <c r="H27" s="614"/>
      <c r="I27" s="614"/>
      <c r="J27" s="615"/>
      <c r="K27" s="667"/>
      <c r="L27" s="184" t="s">
        <v>108</v>
      </c>
      <c r="M27" s="182"/>
      <c r="N27" s="184" t="s">
        <v>364</v>
      </c>
      <c r="O27" s="184"/>
      <c r="P27" s="184">
        <f>'８　なす算出基礎'!G57</f>
        <v>853</v>
      </c>
      <c r="Q27" s="649"/>
      <c r="R27" s="650"/>
      <c r="S27" s="651"/>
    </row>
    <row r="28" spans="1:19" s="98" customFormat="1" ht="18" customHeight="1" thickBot="1" x14ac:dyDescent="0.2">
      <c r="A28" s="97"/>
      <c r="B28" s="622"/>
      <c r="C28" s="628"/>
      <c r="D28" s="19" t="s">
        <v>54</v>
      </c>
      <c r="E28" s="20"/>
      <c r="F28" s="133">
        <f>'８　なす算出基礎'!N57</f>
        <v>4940.6666666666661</v>
      </c>
      <c r="G28" s="613"/>
      <c r="H28" s="614"/>
      <c r="I28" s="614"/>
      <c r="J28" s="615"/>
      <c r="K28" s="667"/>
      <c r="L28" s="111" t="s">
        <v>26</v>
      </c>
      <c r="M28" s="110"/>
      <c r="N28" s="111"/>
      <c r="O28" s="111"/>
      <c r="P28" s="111">
        <f>SUM(P24:P27)</f>
        <v>19427.98</v>
      </c>
      <c r="Q28" s="652"/>
      <c r="R28" s="653"/>
      <c r="S28" s="654"/>
    </row>
    <row r="29" spans="1:19" s="98" customFormat="1" ht="18" customHeight="1" thickTop="1" x14ac:dyDescent="0.15">
      <c r="A29" s="97"/>
      <c r="B29" s="622"/>
      <c r="C29" s="628"/>
      <c r="D29" s="19" t="s">
        <v>238</v>
      </c>
      <c r="E29" s="26"/>
      <c r="F29" s="133">
        <f>SUM(F21:F28)/99</f>
        <v>5337.5188417508425</v>
      </c>
      <c r="G29" s="319" t="s">
        <v>255</v>
      </c>
      <c r="H29" s="218">
        <v>0.01</v>
      </c>
      <c r="I29" s="181"/>
      <c r="J29" s="180"/>
      <c r="K29" s="667"/>
      <c r="L29" s="173" t="s">
        <v>130</v>
      </c>
      <c r="M29" s="182"/>
      <c r="N29" s="183" t="s">
        <v>23</v>
      </c>
      <c r="O29" s="183" t="s">
        <v>21</v>
      </c>
      <c r="P29" s="183" t="s">
        <v>24</v>
      </c>
      <c r="Q29" s="643" t="s">
        <v>25</v>
      </c>
      <c r="R29" s="644"/>
      <c r="S29" s="645"/>
    </row>
    <row r="30" spans="1:19" s="98" customFormat="1" ht="18" customHeight="1" thickBot="1" x14ac:dyDescent="0.2">
      <c r="A30" s="97"/>
      <c r="B30" s="623"/>
      <c r="C30" s="629"/>
      <c r="D30" s="639" t="s">
        <v>161</v>
      </c>
      <c r="E30" s="640"/>
      <c r="F30" s="174">
        <f>SUM(F21:F29)</f>
        <v>533751.88417508418</v>
      </c>
      <c r="G30" s="175"/>
      <c r="H30" s="176"/>
      <c r="I30" s="177"/>
      <c r="J30" s="178"/>
      <c r="K30" s="667"/>
      <c r="L30" s="184" t="s">
        <v>120</v>
      </c>
      <c r="M30" s="185"/>
      <c r="N30" s="173" t="s">
        <v>326</v>
      </c>
      <c r="O30" s="186"/>
      <c r="P30" s="184">
        <f>'８　なす算出基礎'!N10</f>
        <v>1842.2249999999999</v>
      </c>
      <c r="Q30" s="646"/>
      <c r="R30" s="647"/>
      <c r="S30" s="648"/>
    </row>
    <row r="31" spans="1:19" s="98" customFormat="1" ht="18" customHeight="1" x14ac:dyDescent="0.15">
      <c r="A31" s="97"/>
      <c r="B31" s="121"/>
      <c r="C31" s="117"/>
      <c r="D31" s="117"/>
      <c r="E31" s="117"/>
      <c r="F31" s="117"/>
      <c r="G31" s="117"/>
      <c r="H31" s="117"/>
      <c r="I31" s="117"/>
      <c r="J31" s="117"/>
      <c r="K31" s="667"/>
      <c r="L31" s="184" t="s">
        <v>121</v>
      </c>
      <c r="M31" s="185"/>
      <c r="N31" s="173" t="s">
        <v>326</v>
      </c>
      <c r="O31" s="186"/>
      <c r="P31" s="184">
        <f>'８　なす算出基礎'!N15</f>
        <v>12830.4</v>
      </c>
      <c r="Q31" s="646"/>
      <c r="R31" s="647"/>
      <c r="S31" s="648"/>
    </row>
    <row r="32" spans="1:19" s="98" customFormat="1" ht="18" customHeight="1" x14ac:dyDescent="0.15">
      <c r="A32" s="97"/>
      <c r="B32" s="109"/>
      <c r="C32" s="127"/>
      <c r="D32" s="109"/>
      <c r="E32" s="109"/>
      <c r="F32" s="125"/>
      <c r="G32" s="125"/>
      <c r="H32" s="126"/>
      <c r="I32" s="117"/>
      <c r="J32" s="117"/>
      <c r="K32" s="667"/>
      <c r="L32" s="184" t="s">
        <v>123</v>
      </c>
      <c r="M32" s="182"/>
      <c r="N32" s="186"/>
      <c r="O32" s="186"/>
      <c r="P32" s="184">
        <f>SUM(P30:P31)*R32</f>
        <v>4401.7874999999995</v>
      </c>
      <c r="Q32" s="187" t="s">
        <v>122</v>
      </c>
      <c r="R32" s="188">
        <v>0.3</v>
      </c>
      <c r="S32" s="114"/>
    </row>
    <row r="33" spans="1:23" ht="18" customHeight="1" x14ac:dyDescent="0.15">
      <c r="K33" s="667"/>
      <c r="L33" s="184" t="s">
        <v>124</v>
      </c>
      <c r="M33" s="185"/>
      <c r="N33" s="173"/>
      <c r="O33" s="186"/>
      <c r="P33" s="184">
        <f>'８　なす算出基礎'!N19</f>
        <v>0</v>
      </c>
      <c r="Q33" s="649"/>
      <c r="R33" s="650"/>
      <c r="S33" s="651"/>
    </row>
    <row r="34" spans="1:23" ht="18" customHeight="1" x14ac:dyDescent="0.15">
      <c r="K34" s="667"/>
      <c r="L34" s="184" t="s">
        <v>125</v>
      </c>
      <c r="M34" s="185"/>
      <c r="N34" s="173"/>
      <c r="O34" s="186"/>
      <c r="P34" s="184">
        <f>'８　なす算出基礎'!N23</f>
        <v>0</v>
      </c>
      <c r="Q34" s="649"/>
      <c r="R34" s="650"/>
      <c r="S34" s="651"/>
    </row>
    <row r="35" spans="1:23" ht="18" customHeight="1" x14ac:dyDescent="0.15">
      <c r="K35" s="667"/>
      <c r="L35" s="184" t="s">
        <v>235</v>
      </c>
      <c r="M35" s="185"/>
      <c r="N35" s="173"/>
      <c r="O35" s="186"/>
      <c r="P35" s="184">
        <f>'８　なす算出基礎'!N27</f>
        <v>0</v>
      </c>
      <c r="Q35" s="302"/>
      <c r="R35" s="303"/>
      <c r="S35" s="304"/>
    </row>
    <row r="36" spans="1:23" ht="18" customHeight="1" x14ac:dyDescent="0.15">
      <c r="K36" s="667"/>
      <c r="L36" s="184" t="s">
        <v>126</v>
      </c>
      <c r="M36" s="182"/>
      <c r="N36" s="173"/>
      <c r="O36" s="186"/>
      <c r="P36" s="184">
        <f>'８　なす算出基礎'!N31</f>
        <v>0</v>
      </c>
      <c r="Q36" s="649"/>
      <c r="R36" s="650"/>
      <c r="S36" s="651"/>
    </row>
    <row r="37" spans="1:23" ht="18" customHeight="1" thickBot="1" x14ac:dyDescent="0.2">
      <c r="K37" s="668"/>
      <c r="L37" s="123" t="s">
        <v>26</v>
      </c>
      <c r="M37" s="122"/>
      <c r="N37" s="123"/>
      <c r="O37" s="123"/>
      <c r="P37" s="123">
        <f>SUM(P30:P36)</f>
        <v>19074.412499999999</v>
      </c>
      <c r="Q37" s="669"/>
      <c r="R37" s="670"/>
      <c r="S37" s="671"/>
    </row>
    <row r="38" spans="1:23" s="116" customFormat="1" ht="18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</row>
    <row r="39" spans="1:23" s="116" customFormat="1" ht="18" customHeight="1" x14ac:dyDescent="0.15">
      <c r="A39" s="97"/>
      <c r="B39" s="97"/>
      <c r="C39" s="97"/>
      <c r="D39" s="97"/>
      <c r="E39" s="97"/>
      <c r="F39" s="97"/>
      <c r="G39" s="97"/>
      <c r="H39" s="97"/>
      <c r="I39" s="97"/>
      <c r="J39" s="97"/>
      <c r="T39" s="117"/>
    </row>
    <row r="40" spans="1:23" s="116" customFormat="1" ht="18" customHeight="1" x14ac:dyDescent="0.15">
      <c r="A40" s="97"/>
      <c r="B40" s="97"/>
      <c r="C40" s="97"/>
      <c r="D40" s="97"/>
      <c r="E40" s="97"/>
      <c r="F40" s="97"/>
      <c r="G40" s="97"/>
      <c r="H40" s="97"/>
      <c r="I40" s="97"/>
      <c r="J40" s="97"/>
      <c r="T40" s="98"/>
      <c r="U40" s="98"/>
      <c r="V40" s="98"/>
      <c r="W40" s="98"/>
    </row>
    <row r="41" spans="1:23" s="116" customFormat="1" ht="18" customHeight="1" x14ac:dyDescent="0.15">
      <c r="A41" s="97"/>
      <c r="B41" s="97"/>
      <c r="C41" s="97"/>
      <c r="D41" s="97"/>
      <c r="E41" s="97"/>
      <c r="F41" s="97"/>
      <c r="G41" s="97"/>
      <c r="H41" s="97"/>
      <c r="I41" s="97"/>
      <c r="J41" s="97"/>
      <c r="T41" s="118"/>
      <c r="U41" s="119"/>
      <c r="V41" s="120"/>
      <c r="W41" s="118"/>
    </row>
    <row r="42" spans="1:23" s="116" customFormat="1" ht="18" customHeight="1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T42" s="98"/>
      <c r="U42" s="98"/>
      <c r="V42" s="98"/>
      <c r="W42" s="98"/>
    </row>
    <row r="43" spans="1:23" s="116" customFormat="1" ht="18" customHeight="1" x14ac:dyDescent="0.15">
      <c r="B43" s="97"/>
      <c r="C43" s="97"/>
      <c r="D43" s="97"/>
      <c r="E43" s="97"/>
      <c r="F43" s="97"/>
      <c r="G43" s="97"/>
      <c r="H43" s="97"/>
      <c r="I43" s="97"/>
      <c r="J43" s="97"/>
      <c r="T43" s="99"/>
      <c r="U43" s="117"/>
      <c r="V43" s="98"/>
      <c r="W43" s="118"/>
    </row>
    <row r="44" spans="1:23" s="116" customFormat="1" ht="18" customHeight="1" x14ac:dyDescent="0.15">
      <c r="B44" s="97"/>
      <c r="C44" s="97"/>
      <c r="D44" s="97"/>
      <c r="E44" s="97"/>
      <c r="F44" s="97"/>
      <c r="G44" s="97"/>
      <c r="H44" s="97"/>
      <c r="I44" s="97"/>
      <c r="J44" s="97"/>
      <c r="T44" s="99"/>
      <c r="U44" s="117"/>
      <c r="V44" s="98"/>
      <c r="W44" s="118"/>
    </row>
    <row r="45" spans="1:23" s="116" customFormat="1" ht="18" customHeight="1" x14ac:dyDescent="0.15">
      <c r="B45" s="97"/>
      <c r="C45" s="97"/>
      <c r="D45" s="97"/>
      <c r="E45" s="97"/>
      <c r="F45" s="97"/>
      <c r="G45" s="97"/>
      <c r="H45" s="97"/>
      <c r="I45" s="97"/>
      <c r="J45" s="97"/>
      <c r="T45" s="98"/>
      <c r="U45" s="98"/>
      <c r="V45" s="119"/>
      <c r="W45" s="98"/>
    </row>
    <row r="46" spans="1:23" s="116" customFormat="1" x14ac:dyDescent="0.15">
      <c r="B46" s="97"/>
      <c r="C46" s="97"/>
      <c r="D46" s="97"/>
      <c r="E46" s="97"/>
      <c r="F46" s="97"/>
      <c r="G46" s="97"/>
      <c r="H46" s="97"/>
      <c r="I46" s="97"/>
      <c r="J46" s="97"/>
      <c r="T46" s="99"/>
      <c r="U46" s="98"/>
      <c r="V46" s="98"/>
      <c r="W46" s="118"/>
    </row>
    <row r="47" spans="1:23" s="116" customFormat="1" x14ac:dyDescent="0.15">
      <c r="B47" s="97"/>
      <c r="C47" s="97"/>
      <c r="D47" s="97"/>
      <c r="E47" s="97"/>
      <c r="F47" s="97"/>
      <c r="G47" s="97"/>
      <c r="H47" s="97"/>
      <c r="I47" s="97"/>
      <c r="J47" s="97"/>
      <c r="T47" s="99"/>
      <c r="U47" s="98"/>
      <c r="V47" s="98"/>
      <c r="W47" s="118"/>
    </row>
    <row r="48" spans="1:23" s="116" customFormat="1" x14ac:dyDescent="0.15">
      <c r="B48" s="97"/>
      <c r="C48" s="97"/>
      <c r="D48" s="97"/>
      <c r="E48" s="97"/>
      <c r="F48" s="97"/>
      <c r="G48" s="97"/>
      <c r="H48" s="97"/>
      <c r="I48" s="97"/>
      <c r="J48" s="97"/>
      <c r="T48" s="99"/>
      <c r="U48" s="98"/>
      <c r="V48" s="98"/>
      <c r="W48" s="118"/>
    </row>
    <row r="49" spans="2:23" s="116" customFormat="1" x14ac:dyDescent="0.15">
      <c r="B49" s="97"/>
      <c r="C49" s="97"/>
      <c r="D49" s="97"/>
      <c r="E49" s="97"/>
      <c r="F49" s="97"/>
      <c r="G49" s="97"/>
      <c r="H49" s="97"/>
      <c r="I49" s="97"/>
      <c r="J49" s="97"/>
      <c r="T49" s="99"/>
      <c r="U49" s="98"/>
      <c r="V49" s="98"/>
      <c r="W49" s="118"/>
    </row>
    <row r="50" spans="2:23" s="116" customFormat="1" x14ac:dyDescent="0.15">
      <c r="B50" s="97"/>
      <c r="C50" s="97"/>
      <c r="D50" s="97"/>
      <c r="E50" s="97"/>
      <c r="F50" s="97"/>
      <c r="G50" s="97"/>
      <c r="H50" s="97"/>
      <c r="I50" s="97"/>
      <c r="J50" s="97"/>
      <c r="T50" s="99"/>
      <c r="U50" s="99"/>
      <c r="V50" s="99"/>
      <c r="W50" s="98"/>
    </row>
    <row r="51" spans="2:23" s="116" customFormat="1" ht="13.5" customHeight="1" x14ac:dyDescent="0.15">
      <c r="B51" s="97"/>
      <c r="C51" s="97"/>
      <c r="D51" s="97"/>
      <c r="E51" s="97"/>
      <c r="F51" s="97"/>
      <c r="G51" s="97"/>
      <c r="H51" s="97"/>
      <c r="I51" s="97"/>
      <c r="J51" s="97"/>
      <c r="T51" s="98"/>
      <c r="U51" s="98"/>
      <c r="V51" s="98"/>
      <c r="W51" s="119"/>
    </row>
    <row r="52" spans="2:23" s="116" customFormat="1" x14ac:dyDescent="0.15">
      <c r="B52" s="97"/>
      <c r="C52" s="97"/>
      <c r="D52" s="97"/>
      <c r="E52" s="97"/>
      <c r="F52" s="97"/>
      <c r="G52" s="97"/>
      <c r="H52" s="97"/>
      <c r="I52" s="97"/>
      <c r="J52" s="97"/>
      <c r="T52" s="118"/>
      <c r="U52" s="98"/>
      <c r="V52" s="119"/>
      <c r="W52" s="118"/>
    </row>
    <row r="53" spans="2:23" s="116" customFormat="1" x14ac:dyDescent="0.15">
      <c r="B53" s="97"/>
      <c r="C53" s="97"/>
      <c r="D53" s="97"/>
      <c r="E53" s="97"/>
      <c r="F53" s="97"/>
      <c r="G53" s="97"/>
      <c r="H53" s="97"/>
      <c r="I53" s="97"/>
      <c r="J53" s="97"/>
      <c r="T53" s="98"/>
      <c r="U53" s="98"/>
      <c r="V53" s="98"/>
      <c r="W53" s="98"/>
    </row>
    <row r="54" spans="2:23" s="116" customFormat="1" ht="13.5" customHeight="1" x14ac:dyDescent="0.15">
      <c r="B54" s="97"/>
      <c r="C54" s="97"/>
      <c r="D54" s="97"/>
      <c r="E54" s="97"/>
      <c r="F54" s="97"/>
      <c r="G54" s="97"/>
      <c r="H54" s="97"/>
      <c r="I54" s="97"/>
      <c r="J54" s="97"/>
      <c r="T54" s="99"/>
      <c r="U54" s="98"/>
      <c r="V54" s="99"/>
      <c r="W54" s="118"/>
    </row>
    <row r="55" spans="2:23" s="116" customFormat="1" x14ac:dyDescent="0.15">
      <c r="B55" s="97"/>
      <c r="C55" s="97"/>
      <c r="D55" s="97"/>
      <c r="E55" s="97"/>
      <c r="F55" s="97"/>
      <c r="G55" s="97"/>
      <c r="H55" s="97"/>
      <c r="I55" s="97"/>
      <c r="J55" s="97"/>
      <c r="T55" s="128"/>
      <c r="U55" s="98"/>
      <c r="V55" s="98"/>
      <c r="W55" s="118"/>
    </row>
    <row r="56" spans="2:23" s="116" customFormat="1" x14ac:dyDescent="0.15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8"/>
      <c r="U56" s="99"/>
      <c r="V56" s="98"/>
      <c r="W56" s="98"/>
    </row>
    <row r="57" spans="2:23" s="116" customFormat="1" x14ac:dyDescent="0.15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117"/>
      <c r="U57" s="117"/>
      <c r="V57" s="117"/>
      <c r="W57" s="117"/>
    </row>
    <row r="58" spans="2:23" s="116" customFormat="1" x14ac:dyDescent="0.15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117"/>
    </row>
    <row r="59" spans="2:23" s="116" customFormat="1" x14ac:dyDescent="0.15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117"/>
    </row>
    <row r="60" spans="2:23" s="116" customForma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117"/>
    </row>
    <row r="61" spans="2:23" s="116" customFormat="1" x14ac:dyDescent="0.15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</row>
    <row r="62" spans="2:23" s="116" customFormat="1" x14ac:dyDescent="0.15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spans="2:23" s="116" customFormat="1" ht="13.5" customHeight="1" x14ac:dyDescent="0.1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</row>
    <row r="64" spans="2:23" s="116" customFormat="1" ht="13.5" customHeight="1" x14ac:dyDescent="0.1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</row>
    <row r="65" spans="2:19" s="116" customFormat="1" x14ac:dyDescent="0.15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spans="2:19" s="116" customFormat="1" x14ac:dyDescent="0.15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</row>
    <row r="67" spans="2:19" s="116" customFormat="1" x14ac:dyDescent="0.15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</row>
    <row r="68" spans="2:19" s="116" customFormat="1" ht="13.5" customHeight="1" x14ac:dyDescent="0.15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</row>
    <row r="69" spans="2:19" s="116" customFormat="1" x14ac:dyDescent="0.15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</row>
    <row r="70" spans="2:19" s="116" customFormat="1" x14ac:dyDescent="0.15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s="116" customFormat="1" x14ac:dyDescent="0.15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</row>
    <row r="72" spans="2:19" s="116" customFormat="1" x14ac:dyDescent="0.15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</row>
    <row r="73" spans="2:19" s="116" customFormat="1" x14ac:dyDescent="0.15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</row>
    <row r="74" spans="2:19" s="116" customFormat="1" ht="13.5" customHeight="1" x14ac:dyDescent="0.15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</row>
    <row r="75" spans="2:19" s="116" customFormat="1" x14ac:dyDescent="0.15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</row>
    <row r="76" spans="2:19" s="116" customFormat="1" x14ac:dyDescent="0.15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</row>
    <row r="77" spans="2:19" s="116" customFormat="1" x14ac:dyDescent="0.15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</row>
    <row r="78" spans="2:19" s="116" customFormat="1" x14ac:dyDescent="0.15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</row>
    <row r="79" spans="2:19" s="116" customFormat="1" x14ac:dyDescent="0.15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</row>
    <row r="80" spans="2:19" s="116" customFormat="1" x14ac:dyDescent="0.15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</row>
    <row r="81" spans="1:19" s="116" customFormat="1" x14ac:dyDescent="0.15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</row>
    <row r="82" spans="1:19" s="116" customFormat="1" x14ac:dyDescent="0.15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</row>
    <row r="83" spans="1:19" s="116" customFormat="1" x14ac:dyDescent="0.15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</row>
    <row r="84" spans="1:19" s="116" customFormat="1" x14ac:dyDescent="0.15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</row>
    <row r="85" spans="1:19" s="116" customFormat="1" x14ac:dyDescent="0.15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</row>
    <row r="86" spans="1:19" s="116" customFormat="1" ht="13.5" customHeight="1" x14ac:dyDescent="0.15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1:19" s="116" customFormat="1" x14ac:dyDescent="0.15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</row>
    <row r="88" spans="1:19" s="116" customFormat="1" x14ac:dyDescent="0.15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</row>
    <row r="89" spans="1:19" s="116" customFormat="1" ht="13.5" customHeight="1" x14ac:dyDescent="0.15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</row>
    <row r="90" spans="1:19" s="116" customFormat="1" x14ac:dyDescent="0.15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</row>
    <row r="91" spans="1:19" s="116" customFormat="1" x14ac:dyDescent="0.15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</row>
    <row r="92" spans="1:19" s="116" customFormat="1" x14ac:dyDescent="0.15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</row>
    <row r="93" spans="1:19" s="116" customFormat="1" x14ac:dyDescent="0.15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</row>
    <row r="94" spans="1:19" s="116" customFormat="1" x14ac:dyDescent="0.15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</row>
    <row r="95" spans="1:19" x14ac:dyDescent="0.15">
      <c r="A95" s="116"/>
    </row>
    <row r="96" spans="1:19" x14ac:dyDescent="0.15">
      <c r="A96" s="116"/>
    </row>
    <row r="97" spans="1:1" x14ac:dyDescent="0.15">
      <c r="A97" s="116"/>
    </row>
    <row r="98" spans="1:1" x14ac:dyDescent="0.15">
      <c r="A98" s="116"/>
    </row>
    <row r="99" spans="1:1" x14ac:dyDescent="0.15">
      <c r="A99" s="116"/>
    </row>
  </sheetData>
  <mergeCells count="58">
    <mergeCell ref="R8:S8"/>
    <mergeCell ref="R9:S9"/>
    <mergeCell ref="Q14:S14"/>
    <mergeCell ref="K12:K37"/>
    <mergeCell ref="Q23:S23"/>
    <mergeCell ref="Q31:S31"/>
    <mergeCell ref="Q37:S37"/>
    <mergeCell ref="Q27:S27"/>
    <mergeCell ref="Q36:S36"/>
    <mergeCell ref="Q20:S20"/>
    <mergeCell ref="Q21:S21"/>
    <mergeCell ref="Q26:S26"/>
    <mergeCell ref="Q28:S28"/>
    <mergeCell ref="Q33:S33"/>
    <mergeCell ref="Q34:S34"/>
    <mergeCell ref="Q22:S22"/>
    <mergeCell ref="G16:J16"/>
    <mergeCell ref="Q15:S15"/>
    <mergeCell ref="R11:S11"/>
    <mergeCell ref="Q12:S12"/>
    <mergeCell ref="R10:S10"/>
    <mergeCell ref="Q16:S16"/>
    <mergeCell ref="Q13:S13"/>
    <mergeCell ref="I13:J13"/>
    <mergeCell ref="I14:J14"/>
    <mergeCell ref="G11:J11"/>
    <mergeCell ref="B4:C5"/>
    <mergeCell ref="D21:D23"/>
    <mergeCell ref="D30:E30"/>
    <mergeCell ref="D20:E20"/>
    <mergeCell ref="Q29:S29"/>
    <mergeCell ref="Q30:S30"/>
    <mergeCell ref="Q17:S17"/>
    <mergeCell ref="Q18:S18"/>
    <mergeCell ref="Q19:S19"/>
    <mergeCell ref="Q24:S24"/>
    <mergeCell ref="Q25:S25"/>
    <mergeCell ref="G15:J15"/>
    <mergeCell ref="G28:J28"/>
    <mergeCell ref="G26:J26"/>
    <mergeCell ref="G27:J27"/>
    <mergeCell ref="G17:J17"/>
    <mergeCell ref="B3:E3"/>
    <mergeCell ref="K3:S3"/>
    <mergeCell ref="R6:S6"/>
    <mergeCell ref="R7:S7"/>
    <mergeCell ref="G7:J7"/>
    <mergeCell ref="G4:J4"/>
    <mergeCell ref="R4:S4"/>
    <mergeCell ref="R5:S5"/>
    <mergeCell ref="B6:B30"/>
    <mergeCell ref="C6:C20"/>
    <mergeCell ref="C21:C30"/>
    <mergeCell ref="D13:D14"/>
    <mergeCell ref="D15:D17"/>
    <mergeCell ref="G8:J8"/>
    <mergeCell ref="G9:J9"/>
    <mergeCell ref="G10:J1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63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29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323</v>
      </c>
      <c r="C2" s="32"/>
      <c r="D2" s="5"/>
      <c r="E2" s="5"/>
      <c r="F2" s="32"/>
      <c r="G2" s="98"/>
      <c r="H2" s="108"/>
      <c r="I2" s="98"/>
      <c r="J2" s="98"/>
      <c r="K2" s="98"/>
      <c r="L2" s="98"/>
      <c r="M2" s="98"/>
      <c r="N2" s="98"/>
      <c r="O2" s="5"/>
    </row>
    <row r="3" spans="2:22" ht="15" customHeight="1" thickBot="1" x14ac:dyDescent="0.2">
      <c r="B3" s="30" t="s">
        <v>164</v>
      </c>
      <c r="I3" s="5" t="s">
        <v>165</v>
      </c>
      <c r="P3" s="163" t="s">
        <v>184</v>
      </c>
    </row>
    <row r="4" spans="2:22" ht="15" customHeight="1" x14ac:dyDescent="0.15">
      <c r="B4" s="237" t="s">
        <v>71</v>
      </c>
      <c r="C4" s="149" t="s">
        <v>140</v>
      </c>
      <c r="D4" s="149" t="s">
        <v>110</v>
      </c>
      <c r="E4" s="149" t="s">
        <v>111</v>
      </c>
      <c r="F4" s="149" t="s">
        <v>21</v>
      </c>
      <c r="G4" s="137" t="s">
        <v>112</v>
      </c>
      <c r="H4" s="150"/>
      <c r="I4" s="712" t="s">
        <v>71</v>
      </c>
      <c r="J4" s="708" t="s">
        <v>143</v>
      </c>
      <c r="K4" s="155" t="s">
        <v>262</v>
      </c>
      <c r="L4" s="155" t="s">
        <v>113</v>
      </c>
      <c r="M4" s="708" t="s">
        <v>21</v>
      </c>
      <c r="N4" s="710" t="s">
        <v>112</v>
      </c>
      <c r="O4" s="172"/>
      <c r="P4" s="238" t="s">
        <v>146</v>
      </c>
      <c r="Q4" s="239" t="s">
        <v>147</v>
      </c>
      <c r="R4" s="239" t="s">
        <v>148</v>
      </c>
      <c r="S4" s="239" t="s">
        <v>149</v>
      </c>
      <c r="T4" s="714" t="s">
        <v>150</v>
      </c>
      <c r="U4" s="607"/>
      <c r="V4" s="240" t="s">
        <v>151</v>
      </c>
    </row>
    <row r="5" spans="2:22" ht="15" customHeight="1" x14ac:dyDescent="0.15">
      <c r="B5" s="596" t="s">
        <v>134</v>
      </c>
      <c r="C5" s="29" t="s">
        <v>272</v>
      </c>
      <c r="D5" s="29">
        <v>6</v>
      </c>
      <c r="E5" s="36" t="s">
        <v>138</v>
      </c>
      <c r="F5" s="29">
        <v>4000</v>
      </c>
      <c r="G5" s="138">
        <f t="shared" ref="G5:G6" si="0">D5*F5</f>
        <v>24000</v>
      </c>
      <c r="H5" s="151"/>
      <c r="I5" s="713"/>
      <c r="J5" s="709"/>
      <c r="K5" s="157" t="s">
        <v>114</v>
      </c>
      <c r="L5" s="157" t="s">
        <v>321</v>
      </c>
      <c r="M5" s="709"/>
      <c r="N5" s="711"/>
      <c r="O5" s="172"/>
      <c r="P5" s="241" t="s">
        <v>269</v>
      </c>
      <c r="Q5" s="135">
        <v>350</v>
      </c>
      <c r="R5" s="363" t="s">
        <v>270</v>
      </c>
      <c r="S5" s="135">
        <v>1120</v>
      </c>
      <c r="T5" s="705">
        <v>8</v>
      </c>
      <c r="U5" s="706"/>
      <c r="V5" s="166">
        <f>Q5*S5/T5</f>
        <v>49000</v>
      </c>
    </row>
    <row r="6" spans="2:22" ht="15" customHeight="1" x14ac:dyDescent="0.15">
      <c r="B6" s="597"/>
      <c r="C6" s="29" t="s">
        <v>271</v>
      </c>
      <c r="D6" s="29">
        <v>200</v>
      </c>
      <c r="E6" s="36" t="s">
        <v>273</v>
      </c>
      <c r="F6" s="29">
        <v>7</v>
      </c>
      <c r="G6" s="139">
        <f t="shared" si="0"/>
        <v>1400</v>
      </c>
      <c r="H6" s="151"/>
      <c r="I6" s="716" t="s">
        <v>142</v>
      </c>
      <c r="J6" s="368" t="s">
        <v>288</v>
      </c>
      <c r="K6" s="158">
        <v>2</v>
      </c>
      <c r="L6" s="158">
        <v>6</v>
      </c>
      <c r="M6" s="158">
        <v>84.7</v>
      </c>
      <c r="N6" s="139">
        <f>K6*L6*M6</f>
        <v>1016.4000000000001</v>
      </c>
      <c r="O6" s="172"/>
      <c r="P6" s="241" t="s">
        <v>263</v>
      </c>
      <c r="Q6" s="135">
        <v>2400</v>
      </c>
      <c r="R6" s="363" t="s">
        <v>264</v>
      </c>
      <c r="S6" s="135">
        <v>4</v>
      </c>
      <c r="T6" s="715">
        <v>1</v>
      </c>
      <c r="U6" s="706"/>
      <c r="V6" s="166">
        <f t="shared" ref="V6:V11" si="1">Q6*S6/T6</f>
        <v>9600</v>
      </c>
    </row>
    <row r="7" spans="2:22" ht="15" customHeight="1" thickBot="1" x14ac:dyDescent="0.2">
      <c r="B7" s="704"/>
      <c r="C7" s="140" t="s">
        <v>115</v>
      </c>
      <c r="D7" s="140"/>
      <c r="E7" s="140"/>
      <c r="F7" s="140"/>
      <c r="G7" s="141">
        <f>SUM(G5:G6)</f>
        <v>25400</v>
      </c>
      <c r="H7" s="151"/>
      <c r="I7" s="717"/>
      <c r="J7" s="368" t="s">
        <v>289</v>
      </c>
      <c r="K7" s="158">
        <v>1.5</v>
      </c>
      <c r="L7" s="158">
        <v>4.5</v>
      </c>
      <c r="M7" s="158">
        <v>84.7</v>
      </c>
      <c r="N7" s="139">
        <f t="shared" ref="N7:N8" si="2">K7*L7*M7</f>
        <v>571.72500000000002</v>
      </c>
      <c r="O7" s="172"/>
      <c r="P7" s="241" t="s">
        <v>268</v>
      </c>
      <c r="Q7" s="135">
        <v>350</v>
      </c>
      <c r="R7" s="363" t="s">
        <v>264</v>
      </c>
      <c r="S7" s="135">
        <v>31</v>
      </c>
      <c r="T7" s="715">
        <v>1</v>
      </c>
      <c r="U7" s="706"/>
      <c r="V7" s="166">
        <f t="shared" si="1"/>
        <v>10850</v>
      </c>
    </row>
    <row r="8" spans="2:22" ht="15" customHeight="1" thickTop="1" x14ac:dyDescent="0.15">
      <c r="B8" s="702" t="s">
        <v>132</v>
      </c>
      <c r="C8" s="29" t="s">
        <v>421</v>
      </c>
      <c r="D8" s="29">
        <v>40</v>
      </c>
      <c r="E8" s="36" t="s">
        <v>274</v>
      </c>
      <c r="F8" s="29">
        <v>136</v>
      </c>
      <c r="G8" s="139">
        <f>D8*F8</f>
        <v>5440</v>
      </c>
      <c r="H8" s="151"/>
      <c r="I8" s="717"/>
      <c r="J8" s="368" t="s">
        <v>293</v>
      </c>
      <c r="K8" s="158">
        <v>1</v>
      </c>
      <c r="L8" s="158">
        <v>3</v>
      </c>
      <c r="M8" s="158">
        <v>84.7</v>
      </c>
      <c r="N8" s="139">
        <f t="shared" si="2"/>
        <v>254.10000000000002</v>
      </c>
      <c r="O8" s="172"/>
      <c r="P8" s="241" t="s">
        <v>265</v>
      </c>
      <c r="Q8" s="135">
        <v>150</v>
      </c>
      <c r="R8" s="363" t="s">
        <v>264</v>
      </c>
      <c r="S8" s="135">
        <v>500</v>
      </c>
      <c r="T8" s="715">
        <v>5</v>
      </c>
      <c r="U8" s="706"/>
      <c r="V8" s="166">
        <f t="shared" si="1"/>
        <v>15000</v>
      </c>
    </row>
    <row r="9" spans="2:22" ht="15" customHeight="1" x14ac:dyDescent="0.15">
      <c r="B9" s="597"/>
      <c r="C9" s="29" t="s">
        <v>422</v>
      </c>
      <c r="D9" s="29">
        <v>240</v>
      </c>
      <c r="E9" s="36" t="s">
        <v>275</v>
      </c>
      <c r="F9" s="29">
        <v>44</v>
      </c>
      <c r="G9" s="139">
        <f>D9*F9</f>
        <v>10560</v>
      </c>
      <c r="H9" s="151"/>
      <c r="I9" s="717"/>
      <c r="J9" s="368"/>
      <c r="K9" s="158"/>
      <c r="L9" s="158"/>
      <c r="M9" s="158"/>
      <c r="N9" s="139">
        <f t="shared" ref="N9" si="3">L9*M9</f>
        <v>0</v>
      </c>
      <c r="O9" s="172"/>
      <c r="P9" s="241" t="s">
        <v>266</v>
      </c>
      <c r="Q9" s="135">
        <v>4500</v>
      </c>
      <c r="R9" s="363" t="s">
        <v>264</v>
      </c>
      <c r="S9" s="135">
        <v>1.5</v>
      </c>
      <c r="T9" s="715">
        <v>1</v>
      </c>
      <c r="U9" s="706"/>
      <c r="V9" s="166">
        <f t="shared" si="1"/>
        <v>6750</v>
      </c>
    </row>
    <row r="10" spans="2:22" ht="15" customHeight="1" thickBot="1" x14ac:dyDescent="0.2">
      <c r="B10" s="597"/>
      <c r="C10" s="29"/>
      <c r="D10" s="29"/>
      <c r="E10" s="36"/>
      <c r="F10" s="29"/>
      <c r="G10" s="139">
        <f>D10*F10</f>
        <v>0</v>
      </c>
      <c r="H10" s="151"/>
      <c r="I10" s="718"/>
      <c r="J10" s="346" t="s">
        <v>188</v>
      </c>
      <c r="K10" s="159">
        <f t="shared" ref="K10:L10" si="4">SUM(K6:K9)</f>
        <v>4.5</v>
      </c>
      <c r="L10" s="159">
        <f t="shared" si="4"/>
        <v>13.5</v>
      </c>
      <c r="M10" s="159"/>
      <c r="N10" s="154">
        <f>SUM(N6:N9)</f>
        <v>1842.2249999999999</v>
      </c>
      <c r="O10" s="172"/>
      <c r="P10" s="241" t="s">
        <v>267</v>
      </c>
      <c r="Q10" s="135">
        <v>50</v>
      </c>
      <c r="R10" s="363" t="s">
        <v>359</v>
      </c>
      <c r="S10" s="135">
        <v>127</v>
      </c>
      <c r="T10" s="715">
        <v>1</v>
      </c>
      <c r="U10" s="706"/>
      <c r="V10" s="166">
        <f t="shared" si="1"/>
        <v>6350</v>
      </c>
    </row>
    <row r="11" spans="2:22" ht="15" customHeight="1" thickTop="1" thickBot="1" x14ac:dyDescent="0.2">
      <c r="B11" s="704"/>
      <c r="C11" s="142" t="s">
        <v>116</v>
      </c>
      <c r="D11" s="143"/>
      <c r="E11" s="143"/>
      <c r="F11" s="143"/>
      <c r="G11" s="144">
        <f>SUM(G8:G10)</f>
        <v>16000</v>
      </c>
      <c r="H11" s="151"/>
      <c r="I11" s="719" t="s">
        <v>189</v>
      </c>
      <c r="J11" s="368" t="s">
        <v>290</v>
      </c>
      <c r="K11" s="158">
        <v>1</v>
      </c>
      <c r="L11" s="158">
        <v>1</v>
      </c>
      <c r="M11" s="158">
        <v>158.4</v>
      </c>
      <c r="N11" s="139">
        <f t="shared" ref="N11:N14" si="5">K11*L11*M11</f>
        <v>158.4</v>
      </c>
      <c r="O11" s="172"/>
      <c r="P11" s="241" t="s">
        <v>357</v>
      </c>
      <c r="Q11" s="362">
        <v>20</v>
      </c>
      <c r="R11" s="363" t="s">
        <v>361</v>
      </c>
      <c r="S11" s="135">
        <v>7.75</v>
      </c>
      <c r="T11" s="715">
        <v>1</v>
      </c>
      <c r="U11" s="706"/>
      <c r="V11" s="166">
        <f t="shared" si="1"/>
        <v>155</v>
      </c>
    </row>
    <row r="12" spans="2:22" ht="15" customHeight="1" thickTop="1" x14ac:dyDescent="0.15">
      <c r="B12" s="702" t="s">
        <v>133</v>
      </c>
      <c r="C12" s="29" t="s">
        <v>423</v>
      </c>
      <c r="D12" s="29">
        <v>20</v>
      </c>
      <c r="E12" s="36" t="s">
        <v>275</v>
      </c>
      <c r="F12" s="29">
        <v>142</v>
      </c>
      <c r="G12" s="139">
        <f>D12*F12</f>
        <v>2840</v>
      </c>
      <c r="H12" s="151"/>
      <c r="I12" s="717"/>
      <c r="J12" s="368" t="s">
        <v>291</v>
      </c>
      <c r="K12" s="158">
        <v>20</v>
      </c>
      <c r="L12" s="158">
        <v>1</v>
      </c>
      <c r="M12" s="158">
        <v>158.4</v>
      </c>
      <c r="N12" s="139">
        <f t="shared" si="5"/>
        <v>3168</v>
      </c>
      <c r="O12" s="172"/>
      <c r="P12" s="241"/>
      <c r="Q12" s="135"/>
      <c r="R12" s="363"/>
      <c r="S12" s="135"/>
      <c r="T12" s="715"/>
      <c r="U12" s="706"/>
      <c r="V12" s="166"/>
    </row>
    <row r="13" spans="2:22" ht="15" customHeight="1" x14ac:dyDescent="0.15">
      <c r="B13" s="597"/>
      <c r="C13" s="29" t="s">
        <v>424</v>
      </c>
      <c r="D13" s="29">
        <v>160</v>
      </c>
      <c r="E13" s="36" t="s">
        <v>275</v>
      </c>
      <c r="F13" s="29">
        <v>137</v>
      </c>
      <c r="G13" s="139">
        <f>D13*F13</f>
        <v>21920</v>
      </c>
      <c r="H13" s="151"/>
      <c r="I13" s="717"/>
      <c r="J13" s="368" t="s">
        <v>292</v>
      </c>
      <c r="K13" s="158">
        <v>60</v>
      </c>
      <c r="L13" s="158">
        <v>1</v>
      </c>
      <c r="M13" s="158">
        <v>158.4</v>
      </c>
      <c r="N13" s="139">
        <f t="shared" si="5"/>
        <v>9504</v>
      </c>
      <c r="O13" s="172"/>
      <c r="P13" s="241"/>
      <c r="Q13" s="135"/>
      <c r="R13" s="363"/>
      <c r="S13" s="135"/>
      <c r="T13" s="705"/>
      <c r="U13" s="706"/>
      <c r="V13" s="166"/>
    </row>
    <row r="14" spans="2:22" ht="15" customHeight="1" x14ac:dyDescent="0.15">
      <c r="B14" s="597"/>
      <c r="C14" s="29" t="s">
        <v>210</v>
      </c>
      <c r="D14" s="29">
        <v>100</v>
      </c>
      <c r="E14" s="36" t="s">
        <v>275</v>
      </c>
      <c r="F14" s="29">
        <v>243</v>
      </c>
      <c r="G14" s="139">
        <f>D14*F14</f>
        <v>24300</v>
      </c>
      <c r="H14" s="151"/>
      <c r="I14" s="717"/>
      <c r="J14" s="368"/>
      <c r="K14" s="158"/>
      <c r="L14" s="158"/>
      <c r="M14" s="158"/>
      <c r="N14" s="139">
        <f t="shared" si="5"/>
        <v>0</v>
      </c>
      <c r="O14" s="172"/>
      <c r="P14" s="241"/>
      <c r="Q14" s="135"/>
      <c r="R14" s="363"/>
      <c r="S14" s="135"/>
      <c r="T14" s="705"/>
      <c r="U14" s="706"/>
      <c r="V14" s="166"/>
    </row>
    <row r="15" spans="2:22" ht="15" customHeight="1" thickBot="1" x14ac:dyDescent="0.2">
      <c r="B15" s="597"/>
      <c r="C15" s="29"/>
      <c r="D15" s="29"/>
      <c r="E15" s="29"/>
      <c r="F15" s="29"/>
      <c r="G15" s="139">
        <f t="shared" ref="G15" si="6">D15*F15</f>
        <v>0</v>
      </c>
      <c r="H15" s="151"/>
      <c r="I15" s="718"/>
      <c r="J15" s="346" t="s">
        <v>188</v>
      </c>
      <c r="K15" s="159">
        <f t="shared" ref="K15" si="7">SUM(K11:K14)</f>
        <v>81</v>
      </c>
      <c r="L15" s="159">
        <f t="shared" ref="L15" si="8">SUM(L11:L14)</f>
        <v>3</v>
      </c>
      <c r="M15" s="159"/>
      <c r="N15" s="154">
        <f>SUM(N11:N14)</f>
        <v>12830.4</v>
      </c>
      <c r="O15" s="172"/>
      <c r="P15" s="241"/>
      <c r="Q15" s="135"/>
      <c r="R15" s="363"/>
      <c r="S15" s="135"/>
      <c r="T15" s="705"/>
      <c r="U15" s="706"/>
      <c r="V15" s="166"/>
    </row>
    <row r="16" spans="2:22" ht="15" customHeight="1" thickTop="1" thickBot="1" x14ac:dyDescent="0.2">
      <c r="B16" s="704"/>
      <c r="C16" s="142" t="s">
        <v>116</v>
      </c>
      <c r="D16" s="143"/>
      <c r="E16" s="143"/>
      <c r="F16" s="143"/>
      <c r="G16" s="144">
        <f>SUM(G12:G15)</f>
        <v>49060</v>
      </c>
      <c r="H16" s="151"/>
      <c r="I16" s="702" t="s">
        <v>144</v>
      </c>
      <c r="J16" s="29"/>
      <c r="K16" s="158"/>
      <c r="L16" s="158"/>
      <c r="M16" s="158"/>
      <c r="N16" s="139">
        <f>K16*L16*M16</f>
        <v>0</v>
      </c>
      <c r="O16" s="172"/>
      <c r="P16" s="241"/>
      <c r="Q16" s="135"/>
      <c r="R16" s="363"/>
      <c r="S16" s="135"/>
      <c r="T16" s="705"/>
      <c r="U16" s="706"/>
      <c r="V16" s="166"/>
    </row>
    <row r="17" spans="2:22" ht="15" customHeight="1" thickTop="1" x14ac:dyDescent="0.15">
      <c r="B17" s="702" t="s">
        <v>135</v>
      </c>
      <c r="C17" s="29"/>
      <c r="D17" s="29"/>
      <c r="E17" s="36"/>
      <c r="F17" s="29"/>
      <c r="G17" s="139">
        <f t="shared" ref="G17" si="9">D17*F17</f>
        <v>0</v>
      </c>
      <c r="H17" s="151"/>
      <c r="I17" s="597"/>
      <c r="J17" s="29"/>
      <c r="K17" s="158"/>
      <c r="L17" s="158"/>
      <c r="M17" s="158"/>
      <c r="N17" s="139">
        <f t="shared" ref="N17:N18" si="10">K17*L17*M17</f>
        <v>0</v>
      </c>
      <c r="O17" s="172"/>
      <c r="P17" s="241"/>
      <c r="Q17" s="135"/>
      <c r="R17" s="363"/>
      <c r="S17" s="135"/>
      <c r="T17" s="705"/>
      <c r="U17" s="706"/>
      <c r="V17" s="166"/>
    </row>
    <row r="18" spans="2:22" ht="15" customHeight="1" x14ac:dyDescent="0.15">
      <c r="B18" s="597"/>
      <c r="C18" s="29"/>
      <c r="D18" s="29"/>
      <c r="E18" s="36"/>
      <c r="F18" s="29"/>
      <c r="G18" s="139">
        <f>D18*F18</f>
        <v>0</v>
      </c>
      <c r="H18" s="151"/>
      <c r="I18" s="597"/>
      <c r="J18" s="29"/>
      <c r="K18" s="158"/>
      <c r="L18" s="158"/>
      <c r="M18" s="158"/>
      <c r="N18" s="139">
        <f t="shared" si="10"/>
        <v>0</v>
      </c>
      <c r="O18" s="172"/>
      <c r="P18" s="241"/>
      <c r="Q18" s="135"/>
      <c r="R18" s="363"/>
      <c r="S18" s="135"/>
      <c r="T18" s="705"/>
      <c r="U18" s="706"/>
      <c r="V18" s="166"/>
    </row>
    <row r="19" spans="2:22" ht="15" customHeight="1" thickBot="1" x14ac:dyDescent="0.2">
      <c r="B19" s="597"/>
      <c r="C19" s="29"/>
      <c r="D19" s="29"/>
      <c r="E19" s="29"/>
      <c r="F19" s="29"/>
      <c r="G19" s="139">
        <f t="shared" ref="G19" si="11">D19*F19</f>
        <v>0</v>
      </c>
      <c r="H19" s="151"/>
      <c r="I19" s="704"/>
      <c r="J19" s="242" t="s">
        <v>190</v>
      </c>
      <c r="K19" s="159">
        <f>SUM(K16:K18)</f>
        <v>0</v>
      </c>
      <c r="L19" s="160">
        <f>SUM(L16:L18)</f>
        <v>0</v>
      </c>
      <c r="M19" s="161"/>
      <c r="N19" s="154">
        <f>SUM(N16:N18)</f>
        <v>0</v>
      </c>
      <c r="O19" s="172"/>
      <c r="P19" s="241"/>
      <c r="Q19" s="135"/>
      <c r="R19" s="363"/>
      <c r="S19" s="135"/>
      <c r="T19" s="705"/>
      <c r="U19" s="706"/>
      <c r="V19" s="166"/>
    </row>
    <row r="20" spans="2:22" ht="15" customHeight="1" thickTop="1" thickBot="1" x14ac:dyDescent="0.2">
      <c r="B20" s="704"/>
      <c r="C20" s="142" t="s">
        <v>116</v>
      </c>
      <c r="D20" s="143"/>
      <c r="E20" s="143"/>
      <c r="F20" s="143"/>
      <c r="G20" s="144">
        <f>SUM(G17:G19)</f>
        <v>0</v>
      </c>
      <c r="H20" s="151"/>
      <c r="I20" s="702" t="s">
        <v>145</v>
      </c>
      <c r="J20" s="29"/>
      <c r="K20" s="158"/>
      <c r="L20" s="158"/>
      <c r="M20" s="158"/>
      <c r="N20" s="139">
        <f>K20*L20*M20</f>
        <v>0</v>
      </c>
      <c r="O20" s="172"/>
      <c r="P20" s="167" t="s">
        <v>26</v>
      </c>
      <c r="Q20" s="168"/>
      <c r="R20" s="168"/>
      <c r="S20" s="168"/>
      <c r="T20" s="707"/>
      <c r="U20" s="697"/>
      <c r="V20" s="169">
        <f>SUM(V5:V19)</f>
        <v>97705</v>
      </c>
    </row>
    <row r="21" spans="2:22" ht="15" customHeight="1" thickTop="1" x14ac:dyDescent="0.15">
      <c r="B21" s="702" t="s">
        <v>136</v>
      </c>
      <c r="C21" s="29" t="s">
        <v>423</v>
      </c>
      <c r="D21" s="29">
        <v>84</v>
      </c>
      <c r="E21" s="36" t="s">
        <v>275</v>
      </c>
      <c r="F21" s="29">
        <v>200</v>
      </c>
      <c r="G21" s="139">
        <f>D21*F21</f>
        <v>16800</v>
      </c>
      <c r="H21" s="151"/>
      <c r="I21" s="597"/>
      <c r="J21" s="29"/>
      <c r="K21" s="158"/>
      <c r="L21" s="158"/>
      <c r="M21" s="158"/>
      <c r="N21" s="139">
        <f t="shared" ref="N21:N22" si="12">K21*L21*M21</f>
        <v>0</v>
      </c>
      <c r="O21" s="172"/>
    </row>
    <row r="22" spans="2:22" ht="15" customHeight="1" thickBot="1" x14ac:dyDescent="0.2">
      <c r="B22" s="597"/>
      <c r="C22" s="29"/>
      <c r="D22" s="29"/>
      <c r="E22" s="36"/>
      <c r="F22" s="29"/>
      <c r="G22" s="139">
        <f>D22*F22</f>
        <v>0</v>
      </c>
      <c r="H22" s="151"/>
      <c r="I22" s="597"/>
      <c r="J22" s="29"/>
      <c r="K22" s="158"/>
      <c r="L22" s="158"/>
      <c r="M22" s="158"/>
      <c r="N22" s="139">
        <f t="shared" si="12"/>
        <v>0</v>
      </c>
      <c r="O22" s="172"/>
      <c r="P22" s="163" t="s">
        <v>185</v>
      </c>
    </row>
    <row r="23" spans="2:22" ht="15" customHeight="1" thickBot="1" x14ac:dyDescent="0.2">
      <c r="B23" s="597"/>
      <c r="C23" s="29"/>
      <c r="D23" s="29"/>
      <c r="E23" s="36"/>
      <c r="F23" s="29"/>
      <c r="G23" s="139">
        <f>D23*F23</f>
        <v>0</v>
      </c>
      <c r="H23" s="151"/>
      <c r="I23" s="704"/>
      <c r="J23" s="242" t="s">
        <v>190</v>
      </c>
      <c r="K23" s="159">
        <f>SUM(K20:K22)</f>
        <v>0</v>
      </c>
      <c r="L23" s="160">
        <f>SUM(L20:L22)</f>
        <v>0</v>
      </c>
      <c r="M23" s="161"/>
      <c r="N23" s="154">
        <f>SUM(N20:N22)</f>
        <v>0</v>
      </c>
      <c r="O23" s="172"/>
      <c r="P23" s="238" t="s">
        <v>152</v>
      </c>
      <c r="Q23" s="239" t="s">
        <v>147</v>
      </c>
      <c r="R23" s="239" t="s">
        <v>148</v>
      </c>
      <c r="S23" s="239" t="s">
        <v>191</v>
      </c>
      <c r="T23" s="239" t="s">
        <v>150</v>
      </c>
      <c r="U23" s="367" t="s">
        <v>231</v>
      </c>
      <c r="V23" s="240" t="s">
        <v>151</v>
      </c>
    </row>
    <row r="24" spans="2:22" ht="15" customHeight="1" thickTop="1" thickBot="1" x14ac:dyDescent="0.2">
      <c r="B24" s="703"/>
      <c r="C24" s="145" t="s">
        <v>119</v>
      </c>
      <c r="D24" s="146"/>
      <c r="E24" s="146"/>
      <c r="F24" s="153"/>
      <c r="G24" s="147">
        <f>SUM(G21:G23)</f>
        <v>16800</v>
      </c>
      <c r="I24" s="702" t="s">
        <v>236</v>
      </c>
      <c r="J24" s="29"/>
      <c r="K24" s="158"/>
      <c r="L24" s="158"/>
      <c r="M24" s="158"/>
      <c r="N24" s="139">
        <f>K24*L24*M24</f>
        <v>0</v>
      </c>
      <c r="O24" s="172"/>
      <c r="P24" s="241" t="s">
        <v>351</v>
      </c>
      <c r="Q24" s="135">
        <v>1</v>
      </c>
      <c r="R24" s="363" t="s">
        <v>79</v>
      </c>
      <c r="S24" s="135">
        <v>14595</v>
      </c>
      <c r="T24" s="135">
        <v>3</v>
      </c>
      <c r="U24" s="136">
        <f>'４　経営収支'!$G$4</f>
        <v>60</v>
      </c>
      <c r="V24" s="166">
        <f>Q24*S24/T24/U24*10</f>
        <v>810.83333333333326</v>
      </c>
    </row>
    <row r="25" spans="2:22" ht="15" customHeight="1" x14ac:dyDescent="0.15">
      <c r="H25" s="152"/>
      <c r="I25" s="597"/>
      <c r="J25" s="29"/>
      <c r="K25" s="158"/>
      <c r="L25" s="158"/>
      <c r="M25" s="158"/>
      <c r="N25" s="139">
        <f t="shared" ref="N25:N26" si="13">K25*L25*M25</f>
        <v>0</v>
      </c>
      <c r="O25" s="172"/>
      <c r="P25" s="241" t="s">
        <v>336</v>
      </c>
      <c r="Q25" s="135">
        <v>2</v>
      </c>
      <c r="R25" s="363" t="s">
        <v>337</v>
      </c>
      <c r="S25" s="135">
        <v>7000</v>
      </c>
      <c r="T25" s="135">
        <v>7</v>
      </c>
      <c r="U25" s="136">
        <f>'４　経営収支'!$G$4</f>
        <v>60</v>
      </c>
      <c r="V25" s="166">
        <f t="shared" ref="V25:V30" si="14">Q25*S25/T25/U25*10</f>
        <v>333.33333333333337</v>
      </c>
    </row>
    <row r="26" spans="2:22" ht="15" customHeight="1" thickBot="1" x14ac:dyDescent="0.2">
      <c r="B26" s="5" t="s">
        <v>192</v>
      </c>
      <c r="C26" s="5"/>
      <c r="D26" s="32"/>
      <c r="E26" s="5"/>
      <c r="F26" s="32"/>
      <c r="G26" s="33"/>
      <c r="H26" s="150"/>
      <c r="I26" s="597"/>
      <c r="J26" s="29"/>
      <c r="K26" s="158"/>
      <c r="L26" s="158"/>
      <c r="M26" s="158"/>
      <c r="N26" s="139">
        <f t="shared" si="13"/>
        <v>0</v>
      </c>
      <c r="O26" s="172"/>
      <c r="P26" s="241" t="s">
        <v>338</v>
      </c>
      <c r="Q26" s="135">
        <v>2</v>
      </c>
      <c r="R26" s="363" t="s">
        <v>337</v>
      </c>
      <c r="S26" s="135">
        <v>8700</v>
      </c>
      <c r="T26" s="135">
        <v>7</v>
      </c>
      <c r="U26" s="136">
        <f>'４　経営収支'!$G$4</f>
        <v>60</v>
      </c>
      <c r="V26" s="166">
        <f t="shared" si="14"/>
        <v>414.28571428571433</v>
      </c>
    </row>
    <row r="27" spans="2:22" ht="15" customHeight="1" thickBot="1" x14ac:dyDescent="0.2">
      <c r="B27" s="237" t="s">
        <v>71</v>
      </c>
      <c r="C27" s="149" t="s">
        <v>109</v>
      </c>
      <c r="D27" s="149" t="s">
        <v>110</v>
      </c>
      <c r="E27" s="149" t="s">
        <v>111</v>
      </c>
      <c r="F27" s="149" t="s">
        <v>21</v>
      </c>
      <c r="G27" s="137" t="s">
        <v>112</v>
      </c>
      <c r="H27" s="151"/>
      <c r="I27" s="704"/>
      <c r="J27" s="242" t="s">
        <v>188</v>
      </c>
      <c r="K27" s="159">
        <f>SUM(K24:K26)</f>
        <v>0</v>
      </c>
      <c r="L27" s="160">
        <f>SUM(L24:L26)</f>
        <v>0</v>
      </c>
      <c r="M27" s="161"/>
      <c r="N27" s="154">
        <f>SUM(N24:N26)</f>
        <v>0</v>
      </c>
      <c r="O27" s="172"/>
      <c r="P27" s="241" t="s">
        <v>339</v>
      </c>
      <c r="Q27" s="135">
        <v>2</v>
      </c>
      <c r="R27" s="363" t="s">
        <v>340</v>
      </c>
      <c r="S27" s="135">
        <v>1000</v>
      </c>
      <c r="T27" s="135">
        <v>7</v>
      </c>
      <c r="U27" s="136">
        <f>'４　経営収支'!$G$4</f>
        <v>60</v>
      </c>
      <c r="V27" s="166">
        <f t="shared" si="14"/>
        <v>47.61904761904762</v>
      </c>
    </row>
    <row r="28" spans="2:22" ht="15" customHeight="1" thickTop="1" x14ac:dyDescent="0.15">
      <c r="B28" s="596" t="s">
        <v>27</v>
      </c>
      <c r="C28" s="306" t="s">
        <v>423</v>
      </c>
      <c r="D28" s="60">
        <v>1</v>
      </c>
      <c r="E28" s="36" t="s">
        <v>294</v>
      </c>
      <c r="F28" s="344">
        <v>955</v>
      </c>
      <c r="G28" s="138">
        <f t="shared" ref="G28:G37" si="15">D28*F28</f>
        <v>955</v>
      </c>
      <c r="H28" s="151"/>
      <c r="I28" s="702" t="s">
        <v>141</v>
      </c>
      <c r="J28" s="29"/>
      <c r="K28" s="158"/>
      <c r="L28" s="158"/>
      <c r="M28" s="158"/>
      <c r="N28" s="139">
        <f>K28*L28*M28</f>
        <v>0</v>
      </c>
      <c r="O28" s="172"/>
      <c r="P28" s="241" t="s">
        <v>341</v>
      </c>
      <c r="Q28" s="135">
        <v>20</v>
      </c>
      <c r="R28" s="363" t="s">
        <v>342</v>
      </c>
      <c r="S28" s="135">
        <v>700</v>
      </c>
      <c r="T28" s="135">
        <v>7</v>
      </c>
      <c r="U28" s="305">
        <f>'４　経営収支'!$G$4</f>
        <v>60</v>
      </c>
      <c r="V28" s="166">
        <f t="shared" si="14"/>
        <v>333.33333333333337</v>
      </c>
    </row>
    <row r="29" spans="2:22" ht="15" customHeight="1" x14ac:dyDescent="0.15">
      <c r="B29" s="597"/>
      <c r="C29" s="306" t="s">
        <v>425</v>
      </c>
      <c r="D29" s="60">
        <v>1.2</v>
      </c>
      <c r="E29" s="36" t="s">
        <v>117</v>
      </c>
      <c r="F29" s="344">
        <v>1730</v>
      </c>
      <c r="G29" s="139">
        <f t="shared" si="15"/>
        <v>2076</v>
      </c>
      <c r="H29" s="151"/>
      <c r="I29" s="597"/>
      <c r="J29" s="29"/>
      <c r="K29" s="158"/>
      <c r="L29" s="158"/>
      <c r="M29" s="158"/>
      <c r="N29" s="139">
        <f t="shared" ref="N29:N30" si="16">K29*L29*M29</f>
        <v>0</v>
      </c>
      <c r="O29" s="31"/>
      <c r="P29" s="241" t="s">
        <v>343</v>
      </c>
      <c r="Q29" s="135">
        <v>2</v>
      </c>
      <c r="R29" s="363" t="s">
        <v>337</v>
      </c>
      <c r="S29" s="135">
        <v>8000</v>
      </c>
      <c r="T29" s="135">
        <v>7</v>
      </c>
      <c r="U29" s="305">
        <f>'４　経営収支'!$G$4</f>
        <v>60</v>
      </c>
      <c r="V29" s="166">
        <f t="shared" si="14"/>
        <v>380.95238095238096</v>
      </c>
    </row>
    <row r="30" spans="2:22" ht="15" customHeight="1" x14ac:dyDescent="0.15">
      <c r="B30" s="597"/>
      <c r="C30" s="306" t="s">
        <v>426</v>
      </c>
      <c r="D30" s="60">
        <v>1.5</v>
      </c>
      <c r="E30" s="36" t="s">
        <v>295</v>
      </c>
      <c r="F30" s="344">
        <v>1747</v>
      </c>
      <c r="G30" s="139">
        <f t="shared" si="15"/>
        <v>2620.5</v>
      </c>
      <c r="H30" s="151"/>
      <c r="I30" s="597"/>
      <c r="J30" s="29"/>
      <c r="K30" s="158"/>
      <c r="L30" s="158"/>
      <c r="M30" s="158"/>
      <c r="N30" s="139">
        <f t="shared" si="16"/>
        <v>0</v>
      </c>
      <c r="P30" s="241" t="s">
        <v>363</v>
      </c>
      <c r="Q30" s="135">
        <v>2</v>
      </c>
      <c r="R30" s="377" t="s">
        <v>79</v>
      </c>
      <c r="S30" s="135">
        <v>7000</v>
      </c>
      <c r="T30" s="135">
        <v>3</v>
      </c>
      <c r="U30" s="136">
        <v>60</v>
      </c>
      <c r="V30" s="166">
        <f t="shared" si="14"/>
        <v>777.77777777777783</v>
      </c>
    </row>
    <row r="31" spans="2:22" ht="15" customHeight="1" thickBot="1" x14ac:dyDescent="0.2">
      <c r="B31" s="597"/>
      <c r="C31" s="306" t="s">
        <v>427</v>
      </c>
      <c r="D31" s="60">
        <v>1.5</v>
      </c>
      <c r="E31" s="36" t="s">
        <v>117</v>
      </c>
      <c r="F31" s="344">
        <v>976</v>
      </c>
      <c r="G31" s="139">
        <f t="shared" si="15"/>
        <v>1464</v>
      </c>
      <c r="H31" s="151"/>
      <c r="I31" s="703"/>
      <c r="J31" s="243" t="s">
        <v>193</v>
      </c>
      <c r="K31" s="162">
        <f>SUM(K28:K30)</f>
        <v>0</v>
      </c>
      <c r="L31" s="164">
        <f>SUM(L28:L30)</f>
        <v>0</v>
      </c>
      <c r="M31" s="165"/>
      <c r="N31" s="156">
        <f>SUM(N28:N30)</f>
        <v>0</v>
      </c>
      <c r="P31" s="241"/>
      <c r="Q31" s="135"/>
      <c r="R31" s="363"/>
      <c r="S31" s="135"/>
      <c r="T31" s="135"/>
      <c r="U31" s="136"/>
      <c r="V31" s="166"/>
    </row>
    <row r="32" spans="2:22" ht="15" customHeight="1" x14ac:dyDescent="0.15">
      <c r="B32" s="597"/>
      <c r="C32" s="306"/>
      <c r="D32" s="306"/>
      <c r="E32" s="36"/>
      <c r="F32" s="306"/>
      <c r="G32" s="139">
        <f t="shared" si="15"/>
        <v>0</v>
      </c>
      <c r="H32" s="151"/>
      <c r="I32" s="130"/>
      <c r="J32" s="130"/>
      <c r="K32" s="130"/>
      <c r="L32" s="130"/>
      <c r="M32" s="130"/>
      <c r="N32" s="130"/>
      <c r="P32" s="241"/>
      <c r="Q32" s="135"/>
      <c r="R32" s="363"/>
      <c r="S32" s="135"/>
      <c r="T32" s="135"/>
      <c r="U32" s="136"/>
      <c r="V32" s="166"/>
    </row>
    <row r="33" spans="2:22" ht="15" customHeight="1" thickBot="1" x14ac:dyDescent="0.2">
      <c r="B33" s="597"/>
      <c r="C33" s="306"/>
      <c r="D33" s="306"/>
      <c r="E33" s="36"/>
      <c r="F33" s="306"/>
      <c r="G33" s="139">
        <f t="shared" si="15"/>
        <v>0</v>
      </c>
      <c r="H33" s="151"/>
      <c r="I33" s="124" t="s">
        <v>183</v>
      </c>
      <c r="J33" s="117"/>
      <c r="K33" s="117"/>
      <c r="L33" s="117"/>
      <c r="M33" s="117"/>
      <c r="P33" s="241"/>
      <c r="Q33" s="135"/>
      <c r="R33" s="363"/>
      <c r="S33" s="135"/>
      <c r="T33" s="135"/>
      <c r="U33" s="136"/>
      <c r="V33" s="166"/>
    </row>
    <row r="34" spans="2:22" ht="15" customHeight="1" thickBot="1" x14ac:dyDescent="0.2">
      <c r="B34" s="597"/>
      <c r="C34" s="29"/>
      <c r="D34" s="29"/>
      <c r="E34" s="36"/>
      <c r="F34" s="29"/>
      <c r="G34" s="139">
        <f t="shared" si="15"/>
        <v>0</v>
      </c>
      <c r="H34" s="151"/>
      <c r="I34" s="219" t="s">
        <v>171</v>
      </c>
      <c r="J34" s="220" t="s">
        <v>3</v>
      </c>
      <c r="K34" s="694" t="s">
        <v>172</v>
      </c>
      <c r="L34" s="695"/>
      <c r="M34" s="369" t="s">
        <v>231</v>
      </c>
      <c r="N34" s="244" t="s">
        <v>194</v>
      </c>
      <c r="P34" s="245" t="s">
        <v>176</v>
      </c>
      <c r="Q34" s="168"/>
      <c r="R34" s="168"/>
      <c r="S34" s="168"/>
      <c r="T34" s="168"/>
      <c r="U34" s="170"/>
      <c r="V34" s="169">
        <f>SUM(V24:V33)</f>
        <v>3098.1349206349209</v>
      </c>
    </row>
    <row r="35" spans="2:22" ht="15" customHeight="1" x14ac:dyDescent="0.15">
      <c r="B35" s="597"/>
      <c r="C35" s="29"/>
      <c r="D35" s="29"/>
      <c r="E35" s="36"/>
      <c r="F35" s="29"/>
      <c r="G35" s="139">
        <f t="shared" si="15"/>
        <v>0</v>
      </c>
      <c r="H35" s="151"/>
      <c r="I35" s="678" t="s">
        <v>0</v>
      </c>
      <c r="J35" s="370" t="s">
        <v>215</v>
      </c>
      <c r="K35" s="692">
        <f>'６　固定資本装備と減価償却費'!G5</f>
        <v>2160000</v>
      </c>
      <c r="L35" s="692"/>
      <c r="M35" s="366">
        <f>'４　経営収支'!$G$4</f>
        <v>60</v>
      </c>
      <c r="N35" s="231">
        <f>+K35/M35*10*0.014*0.3</f>
        <v>1512</v>
      </c>
    </row>
    <row r="36" spans="2:22" ht="15" customHeight="1" thickBot="1" x14ac:dyDescent="0.2">
      <c r="B36" s="597"/>
      <c r="C36" s="29"/>
      <c r="D36" s="29"/>
      <c r="E36" s="36"/>
      <c r="F36" s="29"/>
      <c r="G36" s="139">
        <f t="shared" si="15"/>
        <v>0</v>
      </c>
      <c r="H36" s="151"/>
      <c r="I36" s="698"/>
      <c r="J36" s="336" t="s">
        <v>319</v>
      </c>
      <c r="K36" s="692">
        <f>'６　固定資本装備と減価償却費'!G6</f>
        <v>2160000</v>
      </c>
      <c r="L36" s="692"/>
      <c r="M36" s="366">
        <f>'４　経営収支'!$G$4</f>
        <v>60</v>
      </c>
      <c r="N36" s="231">
        <f>+K36/M36*10*0.014*0.3</f>
        <v>1512</v>
      </c>
      <c r="P36" s="124" t="s">
        <v>177</v>
      </c>
      <c r="Q36" s="117"/>
      <c r="R36" s="117"/>
      <c r="S36" s="117"/>
      <c r="T36" s="117"/>
    </row>
    <row r="37" spans="2:22" ht="15" customHeight="1" x14ac:dyDescent="0.15">
      <c r="B37" s="597"/>
      <c r="C37" s="29"/>
      <c r="D37" s="29"/>
      <c r="E37" s="36"/>
      <c r="F37" s="29"/>
      <c r="G37" s="139">
        <f t="shared" si="15"/>
        <v>0</v>
      </c>
      <c r="H37" s="151"/>
      <c r="I37" s="698"/>
      <c r="J37" s="148"/>
      <c r="K37" s="692"/>
      <c r="L37" s="692"/>
      <c r="M37" s="366"/>
      <c r="N37" s="231"/>
      <c r="O37" s="163"/>
      <c r="P37" s="219" t="s">
        <v>170</v>
      </c>
      <c r="Q37" s="675" t="s">
        <v>178</v>
      </c>
      <c r="R37" s="675"/>
      <c r="S37" s="364" t="s">
        <v>181</v>
      </c>
      <c r="T37" s="364" t="s">
        <v>180</v>
      </c>
      <c r="U37" s="371" t="s">
        <v>231</v>
      </c>
      <c r="V37" s="246" t="s">
        <v>194</v>
      </c>
    </row>
    <row r="38" spans="2:22" ht="15" customHeight="1" thickBot="1" x14ac:dyDescent="0.2">
      <c r="B38" s="704"/>
      <c r="C38" s="140" t="s">
        <v>115</v>
      </c>
      <c r="D38" s="140"/>
      <c r="E38" s="140"/>
      <c r="F38" s="140"/>
      <c r="G38" s="141">
        <f>SUM(G28:G37)</f>
        <v>7115.5</v>
      </c>
      <c r="H38" s="151"/>
      <c r="I38" s="698"/>
      <c r="J38" s="148"/>
      <c r="K38" s="692"/>
      <c r="L38" s="692"/>
      <c r="M38" s="366"/>
      <c r="N38" s="231"/>
      <c r="O38" s="163"/>
      <c r="P38" s="728" t="s">
        <v>179</v>
      </c>
      <c r="Q38" s="224"/>
      <c r="R38" s="250"/>
      <c r="S38" s="225"/>
      <c r="T38" s="251"/>
      <c r="U38" s="225"/>
      <c r="V38" s="231"/>
    </row>
    <row r="39" spans="2:22" ht="15" customHeight="1" thickTop="1" x14ac:dyDescent="0.15">
      <c r="B39" s="702" t="s">
        <v>137</v>
      </c>
      <c r="C39" s="306" t="s">
        <v>423</v>
      </c>
      <c r="D39" s="345">
        <v>5</v>
      </c>
      <c r="E39" s="36" t="s">
        <v>296</v>
      </c>
      <c r="F39" s="29">
        <v>421</v>
      </c>
      <c r="G39" s="139">
        <f>D39*F39</f>
        <v>2105</v>
      </c>
      <c r="H39" s="151"/>
      <c r="I39" s="698"/>
      <c r="J39" s="148"/>
      <c r="K39" s="692"/>
      <c r="L39" s="692"/>
      <c r="M39" s="366"/>
      <c r="N39" s="231"/>
      <c r="O39" s="163"/>
      <c r="P39" s="726"/>
      <c r="Q39" s="224"/>
      <c r="R39" s="250"/>
      <c r="S39" s="225"/>
      <c r="T39" s="251"/>
      <c r="U39" s="225"/>
      <c r="V39" s="231"/>
    </row>
    <row r="40" spans="2:22" ht="15" customHeight="1" x14ac:dyDescent="0.15">
      <c r="B40" s="597"/>
      <c r="C40" s="306" t="s">
        <v>425</v>
      </c>
      <c r="D40" s="345">
        <v>0.16</v>
      </c>
      <c r="E40" s="36" t="s">
        <v>297</v>
      </c>
      <c r="F40" s="29">
        <v>3353</v>
      </c>
      <c r="G40" s="139">
        <f>D40*F40</f>
        <v>536.48</v>
      </c>
      <c r="H40" s="151"/>
      <c r="I40" s="698"/>
      <c r="J40" s="148"/>
      <c r="K40" s="692"/>
      <c r="L40" s="692"/>
      <c r="M40" s="366"/>
      <c r="N40" s="231"/>
      <c r="O40" s="163"/>
      <c r="P40" s="726"/>
      <c r="Q40" s="224"/>
      <c r="R40" s="250"/>
      <c r="S40" s="225"/>
      <c r="T40" s="251"/>
      <c r="U40" s="225"/>
      <c r="V40" s="231"/>
    </row>
    <row r="41" spans="2:22" ht="15" customHeight="1" x14ac:dyDescent="0.15">
      <c r="B41" s="597"/>
      <c r="C41" s="306" t="s">
        <v>428</v>
      </c>
      <c r="D41" s="345">
        <v>1.5</v>
      </c>
      <c r="E41" s="36" t="s">
        <v>295</v>
      </c>
      <c r="F41" s="29">
        <v>2108</v>
      </c>
      <c r="G41" s="139">
        <f t="shared" ref="G41:G47" si="17">D41*F41</f>
        <v>3162</v>
      </c>
      <c r="H41" s="151"/>
      <c r="I41" s="698"/>
      <c r="J41" s="148"/>
      <c r="K41" s="692"/>
      <c r="L41" s="692"/>
      <c r="M41" s="366"/>
      <c r="N41" s="231"/>
      <c r="O41" s="163"/>
      <c r="P41" s="726"/>
      <c r="Q41" s="224"/>
      <c r="R41" s="250"/>
      <c r="S41" s="225"/>
      <c r="T41" s="251"/>
      <c r="U41" s="225"/>
      <c r="V41" s="231"/>
    </row>
    <row r="42" spans="2:22" ht="15" customHeight="1" thickBot="1" x14ac:dyDescent="0.2">
      <c r="B42" s="597"/>
      <c r="C42" s="306" t="s">
        <v>429</v>
      </c>
      <c r="D42" s="345">
        <v>1</v>
      </c>
      <c r="E42" s="36" t="s">
        <v>295</v>
      </c>
      <c r="F42" s="306">
        <v>3436</v>
      </c>
      <c r="G42" s="139">
        <f t="shared" si="17"/>
        <v>3436</v>
      </c>
      <c r="H42" s="151"/>
      <c r="I42" s="699"/>
      <c r="J42" s="221" t="s">
        <v>116</v>
      </c>
      <c r="K42" s="689"/>
      <c r="L42" s="690"/>
      <c r="M42" s="222"/>
      <c r="N42" s="228">
        <f>SUM(N35:N41)</f>
        <v>3024</v>
      </c>
      <c r="O42" s="163"/>
      <c r="P42" s="726"/>
      <c r="Q42" s="224"/>
      <c r="R42" s="250"/>
      <c r="S42" s="225"/>
      <c r="T42" s="251"/>
      <c r="U42" s="225"/>
      <c r="V42" s="231"/>
    </row>
    <row r="43" spans="2:22" ht="15" customHeight="1" thickTop="1" x14ac:dyDescent="0.15">
      <c r="B43" s="597"/>
      <c r="C43" s="306" t="s">
        <v>430</v>
      </c>
      <c r="D43" s="345">
        <v>1</v>
      </c>
      <c r="E43" s="36" t="s">
        <v>296</v>
      </c>
      <c r="F43" s="306">
        <v>1553</v>
      </c>
      <c r="G43" s="139">
        <f t="shared" si="17"/>
        <v>1553</v>
      </c>
      <c r="H43" s="151"/>
      <c r="I43" s="676" t="s">
        <v>173</v>
      </c>
      <c r="J43" s="223" t="s">
        <v>186</v>
      </c>
      <c r="K43" s="691">
        <v>4100</v>
      </c>
      <c r="L43" s="691"/>
      <c r="M43" s="365">
        <f>'４　経営収支'!$G$4</f>
        <v>60</v>
      </c>
      <c r="N43" s="247">
        <f>+K43/M43*10</f>
        <v>683.33333333333326</v>
      </c>
      <c r="O43" s="163"/>
      <c r="P43" s="726"/>
      <c r="Q43" s="224"/>
      <c r="R43" s="250"/>
      <c r="S43" s="225"/>
      <c r="T43" s="251"/>
      <c r="U43" s="225"/>
      <c r="V43" s="231"/>
    </row>
    <row r="44" spans="2:22" ht="15" customHeight="1" thickBot="1" x14ac:dyDescent="0.2">
      <c r="B44" s="597"/>
      <c r="C44" s="306" t="s">
        <v>431</v>
      </c>
      <c r="D44" s="345">
        <v>1</v>
      </c>
      <c r="E44" s="36" t="s">
        <v>296</v>
      </c>
      <c r="F44" s="29">
        <v>667</v>
      </c>
      <c r="G44" s="139">
        <f t="shared" si="17"/>
        <v>667</v>
      </c>
      <c r="H44" s="151"/>
      <c r="I44" s="677"/>
      <c r="J44" s="224"/>
      <c r="K44" s="692"/>
      <c r="L44" s="692"/>
      <c r="M44" s="366"/>
      <c r="N44" s="231"/>
      <c r="O44" s="163"/>
      <c r="P44" s="729"/>
      <c r="Q44" s="232" t="s">
        <v>182</v>
      </c>
      <c r="R44" s="233"/>
      <c r="S44" s="233"/>
      <c r="T44" s="233"/>
      <c r="U44" s="233"/>
      <c r="V44" s="234">
        <f>SUM(V38:V43)</f>
        <v>0</v>
      </c>
    </row>
    <row r="45" spans="2:22" ht="15" customHeight="1" thickTop="1" x14ac:dyDescent="0.15">
      <c r="B45" s="597"/>
      <c r="C45" s="29"/>
      <c r="D45" s="29"/>
      <c r="E45" s="36"/>
      <c r="F45" s="29"/>
      <c r="G45" s="139">
        <f t="shared" si="17"/>
        <v>0</v>
      </c>
      <c r="H45" s="151"/>
      <c r="I45" s="677"/>
      <c r="J45" s="148"/>
      <c r="K45" s="692"/>
      <c r="L45" s="692"/>
      <c r="M45" s="366"/>
      <c r="N45" s="231"/>
      <c r="O45" s="163"/>
      <c r="P45" s="725" t="s">
        <v>187</v>
      </c>
      <c r="Q45" s="722" t="s">
        <v>195</v>
      </c>
      <c r="R45" s="252" t="s">
        <v>186</v>
      </c>
      <c r="S45" s="224">
        <v>15600</v>
      </c>
      <c r="T45" s="251">
        <v>1</v>
      </c>
      <c r="U45" s="224">
        <f>'４　経営収支'!$G$4</f>
        <v>60</v>
      </c>
      <c r="V45" s="231">
        <f>+S45*T45/U45*10</f>
        <v>2600</v>
      </c>
    </row>
    <row r="46" spans="2:22" ht="15" customHeight="1" thickBot="1" x14ac:dyDescent="0.2">
      <c r="B46" s="597"/>
      <c r="C46" s="29"/>
      <c r="D46" s="29"/>
      <c r="E46" s="29"/>
      <c r="F46" s="29"/>
      <c r="G46" s="139">
        <f t="shared" si="17"/>
        <v>0</v>
      </c>
      <c r="H46" s="151"/>
      <c r="I46" s="693"/>
      <c r="J46" s="221" t="s">
        <v>116</v>
      </c>
      <c r="K46" s="689"/>
      <c r="L46" s="690"/>
      <c r="M46" s="222"/>
      <c r="N46" s="228">
        <f>SUM(N43:N45)</f>
        <v>683.33333333333326</v>
      </c>
      <c r="O46" s="163"/>
      <c r="P46" s="726"/>
      <c r="Q46" s="723"/>
      <c r="R46" s="252"/>
      <c r="S46" s="224"/>
      <c r="T46" s="251"/>
      <c r="U46" s="224"/>
      <c r="V46" s="231"/>
    </row>
    <row r="47" spans="2:22" ht="15" customHeight="1" thickTop="1" x14ac:dyDescent="0.15">
      <c r="B47" s="597"/>
      <c r="C47" s="29"/>
      <c r="D47" s="29"/>
      <c r="E47" s="29"/>
      <c r="F47" s="29"/>
      <c r="G47" s="139">
        <f t="shared" si="17"/>
        <v>0</v>
      </c>
      <c r="H47" s="151"/>
      <c r="I47" s="676" t="s">
        <v>174</v>
      </c>
      <c r="J47" s="223"/>
      <c r="K47" s="691"/>
      <c r="L47" s="691"/>
      <c r="M47" s="365"/>
      <c r="N47" s="247"/>
      <c r="O47" s="163"/>
      <c r="P47" s="726"/>
      <c r="Q47" s="723"/>
      <c r="R47" s="252"/>
      <c r="S47" s="224"/>
      <c r="T47" s="224"/>
      <c r="U47" s="148"/>
      <c r="V47" s="253"/>
    </row>
    <row r="48" spans="2:22" ht="15" customHeight="1" x14ac:dyDescent="0.15">
      <c r="B48" s="597"/>
      <c r="C48" s="29"/>
      <c r="D48" s="29"/>
      <c r="E48" s="29"/>
      <c r="F48" s="29"/>
      <c r="G48" s="139">
        <f t="shared" ref="G48:G52" si="18">D48*F48</f>
        <v>0</v>
      </c>
      <c r="H48" s="151"/>
      <c r="I48" s="677"/>
      <c r="J48" s="224"/>
      <c r="K48" s="692"/>
      <c r="L48" s="692"/>
      <c r="M48" s="366"/>
      <c r="N48" s="231"/>
      <c r="O48" s="163"/>
      <c r="P48" s="726"/>
      <c r="Q48" s="723"/>
      <c r="R48" s="252"/>
      <c r="S48" s="224"/>
      <c r="T48" s="251"/>
      <c r="U48" s="347"/>
      <c r="V48" s="231"/>
    </row>
    <row r="49" spans="2:22" ht="15" customHeight="1" thickBot="1" x14ac:dyDescent="0.2">
      <c r="B49" s="704"/>
      <c r="C49" s="142" t="s">
        <v>116</v>
      </c>
      <c r="D49" s="143"/>
      <c r="E49" s="143"/>
      <c r="F49" s="143"/>
      <c r="G49" s="144">
        <f>SUM(G39:G48)</f>
        <v>11459.48</v>
      </c>
      <c r="H49" s="151"/>
      <c r="I49" s="677"/>
      <c r="J49" s="148"/>
      <c r="K49" s="692"/>
      <c r="L49" s="692"/>
      <c r="M49" s="366"/>
      <c r="N49" s="231"/>
      <c r="O49" s="163"/>
      <c r="P49" s="726"/>
      <c r="Q49" s="724"/>
      <c r="R49" s="252"/>
      <c r="S49" s="224"/>
      <c r="T49" s="224"/>
      <c r="U49" s="148"/>
      <c r="V49" s="253"/>
    </row>
    <row r="50" spans="2:22" ht="15" customHeight="1" thickTop="1" thickBot="1" x14ac:dyDescent="0.2">
      <c r="B50" s="702" t="s">
        <v>29</v>
      </c>
      <c r="C50" s="29"/>
      <c r="D50" s="29"/>
      <c r="E50" s="36"/>
      <c r="F50" s="29"/>
      <c r="G50" s="139">
        <f t="shared" si="18"/>
        <v>0</v>
      </c>
      <c r="H50" s="151"/>
      <c r="I50" s="693"/>
      <c r="J50" s="221" t="s">
        <v>116</v>
      </c>
      <c r="K50" s="689"/>
      <c r="L50" s="690"/>
      <c r="M50" s="222"/>
      <c r="N50" s="228">
        <f>SUM(N47:N49)</f>
        <v>0</v>
      </c>
      <c r="O50" s="163"/>
      <c r="P50" s="726"/>
      <c r="Q50" s="232" t="s">
        <v>182</v>
      </c>
      <c r="R50" s="233"/>
      <c r="S50" s="233"/>
      <c r="T50" s="233"/>
      <c r="U50" s="233"/>
      <c r="V50" s="234">
        <f>SUM(V45:V49)</f>
        <v>2600</v>
      </c>
    </row>
    <row r="51" spans="2:22" ht="15" customHeight="1" thickTop="1" x14ac:dyDescent="0.15">
      <c r="B51" s="597"/>
      <c r="C51" s="29"/>
      <c r="D51" s="29"/>
      <c r="E51" s="29"/>
      <c r="F51" s="29"/>
      <c r="G51" s="139">
        <f t="shared" si="18"/>
        <v>0</v>
      </c>
      <c r="H51" s="151"/>
      <c r="I51" s="676" t="s">
        <v>175</v>
      </c>
      <c r="J51" s="223" t="s">
        <v>43</v>
      </c>
      <c r="K51" s="679">
        <v>2400</v>
      </c>
      <c r="L51" s="680"/>
      <c r="M51" s="235">
        <f>'４　経営収支'!$G$4</f>
        <v>60</v>
      </c>
      <c r="N51" s="248">
        <f>+K51/M51*10</f>
        <v>400</v>
      </c>
      <c r="O51" s="163"/>
      <c r="P51" s="726"/>
      <c r="Q51" s="722" t="s">
        <v>196</v>
      </c>
      <c r="R51" s="252" t="s">
        <v>186</v>
      </c>
      <c r="S51" s="224">
        <v>25000</v>
      </c>
      <c r="T51" s="251">
        <v>1</v>
      </c>
      <c r="U51" s="224">
        <f>'４　経営収支'!$G$4</f>
        <v>60</v>
      </c>
      <c r="V51" s="231">
        <f>+S51*T51/U51*10</f>
        <v>4166.666666666667</v>
      </c>
    </row>
    <row r="52" spans="2:22" ht="15" customHeight="1" x14ac:dyDescent="0.15">
      <c r="B52" s="597"/>
      <c r="C52" s="29"/>
      <c r="D52" s="29"/>
      <c r="E52" s="29"/>
      <c r="F52" s="29"/>
      <c r="G52" s="139">
        <f t="shared" si="18"/>
        <v>0</v>
      </c>
      <c r="H52" s="151"/>
      <c r="I52" s="677"/>
      <c r="J52" s="366" t="s">
        <v>186</v>
      </c>
      <c r="K52" s="681">
        <v>5000</v>
      </c>
      <c r="L52" s="682"/>
      <c r="M52" s="236">
        <f>'４　経営収支'!$G$4</f>
        <v>60</v>
      </c>
      <c r="N52" s="231">
        <f>+K52/M52*10</f>
        <v>833.33333333333326</v>
      </c>
      <c r="O52" s="163"/>
      <c r="P52" s="726"/>
      <c r="Q52" s="723"/>
      <c r="R52" s="252"/>
      <c r="S52" s="224"/>
      <c r="T52" s="251"/>
      <c r="U52" s="224"/>
      <c r="V52" s="231"/>
    </row>
    <row r="53" spans="2:22" ht="14.25" thickBot="1" x14ac:dyDescent="0.2">
      <c r="B53" s="704"/>
      <c r="C53" s="142" t="s">
        <v>116</v>
      </c>
      <c r="D53" s="143"/>
      <c r="E53" s="143"/>
      <c r="F53" s="143"/>
      <c r="G53" s="144">
        <f>SUM(G50:G52)</f>
        <v>0</v>
      </c>
      <c r="I53" s="677"/>
      <c r="J53" s="224"/>
      <c r="K53" s="683"/>
      <c r="L53" s="684"/>
      <c r="M53" s="236"/>
      <c r="N53" s="231"/>
      <c r="O53" s="163"/>
      <c r="P53" s="726"/>
      <c r="Q53" s="723"/>
      <c r="R53" s="252"/>
      <c r="S53" s="224"/>
      <c r="T53" s="224"/>
      <c r="U53" s="148"/>
      <c r="V53" s="253"/>
    </row>
    <row r="54" spans="2:22" ht="14.25" thickTop="1" x14ac:dyDescent="0.15">
      <c r="B54" s="702" t="s">
        <v>139</v>
      </c>
      <c r="C54" s="29" t="s">
        <v>320</v>
      </c>
      <c r="D54" s="29">
        <v>2</v>
      </c>
      <c r="E54" s="36" t="s">
        <v>118</v>
      </c>
      <c r="F54" s="29">
        <v>339</v>
      </c>
      <c r="G54" s="139">
        <f>D54*F54</f>
        <v>678</v>
      </c>
      <c r="I54" s="677"/>
      <c r="J54" s="366"/>
      <c r="K54" s="685"/>
      <c r="L54" s="686"/>
      <c r="M54" s="236"/>
      <c r="N54" s="231"/>
      <c r="O54" s="163"/>
      <c r="P54" s="726"/>
      <c r="Q54" s="723"/>
      <c r="R54" s="252"/>
      <c r="S54" s="224"/>
      <c r="T54" s="251"/>
      <c r="U54" s="224"/>
      <c r="V54" s="231"/>
    </row>
    <row r="55" spans="2:22" x14ac:dyDescent="0.15">
      <c r="B55" s="597"/>
      <c r="C55" s="29" t="s">
        <v>362</v>
      </c>
      <c r="D55" s="29">
        <v>1</v>
      </c>
      <c r="E55" s="36" t="s">
        <v>118</v>
      </c>
      <c r="F55" s="29">
        <v>175</v>
      </c>
      <c r="G55" s="139">
        <f>D55*F55</f>
        <v>175</v>
      </c>
      <c r="I55" s="677"/>
      <c r="J55" s="224"/>
      <c r="K55" s="683"/>
      <c r="L55" s="684"/>
      <c r="M55" s="236"/>
      <c r="N55" s="249"/>
      <c r="O55" s="163"/>
      <c r="P55" s="726"/>
      <c r="Q55" s="724"/>
      <c r="R55" s="252"/>
      <c r="S55" s="224"/>
      <c r="T55" s="224"/>
      <c r="U55" s="148"/>
      <c r="V55" s="253"/>
    </row>
    <row r="56" spans="2:22" x14ac:dyDescent="0.15">
      <c r="B56" s="597"/>
      <c r="C56" s="29"/>
      <c r="D56" s="29"/>
      <c r="E56" s="36"/>
      <c r="F56" s="29"/>
      <c r="G56" s="139">
        <f>D56*F56</f>
        <v>0</v>
      </c>
      <c r="I56" s="678"/>
      <c r="J56" s="226" t="s">
        <v>116</v>
      </c>
      <c r="K56" s="687"/>
      <c r="L56" s="688"/>
      <c r="M56" s="227"/>
      <c r="N56" s="229">
        <f>SUM(N51:N55)</f>
        <v>1233.3333333333333</v>
      </c>
      <c r="O56" s="163"/>
      <c r="P56" s="727"/>
      <c r="Q56" s="256" t="s">
        <v>182</v>
      </c>
      <c r="R56" s="257"/>
      <c r="S56" s="257"/>
      <c r="T56" s="257"/>
      <c r="U56" s="257"/>
      <c r="V56" s="258">
        <f>SUM(V51:V55)</f>
        <v>4166.666666666667</v>
      </c>
    </row>
    <row r="57" spans="2:22" ht="14.25" thickBot="1" x14ac:dyDescent="0.2">
      <c r="B57" s="703"/>
      <c r="C57" s="145" t="s">
        <v>119</v>
      </c>
      <c r="D57" s="146"/>
      <c r="E57" s="146"/>
      <c r="F57" s="146"/>
      <c r="G57" s="147">
        <f>SUM(G54:G56)</f>
        <v>853</v>
      </c>
      <c r="I57" s="696" t="s">
        <v>176</v>
      </c>
      <c r="J57" s="697"/>
      <c r="K57" s="700"/>
      <c r="L57" s="701"/>
      <c r="M57" s="170"/>
      <c r="N57" s="230">
        <f>SUM(N42,N46,N50,N56)</f>
        <v>4940.6666666666661</v>
      </c>
      <c r="O57" s="163"/>
      <c r="P57" s="720" t="s">
        <v>176</v>
      </c>
      <c r="Q57" s="721"/>
      <c r="R57" s="254"/>
      <c r="S57" s="254"/>
      <c r="T57" s="254"/>
      <c r="U57" s="254"/>
      <c r="V57" s="255">
        <f>SUM(V44,V50,V56)</f>
        <v>6766.666666666667</v>
      </c>
    </row>
    <row r="58" spans="2:22" x14ac:dyDescent="0.15">
      <c r="O58" s="163"/>
      <c r="V58" s="30"/>
    </row>
    <row r="59" spans="2:22" x14ac:dyDescent="0.15">
      <c r="I59" s="163"/>
      <c r="J59" s="163"/>
      <c r="K59" s="163"/>
      <c r="L59" s="163"/>
      <c r="M59" s="163"/>
      <c r="N59" s="163"/>
      <c r="O59" s="163"/>
    </row>
    <row r="60" spans="2:22" x14ac:dyDescent="0.15">
      <c r="I60" s="163"/>
      <c r="J60" s="163"/>
      <c r="K60" s="163"/>
      <c r="L60" s="163"/>
      <c r="M60" s="163"/>
      <c r="N60" s="163"/>
      <c r="O60" s="163"/>
    </row>
    <row r="61" spans="2:22" x14ac:dyDescent="0.15">
      <c r="I61" s="163"/>
      <c r="J61" s="163"/>
      <c r="K61" s="163"/>
      <c r="L61" s="163"/>
      <c r="M61" s="163"/>
      <c r="N61" s="163"/>
      <c r="O61" s="163"/>
    </row>
    <row r="62" spans="2:22" x14ac:dyDescent="0.15">
      <c r="I62" s="163"/>
      <c r="J62" s="163"/>
      <c r="K62" s="163"/>
      <c r="L62" s="163"/>
      <c r="M62" s="163"/>
      <c r="N62" s="163"/>
      <c r="O62" s="163"/>
    </row>
    <row r="63" spans="2:22" x14ac:dyDescent="0.15">
      <c r="I63" s="163"/>
      <c r="J63" s="163"/>
      <c r="K63" s="163"/>
      <c r="L63" s="163"/>
      <c r="M63" s="163"/>
      <c r="N63" s="163"/>
      <c r="O63" s="163"/>
    </row>
    <row r="64" spans="2:22" x14ac:dyDescent="0.15">
      <c r="I64" s="163"/>
      <c r="J64" s="163"/>
      <c r="K64" s="163"/>
      <c r="L64" s="163"/>
      <c r="M64" s="163"/>
      <c r="N64" s="163"/>
      <c r="O64" s="163"/>
    </row>
    <row r="65" spans="9:15" x14ac:dyDescent="0.15">
      <c r="I65" s="163"/>
      <c r="J65" s="163"/>
      <c r="K65" s="163"/>
      <c r="L65" s="163"/>
      <c r="M65" s="163"/>
      <c r="N65" s="163"/>
      <c r="O65" s="163"/>
    </row>
    <row r="66" spans="9:15" x14ac:dyDescent="0.15">
      <c r="I66" s="163"/>
      <c r="J66" s="163"/>
      <c r="K66" s="163"/>
      <c r="L66" s="163"/>
      <c r="M66" s="163"/>
      <c r="N66" s="163"/>
      <c r="O66" s="163"/>
    </row>
    <row r="67" spans="9:15" x14ac:dyDescent="0.15">
      <c r="I67" s="163"/>
      <c r="J67" s="163"/>
      <c r="K67" s="163"/>
      <c r="L67" s="163"/>
      <c r="M67" s="163"/>
      <c r="N67" s="163"/>
      <c r="O67" s="163"/>
    </row>
    <row r="68" spans="9:15" x14ac:dyDescent="0.15">
      <c r="I68" s="163"/>
      <c r="J68" s="163"/>
      <c r="K68" s="163"/>
      <c r="L68" s="163"/>
      <c r="M68" s="163"/>
      <c r="N68" s="163"/>
      <c r="O68" s="163"/>
    </row>
    <row r="69" spans="9:15" x14ac:dyDescent="0.15">
      <c r="I69" s="163"/>
      <c r="J69" s="163"/>
      <c r="K69" s="163"/>
      <c r="L69" s="163"/>
      <c r="M69" s="163"/>
      <c r="N69" s="163"/>
      <c r="O69" s="163"/>
    </row>
    <row r="70" spans="9:15" x14ac:dyDescent="0.15">
      <c r="I70" s="163"/>
      <c r="J70" s="163"/>
      <c r="K70" s="163"/>
      <c r="L70" s="163"/>
      <c r="M70" s="163"/>
      <c r="N70" s="163"/>
      <c r="O70" s="163"/>
    </row>
    <row r="71" spans="9:15" x14ac:dyDescent="0.15">
      <c r="I71" s="163"/>
      <c r="J71" s="163"/>
      <c r="K71" s="163"/>
      <c r="L71" s="163"/>
      <c r="M71" s="163"/>
      <c r="N71" s="163"/>
      <c r="O71" s="163"/>
    </row>
    <row r="72" spans="9:15" x14ac:dyDescent="0.15">
      <c r="I72" s="163"/>
      <c r="J72" s="163"/>
      <c r="K72" s="163"/>
      <c r="L72" s="163"/>
      <c r="M72" s="163"/>
      <c r="N72" s="163"/>
      <c r="O72" s="163"/>
    </row>
    <row r="73" spans="9:15" x14ac:dyDescent="0.15">
      <c r="I73" s="163"/>
      <c r="J73" s="163"/>
      <c r="K73" s="163"/>
      <c r="L73" s="163"/>
      <c r="M73" s="163"/>
      <c r="N73" s="163"/>
      <c r="O73" s="163"/>
    </row>
    <row r="74" spans="9:15" x14ac:dyDescent="0.15">
      <c r="I74" s="163"/>
      <c r="J74" s="163"/>
      <c r="K74" s="163"/>
      <c r="L74" s="163"/>
      <c r="M74" s="163"/>
      <c r="N74" s="163"/>
      <c r="O74" s="163"/>
    </row>
    <row r="75" spans="9:15" x14ac:dyDescent="0.15">
      <c r="I75" s="163"/>
      <c r="J75" s="163"/>
      <c r="K75" s="163"/>
      <c r="L75" s="163"/>
      <c r="M75" s="163"/>
      <c r="N75" s="163"/>
      <c r="O75" s="163"/>
    </row>
    <row r="76" spans="9:15" x14ac:dyDescent="0.15">
      <c r="I76" s="163"/>
      <c r="J76" s="163"/>
      <c r="K76" s="163"/>
      <c r="L76" s="163"/>
      <c r="M76" s="163"/>
      <c r="N76" s="163"/>
      <c r="O76" s="163"/>
    </row>
    <row r="77" spans="9:15" x14ac:dyDescent="0.15">
      <c r="I77" s="163"/>
      <c r="J77" s="163"/>
      <c r="K77" s="163"/>
      <c r="L77" s="163"/>
      <c r="M77" s="163"/>
      <c r="N77" s="163"/>
      <c r="O77" s="163"/>
    </row>
    <row r="78" spans="9:15" x14ac:dyDescent="0.15">
      <c r="I78" s="163"/>
      <c r="J78" s="163"/>
      <c r="K78" s="163"/>
      <c r="L78" s="163"/>
      <c r="M78" s="163"/>
      <c r="N78" s="163"/>
      <c r="O78" s="163"/>
    </row>
    <row r="79" spans="9:15" x14ac:dyDescent="0.15">
      <c r="I79" s="163"/>
      <c r="J79" s="163"/>
      <c r="K79" s="163"/>
      <c r="L79" s="163"/>
      <c r="M79" s="163"/>
      <c r="N79" s="163"/>
      <c r="O79" s="163"/>
    </row>
    <row r="80" spans="9:15" x14ac:dyDescent="0.15">
      <c r="I80" s="163"/>
      <c r="J80" s="163"/>
      <c r="K80" s="163"/>
      <c r="L80" s="163"/>
      <c r="M80" s="163"/>
      <c r="N80" s="163"/>
      <c r="O80" s="163"/>
    </row>
    <row r="81" spans="2:15" x14ac:dyDescent="0.15">
      <c r="I81" s="163"/>
      <c r="J81" s="163"/>
      <c r="K81" s="163"/>
      <c r="L81" s="163"/>
      <c r="M81" s="163"/>
      <c r="N81" s="163"/>
      <c r="O81" s="163"/>
    </row>
    <row r="82" spans="2:15" x14ac:dyDescent="0.15">
      <c r="I82" s="163"/>
      <c r="J82" s="163"/>
      <c r="K82" s="163"/>
      <c r="L82" s="163"/>
      <c r="M82" s="163"/>
      <c r="N82" s="163"/>
      <c r="O82" s="163"/>
    </row>
    <row r="83" spans="2:15" x14ac:dyDescent="0.15">
      <c r="B83" s="150"/>
      <c r="C83" s="151"/>
      <c r="D83" s="151"/>
      <c r="E83" s="151"/>
      <c r="F83" s="151"/>
      <c r="I83" s="163"/>
      <c r="J83" s="163"/>
      <c r="K83" s="163"/>
      <c r="L83" s="163"/>
      <c r="M83" s="163"/>
      <c r="N83" s="163"/>
      <c r="O83" s="163"/>
    </row>
    <row r="84" spans="2:15" x14ac:dyDescent="0.15">
      <c r="B84" s="150"/>
      <c r="C84" s="151"/>
      <c r="D84" s="151"/>
      <c r="E84" s="151"/>
      <c r="F84" s="151"/>
      <c r="I84" s="163"/>
      <c r="J84" s="163"/>
      <c r="K84" s="163"/>
      <c r="L84" s="163"/>
      <c r="M84" s="163"/>
      <c r="N84" s="163"/>
      <c r="O84" s="163"/>
    </row>
    <row r="85" spans="2:15" x14ac:dyDescent="0.15">
      <c r="I85" s="163"/>
      <c r="J85" s="163"/>
      <c r="K85" s="163"/>
      <c r="L85" s="163"/>
      <c r="M85" s="163"/>
      <c r="N85" s="163"/>
      <c r="O85" s="163"/>
    </row>
    <row r="86" spans="2:15" x14ac:dyDescent="0.15">
      <c r="I86" s="163"/>
      <c r="J86" s="163"/>
      <c r="K86" s="163"/>
      <c r="L86" s="163"/>
      <c r="M86" s="163"/>
      <c r="N86" s="163"/>
      <c r="O86" s="163"/>
    </row>
    <row r="87" spans="2:15" x14ac:dyDescent="0.15">
      <c r="I87" s="163"/>
      <c r="J87" s="163"/>
      <c r="K87" s="163"/>
      <c r="L87" s="163"/>
      <c r="M87" s="163"/>
      <c r="N87" s="163"/>
      <c r="O87" s="163"/>
    </row>
    <row r="88" spans="2:15" x14ac:dyDescent="0.15">
      <c r="I88" s="163"/>
      <c r="J88" s="163"/>
      <c r="K88" s="163"/>
      <c r="L88" s="163"/>
      <c r="M88" s="163"/>
      <c r="N88" s="163"/>
      <c r="O88" s="163"/>
    </row>
    <row r="89" spans="2:15" x14ac:dyDescent="0.15">
      <c r="I89" s="163"/>
      <c r="J89" s="163"/>
      <c r="K89" s="163"/>
      <c r="L89" s="163"/>
      <c r="M89" s="163"/>
      <c r="N89" s="163"/>
      <c r="O89" s="163"/>
    </row>
    <row r="90" spans="2:15" x14ac:dyDescent="0.15">
      <c r="I90" s="163"/>
      <c r="J90" s="163"/>
      <c r="K90" s="163"/>
      <c r="L90" s="163"/>
      <c r="M90" s="163"/>
      <c r="N90" s="163"/>
      <c r="O90" s="163"/>
    </row>
    <row r="91" spans="2:15" x14ac:dyDescent="0.15">
      <c r="I91" s="163"/>
      <c r="J91" s="163"/>
      <c r="K91" s="163"/>
      <c r="L91" s="163"/>
      <c r="M91" s="163"/>
      <c r="N91" s="163"/>
      <c r="O91" s="163"/>
    </row>
    <row r="92" spans="2:15" x14ac:dyDescent="0.15">
      <c r="I92" s="163"/>
      <c r="J92" s="163"/>
      <c r="K92" s="163"/>
      <c r="L92" s="163"/>
      <c r="M92" s="163"/>
      <c r="N92" s="163"/>
      <c r="O92" s="163"/>
    </row>
    <row r="93" spans="2:15" x14ac:dyDescent="0.15">
      <c r="I93" s="163"/>
      <c r="J93" s="163"/>
      <c r="K93" s="163"/>
      <c r="L93" s="163"/>
      <c r="M93" s="163"/>
      <c r="N93" s="163"/>
      <c r="O93" s="163"/>
    </row>
    <row r="94" spans="2:15" x14ac:dyDescent="0.15">
      <c r="I94" s="163"/>
      <c r="J94" s="163"/>
      <c r="K94" s="163"/>
      <c r="L94" s="163"/>
      <c r="M94" s="163"/>
      <c r="N94" s="163"/>
      <c r="O94" s="163"/>
    </row>
    <row r="95" spans="2:15" x14ac:dyDescent="0.15">
      <c r="I95" s="163"/>
      <c r="J95" s="163"/>
      <c r="K95" s="163"/>
      <c r="L95" s="163"/>
      <c r="M95" s="163"/>
      <c r="N95" s="163"/>
      <c r="O95" s="163"/>
    </row>
    <row r="96" spans="2:15" x14ac:dyDescent="0.15">
      <c r="I96" s="163"/>
      <c r="J96" s="163"/>
      <c r="K96" s="163"/>
      <c r="L96" s="163"/>
      <c r="M96" s="163"/>
      <c r="N96" s="163"/>
      <c r="O96" s="163"/>
    </row>
    <row r="97" spans="9:15" x14ac:dyDescent="0.15">
      <c r="I97" s="163"/>
      <c r="J97" s="163"/>
      <c r="K97" s="163"/>
      <c r="L97" s="163"/>
      <c r="M97" s="163"/>
      <c r="N97" s="163"/>
      <c r="O97" s="163"/>
    </row>
    <row r="98" spans="9:15" x14ac:dyDescent="0.15">
      <c r="I98" s="163"/>
      <c r="J98" s="163"/>
      <c r="K98" s="163"/>
      <c r="L98" s="163"/>
      <c r="M98" s="163"/>
      <c r="N98" s="163"/>
      <c r="O98" s="163"/>
    </row>
    <row r="99" spans="9:15" x14ac:dyDescent="0.15">
      <c r="I99" s="163"/>
      <c r="J99" s="163"/>
      <c r="K99" s="163"/>
      <c r="L99" s="163"/>
      <c r="M99" s="163"/>
      <c r="N99" s="163"/>
      <c r="O99" s="163"/>
    </row>
    <row r="100" spans="9:15" x14ac:dyDescent="0.15">
      <c r="I100" s="163"/>
      <c r="J100" s="163"/>
      <c r="K100" s="163"/>
      <c r="L100" s="163"/>
      <c r="M100" s="163"/>
      <c r="N100" s="163"/>
      <c r="O100" s="163"/>
    </row>
    <row r="101" spans="9:15" x14ac:dyDescent="0.15">
      <c r="I101" s="163"/>
      <c r="J101" s="163"/>
      <c r="K101" s="163"/>
      <c r="L101" s="163"/>
      <c r="M101" s="163"/>
      <c r="N101" s="163"/>
      <c r="O101" s="163"/>
    </row>
    <row r="102" spans="9:15" x14ac:dyDescent="0.15">
      <c r="I102" s="163"/>
      <c r="J102" s="163"/>
      <c r="K102" s="163"/>
      <c r="L102" s="163"/>
      <c r="M102" s="163"/>
      <c r="N102" s="163"/>
      <c r="O102" s="163"/>
    </row>
    <row r="103" spans="9:15" x14ac:dyDescent="0.15">
      <c r="I103" s="163"/>
      <c r="J103" s="163"/>
      <c r="K103" s="163"/>
      <c r="L103" s="163"/>
      <c r="M103" s="163"/>
      <c r="N103" s="163"/>
      <c r="O103" s="163"/>
    </row>
    <row r="104" spans="9:15" x14ac:dyDescent="0.15">
      <c r="I104" s="163"/>
      <c r="J104" s="163"/>
      <c r="K104" s="163"/>
      <c r="L104" s="163"/>
      <c r="M104" s="163"/>
      <c r="N104" s="163"/>
      <c r="O104" s="163"/>
    </row>
    <row r="105" spans="9:15" x14ac:dyDescent="0.15">
      <c r="I105" s="163"/>
      <c r="J105" s="163"/>
      <c r="K105" s="163"/>
      <c r="L105" s="163"/>
      <c r="M105" s="163"/>
      <c r="N105" s="163"/>
      <c r="O105" s="163"/>
    </row>
    <row r="106" spans="9:15" x14ac:dyDescent="0.15">
      <c r="I106" s="163"/>
      <c r="J106" s="163"/>
      <c r="K106" s="163"/>
      <c r="L106" s="163"/>
      <c r="M106" s="163"/>
      <c r="N106" s="163"/>
      <c r="O106" s="163"/>
    </row>
    <row r="107" spans="9:15" x14ac:dyDescent="0.15">
      <c r="I107" s="163"/>
      <c r="J107" s="163"/>
      <c r="K107" s="163"/>
      <c r="L107" s="163"/>
      <c r="M107" s="163"/>
      <c r="N107" s="163"/>
      <c r="O107" s="163"/>
    </row>
    <row r="108" spans="9:15" x14ac:dyDescent="0.15">
      <c r="I108" s="163"/>
      <c r="J108" s="163"/>
      <c r="K108" s="163"/>
      <c r="L108" s="163"/>
      <c r="M108" s="163"/>
      <c r="N108" s="163"/>
      <c r="O108" s="163"/>
    </row>
    <row r="109" spans="9:15" x14ac:dyDescent="0.15">
      <c r="I109" s="163"/>
      <c r="J109" s="163"/>
      <c r="K109" s="163"/>
      <c r="L109" s="163"/>
      <c r="M109" s="163"/>
      <c r="N109" s="163"/>
      <c r="O109" s="163"/>
    </row>
    <row r="110" spans="9:15" x14ac:dyDescent="0.15">
      <c r="I110" s="163"/>
      <c r="J110" s="163"/>
      <c r="K110" s="163"/>
      <c r="L110" s="163"/>
      <c r="M110" s="163"/>
      <c r="N110" s="163"/>
      <c r="O110" s="163"/>
    </row>
    <row r="111" spans="9:15" x14ac:dyDescent="0.15">
      <c r="I111" s="163"/>
      <c r="J111" s="163"/>
      <c r="K111" s="163"/>
      <c r="L111" s="163"/>
      <c r="M111" s="163"/>
      <c r="N111" s="163"/>
      <c r="O111" s="163"/>
    </row>
    <row r="112" spans="9:15" x14ac:dyDescent="0.15">
      <c r="I112" s="163"/>
      <c r="J112" s="163"/>
      <c r="K112" s="163"/>
      <c r="L112" s="163"/>
      <c r="M112" s="163"/>
      <c r="N112" s="163"/>
      <c r="O112" s="163"/>
    </row>
    <row r="113" spans="9:15" x14ac:dyDescent="0.15">
      <c r="I113" s="163"/>
      <c r="J113" s="163"/>
      <c r="K113" s="163"/>
      <c r="L113" s="163"/>
      <c r="M113" s="163"/>
      <c r="N113" s="163"/>
      <c r="O113" s="163"/>
    </row>
    <row r="114" spans="9:15" x14ac:dyDescent="0.15">
      <c r="I114" s="163"/>
      <c r="J114" s="163"/>
      <c r="K114" s="163"/>
      <c r="L114" s="163"/>
      <c r="M114" s="163"/>
      <c r="N114" s="163"/>
      <c r="O114" s="163"/>
    </row>
    <row r="115" spans="9:15" x14ac:dyDescent="0.15">
      <c r="I115" s="163"/>
      <c r="J115" s="163"/>
      <c r="K115" s="163"/>
      <c r="L115" s="163"/>
      <c r="M115" s="163"/>
      <c r="N115" s="163"/>
      <c r="O115" s="163"/>
    </row>
    <row r="116" spans="9:15" x14ac:dyDescent="0.15">
      <c r="I116" s="163"/>
      <c r="J116" s="163"/>
      <c r="K116" s="163"/>
      <c r="L116" s="163"/>
      <c r="M116" s="163"/>
      <c r="N116" s="163"/>
      <c r="O116" s="163"/>
    </row>
    <row r="117" spans="9:15" x14ac:dyDescent="0.15">
      <c r="I117" s="163"/>
      <c r="J117" s="163"/>
      <c r="K117" s="163"/>
      <c r="L117" s="163"/>
      <c r="M117" s="163"/>
      <c r="N117" s="163"/>
      <c r="O117" s="163"/>
    </row>
    <row r="118" spans="9:15" x14ac:dyDescent="0.15">
      <c r="I118" s="163"/>
      <c r="J118" s="163"/>
      <c r="K118" s="163"/>
      <c r="L118" s="163"/>
      <c r="M118" s="163"/>
      <c r="N118" s="163"/>
      <c r="O118" s="163"/>
    </row>
    <row r="119" spans="9:15" x14ac:dyDescent="0.15">
      <c r="I119" s="163"/>
      <c r="J119" s="163"/>
      <c r="K119" s="163"/>
      <c r="L119" s="163"/>
      <c r="M119" s="163"/>
      <c r="N119" s="163"/>
      <c r="O119" s="163"/>
    </row>
    <row r="120" spans="9:15" x14ac:dyDescent="0.15">
      <c r="I120" s="163"/>
      <c r="J120" s="163"/>
      <c r="K120" s="163"/>
      <c r="L120" s="163"/>
      <c r="M120" s="163"/>
      <c r="N120" s="163"/>
      <c r="O120" s="163"/>
    </row>
    <row r="121" spans="9:15" x14ac:dyDescent="0.15">
      <c r="I121" s="163"/>
      <c r="J121" s="163"/>
      <c r="K121" s="163"/>
      <c r="L121" s="163"/>
      <c r="M121" s="163"/>
      <c r="N121" s="163"/>
      <c r="O121" s="163"/>
    </row>
    <row r="122" spans="9:15" x14ac:dyDescent="0.15">
      <c r="I122" s="163"/>
      <c r="J122" s="163"/>
      <c r="K122" s="163"/>
      <c r="L122" s="163"/>
      <c r="M122" s="163"/>
      <c r="N122" s="163"/>
      <c r="O122" s="163"/>
    </row>
    <row r="123" spans="9:15" x14ac:dyDescent="0.15">
      <c r="I123" s="163"/>
      <c r="J123" s="163"/>
      <c r="K123" s="163"/>
      <c r="L123" s="163"/>
      <c r="M123" s="163"/>
      <c r="N123" s="163"/>
      <c r="O123" s="163"/>
    </row>
    <row r="124" spans="9:15" x14ac:dyDescent="0.15">
      <c r="I124" s="163"/>
      <c r="J124" s="163"/>
      <c r="K124" s="163"/>
      <c r="L124" s="163"/>
      <c r="M124" s="163"/>
      <c r="N124" s="163"/>
      <c r="O124" s="163"/>
    </row>
    <row r="125" spans="9:15" x14ac:dyDescent="0.15">
      <c r="I125" s="163"/>
      <c r="J125" s="163"/>
      <c r="K125" s="163"/>
      <c r="L125" s="163"/>
      <c r="M125" s="163"/>
      <c r="N125" s="163"/>
      <c r="O125" s="163"/>
    </row>
    <row r="126" spans="9:15" x14ac:dyDescent="0.15">
      <c r="I126" s="163"/>
      <c r="J126" s="163"/>
      <c r="K126" s="163"/>
      <c r="L126" s="163"/>
      <c r="M126" s="163"/>
      <c r="N126" s="163"/>
      <c r="O126" s="163"/>
    </row>
    <row r="127" spans="9:15" x14ac:dyDescent="0.15">
      <c r="I127" s="163"/>
      <c r="J127" s="163"/>
      <c r="K127" s="163"/>
      <c r="L127" s="163"/>
      <c r="M127" s="163"/>
      <c r="N127" s="163"/>
      <c r="O127" s="163"/>
    </row>
    <row r="128" spans="9:15" x14ac:dyDescent="0.15">
      <c r="I128" s="163"/>
      <c r="J128" s="163"/>
      <c r="K128" s="163"/>
      <c r="L128" s="163"/>
      <c r="M128" s="163"/>
      <c r="N128" s="163"/>
      <c r="O128" s="163"/>
    </row>
    <row r="129" spans="9:15" x14ac:dyDescent="0.15">
      <c r="I129" s="163"/>
      <c r="J129" s="163"/>
      <c r="K129" s="163"/>
      <c r="L129" s="163"/>
      <c r="M129" s="163"/>
      <c r="N129" s="163"/>
      <c r="O129" s="163"/>
    </row>
    <row r="130" spans="9:15" x14ac:dyDescent="0.15">
      <c r="I130" s="163"/>
      <c r="J130" s="163"/>
      <c r="K130" s="163"/>
      <c r="L130" s="163"/>
      <c r="M130" s="163"/>
      <c r="N130" s="163"/>
      <c r="O130" s="163"/>
    </row>
    <row r="131" spans="9:15" x14ac:dyDescent="0.15">
      <c r="I131" s="163"/>
      <c r="J131" s="163"/>
      <c r="K131" s="163"/>
      <c r="L131" s="163"/>
      <c r="M131" s="163"/>
      <c r="N131" s="163"/>
      <c r="O131" s="163"/>
    </row>
    <row r="132" spans="9:15" x14ac:dyDescent="0.15">
      <c r="I132" s="163"/>
      <c r="J132" s="163"/>
      <c r="K132" s="163"/>
      <c r="L132" s="163"/>
      <c r="M132" s="163"/>
      <c r="N132" s="163"/>
      <c r="O132" s="163"/>
    </row>
    <row r="133" spans="9:15" x14ac:dyDescent="0.15">
      <c r="I133" s="163"/>
      <c r="J133" s="163"/>
      <c r="K133" s="163"/>
      <c r="L133" s="163"/>
      <c r="M133" s="163"/>
      <c r="N133" s="163"/>
      <c r="O133" s="163"/>
    </row>
    <row r="134" spans="9:15" x14ac:dyDescent="0.15">
      <c r="I134" s="163"/>
      <c r="J134" s="163"/>
      <c r="K134" s="163"/>
      <c r="L134" s="163"/>
      <c r="M134" s="163"/>
      <c r="N134" s="163"/>
      <c r="O134" s="163"/>
    </row>
    <row r="135" spans="9:15" x14ac:dyDescent="0.15">
      <c r="I135" s="163"/>
      <c r="J135" s="163"/>
      <c r="K135" s="163"/>
      <c r="L135" s="163"/>
      <c r="M135" s="163"/>
      <c r="N135" s="163"/>
      <c r="O135" s="163"/>
    </row>
    <row r="136" spans="9:15" x14ac:dyDescent="0.15">
      <c r="I136" s="163"/>
      <c r="J136" s="163"/>
      <c r="K136" s="163"/>
      <c r="L136" s="163"/>
      <c r="M136" s="163"/>
      <c r="N136" s="163"/>
      <c r="O136" s="163"/>
    </row>
    <row r="137" spans="9:15" x14ac:dyDescent="0.15">
      <c r="I137" s="163"/>
      <c r="J137" s="163"/>
      <c r="K137" s="163"/>
      <c r="L137" s="163"/>
      <c r="M137" s="163"/>
      <c r="N137" s="163"/>
      <c r="O137" s="163"/>
    </row>
    <row r="138" spans="9:15" x14ac:dyDescent="0.15">
      <c r="I138" s="163"/>
      <c r="J138" s="163"/>
      <c r="K138" s="163"/>
      <c r="L138" s="163"/>
      <c r="M138" s="163"/>
      <c r="N138" s="163"/>
      <c r="O138" s="163"/>
    </row>
    <row r="139" spans="9:15" x14ac:dyDescent="0.15">
      <c r="I139" s="163"/>
      <c r="J139" s="163"/>
      <c r="K139" s="163"/>
      <c r="L139" s="163"/>
      <c r="M139" s="163"/>
      <c r="N139" s="163"/>
    </row>
    <row r="140" spans="9:15" x14ac:dyDescent="0.15">
      <c r="I140" s="163"/>
      <c r="J140" s="163"/>
      <c r="K140" s="163"/>
      <c r="L140" s="163"/>
      <c r="M140" s="163"/>
      <c r="N140" s="163"/>
    </row>
    <row r="141" spans="9:15" x14ac:dyDescent="0.15">
      <c r="I141" s="163"/>
      <c r="J141" s="163"/>
      <c r="K141" s="163"/>
      <c r="L141" s="163"/>
      <c r="M141" s="163"/>
      <c r="N141" s="163"/>
    </row>
    <row r="142" spans="9:15" x14ac:dyDescent="0.15">
      <c r="I142" s="163"/>
      <c r="J142" s="163"/>
      <c r="K142" s="163"/>
      <c r="L142" s="163"/>
      <c r="M142" s="163"/>
      <c r="N142" s="163"/>
    </row>
    <row r="143" spans="9:15" x14ac:dyDescent="0.15">
      <c r="I143" s="163"/>
      <c r="J143" s="163"/>
      <c r="K143" s="163"/>
      <c r="L143" s="163"/>
      <c r="M143" s="163"/>
      <c r="N143" s="163"/>
    </row>
    <row r="144" spans="9:15" x14ac:dyDescent="0.15">
      <c r="I144" s="163"/>
      <c r="J144" s="163"/>
      <c r="K144" s="163"/>
      <c r="L144" s="163"/>
      <c r="M144" s="163"/>
      <c r="N144" s="163"/>
    </row>
    <row r="145" spans="9:14" x14ac:dyDescent="0.15">
      <c r="I145" s="163"/>
      <c r="J145" s="163"/>
      <c r="K145" s="163"/>
      <c r="L145" s="163"/>
      <c r="M145" s="163"/>
      <c r="N145" s="163"/>
    </row>
    <row r="146" spans="9:14" x14ac:dyDescent="0.15">
      <c r="I146" s="163"/>
      <c r="J146" s="163"/>
      <c r="K146" s="163"/>
      <c r="L146" s="163"/>
      <c r="M146" s="163"/>
      <c r="N146" s="163"/>
    </row>
    <row r="147" spans="9:14" x14ac:dyDescent="0.15">
      <c r="I147" s="163"/>
      <c r="J147" s="163"/>
      <c r="K147" s="163"/>
      <c r="L147" s="163"/>
      <c r="M147" s="163"/>
      <c r="N147" s="163"/>
    </row>
    <row r="148" spans="9:14" x14ac:dyDescent="0.15">
      <c r="I148" s="163"/>
      <c r="J148" s="163"/>
      <c r="K148" s="163"/>
      <c r="L148" s="163"/>
      <c r="M148" s="163"/>
      <c r="N148" s="163"/>
    </row>
    <row r="149" spans="9:14" x14ac:dyDescent="0.15">
      <c r="I149" s="163"/>
      <c r="J149" s="163"/>
      <c r="K149" s="163"/>
      <c r="L149" s="163"/>
      <c r="M149" s="163"/>
      <c r="N149" s="163"/>
    </row>
    <row r="150" spans="9:14" x14ac:dyDescent="0.15">
      <c r="I150" s="163"/>
      <c r="J150" s="163"/>
      <c r="K150" s="163"/>
      <c r="L150" s="163"/>
      <c r="M150" s="163"/>
      <c r="N150" s="163"/>
    </row>
    <row r="151" spans="9:14" x14ac:dyDescent="0.15">
      <c r="I151" s="163"/>
      <c r="J151" s="163"/>
      <c r="K151" s="163"/>
      <c r="L151" s="163"/>
      <c r="M151" s="163"/>
      <c r="N151" s="163"/>
    </row>
    <row r="152" spans="9:14" x14ac:dyDescent="0.15">
      <c r="I152" s="163"/>
      <c r="J152" s="163"/>
      <c r="K152" s="163"/>
      <c r="L152" s="163"/>
      <c r="M152" s="163"/>
      <c r="N152" s="163"/>
    </row>
    <row r="153" spans="9:14" x14ac:dyDescent="0.15">
      <c r="I153" s="163"/>
      <c r="J153" s="163"/>
      <c r="K153" s="163"/>
      <c r="L153" s="163"/>
      <c r="M153" s="163"/>
      <c r="N153" s="163"/>
    </row>
    <row r="154" spans="9:14" x14ac:dyDescent="0.15">
      <c r="I154" s="163"/>
      <c r="J154" s="163"/>
      <c r="K154" s="163"/>
      <c r="L154" s="163"/>
      <c r="M154" s="163"/>
      <c r="N154" s="163"/>
    </row>
    <row r="155" spans="9:14" x14ac:dyDescent="0.15">
      <c r="J155" s="163"/>
      <c r="K155" s="163"/>
      <c r="L155" s="163"/>
      <c r="M155" s="163"/>
      <c r="N155" s="163"/>
    </row>
    <row r="156" spans="9:14" x14ac:dyDescent="0.15">
      <c r="J156" s="163"/>
      <c r="K156" s="163"/>
      <c r="L156" s="163"/>
      <c r="M156" s="163"/>
      <c r="N156" s="163"/>
    </row>
    <row r="172" spans="15:15" x14ac:dyDescent="0.15">
      <c r="O172" s="163"/>
    </row>
    <row r="173" spans="15:15" x14ac:dyDescent="0.15">
      <c r="O173" s="163"/>
    </row>
    <row r="174" spans="15:15" x14ac:dyDescent="0.15">
      <c r="O174" s="163"/>
    </row>
    <row r="175" spans="15:15" x14ac:dyDescent="0.15">
      <c r="O175" s="163"/>
    </row>
    <row r="176" spans="15:15" x14ac:dyDescent="0.15">
      <c r="O176" s="163"/>
    </row>
    <row r="177" spans="15:15" x14ac:dyDescent="0.15">
      <c r="O177" s="163"/>
    </row>
    <row r="178" spans="15:15" x14ac:dyDescent="0.15">
      <c r="O178" s="163"/>
    </row>
    <row r="179" spans="15:15" x14ac:dyDescent="0.15">
      <c r="O179" s="163"/>
    </row>
    <row r="180" spans="15:15" x14ac:dyDescent="0.15">
      <c r="O180" s="163"/>
    </row>
    <row r="181" spans="15:15" x14ac:dyDescent="0.15">
      <c r="O181" s="163"/>
    </row>
    <row r="182" spans="15:15" x14ac:dyDescent="0.15">
      <c r="O182" s="163"/>
    </row>
    <row r="183" spans="15:15" x14ac:dyDescent="0.15">
      <c r="O183" s="163"/>
    </row>
    <row r="184" spans="15:15" x14ac:dyDescent="0.15">
      <c r="O184" s="163"/>
    </row>
    <row r="185" spans="15:15" x14ac:dyDescent="0.15">
      <c r="O185" s="163"/>
    </row>
    <row r="186" spans="15:15" x14ac:dyDescent="0.15">
      <c r="O186" s="163"/>
    </row>
    <row r="187" spans="15:15" x14ac:dyDescent="0.15">
      <c r="O187" s="163"/>
    </row>
    <row r="188" spans="15:15" x14ac:dyDescent="0.15">
      <c r="O188" s="163"/>
    </row>
    <row r="189" spans="15:15" x14ac:dyDescent="0.15">
      <c r="O189" s="163"/>
    </row>
    <row r="190" spans="15:15" x14ac:dyDescent="0.15">
      <c r="O190" s="163"/>
    </row>
    <row r="191" spans="15:15" x14ac:dyDescent="0.15">
      <c r="O191" s="163"/>
    </row>
  </sheetData>
  <mergeCells count="71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34:L34"/>
    <mergeCell ref="K35:L35"/>
    <mergeCell ref="K36:L36"/>
    <mergeCell ref="K39:L39"/>
    <mergeCell ref="K40:L40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313</v>
      </c>
    </row>
    <row r="3" spans="2:15" ht="20.100000000000001" customHeight="1" x14ac:dyDescent="0.15">
      <c r="D3" s="99" t="s">
        <v>197</v>
      </c>
      <c r="E3" s="98" t="s">
        <v>314</v>
      </c>
      <c r="F3" s="98"/>
      <c r="G3" s="99" t="s">
        <v>198</v>
      </c>
      <c r="H3" s="98" t="s">
        <v>376</v>
      </c>
      <c r="I3" s="98"/>
    </row>
    <row r="4" spans="2:15" ht="20.100000000000001" customHeight="1" thickBot="1" x14ac:dyDescent="0.2">
      <c r="B4" s="5" t="s">
        <v>211</v>
      </c>
      <c r="C4" s="5" t="s">
        <v>212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20" t="s">
        <v>257</v>
      </c>
      <c r="C5" s="324">
        <v>1</v>
      </c>
      <c r="D5" s="324">
        <v>2</v>
      </c>
      <c r="E5" s="324">
        <v>3</v>
      </c>
      <c r="F5" s="324">
        <v>4</v>
      </c>
      <c r="G5" s="324">
        <v>5</v>
      </c>
      <c r="H5" s="324">
        <v>6</v>
      </c>
      <c r="I5" s="324">
        <v>7</v>
      </c>
      <c r="J5" s="324">
        <v>8</v>
      </c>
      <c r="K5" s="324">
        <v>9</v>
      </c>
      <c r="L5" s="324">
        <v>10</v>
      </c>
      <c r="M5" s="324">
        <v>11</v>
      </c>
      <c r="N5" s="324">
        <v>12</v>
      </c>
      <c r="O5" s="137" t="s">
        <v>213</v>
      </c>
    </row>
    <row r="6" spans="2:15" ht="20.100000000000001" customHeight="1" x14ac:dyDescent="0.15">
      <c r="B6" s="325" t="s">
        <v>308</v>
      </c>
      <c r="C6" s="287">
        <v>360</v>
      </c>
      <c r="D6" s="287">
        <v>316</v>
      </c>
      <c r="E6" s="287">
        <v>334</v>
      </c>
      <c r="F6" s="287">
        <v>297</v>
      </c>
      <c r="G6" s="287">
        <v>247</v>
      </c>
      <c r="H6" s="287">
        <v>249</v>
      </c>
      <c r="I6" s="287">
        <v>253</v>
      </c>
      <c r="J6" s="287">
        <v>263</v>
      </c>
      <c r="K6" s="287">
        <v>189</v>
      </c>
      <c r="L6" s="287">
        <v>243</v>
      </c>
      <c r="M6" s="287">
        <v>295</v>
      </c>
      <c r="N6" s="287">
        <v>327</v>
      </c>
      <c r="O6" s="138">
        <v>267</v>
      </c>
    </row>
    <row r="7" spans="2:15" ht="20.100000000000001" customHeight="1" x14ac:dyDescent="0.15">
      <c r="B7" s="325" t="s">
        <v>309</v>
      </c>
      <c r="C7" s="287">
        <v>354</v>
      </c>
      <c r="D7" s="287">
        <v>371</v>
      </c>
      <c r="E7" s="287">
        <v>321</v>
      </c>
      <c r="F7" s="287">
        <v>397</v>
      </c>
      <c r="G7" s="287">
        <v>268</v>
      </c>
      <c r="H7" s="287">
        <v>283</v>
      </c>
      <c r="I7" s="287">
        <v>328</v>
      </c>
      <c r="J7" s="287">
        <v>239</v>
      </c>
      <c r="K7" s="287">
        <v>277</v>
      </c>
      <c r="L7" s="287">
        <v>244</v>
      </c>
      <c r="M7" s="287">
        <v>306</v>
      </c>
      <c r="N7" s="287">
        <v>333</v>
      </c>
      <c r="O7" s="138">
        <v>298</v>
      </c>
    </row>
    <row r="8" spans="2:15" ht="20.100000000000001" customHeight="1" x14ac:dyDescent="0.15">
      <c r="B8" s="325" t="s">
        <v>310</v>
      </c>
      <c r="C8" s="287">
        <v>362</v>
      </c>
      <c r="D8" s="287">
        <v>341</v>
      </c>
      <c r="E8" s="287">
        <v>296</v>
      </c>
      <c r="F8" s="287">
        <v>246</v>
      </c>
      <c r="G8" s="287">
        <v>260</v>
      </c>
      <c r="H8" s="287">
        <v>386</v>
      </c>
      <c r="I8" s="287">
        <v>315</v>
      </c>
      <c r="J8" s="287">
        <v>251</v>
      </c>
      <c r="K8" s="287">
        <v>316</v>
      </c>
      <c r="L8" s="287">
        <v>342</v>
      </c>
      <c r="M8" s="287">
        <v>279</v>
      </c>
      <c r="N8" s="287">
        <v>396</v>
      </c>
      <c r="O8" s="138">
        <v>303</v>
      </c>
    </row>
    <row r="9" spans="2:15" ht="20.100000000000001" customHeight="1" x14ac:dyDescent="0.15">
      <c r="B9" s="325" t="s">
        <v>311</v>
      </c>
      <c r="C9" s="287">
        <v>442</v>
      </c>
      <c r="D9" s="287">
        <v>385</v>
      </c>
      <c r="E9" s="287">
        <v>377</v>
      </c>
      <c r="F9" s="287">
        <v>319</v>
      </c>
      <c r="G9" s="287">
        <v>264</v>
      </c>
      <c r="H9" s="287">
        <v>302</v>
      </c>
      <c r="I9" s="287">
        <v>295</v>
      </c>
      <c r="J9" s="287">
        <v>212</v>
      </c>
      <c r="K9" s="287">
        <v>260</v>
      </c>
      <c r="L9" s="287">
        <v>281</v>
      </c>
      <c r="M9" s="287">
        <v>360</v>
      </c>
      <c r="N9" s="287">
        <v>419</v>
      </c>
      <c r="O9" s="138">
        <v>297</v>
      </c>
    </row>
    <row r="10" spans="2:15" ht="20.100000000000001" customHeight="1" x14ac:dyDescent="0.15">
      <c r="B10" s="325" t="s">
        <v>312</v>
      </c>
      <c r="C10" s="287">
        <v>405</v>
      </c>
      <c r="D10" s="287">
        <v>364</v>
      </c>
      <c r="E10" s="287">
        <v>298</v>
      </c>
      <c r="F10" s="287">
        <v>334</v>
      </c>
      <c r="G10" s="287">
        <v>272</v>
      </c>
      <c r="H10" s="287">
        <v>264</v>
      </c>
      <c r="I10" s="287">
        <v>271</v>
      </c>
      <c r="J10" s="287">
        <v>192</v>
      </c>
      <c r="K10" s="287">
        <v>362</v>
      </c>
      <c r="L10" s="287">
        <v>313</v>
      </c>
      <c r="M10" s="287">
        <v>429</v>
      </c>
      <c r="N10" s="287">
        <v>479</v>
      </c>
      <c r="O10" s="138">
        <v>300</v>
      </c>
    </row>
    <row r="11" spans="2:15" ht="20.100000000000001" customHeight="1" thickBot="1" x14ac:dyDescent="0.2">
      <c r="B11" s="323" t="s">
        <v>214</v>
      </c>
      <c r="C11" s="321">
        <f>AVERAGE(C6:C10)</f>
        <v>384.6</v>
      </c>
      <c r="D11" s="321">
        <f t="shared" ref="D11:O11" si="0">AVERAGE(D6:D10)</f>
        <v>355.4</v>
      </c>
      <c r="E11" s="321">
        <f t="shared" si="0"/>
        <v>325.2</v>
      </c>
      <c r="F11" s="321">
        <f t="shared" si="0"/>
        <v>318.60000000000002</v>
      </c>
      <c r="G11" s="321">
        <f t="shared" si="0"/>
        <v>262.2</v>
      </c>
      <c r="H11" s="321">
        <f t="shared" si="0"/>
        <v>296.8</v>
      </c>
      <c r="I11" s="321">
        <f t="shared" si="0"/>
        <v>292.39999999999998</v>
      </c>
      <c r="J11" s="321">
        <f t="shared" si="0"/>
        <v>231.4</v>
      </c>
      <c r="K11" s="321">
        <f t="shared" si="0"/>
        <v>280.8</v>
      </c>
      <c r="L11" s="321">
        <f t="shared" si="0"/>
        <v>284.60000000000002</v>
      </c>
      <c r="M11" s="321">
        <f t="shared" si="0"/>
        <v>333.8</v>
      </c>
      <c r="N11" s="321">
        <f t="shared" si="0"/>
        <v>390.8</v>
      </c>
      <c r="O11" s="322">
        <f t="shared" si="0"/>
        <v>293</v>
      </c>
    </row>
    <row r="12" spans="2:15" ht="20.100000000000001" customHeight="1" x14ac:dyDescent="0.15"/>
    <row r="13" spans="2:15" ht="20.100000000000001" customHeight="1" thickBot="1" x14ac:dyDescent="0.2">
      <c r="B13" s="5" t="s">
        <v>211</v>
      </c>
      <c r="C13" s="5" t="s">
        <v>258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20" t="s">
        <v>257</v>
      </c>
      <c r="C14" s="324">
        <v>1</v>
      </c>
      <c r="D14" s="324">
        <v>2</v>
      </c>
      <c r="E14" s="324">
        <v>3</v>
      </c>
      <c r="F14" s="324">
        <v>4</v>
      </c>
      <c r="G14" s="324">
        <v>5</v>
      </c>
      <c r="H14" s="324">
        <v>6</v>
      </c>
      <c r="I14" s="324">
        <v>7</v>
      </c>
      <c r="J14" s="324">
        <v>8</v>
      </c>
      <c r="K14" s="324">
        <v>9</v>
      </c>
      <c r="L14" s="324">
        <v>10</v>
      </c>
      <c r="M14" s="324">
        <v>11</v>
      </c>
      <c r="N14" s="324">
        <v>12</v>
      </c>
      <c r="O14" s="137" t="s">
        <v>213</v>
      </c>
    </row>
    <row r="15" spans="2:15" ht="20.100000000000001" customHeight="1" x14ac:dyDescent="0.15">
      <c r="B15" s="325" t="s">
        <v>308</v>
      </c>
      <c r="C15" s="287">
        <v>0</v>
      </c>
      <c r="D15" s="287">
        <v>0</v>
      </c>
      <c r="E15" s="287">
        <v>0</v>
      </c>
      <c r="F15" s="287">
        <v>0</v>
      </c>
      <c r="G15" s="287">
        <v>245</v>
      </c>
      <c r="H15" s="287">
        <v>197</v>
      </c>
      <c r="I15" s="287">
        <v>235</v>
      </c>
      <c r="J15" s="287">
        <v>219</v>
      </c>
      <c r="K15" s="287">
        <v>145</v>
      </c>
      <c r="L15" s="287">
        <v>97</v>
      </c>
      <c r="M15" s="287">
        <v>67</v>
      </c>
      <c r="N15" s="287">
        <v>0</v>
      </c>
      <c r="O15" s="138">
        <v>190</v>
      </c>
    </row>
    <row r="16" spans="2:15" ht="20.100000000000001" customHeight="1" x14ac:dyDescent="0.15">
      <c r="B16" s="325" t="s">
        <v>309</v>
      </c>
      <c r="C16" s="287">
        <v>0</v>
      </c>
      <c r="D16" s="287">
        <v>0</v>
      </c>
      <c r="E16" s="287">
        <v>0</v>
      </c>
      <c r="F16" s="287">
        <v>0</v>
      </c>
      <c r="G16" s="287">
        <v>228</v>
      </c>
      <c r="H16" s="287">
        <v>245</v>
      </c>
      <c r="I16" s="287">
        <v>293</v>
      </c>
      <c r="J16" s="287">
        <v>204</v>
      </c>
      <c r="K16" s="287">
        <v>218</v>
      </c>
      <c r="L16" s="287">
        <v>170</v>
      </c>
      <c r="M16" s="287">
        <v>97</v>
      </c>
      <c r="N16" s="287">
        <v>0</v>
      </c>
      <c r="O16" s="138">
        <v>225</v>
      </c>
    </row>
    <row r="17" spans="2:15" ht="20.100000000000001" customHeight="1" x14ac:dyDescent="0.15">
      <c r="B17" s="325" t="s">
        <v>310</v>
      </c>
      <c r="C17" s="287">
        <v>0</v>
      </c>
      <c r="D17" s="287">
        <v>0</v>
      </c>
      <c r="E17" s="287">
        <v>301</v>
      </c>
      <c r="F17" s="287">
        <v>0</v>
      </c>
      <c r="G17" s="287">
        <v>230</v>
      </c>
      <c r="H17" s="287">
        <v>348</v>
      </c>
      <c r="I17" s="287">
        <v>288</v>
      </c>
      <c r="J17" s="287">
        <v>200</v>
      </c>
      <c r="K17" s="287">
        <v>211</v>
      </c>
      <c r="L17" s="287">
        <v>193</v>
      </c>
      <c r="M17" s="287">
        <v>84</v>
      </c>
      <c r="N17" s="287">
        <v>381</v>
      </c>
      <c r="O17" s="138">
        <v>228</v>
      </c>
    </row>
    <row r="18" spans="2:15" ht="20.100000000000001" customHeight="1" x14ac:dyDescent="0.15">
      <c r="B18" s="325" t="s">
        <v>311</v>
      </c>
      <c r="C18" s="287">
        <v>0</v>
      </c>
      <c r="D18" s="287">
        <v>0</v>
      </c>
      <c r="E18" s="287">
        <v>0</v>
      </c>
      <c r="F18" s="287">
        <v>0</v>
      </c>
      <c r="G18" s="287">
        <v>234</v>
      </c>
      <c r="H18" s="287">
        <v>248</v>
      </c>
      <c r="I18" s="287">
        <v>273</v>
      </c>
      <c r="J18" s="287">
        <v>175</v>
      </c>
      <c r="K18" s="287">
        <v>205</v>
      </c>
      <c r="L18" s="287">
        <v>160</v>
      </c>
      <c r="M18" s="287">
        <v>82</v>
      </c>
      <c r="N18" s="287">
        <v>0</v>
      </c>
      <c r="O18" s="138">
        <v>205</v>
      </c>
    </row>
    <row r="19" spans="2:15" ht="20.100000000000001" customHeight="1" x14ac:dyDescent="0.15">
      <c r="B19" s="325" t="s">
        <v>312</v>
      </c>
      <c r="C19" s="287">
        <v>0</v>
      </c>
      <c r="D19" s="287">
        <v>0</v>
      </c>
      <c r="E19" s="287">
        <v>58</v>
      </c>
      <c r="F19" s="287">
        <v>0</v>
      </c>
      <c r="G19" s="287">
        <v>198</v>
      </c>
      <c r="H19" s="287">
        <v>210</v>
      </c>
      <c r="I19" s="287">
        <v>219</v>
      </c>
      <c r="J19" s="287">
        <v>150</v>
      </c>
      <c r="K19" s="287">
        <v>251</v>
      </c>
      <c r="L19" s="287">
        <v>150</v>
      </c>
      <c r="M19" s="287">
        <v>85</v>
      </c>
      <c r="N19" s="287">
        <v>0</v>
      </c>
      <c r="O19" s="138">
        <v>191</v>
      </c>
    </row>
    <row r="20" spans="2:15" ht="20.100000000000001" customHeight="1" thickBot="1" x14ac:dyDescent="0.2">
      <c r="B20" s="323" t="s">
        <v>214</v>
      </c>
      <c r="C20" s="321">
        <f>AVERAGE(C15:C19)</f>
        <v>0</v>
      </c>
      <c r="D20" s="321">
        <f t="shared" ref="D20" si="1">AVERAGE(D15:D19)</f>
        <v>0</v>
      </c>
      <c r="E20" s="321">
        <f t="shared" ref="E20" si="2">AVERAGE(E15:E19)</f>
        <v>71.8</v>
      </c>
      <c r="F20" s="321">
        <f t="shared" ref="F20" si="3">AVERAGE(F15:F19)</f>
        <v>0</v>
      </c>
      <c r="G20" s="321">
        <f t="shared" ref="G20" si="4">AVERAGE(G15:G19)</f>
        <v>227</v>
      </c>
      <c r="H20" s="321">
        <f t="shared" ref="H20" si="5">AVERAGE(H15:H19)</f>
        <v>249.6</v>
      </c>
      <c r="I20" s="321">
        <f t="shared" ref="I20" si="6">AVERAGE(I15:I19)</f>
        <v>261.60000000000002</v>
      </c>
      <c r="J20" s="321">
        <f t="shared" ref="J20" si="7">AVERAGE(J15:J19)</f>
        <v>189.6</v>
      </c>
      <c r="K20" s="321">
        <f t="shared" ref="K20" si="8">AVERAGE(K15:K19)</f>
        <v>206</v>
      </c>
      <c r="L20" s="321">
        <f t="shared" ref="L20" si="9">AVERAGE(L15:L19)</f>
        <v>154</v>
      </c>
      <c r="M20" s="321">
        <f t="shared" ref="M20" si="10">AVERAGE(M15:M19)</f>
        <v>83</v>
      </c>
      <c r="N20" s="321">
        <f t="shared" ref="N20" si="11">AVERAGE(N15:N19)</f>
        <v>76.2</v>
      </c>
      <c r="O20" s="322">
        <f t="shared" ref="O20" si="12">AVERAGE(O15:O19)</f>
        <v>207.8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なす標準技術</vt:lpstr>
      <vt:lpstr>４　経営収支</vt:lpstr>
      <vt:lpstr>５　なす作業時間</vt:lpstr>
      <vt:lpstr>６　固定資本装備と減価償却費</vt:lpstr>
      <vt:lpstr>７　なす部門収支</vt:lpstr>
      <vt:lpstr>８　なす算出基礎</vt:lpstr>
      <vt:lpstr>９　なす単価算出基礎</vt:lpstr>
      <vt:lpstr>'４　経営収支'!Print_Area</vt:lpstr>
      <vt:lpstr>'５　なす作業時間'!Print_Area</vt:lpstr>
      <vt:lpstr>'６　固定資本装備と減価償却費'!Print_Area</vt:lpstr>
      <vt:lpstr>'７　なす部門収支'!Print_Area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2014-11-04T00:04:07Z</cp:lastPrinted>
  <dcterms:created xsi:type="dcterms:W3CDTF">2005-02-26T02:20:11Z</dcterms:created>
  <dcterms:modified xsi:type="dcterms:W3CDTF">2015-03-24T04:50:45Z</dcterms:modified>
</cp:coreProperties>
</file>